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Strategy_Management\Local Departments, Data\Profiles\Profile Report SFY 2020\"/>
    </mc:Choice>
  </mc:AlternateContent>
  <bookViews>
    <workbookView xWindow="0" yWindow="0" windowWidth="19200" windowHeight="9960" tabRatio="623"/>
  </bookViews>
  <sheets>
    <sheet name="Profile" sheetId="1" r:id="rId1"/>
    <sheet name="Spending By Region" sheetId="123" r:id="rId2"/>
    <sheet name="Social Svcs Spending Summary" sheetId="79" r:id="rId3"/>
    <sheet name="Data for Graphs" sheetId="108" state="hidden" r:id="rId4"/>
    <sheet name="Agency Level &amp; HR Policy" sheetId="69" state="hidden" r:id="rId5"/>
    <sheet name="IT Support" sheetId="68" state="hidden" r:id="rId6"/>
    <sheet name="2019 Population" sheetId="84" state="hidden" r:id="rId7"/>
    <sheet name="Poverty Estimates" sheetId="100" state="hidden" r:id="rId8"/>
    <sheet name="Poverty_All ages" sheetId="86" state="hidden" r:id="rId9"/>
    <sheet name="Poverty_Child" sheetId="87" state="hidden" r:id="rId10"/>
    <sheet name="ALICE Households" sheetId="141" state="hidden" r:id="rId11"/>
    <sheet name="Unemployment" sheetId="24" state="hidden" r:id="rId12"/>
    <sheet name="With Health Insurance" sheetId="142" state="hidden" r:id="rId13"/>
    <sheet name="Non-marital births" sheetId="73" state="hidden" r:id="rId14"/>
    <sheet name="Uninsured by Income" sheetId="143" state="hidden" r:id="rId15"/>
    <sheet name="Uninsured by Year" sheetId="144" state="hidden" r:id="rId16"/>
    <sheet name="Non-Marital Births_5YR" sheetId="139" state="hidden" r:id="rId17"/>
    <sheet name="Teen births" sheetId="114" state="hidden" r:id="rId18"/>
    <sheet name="NM Births_Trend" sheetId="109" state="hidden" r:id="rId19"/>
    <sheet name="Teen Births_Trend" sheetId="113" state="hidden" r:id="rId20"/>
    <sheet name="Teen Births_5YR" sheetId="140" state="hidden" r:id="rId21"/>
    <sheet name="Children in Single Parent Homes" sheetId="115" state="hidden" r:id="rId22"/>
    <sheet name="SNAP Applications Received" sheetId="133" state="hidden" r:id="rId23"/>
    <sheet name="SNAP Applications Disposed" sheetId="129" state="hidden" r:id="rId24"/>
    <sheet name="TANF Applications Received" sheetId="134" state="hidden" r:id="rId25"/>
    <sheet name="TANF Applications Disposed" sheetId="128" state="hidden" r:id="rId26"/>
    <sheet name="Medicaid Applications Received" sheetId="135" state="hidden" r:id="rId27"/>
    <sheet name="Medicaid Applications Disposed" sheetId="130" state="hidden" r:id="rId28"/>
    <sheet name="Child Care Application Received" sheetId="136" state="hidden" r:id="rId29"/>
    <sheet name="Child Care Application Disposed" sheetId="131" state="hidden" r:id="rId30"/>
    <sheet name="SNAP Clients_Annual" sheetId="125" state="hidden" r:id="rId31"/>
    <sheet name="TANF Clients_Annual" sheetId="126" state="hidden" r:id="rId32"/>
    <sheet name="Medicaid Clients_Annual" sheetId="127" state="hidden" r:id="rId33"/>
    <sheet name="Child Care_Annual" sheetId="138" state="hidden" r:id="rId34"/>
    <sheet name="Benefit Clients_Annual" sheetId="94" state="hidden" r:id="rId35"/>
    <sheet name="TANF Cases - Annual" sheetId="110" state="hidden" r:id="rId36"/>
    <sheet name="SNAP Cases - Annual" sheetId="111" state="hidden" r:id="rId37"/>
    <sheet name="Medicaid Cases- Annual" sheetId="112" state="hidden" r:id="rId38"/>
    <sheet name="EA Cases - Annual" sheetId="106" state="hidden" r:id="rId39"/>
    <sheet name="Child Care Cases - Annual" sheetId="120" state="hidden" r:id="rId40"/>
    <sheet name="SNAP Client Demographics" sheetId="49" state="hidden" r:id="rId41"/>
    <sheet name="TANF Client Demographics" sheetId="102" state="hidden" r:id="rId42"/>
    <sheet name="MA Client Demographics" sheetId="103" state="hidden" r:id="rId43"/>
    <sheet name="Child Care Client Demographics" sheetId="137" state="hidden" r:id="rId44"/>
    <sheet name="Benefit Client Demographics" sheetId="104" state="hidden" r:id="rId45"/>
    <sheet name="Children in Foster Care" sheetId="6" state="hidden" r:id="rId46"/>
    <sheet name="Adopted Children" sheetId="122" state="hidden" r:id="rId47"/>
    <sheet name="Adoption Subsidies" sheetId="96" state="hidden" r:id="rId48"/>
    <sheet name="APS Reports" sheetId="91" state="hidden" r:id="rId49"/>
    <sheet name="CPS Referrals" sheetId="92" state="hidden" r:id="rId50"/>
    <sheet name="Administration LASER" sheetId="53" state="hidden" r:id="rId51"/>
    <sheet name="Other Oper Exp. LASER" sheetId="55" state="hidden" r:id="rId52"/>
    <sheet name="Client Services LASER" sheetId="56" state="hidden" r:id="rId53"/>
    <sheet name="CSA LASER" sheetId="117" state="hidden" r:id="rId54"/>
    <sheet name="Medicaid &amp; FAMIS - LASER" sheetId="57" state="hidden" r:id="rId55"/>
    <sheet name="SNAP LASER" sheetId="58" state="hidden" r:id="rId56"/>
    <sheet name="Energy Assistance LASER" sheetId="59" state="hidden" r:id="rId57"/>
    <sheet name="TANF LASER" sheetId="61" state="hidden" r:id="rId58"/>
    <sheet name="ChildCare LASER" sheetId="101" state="hidden" r:id="rId59"/>
    <sheet name="FC &amp; Adoptions LASER" sheetId="60" state="hidden" r:id="rId60"/>
    <sheet name="Other Benefits LASER" sheetId="62" state="hidden" r:id="rId61"/>
    <sheet name="Statewide Benefits" sheetId="118" state="hidden" r:id="rId62"/>
    <sheet name="Staffing" sheetId="85" state="hidden" r:id="rId63"/>
    <sheet name="Locality Name" sheetId="4" state="hidden" r:id="rId64"/>
    <sheet name="Region Name" sheetId="124" state="hidden" r:id="rId65"/>
  </sheets>
  <definedNames>
    <definedName name="_xlnm._FilterDatabase" localSheetId="6" hidden="1">'2019 Population'!$A$4:$D$125</definedName>
    <definedName name="_xlnm._FilterDatabase" localSheetId="50" hidden="1">'Administration LASER'!$A$3:$C$124</definedName>
    <definedName name="_xlnm._FilterDatabase" localSheetId="47" hidden="1">'Adoption Subsidies'!$A$3:$C$3</definedName>
    <definedName name="_xlnm._FilterDatabase" localSheetId="4" hidden="1">'Agency Level &amp; HR Policy'!$A$3:$I$123</definedName>
    <definedName name="_xlnm._FilterDatabase" localSheetId="48" hidden="1">'APS Reports'!$A$4:$C$125</definedName>
    <definedName name="_xlnm._FilterDatabase" localSheetId="34" hidden="1">'Benefit Clients_Annual'!$A$3:$C$3</definedName>
    <definedName name="_xlnm._FilterDatabase" localSheetId="58" hidden="1">'ChildCare LASER'!$A$3:$C$124</definedName>
    <definedName name="_xlnm._FilterDatabase" localSheetId="45" hidden="1">'Children in Foster Care'!$A$4:$C$4</definedName>
    <definedName name="_xlnm._FilterDatabase" localSheetId="21" hidden="1">'Children in Single Parent Homes'!$A$3:$C$124</definedName>
    <definedName name="_xlnm._FilterDatabase" localSheetId="52" hidden="1">'Client Services LASER'!$A$3:$B$3</definedName>
    <definedName name="_xlnm._FilterDatabase" localSheetId="49" hidden="1">'CPS Referrals'!$A$3:$C$3</definedName>
    <definedName name="_xlnm._FilterDatabase" localSheetId="53" hidden="1">'CSA LASER'!$A$3:$I$124</definedName>
    <definedName name="_xlnm._FilterDatabase" localSheetId="38" hidden="1">'EA Cases - Annual'!$A$4:$C$125</definedName>
    <definedName name="_xlnm._FilterDatabase" localSheetId="56" hidden="1">'Energy Assistance LASER'!$A$3:$C$124</definedName>
    <definedName name="_xlnm._FilterDatabase" localSheetId="59" hidden="1">'FC &amp; Adoptions LASER'!$A$3:$C$124</definedName>
    <definedName name="_xlnm._FilterDatabase" localSheetId="5" hidden="1">'IT Support'!$A$3:$D$123</definedName>
    <definedName name="_xlnm._FilterDatabase" localSheetId="42" hidden="1">'MA Client Demographics'!$A$4:$C$4</definedName>
    <definedName name="_xlnm._FilterDatabase" localSheetId="54" hidden="1">'Medicaid &amp; FAMIS - LASER'!$A$3:$C$124</definedName>
    <definedName name="_xlnm._FilterDatabase" localSheetId="37" hidden="1">'Medicaid Cases- Annual'!$A$3:$C$3</definedName>
    <definedName name="_xlnm._FilterDatabase" localSheetId="18" hidden="1">'NM Births_Trend'!$A$4:$C$125</definedName>
    <definedName name="_xlnm._FilterDatabase" localSheetId="13" hidden="1">'Non-marital births'!$A$4:$C$126</definedName>
    <definedName name="_xlnm._FilterDatabase" localSheetId="60" hidden="1">'Other Benefits LASER'!$A$3:$C$124</definedName>
    <definedName name="_xlnm._FilterDatabase" localSheetId="51" hidden="1">'Other Oper Exp. LASER'!$A$3:$C$124</definedName>
    <definedName name="_xlnm._FilterDatabase" localSheetId="7" hidden="1">'Poverty Estimates'!$A$4:$C$125</definedName>
    <definedName name="_xlnm._FilterDatabase" localSheetId="8" hidden="1">'Poverty_All ages'!$A$3:$C$3</definedName>
    <definedName name="_xlnm._FilterDatabase" localSheetId="9" hidden="1">Poverty_Child!$A$4:$C$4</definedName>
    <definedName name="_xlnm._FilterDatabase" localSheetId="36" hidden="1">'SNAP Cases - Annual'!$A$3:$C$3</definedName>
    <definedName name="_xlnm._FilterDatabase" localSheetId="40" hidden="1">'SNAP Client Demographics'!$A$4:$C$4</definedName>
    <definedName name="_xlnm._FilterDatabase" localSheetId="55" hidden="1">'SNAP LASER'!$A$3:$C$124</definedName>
    <definedName name="_xlnm._FilterDatabase" localSheetId="2" hidden="1">'Social Svcs Spending Summary'!$A$4:$C$4</definedName>
    <definedName name="_xlnm._FilterDatabase" localSheetId="62" hidden="1">Staffing!$A$5:$C$5</definedName>
    <definedName name="_xlnm._FilterDatabase" localSheetId="35" hidden="1">'TANF Cases - Annual'!$A$3:$C$3</definedName>
    <definedName name="_xlnm._FilterDatabase" localSheetId="41" hidden="1">'TANF Client Demographics'!$A$4:$C$4</definedName>
    <definedName name="_xlnm._FilterDatabase" localSheetId="57" hidden="1">'TANF LASER'!$A$3:$C$124</definedName>
    <definedName name="_xlnm._FilterDatabase" localSheetId="17" hidden="1">'Teen births'!$A$4:$C$125</definedName>
    <definedName name="_xlnm._FilterDatabase" localSheetId="20" hidden="1">'Teen Births_5YR'!$A$4:$O$125</definedName>
    <definedName name="_xlnm._FilterDatabase" localSheetId="19" hidden="1">'Teen Births_Trend'!$A$4:$C$125</definedName>
    <definedName name="_xlnm._FilterDatabase" localSheetId="11" hidden="1">Unemployment!$A$4:$C$125</definedName>
    <definedName name="Admin_Costs_LASER">'Administration LASER'!$A$4:$K$131</definedName>
    <definedName name="ADOP_AVG">#REF!</definedName>
    <definedName name="Adoption_Child_Demo" comment="Source: OASIS, VCWOR. For federal fiscal year (October through September).">'Adopted Children'!$A$4:AA$124</definedName>
    <definedName name="adoption_race" comment="Number of Foster Children Adopted, by Race of Child, FFY 2012">#REF!</definedName>
    <definedName name="AdoptionServices" comment="As of February 1, 2015.">'Adoption Subsidies'!$A$4:$R$124</definedName>
    <definedName name="Agency_Level" comment="Agency Level (or Size), Board Type, and HR Policy/Practice Deviation">'Agency Level &amp; HR Policy'!$A$3:$I$123</definedName>
    <definedName name="AliceHHs">'ALICE Households'!$A$6:$AL$132</definedName>
    <definedName name="APS_Reports" comment="Number of unduplicated APS reports, SFY 2018. Source: DARS">'APS Reports'!$A$3:$O$125</definedName>
    <definedName name="AuxGrant" comment="Auxiliary Grant Recipients, SFY 2012">#REF!</definedName>
    <definedName name="BenefitClient_Demo" comment="Source: VaCMS, Client Cross Program Locality Yearly Analysis. Unique count of clients who received SNAP, TANF, and/or Medicaid, by gender, age group, and race/ethnicity, CY 2017.">'Benefit Client Demographics'!$A$5:$Q$125</definedName>
    <definedName name="BenefitClnts_Annual" comment="Source: Data Warehouse, &quot;Client Cross Program Yearly Analysis&quot; (20112-2016 data comes from ADAPT, 2017-2018 data from VaCMS). Refers to participating (&quot;F00&quot;, &quot;A00&quot;) or eligible clients from SNAP, TANF and/or Medicaid. For state fiscal year.">'Benefit Clients_Annual'!$A$5:$L$124</definedName>
    <definedName name="cc_apps_disp" comment="Source: VDSS, Data Warehouse, &quot;Application Program Monthly Status Analysis.&quot; Data source is VaCMS. ">'Child Care Application Disposed'!$A$4:$P$124</definedName>
    <definedName name="cc_apps_recvd" comment="Source: VDSS, Data Warehouse, &quot;Application Program Monthly Status Analysis.&quot; Data source is VaCMS. ">'Child Care Application Received'!$A$4:$P$124</definedName>
    <definedName name="CCClient_Demo" comment="Source: VaCMS, Data Warehouse, &quot;Client Cross Program Yearly Analysis&quot;. Unduplicated count of clients with &quot;eligible&quot; status for CY 2017.">'Child Care Client Demographics'!$A$5:$Q$125</definedName>
    <definedName name="Child_SingleParentHH" comment="Source: U.S. Census Bureau, ACS 2013-2017 (5-Year Estimate), Table B090002">'Children in Single Parent Homes'!$A$4:$N$124</definedName>
    <definedName name="ChildCareClients_Annual" comment="Source: VaCMS, &quot;Children and Family Counts - Expenditure by Budget Line&quot;. Refers to children and families served by state fiscal year.">'Child Care_Annual'!$A$3:$S$124</definedName>
    <definedName name="ChildCareFamilies" comment="Source: VaCMS. For 2014-2016, counts for state fiscal year are reported; for 2017, counts are for the calendar year.">'Child Care Cases - Annual'!$A$4:$G$124</definedName>
    <definedName name="ChildCareLASER">'ChildCare LASER'!$A$4:$K$131</definedName>
    <definedName name="Children_CPS_Referrals">'CPS Referrals'!$A$4:AA$124</definedName>
    <definedName name="Client_Svcs_LASER">'Client Services LASER'!$A$4:$K$131</definedName>
    <definedName name="CPSReferrals" comment="Number of children in CPS referrals by race and locality, SFY 2018.">'CPS Referrals'!$A$4:$AE$124</definedName>
    <definedName name="CSA_LASER">'CSA LASER'!$A$4:$I$131</definedName>
    <definedName name="EA_LASER">'Energy Assistance LASER'!$A$4:$I$131</definedName>
    <definedName name="EACases_Annual" comment="Energy Assistance Program Reports (from Data Warehouse, &quot;Case Counts Agency Summary Report&quot;). Reported by federal fiscal year for each program component (2013-2018).">'EA Cases - Annual'!$A$5:$AD$125</definedName>
    <definedName name="EAClients_FFY" comment="Unduplicated number of Energy Assistance clients served in each federal fiscal year.">#REF!</definedName>
    <definedName name="Employment" comment="Annual employment data for CY 2000 - 2017. Source: Virginia Employment Commission. Rates are not seasonally adjusted.">Unemployment!$A$5:$BK$131</definedName>
    <definedName name="FC_Adop_LASER">'FC &amp; Adoptions LASER'!$A$3:$J$131</definedName>
    <definedName name="FC_DEMO">'Children in Foster Care'!$A$5:$AG$125</definedName>
    <definedName name="FCMAP">'Children in Foster Care'!$A$6:$S$125</definedName>
    <definedName name="FIPS">'Locality Name'!$D$7:$E$128</definedName>
    <definedName name="FIPS_NUM">'Locality Name'!$C$8:$E$128</definedName>
    <definedName name="FIPSN">'Locality Name'!$C$9:$E$128</definedName>
    <definedName name="fs_caseload" comment="Source: VDSS, OASIS, &quot;Caseload&quot; Analysis (Data as of 8/1/2017). Includes CPS, CPS ongoing, early prevention, prevention &amp; support for families, foster care, adoption, post-adoption, and independent living cases.">#REF!</definedName>
    <definedName name="Insurance_5YR" comment="Source: U.S. Census Bureau, Small Area Health Insurance Estimates">'With Health Insurance'!$A$6:$S$132</definedName>
    <definedName name="IT_Support" comment="Level of IT Support">'IT Support'!$A$3:$D$123</definedName>
    <definedName name="Loc_Name">'Locality Name'!$D$9:$E$128</definedName>
    <definedName name="Locality">'Locality Name'!$D$9:$D$128</definedName>
    <definedName name="ma_apps_disp" comment="Source: VDSS, Data Warehouse, &quot;Application Program Monthly Status Analysis.&quot; Data source is VaCMS. ">'Medicaid Applications Disposed'!$A$4:$P$124</definedName>
    <definedName name="ma_apps_recvd" comment="Source: VDSS, Data Warehouse, &quot;Application Program Monthly Status Analysis.&quot; Data source is VaCMS. ">'Medicaid Applications Received'!$A$4:$P$124</definedName>
    <definedName name="MAClnts_Annual" comment="Source: Data Warehouse, Client Cross Program Yearly Analysis (2012-2016 data comes from ADAPT; 2017-2018 data from VaCMS). Refers to clients served in the state fiscal year.">'Medicaid Clients_Annual'!$A$4:$L$124</definedName>
    <definedName name="marriedcouples" comment="Percentage of households with couples with or without children who are married vs. cohabiting. Source: U.S. Census Bureau, 2010 Census, Summary File 1. Excludes same-sex couples.">#REF!</definedName>
    <definedName name="MarriedParentHouseholds" comment="Percentage of Couples who are Married vs. Cohabitating. Source: US Census Bureau, 2010 Census, Summary File 1. Excludes same-sex couple households.">#REF!</definedName>
    <definedName name="Medicaid_FAMIS_LASER">'Medicaid &amp; FAMIS - LASER'!$A$4:$O$131</definedName>
    <definedName name="MedicaidCases_Annual" comment="Source: MMIS (2010-2016 per state fiscal year); VaCMS (2017 - calendar year only). Unduplicated counts within locality and statewide. Statewide totals include enrollees from state mental hospitals. ">'Medicaid Cases- Annual'!$A$4:$N$124</definedName>
    <definedName name="MedicaidClient_Demo" comment="Source: VaCMS, Data Warehouse, &quot;Client Cross Program Yearly Analysis&quot;. Unduplicated count of clients with &quot;eligible&quot; status for CY 2017.">'MA Client Demographics'!$A$5:$Q$125</definedName>
    <definedName name="MedicaidClients" comment="Number of Medicaid Clients by State Fiscal Year. Unique counts are reported. Source: Data Warehouse Client Cross-Program Locality Yearly Analysis.">#REF!</definedName>
    <definedName name="NMBirths_5YR">'Non-Marital Births_5YR'!$A$4:$O$132</definedName>
    <definedName name="NMBirths_Trend" comment="Percentage of live births that are non-marital, 1998-2015. Source: VDH, Center for Health Statistics.">'NM Births_Trend'!$A$5:$Y$131</definedName>
    <definedName name="NonMaritalBirths" comment="Non-marital births and percentage rate, 2016. Source: Virginia Department of Health, Vital Records data.">'Non-marital births'!$A$6:$O$132</definedName>
    <definedName name="OT_BENE_LASER">'Other Benefits LASER'!$A$3:$J$131</definedName>
    <definedName name="OT_EXP_LASER_2013">'Other Oper Exp. LASER'!$A$4:$K$131</definedName>
    <definedName name="Other_Oper_Exp_LASER">'Other Oper Exp. LASER'!$A$4:$K$131</definedName>
    <definedName name="Pop_Estimates" comment="Source: U.S. Census Bureau, Population Division. Estimates formated by the UVA Weldon Cooper Center, Demographics Research Group.">'2019 Population'!$A$3:$AG$131</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ages'!$A$4:$AR$130</definedName>
    <definedName name="Poverty_Child" comment="Poverty rate (%) among children (0-17 years). Source: U.S. Census Bureau.">Poverty_Child!$A$5:$AR$132</definedName>
    <definedName name="_xlnm.Print_Area" localSheetId="45">'Children in Foster Care'!$A$6:$S$130</definedName>
    <definedName name="_xlnm.Print_Area" localSheetId="63">'Locality Name'!$B$9:$E$132</definedName>
    <definedName name="_xlnm.Print_Area" localSheetId="0">Profile!$A$1:$N$304</definedName>
    <definedName name="_xlnm.Print_Area" localSheetId="1">'Spending By Region'!$A$1:$H$45</definedName>
    <definedName name="_xlnm.Print_Area" localSheetId="11">Unemployment!$A$6:$AJ$133</definedName>
    <definedName name="_xlnm.Print_Titles" localSheetId="45">'Children in Foster Care'!$1:$5</definedName>
    <definedName name="_xlnm.Print_Titles" localSheetId="0">Profile!$1:$4</definedName>
    <definedName name="_xlnm.Print_Titles" localSheetId="11">Unemployment!$4:$5</definedName>
    <definedName name="Region">'Region Name'!$A$1:$A$6</definedName>
    <definedName name="SingleParentHomes">#REF!</definedName>
    <definedName name="snap_apps_disp" comment="Source: VDSS, Data Warehouse, &quot;Application Program Monthly Status Analysis.&quot; Data source is VaCMS. ">'SNAP Applications Disposed'!$A$4:$P$124</definedName>
    <definedName name="snap_apps_recvd" comment="Source: VDSS, Data Warehouse, &quot;Application Program Monthly Status Analysis.&quot; Data source is VaCMS. ">'SNAP Applications Received'!$A$4:$P$124</definedName>
    <definedName name="SNAP_LASER">'SNAP LASER'!$A$4:$E$131</definedName>
    <definedName name="SNAP_RACE">'Locality Name'!$B$9:$E$129</definedName>
    <definedName name="SNAPCases_Annual" comment="Source: ADAPT (2010-2016, per state fiscal year); VaCMS (2017 - calendar year only). Unduplicated counts within locality and statewide.">'SNAP Cases - Annual'!$A$4:$N$124</definedName>
    <definedName name="SNAPClient_Demo" comment="Source: VaCMS, Data Warehouse, &quot;Client Cross Program Yearly Analysis&quot;. Unduplicated count of clients with &quot;eligible&quot; status for CY 2017.">'SNAP Client Demographics'!$A$5:$Q$125</definedName>
    <definedName name="SNAPClients">#REF!</definedName>
    <definedName name="SNAPClnts_Annual" comment="Source: Data Warehouse, &quot;Client Cross Program Yearly Analysis&quot; (2012-2016 comes from ADAPT; 2017-2018 comes from VaCMS). By state fiscal year. Only participating or eligible SNAP clients are counted.">'SNAP Clients_Annual'!$A$3:$L$124</definedName>
    <definedName name="Staffing" comment="Number of filled and unfilled positions. Source: Human Resources, Local Employment Tracking System (LETS). Data as of 9/30/2018 (report run on 10/1/2018).">Staffing!$A$6:$AJ$126</definedName>
    <definedName name="tanf_apps_disp" comment="Source: VDSS, Data Warehouse, &quot;Application Program Monthly Status Analysis.&quot; Data source is VaCMS. ">'TANF Applications Disposed'!$A$4:$P$124</definedName>
    <definedName name="tanf_apps_recvd" comment="Source: VDSS, Data Warehouse, &quot;Application Program Monthly Status Analysis.&quot; Data source is VaCMS. ">'TANF Applications Received'!$A$4:$P$124</definedName>
    <definedName name="TANF_LASER">'TANF LASER'!$A$4:$I$131</definedName>
    <definedName name="TANFCases_Annual" comment="Source: ADAPT (2010-2016 per state fiscal year); VaCMS (2017 - calendar year only). Unduplicated counts within locality and statewide.">'TANF Cases - Annual'!$A$4:$N$124</definedName>
    <definedName name="TANFClient_Demo" comment="Source: VaCMS, Data Warehouse, &quot;Client Cross Program Yearly Analysis&quot;. Unduplicated count of clients with &quot;eligible&quot; status for CY 2017.">'TANF Client Demographics'!$A$5:$Q$125</definedName>
    <definedName name="TANFClients" comment="TANF Client Caseload by SFY, 2005-2015. Source: ADAPT SFY Client Summary Analysis; Client Cross-Program Yearly Locality Count Analysis for 2009-2015.">#REF!</definedName>
    <definedName name="TANFClnts_Annual" comment="Source: Data Warehouse, &quot;Client Cross Program Yearly Analysis&quot; (2012-2016 data comes from ADAPT; 2017-2018 data from VaCMS). Refers to participating or eligible clients served in the state fiscal year.">'TANF Clients_Annual'!$A$3:$L$124</definedName>
    <definedName name="TeenBirth_5YR">'Teen Births_5YR'!$A$4:$O$131</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Births_Trend'!$A$5:$Y$131</definedName>
    <definedName name="uninsured">'Uninsured by Income'!$A$4:$O$126</definedName>
    <definedName name="uninsured_annual">'Uninsured by Year'!$A$4:$AA$126</definedName>
    <definedName name="YTD_EMP">Unemployment!#REF!</definedName>
  </definedNames>
  <calcPr calcId="162913"/>
</workbook>
</file>

<file path=xl/calcChain.xml><?xml version="1.0" encoding="utf-8"?>
<calcChain xmlns="http://schemas.openxmlformats.org/spreadsheetml/2006/main">
  <c r="BG133" i="24" l="1"/>
  <c r="BF133" i="24"/>
  <c r="BM133" i="24"/>
  <c r="BL133" i="24"/>
  <c r="BN131" i="24"/>
  <c r="BN130" i="24"/>
  <c r="BN129" i="24"/>
  <c r="BN128" i="24"/>
  <c r="BN127" i="24"/>
  <c r="BN125" i="24"/>
  <c r="BN124" i="24"/>
  <c r="BN123" i="24"/>
  <c r="BN122" i="24"/>
  <c r="BN121" i="24"/>
  <c r="BN120" i="24"/>
  <c r="BN119" i="24"/>
  <c r="BN118" i="24"/>
  <c r="BN117" i="24"/>
  <c r="BN116" i="24"/>
  <c r="BN115" i="24"/>
  <c r="BN114" i="24"/>
  <c r="BN113" i="24"/>
  <c r="BN112" i="24"/>
  <c r="BN111" i="24"/>
  <c r="BN110" i="24"/>
  <c r="BN109" i="24"/>
  <c r="BN108" i="24"/>
  <c r="BN107" i="24"/>
  <c r="BN106" i="24"/>
  <c r="BN105" i="24"/>
  <c r="BN104" i="24"/>
  <c r="BN103" i="24"/>
  <c r="BN102" i="24"/>
  <c r="BN101" i="24"/>
  <c r="BN100" i="24"/>
  <c r="BN99" i="24"/>
  <c r="BN98" i="24"/>
  <c r="BN97" i="24"/>
  <c r="BN96" i="24"/>
  <c r="BN95" i="24"/>
  <c r="BN94" i="24"/>
  <c r="BN93" i="24"/>
  <c r="BN92" i="24"/>
  <c r="BN91" i="24"/>
  <c r="BN90" i="24"/>
  <c r="BN89" i="24"/>
  <c r="BN88" i="24"/>
  <c r="BN87" i="24"/>
  <c r="BN86" i="24"/>
  <c r="BN85" i="24"/>
  <c r="BN84" i="24"/>
  <c r="BN83" i="24"/>
  <c r="BN82" i="24"/>
  <c r="BN81" i="24"/>
  <c r="BN80" i="24"/>
  <c r="BN79" i="24"/>
  <c r="BN78" i="24"/>
  <c r="BN77" i="24"/>
  <c r="BN76" i="24"/>
  <c r="BN75" i="24"/>
  <c r="BN74" i="24"/>
  <c r="BN73" i="24"/>
  <c r="BN72" i="24"/>
  <c r="BN71" i="24"/>
  <c r="BN70" i="24"/>
  <c r="BN69" i="24"/>
  <c r="BN68" i="24"/>
  <c r="BN67" i="24"/>
  <c r="BN66" i="24"/>
  <c r="BN65" i="24"/>
  <c r="BN64" i="24"/>
  <c r="BN63" i="24"/>
  <c r="BN62" i="24"/>
  <c r="BN61" i="24"/>
  <c r="BN60" i="24"/>
  <c r="BN59" i="24"/>
  <c r="BN58" i="24"/>
  <c r="BN57" i="24"/>
  <c r="BN56" i="24"/>
  <c r="BN55" i="24"/>
  <c r="BN54" i="24"/>
  <c r="BN53" i="24"/>
  <c r="BN52" i="24"/>
  <c r="BN51" i="24"/>
  <c r="BN50" i="24"/>
  <c r="BN49" i="24"/>
  <c r="BN48" i="24"/>
  <c r="BN47" i="24"/>
  <c r="BN46" i="24"/>
  <c r="BN45" i="24"/>
  <c r="BN44" i="24"/>
  <c r="BN43" i="24"/>
  <c r="BN42" i="24"/>
  <c r="BN41" i="24"/>
  <c r="BN40" i="24"/>
  <c r="BN39" i="24"/>
  <c r="BN38" i="24"/>
  <c r="BN37" i="24"/>
  <c r="BN36" i="24"/>
  <c r="BN35" i="24"/>
  <c r="BN34" i="24"/>
  <c r="BN33" i="24"/>
  <c r="BN32" i="24"/>
  <c r="BN31" i="24"/>
  <c r="BN30" i="24"/>
  <c r="BN29" i="24"/>
  <c r="BN28" i="24"/>
  <c r="BN27" i="24"/>
  <c r="BN26" i="24"/>
  <c r="BN25" i="24"/>
  <c r="BN24" i="24"/>
  <c r="BN23" i="24"/>
  <c r="BN22" i="24"/>
  <c r="BN21" i="24"/>
  <c r="BN20" i="24"/>
  <c r="BN19" i="24"/>
  <c r="BN18" i="24"/>
  <c r="BN17" i="24"/>
  <c r="BN16" i="24"/>
  <c r="BN15" i="24"/>
  <c r="BN14" i="24"/>
  <c r="BN13" i="24"/>
  <c r="BN12" i="24"/>
  <c r="BN11" i="24"/>
  <c r="BN10" i="24"/>
  <c r="BN9" i="24"/>
  <c r="BN8" i="24"/>
  <c r="BN7" i="24"/>
  <c r="BN6" i="24"/>
  <c r="BN5" i="24"/>
  <c r="BJ133" i="24" l="1"/>
  <c r="BI133" i="24"/>
  <c r="E49" i="108" l="1"/>
  <c r="F57" i="108"/>
  <c r="F56" i="108"/>
  <c r="F55" i="108"/>
  <c r="F54" i="108"/>
  <c r="F53" i="108"/>
  <c r="F52" i="108"/>
  <c r="F51" i="108"/>
  <c r="F50" i="108"/>
  <c r="AA7" i="144"/>
  <c r="AA8" i="144"/>
  <c r="AA9" i="144"/>
  <c r="AA10" i="144"/>
  <c r="AA11" i="144"/>
  <c r="AA12" i="144"/>
  <c r="AA13" i="144"/>
  <c r="AA14" i="144"/>
  <c r="AA15" i="144"/>
  <c r="AA16" i="144"/>
  <c r="AA17" i="144"/>
  <c r="AA18" i="144"/>
  <c r="AA19" i="144"/>
  <c r="AA20" i="144"/>
  <c r="AA21" i="144"/>
  <c r="AA22" i="144"/>
  <c r="AA23" i="144"/>
  <c r="AA24" i="144"/>
  <c r="AA25" i="144"/>
  <c r="AA26" i="144"/>
  <c r="AA27" i="144"/>
  <c r="AA28" i="144"/>
  <c r="AA29" i="144"/>
  <c r="AA30" i="144"/>
  <c r="AA31" i="144"/>
  <c r="AA32" i="144"/>
  <c r="AA33" i="144"/>
  <c r="AA34" i="144"/>
  <c r="AA35" i="144"/>
  <c r="AA36" i="144"/>
  <c r="AA37" i="144"/>
  <c r="AA38" i="144"/>
  <c r="AA39" i="144"/>
  <c r="AA40" i="144"/>
  <c r="AA41" i="144"/>
  <c r="AA42" i="144"/>
  <c r="AA43" i="144"/>
  <c r="AA44" i="144"/>
  <c r="AA45" i="144"/>
  <c r="AA46" i="144"/>
  <c r="AA47" i="144"/>
  <c r="AA48" i="144"/>
  <c r="AA49" i="144"/>
  <c r="AA50" i="144"/>
  <c r="AA51" i="144"/>
  <c r="AA52" i="144"/>
  <c r="AA53" i="144"/>
  <c r="AA54" i="144"/>
  <c r="AA55" i="144"/>
  <c r="AA56" i="144"/>
  <c r="AA57" i="144"/>
  <c r="AA58" i="144"/>
  <c r="AA59" i="144"/>
  <c r="AA60" i="144"/>
  <c r="AA61" i="144"/>
  <c r="AA62" i="144"/>
  <c r="AA63" i="144"/>
  <c r="AA64" i="144"/>
  <c r="AA65" i="144"/>
  <c r="AA66" i="144"/>
  <c r="AA67" i="144"/>
  <c r="AA68" i="144"/>
  <c r="AA69" i="144"/>
  <c r="AA70" i="144"/>
  <c r="AA71" i="144"/>
  <c r="AA72" i="144"/>
  <c r="AA73" i="144"/>
  <c r="AA74" i="144"/>
  <c r="AA75" i="144"/>
  <c r="AA76" i="144"/>
  <c r="AA77" i="144"/>
  <c r="AA78" i="144"/>
  <c r="AA79" i="144"/>
  <c r="AA80" i="144"/>
  <c r="AA81" i="144"/>
  <c r="AA82" i="144"/>
  <c r="AA83" i="144"/>
  <c r="AA84" i="144"/>
  <c r="AA85" i="144"/>
  <c r="AA86" i="144"/>
  <c r="AA87" i="144"/>
  <c r="AA88" i="144"/>
  <c r="AA89" i="144"/>
  <c r="AA90" i="144"/>
  <c r="AA91" i="144"/>
  <c r="AA92" i="144"/>
  <c r="AA93" i="144"/>
  <c r="AA94" i="144"/>
  <c r="AA95" i="144"/>
  <c r="AA96" i="144"/>
  <c r="AA97" i="144"/>
  <c r="AA98" i="144"/>
  <c r="AA99" i="144"/>
  <c r="AA100" i="144"/>
  <c r="AA101" i="144"/>
  <c r="AA102" i="144"/>
  <c r="AA103" i="144"/>
  <c r="AA104" i="144"/>
  <c r="AA105" i="144"/>
  <c r="AA106" i="144"/>
  <c r="AA107" i="144"/>
  <c r="AA108" i="144"/>
  <c r="AA109" i="144"/>
  <c r="AA110" i="144"/>
  <c r="AA111" i="144"/>
  <c r="AA112" i="144"/>
  <c r="AA113" i="144"/>
  <c r="AA114" i="144"/>
  <c r="AA115" i="144"/>
  <c r="AA116" i="144"/>
  <c r="AA117" i="144"/>
  <c r="AA118" i="144"/>
  <c r="AA119" i="144"/>
  <c r="AA120" i="144"/>
  <c r="AA121" i="144"/>
  <c r="AA122" i="144"/>
  <c r="AA123" i="144"/>
  <c r="AA124" i="144"/>
  <c r="AA125" i="144"/>
  <c r="AA126" i="144"/>
  <c r="AA6" i="144"/>
  <c r="X7" i="144"/>
  <c r="X8" i="144"/>
  <c r="X9" i="144"/>
  <c r="X10" i="144"/>
  <c r="X11" i="144"/>
  <c r="X12" i="144"/>
  <c r="X13" i="144"/>
  <c r="X14" i="144"/>
  <c r="X15" i="144"/>
  <c r="X16" i="144"/>
  <c r="X17" i="144"/>
  <c r="X18" i="144"/>
  <c r="X19" i="144"/>
  <c r="X20" i="144"/>
  <c r="X21" i="144"/>
  <c r="X22" i="144"/>
  <c r="X23" i="144"/>
  <c r="X24" i="144"/>
  <c r="X25" i="144"/>
  <c r="X26" i="144"/>
  <c r="X27" i="144"/>
  <c r="X28" i="144"/>
  <c r="X29" i="144"/>
  <c r="X30" i="144"/>
  <c r="X31" i="144"/>
  <c r="X32" i="144"/>
  <c r="X33" i="144"/>
  <c r="X34" i="144"/>
  <c r="X35" i="144"/>
  <c r="X36" i="144"/>
  <c r="X37" i="144"/>
  <c r="X38" i="144"/>
  <c r="X39" i="144"/>
  <c r="X40" i="144"/>
  <c r="X41" i="144"/>
  <c r="X42" i="144"/>
  <c r="X43" i="144"/>
  <c r="X44" i="144"/>
  <c r="X45" i="144"/>
  <c r="X46" i="144"/>
  <c r="X47" i="144"/>
  <c r="X48" i="144"/>
  <c r="X49" i="144"/>
  <c r="X50" i="144"/>
  <c r="X51" i="144"/>
  <c r="X52" i="144"/>
  <c r="X53" i="144"/>
  <c r="X54" i="144"/>
  <c r="X55" i="144"/>
  <c r="X56" i="144"/>
  <c r="X57" i="144"/>
  <c r="X58" i="144"/>
  <c r="X59" i="144"/>
  <c r="X60" i="144"/>
  <c r="X61" i="144"/>
  <c r="X62" i="144"/>
  <c r="X63" i="144"/>
  <c r="X64" i="144"/>
  <c r="X65" i="144"/>
  <c r="X66" i="144"/>
  <c r="X67" i="144"/>
  <c r="X68" i="144"/>
  <c r="X69" i="144"/>
  <c r="X70" i="144"/>
  <c r="X71" i="144"/>
  <c r="X72" i="144"/>
  <c r="X73" i="144"/>
  <c r="X74" i="144"/>
  <c r="X75" i="144"/>
  <c r="X76" i="144"/>
  <c r="X77" i="144"/>
  <c r="X78" i="144"/>
  <c r="X79" i="144"/>
  <c r="X80" i="144"/>
  <c r="X81" i="144"/>
  <c r="X82" i="144"/>
  <c r="X83" i="144"/>
  <c r="X84" i="144"/>
  <c r="X85" i="144"/>
  <c r="X86" i="144"/>
  <c r="X87" i="144"/>
  <c r="X88" i="144"/>
  <c r="X89" i="144"/>
  <c r="X90" i="144"/>
  <c r="X91" i="144"/>
  <c r="X92" i="144"/>
  <c r="X93" i="144"/>
  <c r="X94" i="144"/>
  <c r="X95" i="144"/>
  <c r="X96" i="144"/>
  <c r="X97" i="144"/>
  <c r="X98" i="144"/>
  <c r="X99" i="144"/>
  <c r="X100" i="144"/>
  <c r="X101" i="144"/>
  <c r="X102" i="144"/>
  <c r="X103" i="144"/>
  <c r="X104" i="144"/>
  <c r="X105" i="144"/>
  <c r="X106" i="144"/>
  <c r="X107" i="144"/>
  <c r="X108" i="144"/>
  <c r="X109" i="144"/>
  <c r="X110" i="144"/>
  <c r="X111" i="144"/>
  <c r="X112" i="144"/>
  <c r="X113" i="144"/>
  <c r="X114" i="144"/>
  <c r="X115" i="144"/>
  <c r="X116" i="144"/>
  <c r="X117" i="144"/>
  <c r="X118" i="144"/>
  <c r="X119" i="144"/>
  <c r="X120" i="144"/>
  <c r="X121" i="144"/>
  <c r="X122" i="144"/>
  <c r="X123" i="144"/>
  <c r="X124" i="144"/>
  <c r="X125" i="144"/>
  <c r="X126" i="144"/>
  <c r="X6" i="144"/>
  <c r="U7" i="144"/>
  <c r="U8" i="144"/>
  <c r="U9" i="144"/>
  <c r="U10" i="144"/>
  <c r="U11" i="144"/>
  <c r="U12" i="144"/>
  <c r="U13" i="144"/>
  <c r="U14" i="144"/>
  <c r="U15" i="144"/>
  <c r="U16" i="144"/>
  <c r="U17" i="144"/>
  <c r="U18" i="144"/>
  <c r="U19" i="144"/>
  <c r="U20" i="144"/>
  <c r="U21" i="144"/>
  <c r="U22" i="144"/>
  <c r="U23" i="144"/>
  <c r="U24" i="144"/>
  <c r="U25" i="144"/>
  <c r="U26" i="144"/>
  <c r="U27" i="144"/>
  <c r="U28" i="144"/>
  <c r="U29" i="144"/>
  <c r="U30" i="144"/>
  <c r="U31" i="144"/>
  <c r="U32" i="144"/>
  <c r="U33" i="144"/>
  <c r="U34" i="144"/>
  <c r="U35" i="144"/>
  <c r="U36" i="144"/>
  <c r="U37" i="144"/>
  <c r="U38" i="144"/>
  <c r="U39" i="144"/>
  <c r="U40" i="144"/>
  <c r="U41" i="144"/>
  <c r="U42" i="144"/>
  <c r="U43" i="144"/>
  <c r="U44" i="144"/>
  <c r="U45" i="144"/>
  <c r="U46" i="144"/>
  <c r="U47" i="144"/>
  <c r="U48" i="144"/>
  <c r="U49" i="144"/>
  <c r="U50" i="144"/>
  <c r="U51" i="144"/>
  <c r="U52" i="144"/>
  <c r="U53" i="144"/>
  <c r="U54" i="144"/>
  <c r="U55" i="144"/>
  <c r="U56" i="144"/>
  <c r="U57" i="144"/>
  <c r="U58" i="144"/>
  <c r="U59" i="144"/>
  <c r="U60" i="144"/>
  <c r="U61" i="144"/>
  <c r="U62" i="144"/>
  <c r="U63" i="144"/>
  <c r="U64" i="144"/>
  <c r="U65" i="144"/>
  <c r="U66" i="144"/>
  <c r="U67" i="144"/>
  <c r="U68" i="144"/>
  <c r="U69" i="144"/>
  <c r="U70" i="144"/>
  <c r="U71" i="144"/>
  <c r="U72" i="144"/>
  <c r="U73" i="144"/>
  <c r="U74" i="144"/>
  <c r="U75" i="144"/>
  <c r="U76" i="144"/>
  <c r="U77" i="144"/>
  <c r="U78" i="144"/>
  <c r="U79" i="144"/>
  <c r="U80" i="144"/>
  <c r="U81" i="144"/>
  <c r="U82" i="144"/>
  <c r="U83" i="144"/>
  <c r="U84" i="144"/>
  <c r="U85" i="144"/>
  <c r="U86" i="144"/>
  <c r="U87" i="144"/>
  <c r="U88" i="144"/>
  <c r="U89" i="144"/>
  <c r="U90" i="144"/>
  <c r="U91" i="144"/>
  <c r="U92" i="144"/>
  <c r="U93" i="144"/>
  <c r="U94" i="144"/>
  <c r="U95" i="144"/>
  <c r="U96" i="144"/>
  <c r="U97" i="144"/>
  <c r="U98" i="144"/>
  <c r="U99" i="144"/>
  <c r="U100" i="144"/>
  <c r="U101" i="144"/>
  <c r="U102" i="144"/>
  <c r="U103" i="144"/>
  <c r="U104" i="144"/>
  <c r="U105" i="144"/>
  <c r="U106" i="144"/>
  <c r="U107" i="144"/>
  <c r="U108" i="144"/>
  <c r="U109" i="144"/>
  <c r="U110" i="144"/>
  <c r="U111" i="144"/>
  <c r="U112" i="144"/>
  <c r="U113" i="144"/>
  <c r="U114" i="144"/>
  <c r="U115" i="144"/>
  <c r="U116" i="144"/>
  <c r="U117" i="144"/>
  <c r="U118" i="144"/>
  <c r="U119" i="144"/>
  <c r="U120" i="144"/>
  <c r="U121" i="144"/>
  <c r="U122" i="144"/>
  <c r="U123" i="144"/>
  <c r="U124" i="144"/>
  <c r="U125" i="144"/>
  <c r="U126" i="144"/>
  <c r="U6" i="144"/>
  <c r="R7" i="144"/>
  <c r="R8" i="144"/>
  <c r="R9" i="144"/>
  <c r="R10" i="144"/>
  <c r="R11" i="144"/>
  <c r="R12" i="144"/>
  <c r="R13" i="144"/>
  <c r="R14" i="144"/>
  <c r="R15" i="144"/>
  <c r="R16" i="144"/>
  <c r="R17" i="144"/>
  <c r="R18" i="144"/>
  <c r="R19" i="144"/>
  <c r="R20" i="144"/>
  <c r="R21" i="144"/>
  <c r="R22" i="144"/>
  <c r="R23" i="144"/>
  <c r="R24" i="144"/>
  <c r="R25" i="144"/>
  <c r="R26" i="144"/>
  <c r="R27" i="144"/>
  <c r="R28" i="144"/>
  <c r="R29" i="144"/>
  <c r="R30" i="144"/>
  <c r="R31" i="144"/>
  <c r="R32" i="144"/>
  <c r="R33" i="144"/>
  <c r="R34" i="144"/>
  <c r="R35" i="144"/>
  <c r="R36" i="144"/>
  <c r="R37" i="144"/>
  <c r="R38" i="144"/>
  <c r="R39" i="144"/>
  <c r="R40" i="144"/>
  <c r="R41" i="144"/>
  <c r="R42" i="144"/>
  <c r="R43" i="144"/>
  <c r="R44" i="144"/>
  <c r="R45" i="144"/>
  <c r="R46" i="144"/>
  <c r="R47" i="144"/>
  <c r="R48" i="144"/>
  <c r="R49" i="144"/>
  <c r="R50" i="144"/>
  <c r="R51" i="144"/>
  <c r="R52" i="144"/>
  <c r="R53" i="144"/>
  <c r="R54" i="144"/>
  <c r="R55" i="144"/>
  <c r="R56" i="144"/>
  <c r="R57" i="144"/>
  <c r="R58" i="144"/>
  <c r="R59" i="144"/>
  <c r="R60" i="144"/>
  <c r="R61" i="144"/>
  <c r="R62" i="144"/>
  <c r="R63" i="144"/>
  <c r="R64" i="144"/>
  <c r="R65" i="144"/>
  <c r="R66" i="144"/>
  <c r="R67" i="144"/>
  <c r="R68" i="144"/>
  <c r="R69" i="144"/>
  <c r="R70" i="144"/>
  <c r="R71" i="144"/>
  <c r="R72" i="144"/>
  <c r="R73" i="144"/>
  <c r="R74" i="144"/>
  <c r="R75" i="144"/>
  <c r="R76" i="144"/>
  <c r="R77" i="144"/>
  <c r="R78" i="144"/>
  <c r="R79" i="144"/>
  <c r="R80" i="144"/>
  <c r="R81" i="144"/>
  <c r="R82" i="144"/>
  <c r="R83" i="144"/>
  <c r="R84" i="144"/>
  <c r="R85" i="144"/>
  <c r="R86" i="144"/>
  <c r="R87" i="144"/>
  <c r="R88" i="144"/>
  <c r="R89" i="144"/>
  <c r="R90" i="144"/>
  <c r="R91" i="144"/>
  <c r="R92" i="144"/>
  <c r="R93" i="144"/>
  <c r="R94" i="144"/>
  <c r="R95" i="144"/>
  <c r="R96" i="144"/>
  <c r="R97" i="144"/>
  <c r="R98" i="144"/>
  <c r="R99" i="144"/>
  <c r="R100" i="144"/>
  <c r="R101" i="144"/>
  <c r="R102" i="144"/>
  <c r="R103" i="144"/>
  <c r="R104" i="144"/>
  <c r="R105" i="144"/>
  <c r="R106" i="144"/>
  <c r="R107" i="144"/>
  <c r="R108" i="144"/>
  <c r="R109" i="144"/>
  <c r="R110" i="144"/>
  <c r="R111" i="144"/>
  <c r="R112" i="144"/>
  <c r="R113" i="144"/>
  <c r="R114" i="144"/>
  <c r="R115" i="144"/>
  <c r="R116" i="144"/>
  <c r="R117" i="144"/>
  <c r="R118" i="144"/>
  <c r="R119" i="144"/>
  <c r="R120" i="144"/>
  <c r="R121" i="144"/>
  <c r="R122" i="144"/>
  <c r="R123" i="144"/>
  <c r="R124" i="144"/>
  <c r="R125" i="144"/>
  <c r="R126" i="144"/>
  <c r="R6" i="144"/>
  <c r="O7" i="144"/>
  <c r="O8" i="144"/>
  <c r="O9" i="144"/>
  <c r="O10" i="144"/>
  <c r="O11" i="144"/>
  <c r="O12" i="144"/>
  <c r="O13" i="144"/>
  <c r="O14" i="144"/>
  <c r="O15" i="144"/>
  <c r="O16" i="144"/>
  <c r="O17" i="144"/>
  <c r="O18" i="144"/>
  <c r="O19" i="144"/>
  <c r="O20" i="144"/>
  <c r="O21" i="144"/>
  <c r="O22" i="144"/>
  <c r="O23" i="144"/>
  <c r="O24" i="144"/>
  <c r="O25" i="144"/>
  <c r="O26" i="144"/>
  <c r="O27" i="144"/>
  <c r="O28" i="144"/>
  <c r="O29" i="144"/>
  <c r="O30" i="144"/>
  <c r="O31" i="144"/>
  <c r="O32" i="144"/>
  <c r="O33" i="144"/>
  <c r="O34" i="144"/>
  <c r="O35" i="144"/>
  <c r="O36" i="144"/>
  <c r="O37" i="144"/>
  <c r="O38" i="144"/>
  <c r="O39" i="144"/>
  <c r="O40" i="144"/>
  <c r="O41" i="144"/>
  <c r="O42" i="144"/>
  <c r="O43" i="144"/>
  <c r="O44" i="144"/>
  <c r="O45" i="144"/>
  <c r="O46" i="144"/>
  <c r="O47" i="144"/>
  <c r="O48" i="144"/>
  <c r="O49" i="144"/>
  <c r="O50" i="144"/>
  <c r="O51" i="144"/>
  <c r="O52" i="144"/>
  <c r="O53" i="144"/>
  <c r="O54" i="144"/>
  <c r="O55" i="144"/>
  <c r="O56" i="144"/>
  <c r="O57" i="144"/>
  <c r="O58" i="144"/>
  <c r="O59" i="144"/>
  <c r="O60" i="144"/>
  <c r="O61" i="144"/>
  <c r="O62" i="144"/>
  <c r="O63" i="144"/>
  <c r="O64" i="144"/>
  <c r="O65" i="144"/>
  <c r="O66" i="144"/>
  <c r="O67" i="144"/>
  <c r="O68" i="144"/>
  <c r="O69" i="144"/>
  <c r="O70" i="144"/>
  <c r="O71" i="144"/>
  <c r="O72" i="144"/>
  <c r="O73" i="144"/>
  <c r="O74" i="144"/>
  <c r="O75" i="144"/>
  <c r="O76" i="144"/>
  <c r="O77" i="144"/>
  <c r="O78" i="144"/>
  <c r="O79" i="144"/>
  <c r="O80" i="144"/>
  <c r="O81" i="144"/>
  <c r="O82" i="144"/>
  <c r="O83" i="144"/>
  <c r="O84" i="144"/>
  <c r="O85" i="144"/>
  <c r="O86" i="144"/>
  <c r="O87" i="144"/>
  <c r="O88" i="144"/>
  <c r="O89" i="144"/>
  <c r="O90" i="144"/>
  <c r="O91" i="144"/>
  <c r="O92" i="144"/>
  <c r="O93" i="144"/>
  <c r="O94" i="144"/>
  <c r="O95" i="144"/>
  <c r="O96" i="144"/>
  <c r="O97" i="144"/>
  <c r="O98" i="144"/>
  <c r="O99" i="144"/>
  <c r="O100" i="144"/>
  <c r="O101" i="144"/>
  <c r="O102" i="144"/>
  <c r="O103" i="144"/>
  <c r="O104" i="144"/>
  <c r="O105" i="144"/>
  <c r="O106" i="144"/>
  <c r="O107" i="144"/>
  <c r="O108" i="144"/>
  <c r="O109" i="144"/>
  <c r="O110" i="144"/>
  <c r="O111" i="144"/>
  <c r="O112" i="144"/>
  <c r="O113" i="144"/>
  <c r="O114" i="144"/>
  <c r="O115" i="144"/>
  <c r="O116" i="144"/>
  <c r="O117" i="144"/>
  <c r="O118" i="144"/>
  <c r="O119" i="144"/>
  <c r="O120" i="144"/>
  <c r="O121" i="144"/>
  <c r="O122" i="144"/>
  <c r="O123" i="144"/>
  <c r="O124" i="144"/>
  <c r="O125" i="144"/>
  <c r="O126" i="144"/>
  <c r="O6" i="144"/>
  <c r="L7" i="144"/>
  <c r="L8" i="144"/>
  <c r="L9" i="144"/>
  <c r="L10" i="144"/>
  <c r="L11" i="144"/>
  <c r="L12" i="144"/>
  <c r="L13" i="144"/>
  <c r="L14" i="144"/>
  <c r="L15" i="144"/>
  <c r="L16" i="144"/>
  <c r="L17" i="144"/>
  <c r="L18" i="144"/>
  <c r="L19" i="144"/>
  <c r="L20" i="144"/>
  <c r="L21" i="144"/>
  <c r="L22" i="144"/>
  <c r="L23" i="144"/>
  <c r="L24" i="144"/>
  <c r="L25" i="144"/>
  <c r="L26" i="144"/>
  <c r="L27" i="144"/>
  <c r="L28" i="144"/>
  <c r="L29" i="144"/>
  <c r="L30" i="144"/>
  <c r="L31" i="144"/>
  <c r="L32" i="144"/>
  <c r="L33" i="144"/>
  <c r="L34" i="144"/>
  <c r="L35" i="144"/>
  <c r="L36" i="144"/>
  <c r="L37" i="144"/>
  <c r="L38" i="144"/>
  <c r="L39" i="144"/>
  <c r="L40" i="144"/>
  <c r="L41" i="144"/>
  <c r="L42" i="144"/>
  <c r="L43" i="144"/>
  <c r="L44" i="144"/>
  <c r="L45" i="144"/>
  <c r="L46" i="144"/>
  <c r="L47" i="144"/>
  <c r="L48" i="144"/>
  <c r="L49" i="144"/>
  <c r="L50" i="144"/>
  <c r="L51" i="144"/>
  <c r="L52" i="144"/>
  <c r="L53" i="144"/>
  <c r="L54" i="144"/>
  <c r="L55" i="144"/>
  <c r="L56" i="144"/>
  <c r="L57" i="144"/>
  <c r="L58" i="144"/>
  <c r="L59" i="144"/>
  <c r="L60" i="144"/>
  <c r="L61" i="144"/>
  <c r="L62" i="144"/>
  <c r="L63" i="144"/>
  <c r="L64" i="144"/>
  <c r="L65" i="144"/>
  <c r="L66" i="144"/>
  <c r="L67" i="144"/>
  <c r="L68" i="144"/>
  <c r="L69" i="144"/>
  <c r="L70" i="144"/>
  <c r="L71" i="144"/>
  <c r="L72" i="144"/>
  <c r="L73" i="144"/>
  <c r="L74" i="144"/>
  <c r="L75" i="144"/>
  <c r="L76" i="144"/>
  <c r="L77" i="144"/>
  <c r="L78" i="144"/>
  <c r="L79" i="144"/>
  <c r="L80" i="144"/>
  <c r="L81" i="144"/>
  <c r="L82" i="144"/>
  <c r="L83" i="144"/>
  <c r="L84" i="144"/>
  <c r="L85" i="144"/>
  <c r="L86" i="144"/>
  <c r="L87" i="144"/>
  <c r="L88" i="144"/>
  <c r="L89" i="144"/>
  <c r="L90" i="144"/>
  <c r="L91" i="144"/>
  <c r="L92" i="144"/>
  <c r="L93" i="144"/>
  <c r="L94" i="144"/>
  <c r="L95" i="144"/>
  <c r="L96" i="144"/>
  <c r="L97" i="144"/>
  <c r="L98" i="144"/>
  <c r="L99" i="144"/>
  <c r="L100" i="144"/>
  <c r="L101" i="144"/>
  <c r="L102" i="144"/>
  <c r="L103" i="144"/>
  <c r="L104" i="144"/>
  <c r="L105" i="144"/>
  <c r="L106" i="144"/>
  <c r="L107" i="144"/>
  <c r="L108" i="144"/>
  <c r="L109" i="144"/>
  <c r="L110" i="144"/>
  <c r="L111" i="144"/>
  <c r="L112" i="144"/>
  <c r="L113" i="144"/>
  <c r="L114" i="144"/>
  <c r="L115" i="144"/>
  <c r="L116" i="144"/>
  <c r="L117" i="144"/>
  <c r="L118" i="144"/>
  <c r="L119" i="144"/>
  <c r="L120" i="144"/>
  <c r="L121" i="144"/>
  <c r="L122" i="144"/>
  <c r="L123" i="144"/>
  <c r="L124" i="144"/>
  <c r="L125" i="144"/>
  <c r="L126" i="144"/>
  <c r="L6" i="144"/>
  <c r="I7" i="144"/>
  <c r="I8" i="144"/>
  <c r="I9" i="144"/>
  <c r="I10" i="144"/>
  <c r="I11" i="144"/>
  <c r="I12" i="144"/>
  <c r="I13" i="144"/>
  <c r="I14" i="144"/>
  <c r="I15" i="144"/>
  <c r="I16" i="144"/>
  <c r="I17" i="144"/>
  <c r="I18" i="144"/>
  <c r="I19" i="144"/>
  <c r="I20" i="144"/>
  <c r="I21" i="144"/>
  <c r="I22" i="144"/>
  <c r="I23" i="144"/>
  <c r="I24" i="144"/>
  <c r="I25" i="144"/>
  <c r="I26" i="144"/>
  <c r="I27" i="144"/>
  <c r="I28" i="144"/>
  <c r="I29" i="144"/>
  <c r="I30" i="144"/>
  <c r="I31" i="144"/>
  <c r="I32" i="144"/>
  <c r="I33" i="144"/>
  <c r="I34" i="144"/>
  <c r="I35" i="144"/>
  <c r="I36" i="144"/>
  <c r="I37" i="144"/>
  <c r="I38" i="144"/>
  <c r="I39" i="144"/>
  <c r="I40" i="144"/>
  <c r="I41" i="144"/>
  <c r="I42" i="144"/>
  <c r="I43" i="144"/>
  <c r="I44" i="144"/>
  <c r="I45" i="144"/>
  <c r="I46" i="144"/>
  <c r="I47" i="144"/>
  <c r="I48" i="144"/>
  <c r="I49" i="144"/>
  <c r="I50" i="144"/>
  <c r="I51" i="144"/>
  <c r="I52" i="144"/>
  <c r="I53" i="144"/>
  <c r="I54" i="144"/>
  <c r="I55" i="144"/>
  <c r="I56" i="144"/>
  <c r="I57" i="144"/>
  <c r="I58" i="144"/>
  <c r="I59" i="144"/>
  <c r="I60" i="144"/>
  <c r="I61" i="144"/>
  <c r="I62" i="144"/>
  <c r="I63" i="144"/>
  <c r="I64" i="144"/>
  <c r="I65" i="144"/>
  <c r="I66" i="144"/>
  <c r="I67" i="144"/>
  <c r="I68" i="144"/>
  <c r="I69" i="144"/>
  <c r="I70" i="144"/>
  <c r="I71" i="144"/>
  <c r="I72" i="144"/>
  <c r="I73" i="144"/>
  <c r="I74" i="144"/>
  <c r="I75" i="144"/>
  <c r="I76" i="144"/>
  <c r="I77" i="144"/>
  <c r="I78" i="144"/>
  <c r="I79" i="144"/>
  <c r="I80" i="144"/>
  <c r="I81" i="144"/>
  <c r="I82" i="144"/>
  <c r="I83" i="144"/>
  <c r="I84" i="144"/>
  <c r="I85" i="144"/>
  <c r="I86" i="144"/>
  <c r="I87" i="144"/>
  <c r="I88" i="144"/>
  <c r="I89" i="144"/>
  <c r="I90" i="144"/>
  <c r="I91" i="144"/>
  <c r="I92" i="144"/>
  <c r="I93" i="144"/>
  <c r="I94" i="144"/>
  <c r="I95" i="144"/>
  <c r="I96" i="144"/>
  <c r="I97" i="144"/>
  <c r="I98" i="144"/>
  <c r="I99" i="144"/>
  <c r="I100" i="144"/>
  <c r="I101" i="144"/>
  <c r="I102" i="144"/>
  <c r="I103" i="144"/>
  <c r="I104" i="144"/>
  <c r="I105" i="144"/>
  <c r="I106" i="144"/>
  <c r="I107" i="144"/>
  <c r="I108" i="144"/>
  <c r="I109" i="144"/>
  <c r="I110" i="144"/>
  <c r="I111" i="144"/>
  <c r="I112" i="144"/>
  <c r="I113" i="144"/>
  <c r="I114" i="144"/>
  <c r="I115" i="144"/>
  <c r="I116" i="144"/>
  <c r="I117" i="144"/>
  <c r="I118" i="144"/>
  <c r="I119" i="144"/>
  <c r="I120" i="144"/>
  <c r="I121" i="144"/>
  <c r="I122" i="144"/>
  <c r="I123" i="144"/>
  <c r="I124" i="144"/>
  <c r="I125" i="144"/>
  <c r="I126" i="144"/>
  <c r="I6" i="144"/>
  <c r="F7" i="144"/>
  <c r="F8" i="144"/>
  <c r="F9" i="144"/>
  <c r="F10" i="144"/>
  <c r="F11" i="144"/>
  <c r="F12" i="144"/>
  <c r="F13" i="144"/>
  <c r="F14" i="144"/>
  <c r="F15" i="144"/>
  <c r="F16" i="144"/>
  <c r="F17" i="144"/>
  <c r="F18" i="144"/>
  <c r="F19" i="144"/>
  <c r="F20" i="144"/>
  <c r="F21" i="144"/>
  <c r="F22" i="144"/>
  <c r="F23" i="144"/>
  <c r="F24" i="144"/>
  <c r="F25" i="144"/>
  <c r="F26" i="144"/>
  <c r="F27" i="144"/>
  <c r="F28" i="144"/>
  <c r="F29" i="144"/>
  <c r="F30" i="144"/>
  <c r="F31" i="144"/>
  <c r="F32" i="144"/>
  <c r="F33" i="144"/>
  <c r="F34" i="144"/>
  <c r="F35" i="144"/>
  <c r="F36" i="144"/>
  <c r="F37" i="144"/>
  <c r="F38" i="144"/>
  <c r="F39" i="144"/>
  <c r="F40" i="144"/>
  <c r="F41" i="144"/>
  <c r="F42" i="144"/>
  <c r="F43" i="144"/>
  <c r="F44" i="144"/>
  <c r="F45" i="144"/>
  <c r="F46" i="144"/>
  <c r="F47" i="144"/>
  <c r="F48" i="144"/>
  <c r="F49" i="144"/>
  <c r="F50" i="144"/>
  <c r="F51" i="144"/>
  <c r="F52" i="144"/>
  <c r="F53" i="144"/>
  <c r="F54" i="144"/>
  <c r="F55" i="144"/>
  <c r="F56" i="144"/>
  <c r="F57" i="144"/>
  <c r="F58" i="144"/>
  <c r="F59" i="144"/>
  <c r="F60" i="144"/>
  <c r="F61" i="144"/>
  <c r="F62" i="144"/>
  <c r="F63" i="144"/>
  <c r="F64" i="144"/>
  <c r="F65" i="144"/>
  <c r="F66" i="144"/>
  <c r="F67" i="144"/>
  <c r="F68" i="144"/>
  <c r="F69" i="144"/>
  <c r="F70" i="144"/>
  <c r="F71" i="144"/>
  <c r="F72" i="144"/>
  <c r="F73" i="144"/>
  <c r="F74" i="144"/>
  <c r="F75" i="144"/>
  <c r="F76" i="144"/>
  <c r="F77" i="144"/>
  <c r="F78" i="144"/>
  <c r="F79" i="144"/>
  <c r="F80" i="144"/>
  <c r="F81" i="144"/>
  <c r="F82" i="144"/>
  <c r="F83" i="144"/>
  <c r="F84" i="144"/>
  <c r="F85" i="144"/>
  <c r="F86" i="144"/>
  <c r="F87" i="144"/>
  <c r="F88" i="144"/>
  <c r="F89" i="144"/>
  <c r="F90" i="144"/>
  <c r="F91" i="144"/>
  <c r="F92" i="144"/>
  <c r="F93" i="144"/>
  <c r="F94" i="144"/>
  <c r="F95" i="144"/>
  <c r="F96" i="144"/>
  <c r="F97" i="144"/>
  <c r="F98" i="144"/>
  <c r="F99" i="144"/>
  <c r="F100" i="144"/>
  <c r="F101" i="144"/>
  <c r="F102" i="144"/>
  <c r="F103" i="144"/>
  <c r="F104" i="144"/>
  <c r="F105" i="144"/>
  <c r="F106" i="144"/>
  <c r="F107" i="144"/>
  <c r="F108" i="144"/>
  <c r="F109" i="144"/>
  <c r="F110" i="144"/>
  <c r="F111" i="144"/>
  <c r="F112" i="144"/>
  <c r="F113" i="144"/>
  <c r="F114" i="144"/>
  <c r="F115" i="144"/>
  <c r="F116" i="144"/>
  <c r="F117" i="144"/>
  <c r="F118" i="144"/>
  <c r="F119" i="144"/>
  <c r="F120" i="144"/>
  <c r="F121" i="144"/>
  <c r="F122" i="144"/>
  <c r="F123" i="144"/>
  <c r="F124" i="144"/>
  <c r="F125" i="144"/>
  <c r="F126" i="144"/>
  <c r="F6" i="144"/>
  <c r="O7" i="143"/>
  <c r="O8" i="143"/>
  <c r="O9" i="143"/>
  <c r="O10" i="143"/>
  <c r="O11" i="143"/>
  <c r="O12" i="143"/>
  <c r="O13" i="143"/>
  <c r="O14" i="143"/>
  <c r="O15" i="143"/>
  <c r="O16" i="143"/>
  <c r="O17" i="143"/>
  <c r="O18" i="143"/>
  <c r="O19" i="143"/>
  <c r="O20" i="143"/>
  <c r="O21" i="143"/>
  <c r="O22" i="143"/>
  <c r="O23" i="143"/>
  <c r="O24" i="143"/>
  <c r="O25" i="143"/>
  <c r="O26" i="143"/>
  <c r="O27" i="143"/>
  <c r="O28" i="143"/>
  <c r="O29" i="143"/>
  <c r="O30" i="143"/>
  <c r="O31" i="143"/>
  <c r="O32" i="143"/>
  <c r="O33" i="143"/>
  <c r="O34" i="143"/>
  <c r="O35" i="143"/>
  <c r="O36" i="143"/>
  <c r="O37" i="143"/>
  <c r="O38" i="143"/>
  <c r="O39" i="143"/>
  <c r="O40" i="143"/>
  <c r="O41" i="143"/>
  <c r="O42" i="143"/>
  <c r="O43" i="143"/>
  <c r="O44" i="143"/>
  <c r="O45" i="143"/>
  <c r="O46" i="143"/>
  <c r="O47" i="143"/>
  <c r="O48" i="143"/>
  <c r="O49" i="143"/>
  <c r="O50" i="143"/>
  <c r="O51" i="143"/>
  <c r="O52" i="143"/>
  <c r="O53" i="143"/>
  <c r="O54" i="143"/>
  <c r="O55" i="143"/>
  <c r="O56" i="143"/>
  <c r="O57" i="143"/>
  <c r="O58" i="143"/>
  <c r="O59" i="143"/>
  <c r="O60" i="143"/>
  <c r="O61" i="143"/>
  <c r="O62" i="143"/>
  <c r="O63" i="143"/>
  <c r="O64" i="143"/>
  <c r="O65" i="143"/>
  <c r="O66" i="143"/>
  <c r="O67" i="143"/>
  <c r="O68" i="143"/>
  <c r="O69" i="143"/>
  <c r="O70" i="143"/>
  <c r="O71" i="143"/>
  <c r="O72" i="143"/>
  <c r="O73" i="143"/>
  <c r="O74" i="143"/>
  <c r="O75" i="143"/>
  <c r="O76" i="143"/>
  <c r="O77" i="143"/>
  <c r="O78" i="143"/>
  <c r="O79" i="143"/>
  <c r="O80" i="143"/>
  <c r="O81" i="143"/>
  <c r="O82" i="143"/>
  <c r="O83" i="143"/>
  <c r="O84" i="143"/>
  <c r="O85" i="143"/>
  <c r="O86" i="143"/>
  <c r="O87" i="143"/>
  <c r="O88" i="143"/>
  <c r="O89" i="143"/>
  <c r="O90" i="143"/>
  <c r="O91" i="143"/>
  <c r="O92" i="143"/>
  <c r="O93" i="143"/>
  <c r="O94" i="143"/>
  <c r="O95" i="143"/>
  <c r="O96" i="143"/>
  <c r="O97" i="143"/>
  <c r="O98" i="143"/>
  <c r="O99" i="143"/>
  <c r="O100" i="143"/>
  <c r="O101" i="143"/>
  <c r="O102" i="143"/>
  <c r="O103" i="143"/>
  <c r="O104" i="143"/>
  <c r="O105" i="143"/>
  <c r="O106" i="143"/>
  <c r="O107" i="143"/>
  <c r="O108" i="143"/>
  <c r="O109" i="143"/>
  <c r="O110" i="143"/>
  <c r="O111" i="143"/>
  <c r="O112" i="143"/>
  <c r="O113" i="143"/>
  <c r="O114" i="143"/>
  <c r="O115" i="143"/>
  <c r="O116" i="143"/>
  <c r="O117" i="143"/>
  <c r="O118" i="143"/>
  <c r="O119" i="143"/>
  <c r="O120" i="143"/>
  <c r="O121" i="143"/>
  <c r="O122" i="143"/>
  <c r="O123" i="143"/>
  <c r="O124" i="143"/>
  <c r="O125" i="143"/>
  <c r="O126" i="143"/>
  <c r="O6" i="143"/>
  <c r="K7" i="143"/>
  <c r="K8" i="143"/>
  <c r="K9" i="143"/>
  <c r="K10" i="143"/>
  <c r="K11" i="143"/>
  <c r="K12" i="143"/>
  <c r="K13" i="143"/>
  <c r="K14" i="143"/>
  <c r="K15" i="143"/>
  <c r="K16" i="143"/>
  <c r="K17" i="143"/>
  <c r="K18" i="143"/>
  <c r="K19" i="143"/>
  <c r="K20" i="143"/>
  <c r="K21" i="143"/>
  <c r="K22" i="143"/>
  <c r="K23" i="143"/>
  <c r="K24" i="143"/>
  <c r="K25" i="143"/>
  <c r="K26" i="143"/>
  <c r="K27" i="143"/>
  <c r="K28" i="143"/>
  <c r="K29" i="143"/>
  <c r="K30" i="143"/>
  <c r="K31" i="143"/>
  <c r="K32" i="143"/>
  <c r="K33" i="143"/>
  <c r="K34" i="143"/>
  <c r="K35" i="143"/>
  <c r="K36" i="143"/>
  <c r="K37" i="143"/>
  <c r="K38" i="143"/>
  <c r="K39" i="143"/>
  <c r="K40" i="143"/>
  <c r="K41" i="143"/>
  <c r="K42" i="143"/>
  <c r="K43" i="143"/>
  <c r="K44" i="143"/>
  <c r="K45" i="143"/>
  <c r="K46" i="143"/>
  <c r="K47" i="143"/>
  <c r="K48" i="143"/>
  <c r="K49" i="143"/>
  <c r="K50" i="143"/>
  <c r="K51" i="143"/>
  <c r="K52" i="143"/>
  <c r="K53" i="143"/>
  <c r="K54" i="143"/>
  <c r="K55" i="143"/>
  <c r="K56" i="143"/>
  <c r="K57" i="143"/>
  <c r="K58" i="143"/>
  <c r="K59" i="143"/>
  <c r="K60" i="143"/>
  <c r="K61" i="143"/>
  <c r="K62" i="143"/>
  <c r="K63" i="143"/>
  <c r="K64" i="143"/>
  <c r="K65" i="143"/>
  <c r="K66" i="143"/>
  <c r="K67" i="143"/>
  <c r="K68" i="143"/>
  <c r="K69" i="143"/>
  <c r="K70" i="143"/>
  <c r="K71" i="143"/>
  <c r="K72" i="143"/>
  <c r="K73" i="143"/>
  <c r="K74" i="143"/>
  <c r="K75" i="143"/>
  <c r="K76" i="143"/>
  <c r="K77" i="143"/>
  <c r="K78" i="143"/>
  <c r="K79" i="143"/>
  <c r="K80" i="143"/>
  <c r="K81" i="143"/>
  <c r="K82" i="143"/>
  <c r="K83" i="143"/>
  <c r="K84" i="143"/>
  <c r="K85" i="143"/>
  <c r="K86" i="143"/>
  <c r="K87" i="143"/>
  <c r="K88" i="143"/>
  <c r="K89" i="143"/>
  <c r="K90" i="143"/>
  <c r="K91" i="143"/>
  <c r="K92" i="143"/>
  <c r="K93" i="143"/>
  <c r="K94" i="143"/>
  <c r="K95" i="143"/>
  <c r="K96" i="143"/>
  <c r="K97" i="143"/>
  <c r="K98" i="143"/>
  <c r="K99" i="143"/>
  <c r="K100" i="143"/>
  <c r="K101" i="143"/>
  <c r="K102" i="143"/>
  <c r="K103" i="143"/>
  <c r="K104" i="143"/>
  <c r="K105" i="143"/>
  <c r="K106" i="143"/>
  <c r="K107" i="143"/>
  <c r="K108" i="143"/>
  <c r="K109" i="143"/>
  <c r="K110" i="143"/>
  <c r="K111" i="143"/>
  <c r="K112" i="143"/>
  <c r="K113" i="143"/>
  <c r="K114" i="143"/>
  <c r="K115" i="143"/>
  <c r="K116" i="143"/>
  <c r="K117" i="143"/>
  <c r="K118" i="143"/>
  <c r="K119" i="143"/>
  <c r="K120" i="143"/>
  <c r="K121" i="143"/>
  <c r="K122" i="143"/>
  <c r="K123" i="143"/>
  <c r="K124" i="143"/>
  <c r="K125" i="143"/>
  <c r="K126" i="143"/>
  <c r="K6"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G90" i="143"/>
  <c r="G89" i="143"/>
  <c r="G88" i="143"/>
  <c r="G87" i="143"/>
  <c r="G86" i="143"/>
  <c r="G85" i="143"/>
  <c r="G84" i="143"/>
  <c r="G83" i="143"/>
  <c r="G82" i="143"/>
  <c r="G81" i="143"/>
  <c r="G80" i="143"/>
  <c r="G79" i="143"/>
  <c r="G78" i="143"/>
  <c r="G77" i="143"/>
  <c r="G76" i="143"/>
  <c r="G75" i="143"/>
  <c r="G74" i="143"/>
  <c r="G73" i="143"/>
  <c r="G72" i="143"/>
  <c r="G71" i="143"/>
  <c r="G70" i="143"/>
  <c r="G69" i="143"/>
  <c r="G68" i="143"/>
  <c r="G67" i="143"/>
  <c r="G66" i="143"/>
  <c r="G65" i="143"/>
  <c r="G64" i="143"/>
  <c r="G63" i="143"/>
  <c r="G62" i="143"/>
  <c r="G61" i="143"/>
  <c r="G60" i="143"/>
  <c r="G59" i="143"/>
  <c r="G58" i="143"/>
  <c r="G57" i="143"/>
  <c r="G56" i="143"/>
  <c r="G55" i="143"/>
  <c r="G54" i="143"/>
  <c r="G53" i="143"/>
  <c r="G52" i="143"/>
  <c r="G51" i="143"/>
  <c r="G50" i="143"/>
  <c r="G49" i="143"/>
  <c r="G48" i="143"/>
  <c r="G47" i="143"/>
  <c r="G46" i="143"/>
  <c r="G45" i="143"/>
  <c r="G44" i="143"/>
  <c r="G43" i="143"/>
  <c r="G42" i="143"/>
  <c r="G41" i="143"/>
  <c r="G40" i="143"/>
  <c r="G39" i="143"/>
  <c r="G38" i="143"/>
  <c r="G37" i="143"/>
  <c r="G36" i="143"/>
  <c r="G35" i="143"/>
  <c r="G34" i="143"/>
  <c r="G33" i="143"/>
  <c r="G32" i="143"/>
  <c r="G31" i="143"/>
  <c r="G30" i="143"/>
  <c r="G29" i="143"/>
  <c r="G28" i="143"/>
  <c r="G27" i="143"/>
  <c r="G26" i="143"/>
  <c r="G25" i="143"/>
  <c r="G24" i="143"/>
  <c r="G23" i="143"/>
  <c r="G22" i="143"/>
  <c r="G21" i="143"/>
  <c r="G20" i="143"/>
  <c r="G19" i="143"/>
  <c r="G18" i="143"/>
  <c r="G17" i="143"/>
  <c r="G16" i="143"/>
  <c r="G15" i="143"/>
  <c r="G14" i="143"/>
  <c r="G13" i="143"/>
  <c r="G12" i="143"/>
  <c r="G11" i="143"/>
  <c r="G10" i="143"/>
  <c r="G9" i="143"/>
  <c r="G8" i="143"/>
  <c r="G7" i="143"/>
  <c r="G6" i="143"/>
  <c r="S132" i="142" l="1"/>
  <c r="S131" i="142"/>
  <c r="S130" i="142"/>
  <c r="S129" i="142"/>
  <c r="S128" i="142"/>
  <c r="S7" i="142"/>
  <c r="S8" i="142"/>
  <c r="S9" i="142"/>
  <c r="S10" i="142"/>
  <c r="S11" i="142"/>
  <c r="S12" i="142"/>
  <c r="S13" i="142"/>
  <c r="S14" i="142"/>
  <c r="S15" i="142"/>
  <c r="S16" i="142"/>
  <c r="S17" i="142"/>
  <c r="S18" i="142"/>
  <c r="S19" i="142"/>
  <c r="S20" i="142"/>
  <c r="S21" i="142"/>
  <c r="S22" i="142"/>
  <c r="S23" i="142"/>
  <c r="S24" i="142"/>
  <c r="S25" i="142"/>
  <c r="S26" i="142"/>
  <c r="S27" i="142"/>
  <c r="S28" i="142"/>
  <c r="S29" i="142"/>
  <c r="S30" i="142"/>
  <c r="S31" i="142"/>
  <c r="S32" i="142"/>
  <c r="S33" i="142"/>
  <c r="S34" i="142"/>
  <c r="S35" i="142"/>
  <c r="S36" i="142"/>
  <c r="S37" i="142"/>
  <c r="S38" i="142"/>
  <c r="S39" i="142"/>
  <c r="S40" i="142"/>
  <c r="S41" i="142"/>
  <c r="S42" i="142"/>
  <c r="S43" i="142"/>
  <c r="S44" i="142"/>
  <c r="S45" i="142"/>
  <c r="S46" i="142"/>
  <c r="S47" i="142"/>
  <c r="S48" i="142"/>
  <c r="S49" i="142"/>
  <c r="S50" i="142"/>
  <c r="S51" i="142"/>
  <c r="S52" i="142"/>
  <c r="S53" i="142"/>
  <c r="S54" i="142"/>
  <c r="S55" i="142"/>
  <c r="S56" i="142"/>
  <c r="S57" i="142"/>
  <c r="S58" i="142"/>
  <c r="S59" i="142"/>
  <c r="S60" i="142"/>
  <c r="S61" i="142"/>
  <c r="S62" i="142"/>
  <c r="S63" i="142"/>
  <c r="S64" i="142"/>
  <c r="S65" i="142"/>
  <c r="S66" i="142"/>
  <c r="S67" i="142"/>
  <c r="S68" i="142"/>
  <c r="S69" i="142"/>
  <c r="S70" i="142"/>
  <c r="S71" i="142"/>
  <c r="S72" i="142"/>
  <c r="S73" i="142"/>
  <c r="S74" i="142"/>
  <c r="S75" i="142"/>
  <c r="S76" i="142"/>
  <c r="S77" i="142"/>
  <c r="S78" i="142"/>
  <c r="S79" i="142"/>
  <c r="S80" i="142"/>
  <c r="S81" i="142"/>
  <c r="S82" i="142"/>
  <c r="S83" i="142"/>
  <c r="S84" i="142"/>
  <c r="S85" i="142"/>
  <c r="S86" i="142"/>
  <c r="S87" i="142"/>
  <c r="S88" i="142"/>
  <c r="S89" i="142"/>
  <c r="S90" i="142"/>
  <c r="S91" i="142"/>
  <c r="S92" i="142"/>
  <c r="S93" i="142"/>
  <c r="S94" i="142"/>
  <c r="S95" i="142"/>
  <c r="S96" i="142"/>
  <c r="S97" i="142"/>
  <c r="S98" i="142"/>
  <c r="S99" i="142"/>
  <c r="S100" i="142"/>
  <c r="S101" i="142"/>
  <c r="S102" i="142"/>
  <c r="S103" i="142"/>
  <c r="S104" i="142"/>
  <c r="S105" i="142"/>
  <c r="S106" i="142"/>
  <c r="S107" i="142"/>
  <c r="S108" i="142"/>
  <c r="S109" i="142"/>
  <c r="S110" i="142"/>
  <c r="S111" i="142"/>
  <c r="S112" i="142"/>
  <c r="S113" i="142"/>
  <c r="S114" i="142"/>
  <c r="S115" i="142"/>
  <c r="S116" i="142"/>
  <c r="S117" i="142"/>
  <c r="S118" i="142"/>
  <c r="S119" i="142"/>
  <c r="S120" i="142"/>
  <c r="S121" i="142"/>
  <c r="S122" i="142"/>
  <c r="S123" i="142"/>
  <c r="S124" i="142"/>
  <c r="S125" i="142"/>
  <c r="S126" i="142"/>
  <c r="S6" i="142"/>
  <c r="O132" i="142"/>
  <c r="O131" i="142"/>
  <c r="O130" i="142"/>
  <c r="O129" i="142"/>
  <c r="O128" i="142"/>
  <c r="K132" i="142"/>
  <c r="K131" i="142"/>
  <c r="K130" i="142"/>
  <c r="K129" i="142"/>
  <c r="K128" i="142"/>
  <c r="K7" i="142"/>
  <c r="K8" i="142"/>
  <c r="K9" i="142"/>
  <c r="K10" i="142"/>
  <c r="K11" i="142"/>
  <c r="K12" i="142"/>
  <c r="K13" i="142"/>
  <c r="K14" i="142"/>
  <c r="K15" i="142"/>
  <c r="K16" i="142"/>
  <c r="K17" i="142"/>
  <c r="K18" i="142"/>
  <c r="K19" i="142"/>
  <c r="K20" i="142"/>
  <c r="K21" i="142"/>
  <c r="K22" i="142"/>
  <c r="K23" i="142"/>
  <c r="K24" i="142"/>
  <c r="K25" i="142"/>
  <c r="K26" i="142"/>
  <c r="K27" i="142"/>
  <c r="K28" i="142"/>
  <c r="K29" i="142"/>
  <c r="K30" i="142"/>
  <c r="K31" i="142"/>
  <c r="K32" i="142"/>
  <c r="K33" i="142"/>
  <c r="K34" i="142"/>
  <c r="K35" i="142"/>
  <c r="K36" i="142"/>
  <c r="K37" i="142"/>
  <c r="K38" i="142"/>
  <c r="K39" i="142"/>
  <c r="K40" i="142"/>
  <c r="K41" i="142"/>
  <c r="K42" i="142"/>
  <c r="K43" i="142"/>
  <c r="K44" i="142"/>
  <c r="K45" i="142"/>
  <c r="K46" i="142"/>
  <c r="K47" i="142"/>
  <c r="K48" i="142"/>
  <c r="K49" i="142"/>
  <c r="K50" i="142"/>
  <c r="K51" i="142"/>
  <c r="K52" i="142"/>
  <c r="K53" i="142"/>
  <c r="K54" i="142"/>
  <c r="K55" i="142"/>
  <c r="K56" i="142"/>
  <c r="K57" i="142"/>
  <c r="K58" i="142"/>
  <c r="K59" i="142"/>
  <c r="K60" i="142"/>
  <c r="K61" i="142"/>
  <c r="K62" i="142"/>
  <c r="K63" i="142"/>
  <c r="K64" i="142"/>
  <c r="K65" i="142"/>
  <c r="K66" i="142"/>
  <c r="K67" i="142"/>
  <c r="K68" i="142"/>
  <c r="K69" i="142"/>
  <c r="K70" i="142"/>
  <c r="K71" i="142"/>
  <c r="K72" i="142"/>
  <c r="K73" i="142"/>
  <c r="K74" i="142"/>
  <c r="K75" i="142"/>
  <c r="K76" i="142"/>
  <c r="K77" i="142"/>
  <c r="K78" i="142"/>
  <c r="K79" i="142"/>
  <c r="K80" i="142"/>
  <c r="K81" i="142"/>
  <c r="K82" i="142"/>
  <c r="K83" i="142"/>
  <c r="K84" i="142"/>
  <c r="K85" i="142"/>
  <c r="K86" i="142"/>
  <c r="K87" i="142"/>
  <c r="K88" i="142"/>
  <c r="K89" i="142"/>
  <c r="K90" i="142"/>
  <c r="K91" i="142"/>
  <c r="K92" i="142"/>
  <c r="K93" i="142"/>
  <c r="K94" i="142"/>
  <c r="K95" i="142"/>
  <c r="K96" i="142"/>
  <c r="K97" i="142"/>
  <c r="K98" i="142"/>
  <c r="K99" i="142"/>
  <c r="K100" i="142"/>
  <c r="K101" i="142"/>
  <c r="K102" i="142"/>
  <c r="K103" i="142"/>
  <c r="K104" i="142"/>
  <c r="K105" i="142"/>
  <c r="K106" i="142"/>
  <c r="K107" i="142"/>
  <c r="K108" i="142"/>
  <c r="K109" i="142"/>
  <c r="K110" i="142"/>
  <c r="K111" i="142"/>
  <c r="K112" i="142"/>
  <c r="K113" i="142"/>
  <c r="K114" i="142"/>
  <c r="K115" i="142"/>
  <c r="K116" i="142"/>
  <c r="K117" i="142"/>
  <c r="K118" i="142"/>
  <c r="K119" i="142"/>
  <c r="K120" i="142"/>
  <c r="K121" i="142"/>
  <c r="K122" i="142"/>
  <c r="K123" i="142"/>
  <c r="K124" i="142"/>
  <c r="K125" i="142"/>
  <c r="K126" i="142"/>
  <c r="K6" i="142"/>
  <c r="G132" i="142"/>
  <c r="G131" i="142"/>
  <c r="G130" i="142"/>
  <c r="G129" i="142"/>
  <c r="G128" i="142"/>
  <c r="G126" i="142"/>
  <c r="O7" i="142"/>
  <c r="O8" i="142"/>
  <c r="O9" i="142"/>
  <c r="O10" i="142"/>
  <c r="O11" i="142"/>
  <c r="O12" i="142"/>
  <c r="O13" i="142"/>
  <c r="O14" i="142"/>
  <c r="O15" i="142"/>
  <c r="O16" i="142"/>
  <c r="O17" i="142"/>
  <c r="O18" i="142"/>
  <c r="O19" i="142"/>
  <c r="O20" i="142"/>
  <c r="O21" i="142"/>
  <c r="O22" i="142"/>
  <c r="O23" i="142"/>
  <c r="O24" i="142"/>
  <c r="O25" i="142"/>
  <c r="O26" i="142"/>
  <c r="O27" i="142"/>
  <c r="O28" i="142"/>
  <c r="O29" i="142"/>
  <c r="O30" i="142"/>
  <c r="O31" i="142"/>
  <c r="O32" i="142"/>
  <c r="O33" i="142"/>
  <c r="O34" i="142"/>
  <c r="O35" i="142"/>
  <c r="O36" i="142"/>
  <c r="O37" i="142"/>
  <c r="O38" i="142"/>
  <c r="O39" i="142"/>
  <c r="O40" i="142"/>
  <c r="O41" i="142"/>
  <c r="O42" i="142"/>
  <c r="O43" i="142"/>
  <c r="O44" i="142"/>
  <c r="O45" i="142"/>
  <c r="O46" i="142"/>
  <c r="O47" i="142"/>
  <c r="O48" i="142"/>
  <c r="O49" i="142"/>
  <c r="O50" i="142"/>
  <c r="O51" i="142"/>
  <c r="O52" i="142"/>
  <c r="O53" i="142"/>
  <c r="O54" i="142"/>
  <c r="O55" i="142"/>
  <c r="O56" i="142"/>
  <c r="O57" i="142"/>
  <c r="O58" i="142"/>
  <c r="O59" i="142"/>
  <c r="O60" i="142"/>
  <c r="O61" i="142"/>
  <c r="O62" i="142"/>
  <c r="O63" i="142"/>
  <c r="O64" i="142"/>
  <c r="O65" i="142"/>
  <c r="O66" i="142"/>
  <c r="O67" i="142"/>
  <c r="O68" i="142"/>
  <c r="O69" i="142"/>
  <c r="O70" i="142"/>
  <c r="O71" i="142"/>
  <c r="O72" i="142"/>
  <c r="O73" i="142"/>
  <c r="O74" i="142"/>
  <c r="O75" i="142"/>
  <c r="O76" i="142"/>
  <c r="O77" i="142"/>
  <c r="O78" i="142"/>
  <c r="O79" i="142"/>
  <c r="O80" i="142"/>
  <c r="O81" i="142"/>
  <c r="O82" i="142"/>
  <c r="O83" i="142"/>
  <c r="O84" i="142"/>
  <c r="O85" i="142"/>
  <c r="O86" i="142"/>
  <c r="O87" i="142"/>
  <c r="O88" i="142"/>
  <c r="O89" i="142"/>
  <c r="O90" i="142"/>
  <c r="O91" i="142"/>
  <c r="O92" i="142"/>
  <c r="O93" i="142"/>
  <c r="O94" i="142"/>
  <c r="O95" i="142"/>
  <c r="O96" i="142"/>
  <c r="O97" i="142"/>
  <c r="O98" i="142"/>
  <c r="O99" i="142"/>
  <c r="O100" i="142"/>
  <c r="O101" i="142"/>
  <c r="O102" i="142"/>
  <c r="O103" i="142"/>
  <c r="O104" i="142"/>
  <c r="O105" i="142"/>
  <c r="O106" i="142"/>
  <c r="O107" i="142"/>
  <c r="O108" i="142"/>
  <c r="O109" i="142"/>
  <c r="O110" i="142"/>
  <c r="O111" i="142"/>
  <c r="O112" i="142"/>
  <c r="O113" i="142"/>
  <c r="O114" i="142"/>
  <c r="O115" i="142"/>
  <c r="O116" i="142"/>
  <c r="O117" i="142"/>
  <c r="O118" i="142"/>
  <c r="O119" i="142"/>
  <c r="O120" i="142"/>
  <c r="O121" i="142"/>
  <c r="O122" i="142"/>
  <c r="O123" i="142"/>
  <c r="O124" i="142"/>
  <c r="O125" i="142"/>
  <c r="O126" i="142"/>
  <c r="O6" i="142"/>
  <c r="G7" i="142"/>
  <c r="G8" i="142"/>
  <c r="G9" i="142"/>
  <c r="G10" i="142"/>
  <c r="G11" i="142"/>
  <c r="G12" i="142"/>
  <c r="G13" i="142"/>
  <c r="G14" i="142"/>
  <c r="G15" i="142"/>
  <c r="G16" i="142"/>
  <c r="G17" i="142"/>
  <c r="G18" i="142"/>
  <c r="G19" i="142"/>
  <c r="G20" i="142"/>
  <c r="G21" i="142"/>
  <c r="G22" i="142"/>
  <c r="G23" i="142"/>
  <c r="G24" i="142"/>
  <c r="G25" i="142"/>
  <c r="G26" i="142"/>
  <c r="G27" i="142"/>
  <c r="G28" i="142"/>
  <c r="G29" i="142"/>
  <c r="G30" i="142"/>
  <c r="G31" i="142"/>
  <c r="G32" i="142"/>
  <c r="G33" i="142"/>
  <c r="G34" i="142"/>
  <c r="G35" i="142"/>
  <c r="G36" i="142"/>
  <c r="G37" i="142"/>
  <c r="G38" i="142"/>
  <c r="G39" i="142"/>
  <c r="G40" i="142"/>
  <c r="G41" i="142"/>
  <c r="G42" i="142"/>
  <c r="G43" i="142"/>
  <c r="G44" i="142"/>
  <c r="G45" i="142"/>
  <c r="G46" i="142"/>
  <c r="G47" i="142"/>
  <c r="G48" i="142"/>
  <c r="G49" i="142"/>
  <c r="G50" i="142"/>
  <c r="G51" i="142"/>
  <c r="G52" i="142"/>
  <c r="G53" i="142"/>
  <c r="G54" i="142"/>
  <c r="G55" i="142"/>
  <c r="G56" i="142"/>
  <c r="G57" i="142"/>
  <c r="G58" i="142"/>
  <c r="G59" i="142"/>
  <c r="G60" i="142"/>
  <c r="G61" i="142"/>
  <c r="G62" i="142"/>
  <c r="G63" i="142"/>
  <c r="G64" i="142"/>
  <c r="G65" i="142"/>
  <c r="G66" i="142"/>
  <c r="G67" i="142"/>
  <c r="G68" i="142"/>
  <c r="G69" i="142"/>
  <c r="G70" i="142"/>
  <c r="G71" i="142"/>
  <c r="G72" i="142"/>
  <c r="G73" i="142"/>
  <c r="G74" i="142"/>
  <c r="G75" i="142"/>
  <c r="G76" i="142"/>
  <c r="G77" i="142"/>
  <c r="G78" i="142"/>
  <c r="G79" i="142"/>
  <c r="G80" i="142"/>
  <c r="G81" i="142"/>
  <c r="G82" i="142"/>
  <c r="G83" i="142"/>
  <c r="G84" i="142"/>
  <c r="G85" i="142"/>
  <c r="G86" i="142"/>
  <c r="G87" i="142"/>
  <c r="G88" i="142"/>
  <c r="G89" i="142"/>
  <c r="G90" i="142"/>
  <c r="G91" i="142"/>
  <c r="G92" i="142"/>
  <c r="G93" i="142"/>
  <c r="G94" i="142"/>
  <c r="G95" i="142"/>
  <c r="G96" i="142"/>
  <c r="G97" i="142"/>
  <c r="G98" i="142"/>
  <c r="G99" i="142"/>
  <c r="G100" i="142"/>
  <c r="G101" i="142"/>
  <c r="G102" i="142"/>
  <c r="G103" i="142"/>
  <c r="G104" i="142"/>
  <c r="G105" i="142"/>
  <c r="G106" i="142"/>
  <c r="G107" i="142"/>
  <c r="G108" i="142"/>
  <c r="G109" i="142"/>
  <c r="G110" i="142"/>
  <c r="G111" i="142"/>
  <c r="G112" i="142"/>
  <c r="G113" i="142"/>
  <c r="G114" i="142"/>
  <c r="G115" i="142"/>
  <c r="G116" i="142"/>
  <c r="G117" i="142"/>
  <c r="G118" i="142"/>
  <c r="G119" i="142"/>
  <c r="G120" i="142"/>
  <c r="G121" i="142"/>
  <c r="G122" i="142"/>
  <c r="G123" i="142"/>
  <c r="G124" i="142"/>
  <c r="G125" i="142"/>
  <c r="G6" i="142"/>
  <c r="Q132" i="141" l="1"/>
  <c r="Q131" i="141"/>
  <c r="Q130" i="141"/>
  <c r="Q129" i="141"/>
  <c r="Q128" i="141"/>
  <c r="Q126" i="141"/>
  <c r="Q125" i="141"/>
  <c r="Q124" i="141"/>
  <c r="Q123" i="141"/>
  <c r="Q122" i="141"/>
  <c r="Q121" i="141"/>
  <c r="Q120" i="141"/>
  <c r="Q119" i="141"/>
  <c r="Q118" i="141"/>
  <c r="Q117" i="141"/>
  <c r="Q116" i="141"/>
  <c r="Q115" i="141"/>
  <c r="Q114" i="141"/>
  <c r="Q113" i="141"/>
  <c r="Q112" i="141"/>
  <c r="Q111" i="141"/>
  <c r="Q110" i="141"/>
  <c r="Q109" i="141"/>
  <c r="Q108" i="141"/>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7" i="141"/>
  <c r="Q76" i="141"/>
  <c r="Q75"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Q44" i="141"/>
  <c r="Q43" i="141"/>
  <c r="Q42" i="141"/>
  <c r="Q41" i="141"/>
  <c r="Q40" i="141"/>
  <c r="Q39" i="141"/>
  <c r="Q38" i="141"/>
  <c r="Q37" i="141"/>
  <c r="Q36" i="141"/>
  <c r="Q35" i="141"/>
  <c r="Q34" i="141"/>
  <c r="Q33" i="141"/>
  <c r="Q32" i="141"/>
  <c r="Q31" i="141"/>
  <c r="Q30" i="141"/>
  <c r="Q29" i="141"/>
  <c r="Q28" i="141"/>
  <c r="Q27" i="141"/>
  <c r="Q26" i="141"/>
  <c r="Q25" i="141"/>
  <c r="Q24" i="141"/>
  <c r="Q23" i="141"/>
  <c r="Q22" i="141"/>
  <c r="Q21" i="141"/>
  <c r="Q20" i="141"/>
  <c r="Q19" i="141"/>
  <c r="Q18" i="141"/>
  <c r="Q17" i="141"/>
  <c r="Q16" i="141"/>
  <c r="Q15" i="141"/>
  <c r="Q14" i="141"/>
  <c r="Q13" i="141"/>
  <c r="Q12" i="141"/>
  <c r="Q11" i="141"/>
  <c r="Q10" i="141"/>
  <c r="Q9" i="141"/>
  <c r="Q8" i="141"/>
  <c r="Q7" i="141"/>
  <c r="Q6" i="141"/>
  <c r="J132" i="141"/>
  <c r="J131" i="141"/>
  <c r="J130" i="141"/>
  <c r="J129" i="141"/>
  <c r="J128" i="141"/>
  <c r="J126" i="141"/>
  <c r="J125" i="141"/>
  <c r="J124" i="141"/>
  <c r="J123" i="141"/>
  <c r="J122" i="141"/>
  <c r="J121" i="141"/>
  <c r="J120" i="141"/>
  <c r="J119" i="141"/>
  <c r="J118" i="141"/>
  <c r="J117" i="141"/>
  <c r="J116" i="141"/>
  <c r="J115" i="141"/>
  <c r="J114" i="141"/>
  <c r="J113" i="141"/>
  <c r="J112" i="141"/>
  <c r="J111" i="141"/>
  <c r="J110" i="141"/>
  <c r="J109" i="141"/>
  <c r="J108" i="141"/>
  <c r="J107" i="141"/>
  <c r="J106" i="141"/>
  <c r="J105" i="141"/>
  <c r="J104" i="141"/>
  <c r="J103" i="141"/>
  <c r="J102" i="141"/>
  <c r="J101" i="141"/>
  <c r="J100" i="141"/>
  <c r="J99" i="141"/>
  <c r="J98" i="141"/>
  <c r="J97" i="141"/>
  <c r="J96" i="141"/>
  <c r="J95" i="141"/>
  <c r="J94" i="141"/>
  <c r="J93" i="141"/>
  <c r="J92" i="141"/>
  <c r="J91" i="141"/>
  <c r="J90" i="141"/>
  <c r="J89" i="141"/>
  <c r="J88" i="141"/>
  <c r="J87" i="141"/>
  <c r="J86" i="141"/>
  <c r="J85" i="141"/>
  <c r="J84" i="141"/>
  <c r="J83" i="141"/>
  <c r="J82" i="141"/>
  <c r="J81" i="141"/>
  <c r="J80" i="141"/>
  <c r="J79" i="141"/>
  <c r="J78" i="141"/>
  <c r="J77" i="141"/>
  <c r="J76" i="141"/>
  <c r="J75" i="141"/>
  <c r="J74" i="141"/>
  <c r="J73" i="141"/>
  <c r="J72" i="141"/>
  <c r="J71" i="141"/>
  <c r="J70" i="141"/>
  <c r="J69" i="141"/>
  <c r="J68" i="141"/>
  <c r="J67" i="141"/>
  <c r="J66" i="141"/>
  <c r="J65" i="141"/>
  <c r="J64" i="141"/>
  <c r="J63" i="141"/>
  <c r="J62" i="141"/>
  <c r="J61" i="141"/>
  <c r="J60" i="141"/>
  <c r="J59" i="141"/>
  <c r="J58" i="141"/>
  <c r="J57" i="141"/>
  <c r="J56" i="141"/>
  <c r="J55" i="141"/>
  <c r="J54" i="141"/>
  <c r="J53" i="141"/>
  <c r="J52" i="141"/>
  <c r="J51" i="141"/>
  <c r="J50" i="141"/>
  <c r="J49" i="141"/>
  <c r="J48" i="141"/>
  <c r="J47" i="141"/>
  <c r="J46" i="141"/>
  <c r="J45" i="141"/>
  <c r="J44" i="141"/>
  <c r="J43" i="141"/>
  <c r="J42" i="141"/>
  <c r="J41" i="141"/>
  <c r="J40"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AL132" i="141"/>
  <c r="AK132" i="141"/>
  <c r="AJ132" i="141"/>
  <c r="AL131" i="141"/>
  <c r="AK131" i="141"/>
  <c r="AJ131" i="141"/>
  <c r="AL130" i="141"/>
  <c r="AK130" i="141"/>
  <c r="AJ130" i="141"/>
  <c r="AL129" i="141"/>
  <c r="AK129" i="141"/>
  <c r="AJ129" i="141"/>
  <c r="AL128" i="141"/>
  <c r="AK128" i="141"/>
  <c r="AJ128" i="141"/>
  <c r="AE132" i="141"/>
  <c r="AD132" i="141"/>
  <c r="AC132" i="141"/>
  <c r="AE131" i="141"/>
  <c r="AD131" i="141"/>
  <c r="AC131" i="141"/>
  <c r="AE130" i="141"/>
  <c r="AD130" i="141"/>
  <c r="AC130" i="141"/>
  <c r="AE129" i="141"/>
  <c r="AD129" i="141"/>
  <c r="AC129" i="141"/>
  <c r="AE128" i="141"/>
  <c r="AD128" i="141"/>
  <c r="AC128" i="141"/>
  <c r="X132" i="141"/>
  <c r="W132" i="141"/>
  <c r="V132" i="141"/>
  <c r="X131" i="141"/>
  <c r="W131" i="141"/>
  <c r="V131" i="141"/>
  <c r="X130" i="141"/>
  <c r="W130" i="141"/>
  <c r="V130" i="141"/>
  <c r="X129" i="141"/>
  <c r="W129" i="141"/>
  <c r="V129" i="141"/>
  <c r="X128" i="141"/>
  <c r="W128" i="141"/>
  <c r="V128" i="141"/>
  <c r="P132" i="141"/>
  <c r="O132" i="141"/>
  <c r="P131" i="141"/>
  <c r="O131" i="141"/>
  <c r="P130" i="141"/>
  <c r="O130" i="141"/>
  <c r="P129" i="141"/>
  <c r="O129" i="141"/>
  <c r="P128" i="141"/>
  <c r="O128" i="141"/>
  <c r="I132" i="141"/>
  <c r="H132" i="141"/>
  <c r="I131" i="141"/>
  <c r="H131" i="141"/>
  <c r="I130" i="141"/>
  <c r="H130" i="141"/>
  <c r="I129" i="141"/>
  <c r="H129" i="141"/>
  <c r="I128" i="141"/>
  <c r="H128" i="141"/>
  <c r="AL126" i="141" l="1"/>
  <c r="AK126" i="141"/>
  <c r="AJ126" i="141"/>
  <c r="AL125" i="141"/>
  <c r="AK125" i="141"/>
  <c r="AJ125" i="141"/>
  <c r="AL124" i="141"/>
  <c r="AK124" i="141"/>
  <c r="AJ124" i="141"/>
  <c r="AL123" i="141"/>
  <c r="AK123" i="141"/>
  <c r="AJ123" i="141"/>
  <c r="AL122" i="141"/>
  <c r="AK122" i="141"/>
  <c r="AJ122" i="141"/>
  <c r="AL121" i="141"/>
  <c r="AK121" i="141"/>
  <c r="AJ121" i="141"/>
  <c r="AL120" i="141"/>
  <c r="AK120" i="141"/>
  <c r="AJ120" i="141"/>
  <c r="AL119" i="141"/>
  <c r="AK119" i="141"/>
  <c r="AJ119" i="141"/>
  <c r="AL118" i="141"/>
  <c r="AK118" i="141"/>
  <c r="AJ118" i="141"/>
  <c r="AL117" i="141"/>
  <c r="AK117" i="141"/>
  <c r="AJ117" i="141"/>
  <c r="AL116" i="141"/>
  <c r="AK116" i="141"/>
  <c r="AJ116" i="141"/>
  <c r="AL115" i="141"/>
  <c r="AK115" i="141"/>
  <c r="AJ115" i="141"/>
  <c r="AL114" i="141"/>
  <c r="AK114" i="141"/>
  <c r="AJ114" i="141"/>
  <c r="AL113" i="141"/>
  <c r="AK113" i="141"/>
  <c r="AJ113" i="141"/>
  <c r="AL112" i="141"/>
  <c r="AK112" i="141"/>
  <c r="AJ112" i="141"/>
  <c r="AL111" i="141"/>
  <c r="AK111" i="141"/>
  <c r="AJ111" i="141"/>
  <c r="AL110" i="141"/>
  <c r="AK110" i="141"/>
  <c r="AJ110" i="141"/>
  <c r="AL109" i="141"/>
  <c r="AK109" i="141"/>
  <c r="AJ109" i="141"/>
  <c r="AL108" i="141"/>
  <c r="AK108" i="141"/>
  <c r="AJ108" i="141"/>
  <c r="AL107" i="141"/>
  <c r="AK107" i="141"/>
  <c r="AJ107" i="141"/>
  <c r="AL106" i="141"/>
  <c r="AK106" i="141"/>
  <c r="AJ106" i="141"/>
  <c r="AL105" i="141"/>
  <c r="AK105" i="141"/>
  <c r="AJ105" i="141"/>
  <c r="AL104" i="141"/>
  <c r="AK104" i="141"/>
  <c r="AJ104" i="141"/>
  <c r="AL103" i="141"/>
  <c r="AK103" i="141"/>
  <c r="AJ103" i="141"/>
  <c r="AL102" i="141"/>
  <c r="AK102" i="141"/>
  <c r="AJ102" i="141"/>
  <c r="AL101" i="141"/>
  <c r="AK101" i="141"/>
  <c r="AJ101" i="141"/>
  <c r="AL100" i="141"/>
  <c r="AK100" i="141"/>
  <c r="AJ100" i="141"/>
  <c r="AL99" i="141"/>
  <c r="AK99" i="141"/>
  <c r="AJ99" i="141"/>
  <c r="AL98" i="141"/>
  <c r="AK98" i="141"/>
  <c r="AJ98" i="141"/>
  <c r="AL97" i="141"/>
  <c r="AK97" i="141"/>
  <c r="AJ97" i="141"/>
  <c r="AL96" i="141"/>
  <c r="AK96" i="141"/>
  <c r="AJ96" i="141"/>
  <c r="AL95" i="141"/>
  <c r="AK95" i="141"/>
  <c r="AJ95" i="141"/>
  <c r="AL94" i="141"/>
  <c r="AK94" i="141"/>
  <c r="AJ94" i="141"/>
  <c r="AL93" i="141"/>
  <c r="AK93" i="141"/>
  <c r="AJ93" i="141"/>
  <c r="AL92" i="141"/>
  <c r="AK92" i="141"/>
  <c r="AJ92" i="141"/>
  <c r="AL91" i="141"/>
  <c r="AK91" i="141"/>
  <c r="AJ91" i="141"/>
  <c r="AL90" i="141"/>
  <c r="AK90" i="141"/>
  <c r="AJ90" i="141"/>
  <c r="AL89" i="141"/>
  <c r="AK89" i="141"/>
  <c r="AJ89" i="141"/>
  <c r="AL88" i="141"/>
  <c r="AK88" i="141"/>
  <c r="AJ88" i="141"/>
  <c r="AL87" i="141"/>
  <c r="AK87" i="141"/>
  <c r="AJ87" i="141"/>
  <c r="AL86" i="141"/>
  <c r="AK86" i="141"/>
  <c r="AJ86" i="141"/>
  <c r="AL85" i="141"/>
  <c r="AK85" i="141"/>
  <c r="AJ85" i="141"/>
  <c r="AL84" i="141"/>
  <c r="AK84" i="141"/>
  <c r="AJ84" i="141"/>
  <c r="AL83" i="141"/>
  <c r="AK83" i="141"/>
  <c r="AJ83" i="141"/>
  <c r="AL82" i="141"/>
  <c r="AK82" i="141"/>
  <c r="AJ82" i="141"/>
  <c r="AL81" i="141"/>
  <c r="AK81" i="141"/>
  <c r="AJ81" i="141"/>
  <c r="AL80" i="141"/>
  <c r="AK80" i="141"/>
  <c r="AJ80" i="141"/>
  <c r="AL79" i="141"/>
  <c r="AK79" i="141"/>
  <c r="AJ79" i="141"/>
  <c r="AL78" i="141"/>
  <c r="AK78" i="141"/>
  <c r="AJ78" i="141"/>
  <c r="AL77" i="141"/>
  <c r="AK77" i="141"/>
  <c r="AJ77" i="141"/>
  <c r="AL76" i="141"/>
  <c r="AK76" i="141"/>
  <c r="AJ76" i="141"/>
  <c r="AL75" i="141"/>
  <c r="AK75" i="141"/>
  <c r="AJ75" i="141"/>
  <c r="AL74" i="141"/>
  <c r="AK74" i="141"/>
  <c r="AJ74" i="141"/>
  <c r="AL73" i="141"/>
  <c r="AK73" i="141"/>
  <c r="AJ73" i="141"/>
  <c r="AL72" i="141"/>
  <c r="AK72" i="141"/>
  <c r="AJ72" i="141"/>
  <c r="AL71" i="141"/>
  <c r="AK71" i="141"/>
  <c r="AJ71" i="141"/>
  <c r="AL70" i="141"/>
  <c r="AK70" i="141"/>
  <c r="AJ70" i="141"/>
  <c r="AL69" i="141"/>
  <c r="AK69" i="141"/>
  <c r="AJ69" i="141"/>
  <c r="AL68" i="141"/>
  <c r="AK68" i="141"/>
  <c r="AJ68" i="141"/>
  <c r="AL67" i="141"/>
  <c r="AK67" i="141"/>
  <c r="AJ67" i="141"/>
  <c r="AL66" i="141"/>
  <c r="AK66" i="141"/>
  <c r="AJ66" i="141"/>
  <c r="AL65" i="141"/>
  <c r="AK65" i="141"/>
  <c r="AJ65" i="141"/>
  <c r="AL64" i="141"/>
  <c r="AK64" i="141"/>
  <c r="AJ64" i="141"/>
  <c r="AL63" i="141"/>
  <c r="AK63" i="141"/>
  <c r="AJ63" i="141"/>
  <c r="AL62" i="141"/>
  <c r="AK62" i="141"/>
  <c r="AJ62" i="141"/>
  <c r="AL61" i="141"/>
  <c r="AK61" i="141"/>
  <c r="AJ61" i="141"/>
  <c r="AL60" i="141"/>
  <c r="AK60" i="141"/>
  <c r="AJ60" i="141"/>
  <c r="AL59" i="141"/>
  <c r="AK59" i="141"/>
  <c r="AJ59" i="141"/>
  <c r="AL58" i="141"/>
  <c r="AK58" i="141"/>
  <c r="AJ58" i="141"/>
  <c r="AL57" i="141"/>
  <c r="AK57" i="141"/>
  <c r="AJ57" i="141"/>
  <c r="AL56" i="141"/>
  <c r="AK56" i="141"/>
  <c r="AJ56" i="141"/>
  <c r="AL55" i="141"/>
  <c r="AK55" i="141"/>
  <c r="AJ55" i="141"/>
  <c r="AL54" i="141"/>
  <c r="AK54" i="141"/>
  <c r="AJ54" i="141"/>
  <c r="AL53" i="141"/>
  <c r="AK53" i="141"/>
  <c r="AJ53" i="141"/>
  <c r="AL52" i="141"/>
  <c r="AK52" i="141"/>
  <c r="AJ52" i="141"/>
  <c r="AL51" i="141"/>
  <c r="AK51" i="141"/>
  <c r="AJ51" i="141"/>
  <c r="AL50" i="141"/>
  <c r="AK50" i="141"/>
  <c r="AJ50" i="141"/>
  <c r="AL49" i="141"/>
  <c r="AK49" i="141"/>
  <c r="AJ49" i="141"/>
  <c r="AL48" i="141"/>
  <c r="AK48" i="141"/>
  <c r="AJ48" i="141"/>
  <c r="AL47" i="141"/>
  <c r="AK47" i="141"/>
  <c r="AJ47" i="141"/>
  <c r="AL46" i="141"/>
  <c r="AK46" i="141"/>
  <c r="AJ46" i="141"/>
  <c r="AL45" i="141"/>
  <c r="AK45" i="141"/>
  <c r="AJ45" i="141"/>
  <c r="AL44" i="141"/>
  <c r="AK44" i="141"/>
  <c r="AJ44" i="141"/>
  <c r="AL43" i="141"/>
  <c r="AK43" i="141"/>
  <c r="AJ43" i="141"/>
  <c r="AL42" i="141"/>
  <c r="AK42" i="141"/>
  <c r="AJ42" i="141"/>
  <c r="AL41" i="141"/>
  <c r="AK41" i="141"/>
  <c r="AJ41" i="141"/>
  <c r="AL40" i="141"/>
  <c r="AK40" i="141"/>
  <c r="AJ40" i="141"/>
  <c r="AL39" i="141"/>
  <c r="AK39" i="141"/>
  <c r="AJ39" i="141"/>
  <c r="AL38" i="141"/>
  <c r="AK38" i="141"/>
  <c r="AJ38" i="141"/>
  <c r="AL37" i="141"/>
  <c r="AK37" i="141"/>
  <c r="AJ37" i="141"/>
  <c r="AL36" i="141"/>
  <c r="AK36" i="141"/>
  <c r="AJ36" i="141"/>
  <c r="AL35" i="141"/>
  <c r="AK35" i="141"/>
  <c r="AJ35" i="141"/>
  <c r="AL34" i="141"/>
  <c r="AK34" i="141"/>
  <c r="AJ34" i="141"/>
  <c r="AL33" i="141"/>
  <c r="AK33" i="141"/>
  <c r="AJ33" i="141"/>
  <c r="AL32" i="141"/>
  <c r="AK32" i="141"/>
  <c r="AJ32" i="141"/>
  <c r="AL31" i="141"/>
  <c r="AK31" i="141"/>
  <c r="AJ31" i="141"/>
  <c r="AL30" i="141"/>
  <c r="AK30" i="141"/>
  <c r="AJ30" i="141"/>
  <c r="AL29" i="141"/>
  <c r="AK29" i="141"/>
  <c r="AJ29" i="141"/>
  <c r="AL28" i="141"/>
  <c r="AK28" i="141"/>
  <c r="AJ28" i="141"/>
  <c r="AL27" i="141"/>
  <c r="AK27" i="141"/>
  <c r="AJ27" i="141"/>
  <c r="AL26" i="141"/>
  <c r="AK26" i="141"/>
  <c r="AJ26" i="141"/>
  <c r="AL25" i="141"/>
  <c r="AK25" i="141"/>
  <c r="AJ25" i="141"/>
  <c r="AL24" i="141"/>
  <c r="AK24" i="141"/>
  <c r="AJ24" i="141"/>
  <c r="AL23" i="141"/>
  <c r="AK23" i="141"/>
  <c r="AJ23" i="141"/>
  <c r="AL22" i="141"/>
  <c r="AK22" i="141"/>
  <c r="AJ22" i="141"/>
  <c r="AL21" i="141"/>
  <c r="AK21" i="141"/>
  <c r="AJ21" i="141"/>
  <c r="AL20" i="141"/>
  <c r="AK20" i="141"/>
  <c r="AJ20" i="141"/>
  <c r="AL19" i="141"/>
  <c r="AK19" i="141"/>
  <c r="AJ19" i="141"/>
  <c r="AL18" i="141"/>
  <c r="AK18" i="141"/>
  <c r="AJ18" i="141"/>
  <c r="AL17" i="141"/>
  <c r="AK17" i="141"/>
  <c r="AJ17" i="141"/>
  <c r="AL16" i="141"/>
  <c r="AK16" i="141"/>
  <c r="AJ16" i="141"/>
  <c r="AL15" i="141"/>
  <c r="AK15" i="141"/>
  <c r="AJ15" i="141"/>
  <c r="AL14" i="141"/>
  <c r="AK14" i="141"/>
  <c r="AJ14" i="141"/>
  <c r="AL13" i="141"/>
  <c r="AK13" i="141"/>
  <c r="AJ13" i="141"/>
  <c r="AL12" i="141"/>
  <c r="AK12" i="141"/>
  <c r="AJ12" i="141"/>
  <c r="AL11" i="141"/>
  <c r="AK11" i="141"/>
  <c r="AJ11" i="141"/>
  <c r="AL10" i="141"/>
  <c r="AK10" i="141"/>
  <c r="AJ10" i="141"/>
  <c r="AL9" i="141"/>
  <c r="AK9" i="141"/>
  <c r="AJ9" i="141"/>
  <c r="AL8" i="141"/>
  <c r="AK8" i="141"/>
  <c r="AJ8" i="141"/>
  <c r="AL7" i="141"/>
  <c r="AK7" i="141"/>
  <c r="AJ7" i="141"/>
  <c r="AI6" i="141"/>
  <c r="AH6" i="141"/>
  <c r="AG6" i="141"/>
  <c r="AF6" i="141"/>
  <c r="AE126" i="141"/>
  <c r="AD126" i="141"/>
  <c r="AC126" i="141"/>
  <c r="AE125" i="141"/>
  <c r="AD125" i="141"/>
  <c r="AC125" i="141"/>
  <c r="AE124" i="141"/>
  <c r="AD124" i="141"/>
  <c r="AC124" i="141"/>
  <c r="AE123" i="141"/>
  <c r="AD123" i="141"/>
  <c r="AC123" i="141"/>
  <c r="AE122" i="141"/>
  <c r="AD122" i="141"/>
  <c r="AC122" i="141"/>
  <c r="AE121" i="141"/>
  <c r="AD121" i="141"/>
  <c r="AC121" i="141"/>
  <c r="AE120" i="141"/>
  <c r="AD120" i="141"/>
  <c r="AC120" i="141"/>
  <c r="AE119" i="141"/>
  <c r="AD119" i="141"/>
  <c r="AC119" i="141"/>
  <c r="AE118" i="141"/>
  <c r="AD118" i="141"/>
  <c r="AC118" i="141"/>
  <c r="AE117" i="141"/>
  <c r="AD117" i="141"/>
  <c r="AC117" i="141"/>
  <c r="AE116" i="141"/>
  <c r="AD116" i="141"/>
  <c r="AC116" i="141"/>
  <c r="AE115" i="141"/>
  <c r="AD115" i="141"/>
  <c r="AC115" i="141"/>
  <c r="AE114" i="141"/>
  <c r="AD114" i="141"/>
  <c r="AC114" i="141"/>
  <c r="AE113" i="141"/>
  <c r="AD113" i="141"/>
  <c r="AC113" i="141"/>
  <c r="AE112" i="141"/>
  <c r="AD112" i="141"/>
  <c r="AC112" i="141"/>
  <c r="AE111" i="141"/>
  <c r="AD111" i="141"/>
  <c r="AC111" i="141"/>
  <c r="AE110" i="141"/>
  <c r="AD110" i="141"/>
  <c r="AC110" i="141"/>
  <c r="AE109" i="141"/>
  <c r="AD109" i="141"/>
  <c r="AC109" i="141"/>
  <c r="AE108" i="141"/>
  <c r="AD108" i="141"/>
  <c r="AC108" i="141"/>
  <c r="AE107" i="141"/>
  <c r="AD107" i="141"/>
  <c r="AC107" i="141"/>
  <c r="AE106" i="141"/>
  <c r="AD106" i="141"/>
  <c r="AC106" i="141"/>
  <c r="AE105" i="141"/>
  <c r="AD105" i="141"/>
  <c r="AC105" i="141"/>
  <c r="AE104" i="141"/>
  <c r="AD104" i="141"/>
  <c r="AC104" i="141"/>
  <c r="AE103" i="141"/>
  <c r="AD103" i="141"/>
  <c r="AC103" i="141"/>
  <c r="AE102" i="141"/>
  <c r="AD102" i="141"/>
  <c r="AC102" i="141"/>
  <c r="AE101" i="141"/>
  <c r="AD101" i="141"/>
  <c r="AC101" i="141"/>
  <c r="AE100" i="141"/>
  <c r="AD100" i="141"/>
  <c r="AC100" i="141"/>
  <c r="AE99" i="141"/>
  <c r="AD99" i="141"/>
  <c r="AC99" i="141"/>
  <c r="AE98" i="141"/>
  <c r="AD98" i="141"/>
  <c r="AC98" i="141"/>
  <c r="AE97" i="141"/>
  <c r="AD97" i="141"/>
  <c r="AC97" i="141"/>
  <c r="AE96" i="141"/>
  <c r="AD96" i="141"/>
  <c r="AC96" i="141"/>
  <c r="AE95" i="141"/>
  <c r="AD95" i="141"/>
  <c r="AC95" i="141"/>
  <c r="AE94" i="141"/>
  <c r="AD94" i="141"/>
  <c r="AC94" i="141"/>
  <c r="AE93" i="141"/>
  <c r="AD93" i="141"/>
  <c r="AC93" i="141"/>
  <c r="AE92" i="141"/>
  <c r="AD92" i="141"/>
  <c r="AC92" i="141"/>
  <c r="AE91" i="141"/>
  <c r="AD91" i="141"/>
  <c r="AC91" i="141"/>
  <c r="AE90" i="141"/>
  <c r="AD90" i="141"/>
  <c r="AC90" i="141"/>
  <c r="AE89" i="141"/>
  <c r="AD89" i="141"/>
  <c r="AC89" i="141"/>
  <c r="AE88" i="141"/>
  <c r="AD88" i="141"/>
  <c r="AC88" i="141"/>
  <c r="AE87" i="141"/>
  <c r="AD87" i="141"/>
  <c r="AC87" i="141"/>
  <c r="AE86" i="141"/>
  <c r="AD86" i="141"/>
  <c r="AC86" i="141"/>
  <c r="AE85" i="141"/>
  <c r="AD85" i="141"/>
  <c r="AC85" i="141"/>
  <c r="AE84" i="141"/>
  <c r="AD84" i="141"/>
  <c r="AC84" i="141"/>
  <c r="AE83" i="141"/>
  <c r="AD83" i="141"/>
  <c r="AC83" i="141"/>
  <c r="AE82" i="141"/>
  <c r="AD82" i="141"/>
  <c r="AC82" i="141"/>
  <c r="AE81" i="141"/>
  <c r="AD81" i="141"/>
  <c r="AC81" i="141"/>
  <c r="AE80" i="141"/>
  <c r="AD80" i="141"/>
  <c r="AC80" i="141"/>
  <c r="AE79" i="141"/>
  <c r="AD79" i="141"/>
  <c r="AC79" i="141"/>
  <c r="AE78" i="141"/>
  <c r="AD78" i="141"/>
  <c r="AC78" i="141"/>
  <c r="AE77" i="141"/>
  <c r="AD77" i="141"/>
  <c r="AC77" i="141"/>
  <c r="AE76" i="141"/>
  <c r="AD76" i="141"/>
  <c r="AC76" i="141"/>
  <c r="AE75" i="141"/>
  <c r="AD75" i="141"/>
  <c r="AC75" i="141"/>
  <c r="AE74" i="141"/>
  <c r="AD74" i="141"/>
  <c r="AC74" i="141"/>
  <c r="AE73" i="141"/>
  <c r="AD73" i="141"/>
  <c r="AC73" i="141"/>
  <c r="AE72" i="141"/>
  <c r="AD72" i="141"/>
  <c r="AC72" i="141"/>
  <c r="AE71" i="141"/>
  <c r="AD71" i="141"/>
  <c r="AC71" i="141"/>
  <c r="AE70" i="141"/>
  <c r="AD70" i="141"/>
  <c r="AC70" i="141"/>
  <c r="AE69" i="141"/>
  <c r="AD69" i="141"/>
  <c r="AC69" i="141"/>
  <c r="AE68" i="141"/>
  <c r="AD68" i="141"/>
  <c r="AC68" i="141"/>
  <c r="AE67" i="141"/>
  <c r="AD67" i="141"/>
  <c r="AC67" i="141"/>
  <c r="AE66" i="141"/>
  <c r="AD66" i="141"/>
  <c r="AC66" i="141"/>
  <c r="AE65" i="141"/>
  <c r="AD65" i="141"/>
  <c r="AC65" i="141"/>
  <c r="AE64" i="141"/>
  <c r="AD64" i="141"/>
  <c r="AC64" i="141"/>
  <c r="AE63" i="141"/>
  <c r="AD63" i="141"/>
  <c r="AC63" i="141"/>
  <c r="AE62" i="141"/>
  <c r="AD62" i="141"/>
  <c r="AC62" i="141"/>
  <c r="AE61" i="141"/>
  <c r="AD61" i="141"/>
  <c r="AC61" i="141"/>
  <c r="AE60" i="141"/>
  <c r="AD60" i="141"/>
  <c r="AC60" i="141"/>
  <c r="AE59" i="141"/>
  <c r="AD59" i="141"/>
  <c r="AC59" i="141"/>
  <c r="AE58" i="141"/>
  <c r="AD58" i="141"/>
  <c r="AC58" i="141"/>
  <c r="AE57" i="141"/>
  <c r="AD57" i="141"/>
  <c r="AC57" i="141"/>
  <c r="AE56" i="141"/>
  <c r="AD56" i="141"/>
  <c r="AC56" i="141"/>
  <c r="AE55" i="141"/>
  <c r="AD55" i="141"/>
  <c r="AC55" i="141"/>
  <c r="AE54" i="141"/>
  <c r="AD54" i="141"/>
  <c r="AC54" i="141"/>
  <c r="AE53" i="141"/>
  <c r="AD53" i="141"/>
  <c r="AC53" i="141"/>
  <c r="AE52" i="141"/>
  <c r="AD52" i="141"/>
  <c r="AC52" i="141"/>
  <c r="AE51" i="141"/>
  <c r="AD51" i="141"/>
  <c r="AC51" i="141"/>
  <c r="AE50" i="141"/>
  <c r="AD50" i="141"/>
  <c r="AC50" i="141"/>
  <c r="AE49" i="141"/>
  <c r="AD49" i="141"/>
  <c r="AC49" i="141"/>
  <c r="AE48" i="141"/>
  <c r="AD48" i="141"/>
  <c r="AC48" i="141"/>
  <c r="AE47" i="141"/>
  <c r="AD47" i="141"/>
  <c r="AC47" i="141"/>
  <c r="AE46" i="141"/>
  <c r="AD46" i="141"/>
  <c r="AC46" i="141"/>
  <c r="AE45" i="141"/>
  <c r="AD45" i="141"/>
  <c r="AC45" i="141"/>
  <c r="AE44" i="141"/>
  <c r="AD44" i="141"/>
  <c r="AC44" i="141"/>
  <c r="AE43" i="141"/>
  <c r="AD43" i="141"/>
  <c r="AC43" i="141"/>
  <c r="AE42" i="141"/>
  <c r="AD42" i="141"/>
  <c r="AC42" i="141"/>
  <c r="AE41" i="141"/>
  <c r="AD41" i="141"/>
  <c r="AC41" i="141"/>
  <c r="AE40" i="141"/>
  <c r="AD40" i="141"/>
  <c r="AC40" i="141"/>
  <c r="AE39" i="141"/>
  <c r="AD39" i="141"/>
  <c r="AC39" i="141"/>
  <c r="AE38" i="141"/>
  <c r="AD38" i="141"/>
  <c r="AC38" i="141"/>
  <c r="AE37" i="141"/>
  <c r="AD37" i="141"/>
  <c r="AC37" i="141"/>
  <c r="AE36" i="141"/>
  <c r="AD36" i="141"/>
  <c r="AC36" i="141"/>
  <c r="AE35" i="141"/>
  <c r="AD35" i="141"/>
  <c r="AC35" i="141"/>
  <c r="AE34" i="141"/>
  <c r="AD34" i="141"/>
  <c r="AC34" i="141"/>
  <c r="AE33" i="141"/>
  <c r="AD33" i="141"/>
  <c r="AC33" i="141"/>
  <c r="AE32" i="141"/>
  <c r="AD32" i="141"/>
  <c r="AC32" i="141"/>
  <c r="AE31" i="141"/>
  <c r="AD31" i="141"/>
  <c r="AC31" i="141"/>
  <c r="AE30" i="141"/>
  <c r="AD30" i="141"/>
  <c r="AC30" i="141"/>
  <c r="AE29" i="141"/>
  <c r="AD29" i="141"/>
  <c r="AC29" i="141"/>
  <c r="AE28" i="141"/>
  <c r="AD28" i="141"/>
  <c r="AC28" i="141"/>
  <c r="AE27" i="141"/>
  <c r="AD27" i="141"/>
  <c r="AC27" i="141"/>
  <c r="AE26" i="141"/>
  <c r="AD26" i="141"/>
  <c r="AC26" i="141"/>
  <c r="AE25" i="141"/>
  <c r="AD25" i="141"/>
  <c r="AC25" i="141"/>
  <c r="AE24" i="141"/>
  <c r="AD24" i="141"/>
  <c r="AC24" i="141"/>
  <c r="AE23" i="141"/>
  <c r="AD23" i="141"/>
  <c r="AC23" i="141"/>
  <c r="AE22" i="141"/>
  <c r="AD22" i="141"/>
  <c r="AC22" i="141"/>
  <c r="AE21" i="141"/>
  <c r="AD21" i="141"/>
  <c r="AC21" i="141"/>
  <c r="AE20" i="141"/>
  <c r="AD20" i="141"/>
  <c r="AC20" i="141"/>
  <c r="AE19" i="141"/>
  <c r="AD19" i="141"/>
  <c r="AC19" i="141"/>
  <c r="AE18" i="141"/>
  <c r="AD18" i="141"/>
  <c r="AC18" i="141"/>
  <c r="AE17" i="141"/>
  <c r="AD17" i="141"/>
  <c r="AC17" i="141"/>
  <c r="AE16" i="141"/>
  <c r="AD16" i="141"/>
  <c r="AC16" i="141"/>
  <c r="AE15" i="141"/>
  <c r="AD15" i="141"/>
  <c r="AC15" i="141"/>
  <c r="AE14" i="141"/>
  <c r="AD14" i="141"/>
  <c r="AC14" i="141"/>
  <c r="AE13" i="141"/>
  <c r="AD13" i="141"/>
  <c r="AC13" i="141"/>
  <c r="AE12" i="141"/>
  <c r="AD12" i="141"/>
  <c r="AC12" i="141"/>
  <c r="AE11" i="141"/>
  <c r="AD11" i="141"/>
  <c r="AC11" i="141"/>
  <c r="AE10" i="141"/>
  <c r="AD10" i="141"/>
  <c r="AC10" i="141"/>
  <c r="AE9" i="141"/>
  <c r="AD9" i="141"/>
  <c r="AC9" i="141"/>
  <c r="AE8" i="141"/>
  <c r="AD8" i="141"/>
  <c r="AC8" i="141"/>
  <c r="AE7" i="141"/>
  <c r="AD7" i="141"/>
  <c r="AC7" i="141"/>
  <c r="AB6" i="141"/>
  <c r="AA6" i="141"/>
  <c r="AD6" i="141" s="1"/>
  <c r="Z6" i="141"/>
  <c r="Y6" i="141"/>
  <c r="X126" i="141"/>
  <c r="W126" i="141"/>
  <c r="V126" i="141"/>
  <c r="X125" i="141"/>
  <c r="W125" i="141"/>
  <c r="V125" i="141"/>
  <c r="X124" i="141"/>
  <c r="W124" i="141"/>
  <c r="V124" i="141"/>
  <c r="X123" i="141"/>
  <c r="W123" i="141"/>
  <c r="V123" i="141"/>
  <c r="X122" i="141"/>
  <c r="W122" i="141"/>
  <c r="V122" i="141"/>
  <c r="X121" i="141"/>
  <c r="W121" i="141"/>
  <c r="V121" i="141"/>
  <c r="X120" i="141"/>
  <c r="W120" i="141"/>
  <c r="V120" i="141"/>
  <c r="X119" i="141"/>
  <c r="W119" i="141"/>
  <c r="V119" i="141"/>
  <c r="X118" i="141"/>
  <c r="W118" i="141"/>
  <c r="V118" i="141"/>
  <c r="X117" i="141"/>
  <c r="W117" i="141"/>
  <c r="V117" i="141"/>
  <c r="X116" i="141"/>
  <c r="W116" i="141"/>
  <c r="V116" i="141"/>
  <c r="X115" i="141"/>
  <c r="W115" i="141"/>
  <c r="V115" i="141"/>
  <c r="X114" i="141"/>
  <c r="W114" i="141"/>
  <c r="V114" i="141"/>
  <c r="X113" i="141"/>
  <c r="W113" i="141"/>
  <c r="V113" i="141"/>
  <c r="X112" i="141"/>
  <c r="W112" i="141"/>
  <c r="V112" i="141"/>
  <c r="X111" i="141"/>
  <c r="W111" i="141"/>
  <c r="V111" i="141"/>
  <c r="X110" i="141"/>
  <c r="W110" i="141"/>
  <c r="V110" i="141"/>
  <c r="X109" i="141"/>
  <c r="W109" i="141"/>
  <c r="V109" i="141"/>
  <c r="X108" i="141"/>
  <c r="W108" i="141"/>
  <c r="V108" i="141"/>
  <c r="X107" i="141"/>
  <c r="W107" i="141"/>
  <c r="V107" i="141"/>
  <c r="X106" i="141"/>
  <c r="W106" i="141"/>
  <c r="V106" i="141"/>
  <c r="X105" i="141"/>
  <c r="W105" i="141"/>
  <c r="V105" i="141"/>
  <c r="X104" i="141"/>
  <c r="W104" i="141"/>
  <c r="V104" i="141"/>
  <c r="X103" i="141"/>
  <c r="W103" i="141"/>
  <c r="V103" i="141"/>
  <c r="X102" i="141"/>
  <c r="W102" i="141"/>
  <c r="V102" i="141"/>
  <c r="X101" i="141"/>
  <c r="W101" i="141"/>
  <c r="V101" i="141"/>
  <c r="X100" i="141"/>
  <c r="W100" i="141"/>
  <c r="V100" i="141"/>
  <c r="X99" i="141"/>
  <c r="W99" i="141"/>
  <c r="V99" i="141"/>
  <c r="X98" i="141"/>
  <c r="W98" i="141"/>
  <c r="V98" i="141"/>
  <c r="X97" i="141"/>
  <c r="W97" i="141"/>
  <c r="V97" i="141"/>
  <c r="X96" i="141"/>
  <c r="W96" i="141"/>
  <c r="V96" i="141"/>
  <c r="X95" i="141"/>
  <c r="W95" i="141"/>
  <c r="V95" i="141"/>
  <c r="X94" i="141"/>
  <c r="W94" i="141"/>
  <c r="V94" i="141"/>
  <c r="X93" i="141"/>
  <c r="W93" i="141"/>
  <c r="V93" i="141"/>
  <c r="X92" i="141"/>
  <c r="W92" i="141"/>
  <c r="V92" i="141"/>
  <c r="X91" i="141"/>
  <c r="W91" i="141"/>
  <c r="V91" i="141"/>
  <c r="X90" i="141"/>
  <c r="W90" i="141"/>
  <c r="V90" i="141"/>
  <c r="X89" i="141"/>
  <c r="W89" i="141"/>
  <c r="V89" i="141"/>
  <c r="X88" i="141"/>
  <c r="W88" i="141"/>
  <c r="V88" i="141"/>
  <c r="X87" i="141"/>
  <c r="W87" i="141"/>
  <c r="V87" i="141"/>
  <c r="X86" i="141"/>
  <c r="W86" i="141"/>
  <c r="V86" i="141"/>
  <c r="X85" i="141"/>
  <c r="W85" i="141"/>
  <c r="V85" i="141"/>
  <c r="X84" i="141"/>
  <c r="W84" i="141"/>
  <c r="V84" i="141"/>
  <c r="X83" i="141"/>
  <c r="W83" i="141"/>
  <c r="V83" i="141"/>
  <c r="X82" i="141"/>
  <c r="W82" i="141"/>
  <c r="V82" i="141"/>
  <c r="X81" i="141"/>
  <c r="W81" i="141"/>
  <c r="V81" i="141"/>
  <c r="X80" i="141"/>
  <c r="W80" i="141"/>
  <c r="V80" i="141"/>
  <c r="X79" i="141"/>
  <c r="W79" i="141"/>
  <c r="V79" i="141"/>
  <c r="X78" i="141"/>
  <c r="W78" i="141"/>
  <c r="V78" i="141"/>
  <c r="X77" i="141"/>
  <c r="W77" i="141"/>
  <c r="V77" i="141"/>
  <c r="X76" i="141"/>
  <c r="W76" i="141"/>
  <c r="V76" i="141"/>
  <c r="X75" i="141"/>
  <c r="W75" i="141"/>
  <c r="V75" i="141"/>
  <c r="X74" i="141"/>
  <c r="W74" i="141"/>
  <c r="V74" i="141"/>
  <c r="X73" i="141"/>
  <c r="W73" i="141"/>
  <c r="V73" i="141"/>
  <c r="X72" i="141"/>
  <c r="W72" i="141"/>
  <c r="V72" i="141"/>
  <c r="X71" i="141"/>
  <c r="W71" i="141"/>
  <c r="V71" i="141"/>
  <c r="X70" i="141"/>
  <c r="W70" i="141"/>
  <c r="V70" i="141"/>
  <c r="X69" i="141"/>
  <c r="W69" i="141"/>
  <c r="V69" i="141"/>
  <c r="X68" i="141"/>
  <c r="W68" i="141"/>
  <c r="V68" i="141"/>
  <c r="X67" i="141"/>
  <c r="W67" i="141"/>
  <c r="V67" i="141"/>
  <c r="X66" i="141"/>
  <c r="W66" i="141"/>
  <c r="V66" i="141"/>
  <c r="X65" i="141"/>
  <c r="W65" i="141"/>
  <c r="V65" i="141"/>
  <c r="X64" i="141"/>
  <c r="W64" i="141"/>
  <c r="V64" i="141"/>
  <c r="X63" i="141"/>
  <c r="W63" i="141"/>
  <c r="V63" i="141"/>
  <c r="X62" i="141"/>
  <c r="W62" i="141"/>
  <c r="V62" i="141"/>
  <c r="X61" i="141"/>
  <c r="W61" i="141"/>
  <c r="V61" i="141"/>
  <c r="X60" i="141"/>
  <c r="W60" i="141"/>
  <c r="V60" i="141"/>
  <c r="X59" i="141"/>
  <c r="W59" i="141"/>
  <c r="V59" i="141"/>
  <c r="X58" i="141"/>
  <c r="W58" i="141"/>
  <c r="V58" i="141"/>
  <c r="X57" i="141"/>
  <c r="W57" i="141"/>
  <c r="V57" i="141"/>
  <c r="X56" i="141"/>
  <c r="W56" i="141"/>
  <c r="V56" i="141"/>
  <c r="X55" i="141"/>
  <c r="W55" i="141"/>
  <c r="V55" i="141"/>
  <c r="X54" i="141"/>
  <c r="W54" i="141"/>
  <c r="V54" i="141"/>
  <c r="X53" i="141"/>
  <c r="W53" i="141"/>
  <c r="V53" i="141"/>
  <c r="X52" i="141"/>
  <c r="W52" i="141"/>
  <c r="V52" i="141"/>
  <c r="X51" i="141"/>
  <c r="W51" i="141"/>
  <c r="V51" i="141"/>
  <c r="X50" i="141"/>
  <c r="W50" i="141"/>
  <c r="V50" i="141"/>
  <c r="X49" i="141"/>
  <c r="W49" i="141"/>
  <c r="V49" i="141"/>
  <c r="X48" i="141"/>
  <c r="W48" i="141"/>
  <c r="V48" i="141"/>
  <c r="X47" i="141"/>
  <c r="W47" i="141"/>
  <c r="V47" i="141"/>
  <c r="X46" i="141"/>
  <c r="W46" i="141"/>
  <c r="V46" i="141"/>
  <c r="X45" i="141"/>
  <c r="W45" i="141"/>
  <c r="V45" i="141"/>
  <c r="X44" i="141"/>
  <c r="W44" i="141"/>
  <c r="V44" i="141"/>
  <c r="X43" i="141"/>
  <c r="W43" i="141"/>
  <c r="V43" i="141"/>
  <c r="X42" i="141"/>
  <c r="W42" i="141"/>
  <c r="V42" i="141"/>
  <c r="X41" i="141"/>
  <c r="W41" i="141"/>
  <c r="V41" i="141"/>
  <c r="X40" i="141"/>
  <c r="W40" i="141"/>
  <c r="V40" i="141"/>
  <c r="X39" i="141"/>
  <c r="W39" i="141"/>
  <c r="V39" i="141"/>
  <c r="X38" i="141"/>
  <c r="W38" i="141"/>
  <c r="V38" i="141"/>
  <c r="X37" i="141"/>
  <c r="W37" i="141"/>
  <c r="V37" i="141"/>
  <c r="X36" i="141"/>
  <c r="W36" i="141"/>
  <c r="V36" i="141"/>
  <c r="X35" i="141"/>
  <c r="W35" i="141"/>
  <c r="V35" i="141"/>
  <c r="X34" i="141"/>
  <c r="W34" i="141"/>
  <c r="V34" i="141"/>
  <c r="X33" i="141"/>
  <c r="W33" i="141"/>
  <c r="V33" i="141"/>
  <c r="X32" i="141"/>
  <c r="W32" i="141"/>
  <c r="V32" i="141"/>
  <c r="X31" i="141"/>
  <c r="W31" i="141"/>
  <c r="V31" i="141"/>
  <c r="X30" i="141"/>
  <c r="W30" i="141"/>
  <c r="V30" i="141"/>
  <c r="X29" i="141"/>
  <c r="W29" i="141"/>
  <c r="V29" i="141"/>
  <c r="X28" i="141"/>
  <c r="W28" i="141"/>
  <c r="V28" i="141"/>
  <c r="X27" i="141"/>
  <c r="W27" i="141"/>
  <c r="V27" i="141"/>
  <c r="X26" i="141"/>
  <c r="W26" i="141"/>
  <c r="V26" i="141"/>
  <c r="X25" i="141"/>
  <c r="W25" i="141"/>
  <c r="V25" i="141"/>
  <c r="X24" i="141"/>
  <c r="W24" i="141"/>
  <c r="V24" i="141"/>
  <c r="X23" i="141"/>
  <c r="W23" i="141"/>
  <c r="V23" i="141"/>
  <c r="X22" i="141"/>
  <c r="W22" i="141"/>
  <c r="V22" i="141"/>
  <c r="X21" i="141"/>
  <c r="W21" i="141"/>
  <c r="V21" i="141"/>
  <c r="X20" i="141"/>
  <c r="W20" i="141"/>
  <c r="V20" i="141"/>
  <c r="X19" i="141"/>
  <c r="W19" i="141"/>
  <c r="V19" i="141"/>
  <c r="X18" i="141"/>
  <c r="W18" i="141"/>
  <c r="V18" i="141"/>
  <c r="X17" i="141"/>
  <c r="W17" i="141"/>
  <c r="V17" i="141"/>
  <c r="X16" i="141"/>
  <c r="W16" i="141"/>
  <c r="V16" i="141"/>
  <c r="X15" i="141"/>
  <c r="W15" i="141"/>
  <c r="V15" i="141"/>
  <c r="X14" i="141"/>
  <c r="W14" i="141"/>
  <c r="V14" i="141"/>
  <c r="X13" i="141"/>
  <c r="W13" i="141"/>
  <c r="V13" i="141"/>
  <c r="X12" i="141"/>
  <c r="W12" i="141"/>
  <c r="V12" i="141"/>
  <c r="X11" i="141"/>
  <c r="W11" i="141"/>
  <c r="V11" i="141"/>
  <c r="X10" i="141"/>
  <c r="W10" i="141"/>
  <c r="V10" i="141"/>
  <c r="X9" i="141"/>
  <c r="W9" i="141"/>
  <c r="V9" i="141"/>
  <c r="X8" i="141"/>
  <c r="W8" i="141"/>
  <c r="V8" i="141"/>
  <c r="X7" i="141"/>
  <c r="W7" i="141"/>
  <c r="V7" i="141"/>
  <c r="U6" i="141"/>
  <c r="T6" i="141"/>
  <c r="S6" i="141"/>
  <c r="R6" i="141"/>
  <c r="P126" i="141"/>
  <c r="O126" i="141"/>
  <c r="P125" i="141"/>
  <c r="O125" i="141"/>
  <c r="P124" i="141"/>
  <c r="O124" i="141"/>
  <c r="P123" i="141"/>
  <c r="O123" i="141"/>
  <c r="P122" i="141"/>
  <c r="O122" i="141"/>
  <c r="P121" i="141"/>
  <c r="O121" i="141"/>
  <c r="P120" i="141"/>
  <c r="O120" i="141"/>
  <c r="P119" i="141"/>
  <c r="O119" i="141"/>
  <c r="P118" i="141"/>
  <c r="O118" i="141"/>
  <c r="P117" i="141"/>
  <c r="O117" i="141"/>
  <c r="P116" i="141"/>
  <c r="O116" i="141"/>
  <c r="P115" i="141"/>
  <c r="O115" i="141"/>
  <c r="P114" i="141"/>
  <c r="O114" i="141"/>
  <c r="P113" i="141"/>
  <c r="O113" i="141"/>
  <c r="P112" i="141"/>
  <c r="O112" i="141"/>
  <c r="P111" i="141"/>
  <c r="O111" i="141"/>
  <c r="P110" i="141"/>
  <c r="O110" i="141"/>
  <c r="P109" i="141"/>
  <c r="O109" i="141"/>
  <c r="P108" i="141"/>
  <c r="O108" i="141"/>
  <c r="P107" i="141"/>
  <c r="O107" i="141"/>
  <c r="P106" i="141"/>
  <c r="O106" i="141"/>
  <c r="P105" i="141"/>
  <c r="O105" i="141"/>
  <c r="P104" i="141"/>
  <c r="O104" i="141"/>
  <c r="P103" i="141"/>
  <c r="O103" i="141"/>
  <c r="P102" i="141"/>
  <c r="O102" i="141"/>
  <c r="P101" i="141"/>
  <c r="O101" i="141"/>
  <c r="P100" i="141"/>
  <c r="O100" i="141"/>
  <c r="P99" i="141"/>
  <c r="O99" i="141"/>
  <c r="P98" i="141"/>
  <c r="O98" i="141"/>
  <c r="P97" i="141"/>
  <c r="O97" i="141"/>
  <c r="P96" i="141"/>
  <c r="O96" i="141"/>
  <c r="P95" i="141"/>
  <c r="O95" i="141"/>
  <c r="P94" i="141"/>
  <c r="O94" i="141"/>
  <c r="P93" i="141"/>
  <c r="O93" i="141"/>
  <c r="P92" i="141"/>
  <c r="O92" i="141"/>
  <c r="P91" i="141"/>
  <c r="O91" i="141"/>
  <c r="P90" i="141"/>
  <c r="O90" i="141"/>
  <c r="P89" i="141"/>
  <c r="O89" i="141"/>
  <c r="P88" i="141"/>
  <c r="O88" i="141"/>
  <c r="P87" i="141"/>
  <c r="O87" i="141"/>
  <c r="P86" i="141"/>
  <c r="O86" i="141"/>
  <c r="P85" i="141"/>
  <c r="O85" i="141"/>
  <c r="P84" i="141"/>
  <c r="O84" i="141"/>
  <c r="P83" i="141"/>
  <c r="O83" i="141"/>
  <c r="P82" i="141"/>
  <c r="O82" i="141"/>
  <c r="P81" i="141"/>
  <c r="O81" i="141"/>
  <c r="P80" i="141"/>
  <c r="O80" i="141"/>
  <c r="P79" i="141"/>
  <c r="O79" i="141"/>
  <c r="P78" i="141"/>
  <c r="O78" i="141"/>
  <c r="P77" i="141"/>
  <c r="O77" i="141"/>
  <c r="P76" i="141"/>
  <c r="O76" i="141"/>
  <c r="P75" i="141"/>
  <c r="O75" i="141"/>
  <c r="P74" i="141"/>
  <c r="O74" i="141"/>
  <c r="P73" i="141"/>
  <c r="O73" i="141"/>
  <c r="P72" i="141"/>
  <c r="O72" i="141"/>
  <c r="P71" i="141"/>
  <c r="O71" i="141"/>
  <c r="P70" i="141"/>
  <c r="O70" i="141"/>
  <c r="P69" i="141"/>
  <c r="O69" i="141"/>
  <c r="P68" i="141"/>
  <c r="O68" i="141"/>
  <c r="P67" i="141"/>
  <c r="O67" i="141"/>
  <c r="P66" i="141"/>
  <c r="O66" i="141"/>
  <c r="P65" i="141"/>
  <c r="O65" i="141"/>
  <c r="P64" i="141"/>
  <c r="O64" i="141"/>
  <c r="P63" i="141"/>
  <c r="O63" i="141"/>
  <c r="P62" i="141"/>
  <c r="O62" i="141"/>
  <c r="P61" i="141"/>
  <c r="O61" i="141"/>
  <c r="P60" i="141"/>
  <c r="O60" i="141"/>
  <c r="P59" i="141"/>
  <c r="O59" i="141"/>
  <c r="P58" i="141"/>
  <c r="O58" i="141"/>
  <c r="P57" i="141"/>
  <c r="O57" i="141"/>
  <c r="P56" i="141"/>
  <c r="O56" i="141"/>
  <c r="P55" i="141"/>
  <c r="O55" i="141"/>
  <c r="P54" i="141"/>
  <c r="O54" i="141"/>
  <c r="P53" i="141"/>
  <c r="O53" i="141"/>
  <c r="P52" i="141"/>
  <c r="O52" i="141"/>
  <c r="P51" i="141"/>
  <c r="O51" i="141"/>
  <c r="P50" i="141"/>
  <c r="O50" i="141"/>
  <c r="P49" i="141"/>
  <c r="O49" i="141"/>
  <c r="P48" i="141"/>
  <c r="O48" i="141"/>
  <c r="P47" i="141"/>
  <c r="O47" i="141"/>
  <c r="P46" i="141"/>
  <c r="O46" i="141"/>
  <c r="P45" i="141"/>
  <c r="O45" i="141"/>
  <c r="P44" i="141"/>
  <c r="O44" i="141"/>
  <c r="P43" i="141"/>
  <c r="O43" i="141"/>
  <c r="P42" i="141"/>
  <c r="O42" i="141"/>
  <c r="P41" i="141"/>
  <c r="O41" i="141"/>
  <c r="P40" i="141"/>
  <c r="O40" i="141"/>
  <c r="P39" i="141"/>
  <c r="O39" i="141"/>
  <c r="P38" i="141"/>
  <c r="O38" i="141"/>
  <c r="P37" i="141"/>
  <c r="O37" i="141"/>
  <c r="P36" i="141"/>
  <c r="O36" i="141"/>
  <c r="P35" i="141"/>
  <c r="O35" i="141"/>
  <c r="P34" i="141"/>
  <c r="O34" i="141"/>
  <c r="P33" i="141"/>
  <c r="O33" i="141"/>
  <c r="P32" i="141"/>
  <c r="O32" i="141"/>
  <c r="P31" i="141"/>
  <c r="O31" i="141"/>
  <c r="P30" i="141"/>
  <c r="O30" i="141"/>
  <c r="P29" i="141"/>
  <c r="O29" i="141"/>
  <c r="P28" i="141"/>
  <c r="O28" i="141"/>
  <c r="P27" i="141"/>
  <c r="O27" i="141"/>
  <c r="P26" i="141"/>
  <c r="O26" i="141"/>
  <c r="P25" i="141"/>
  <c r="O25" i="141"/>
  <c r="P24" i="141"/>
  <c r="O24" i="141"/>
  <c r="P23" i="141"/>
  <c r="O23" i="141"/>
  <c r="P22" i="141"/>
  <c r="O22" i="141"/>
  <c r="P21" i="141"/>
  <c r="O21" i="141"/>
  <c r="P20" i="141"/>
  <c r="O20" i="141"/>
  <c r="P19" i="141"/>
  <c r="O19" i="141"/>
  <c r="P18" i="141"/>
  <c r="O18" i="141"/>
  <c r="P17" i="141"/>
  <c r="O17" i="141"/>
  <c r="P16" i="141"/>
  <c r="O16" i="141"/>
  <c r="P15" i="141"/>
  <c r="O15" i="141"/>
  <c r="P14" i="141"/>
  <c r="O14" i="141"/>
  <c r="P13" i="141"/>
  <c r="O13" i="141"/>
  <c r="P12" i="141"/>
  <c r="O12" i="141"/>
  <c r="P11" i="141"/>
  <c r="O11" i="141"/>
  <c r="P10" i="141"/>
  <c r="O10" i="141"/>
  <c r="P9" i="141"/>
  <c r="O9" i="141"/>
  <c r="P8" i="141"/>
  <c r="O8" i="141"/>
  <c r="P7" i="141"/>
  <c r="O7" i="141"/>
  <c r="P6" i="141"/>
  <c r="O6" i="141"/>
  <c r="N6" i="141"/>
  <c r="M6" i="141"/>
  <c r="L6" i="141"/>
  <c r="K6" i="141"/>
  <c r="H7" i="141"/>
  <c r="I7" i="141"/>
  <c r="H8" i="141"/>
  <c r="I8" i="141"/>
  <c r="H9" i="141"/>
  <c r="I9" i="141"/>
  <c r="H10" i="141"/>
  <c r="I10" i="141"/>
  <c r="H11" i="141"/>
  <c r="I11" i="141"/>
  <c r="H12" i="141"/>
  <c r="I12" i="141"/>
  <c r="H13" i="141"/>
  <c r="I13" i="141"/>
  <c r="H14" i="141"/>
  <c r="I14" i="141"/>
  <c r="H15" i="141"/>
  <c r="I15" i="141"/>
  <c r="H16" i="141"/>
  <c r="I16" i="141"/>
  <c r="H17" i="141"/>
  <c r="I17" i="141"/>
  <c r="H18" i="141"/>
  <c r="I18" i="141"/>
  <c r="H19" i="141"/>
  <c r="I19" i="141"/>
  <c r="H20" i="141"/>
  <c r="I20" i="141"/>
  <c r="H21" i="141"/>
  <c r="I21" i="141"/>
  <c r="H22" i="141"/>
  <c r="I22" i="141"/>
  <c r="H23" i="141"/>
  <c r="I23" i="141"/>
  <c r="H24" i="141"/>
  <c r="I24" i="141"/>
  <c r="H25" i="141"/>
  <c r="I25" i="141"/>
  <c r="H26" i="141"/>
  <c r="I26" i="141"/>
  <c r="H27" i="141"/>
  <c r="I27" i="141"/>
  <c r="H28" i="141"/>
  <c r="I28" i="141"/>
  <c r="H29" i="141"/>
  <c r="I29" i="141"/>
  <c r="H30" i="141"/>
  <c r="I30" i="141"/>
  <c r="H31" i="141"/>
  <c r="I31" i="141"/>
  <c r="H32" i="141"/>
  <c r="I32" i="141"/>
  <c r="H33" i="141"/>
  <c r="I33" i="141"/>
  <c r="H34" i="141"/>
  <c r="I34" i="141"/>
  <c r="H35" i="141"/>
  <c r="I35" i="141"/>
  <c r="H36" i="141"/>
  <c r="I36" i="141"/>
  <c r="H37" i="141"/>
  <c r="I37" i="141"/>
  <c r="H38" i="141"/>
  <c r="I38" i="141"/>
  <c r="H39" i="141"/>
  <c r="I39" i="141"/>
  <c r="H40" i="141"/>
  <c r="I40" i="141"/>
  <c r="H41" i="141"/>
  <c r="I41" i="141"/>
  <c r="H42" i="141"/>
  <c r="I42" i="141"/>
  <c r="H43" i="141"/>
  <c r="I43" i="141"/>
  <c r="H44" i="141"/>
  <c r="I44" i="141"/>
  <c r="H45" i="141"/>
  <c r="I45" i="141"/>
  <c r="H46" i="141"/>
  <c r="I46" i="141"/>
  <c r="H47" i="141"/>
  <c r="I47" i="141"/>
  <c r="H48" i="141"/>
  <c r="I48" i="141"/>
  <c r="H49" i="141"/>
  <c r="I49" i="141"/>
  <c r="H50" i="141"/>
  <c r="I50" i="141"/>
  <c r="H51" i="141"/>
  <c r="I51" i="141"/>
  <c r="H52" i="141"/>
  <c r="I52" i="141"/>
  <c r="H53" i="141"/>
  <c r="I53" i="141"/>
  <c r="H54" i="141"/>
  <c r="I54" i="141"/>
  <c r="H55" i="141"/>
  <c r="I55" i="141"/>
  <c r="H56" i="141"/>
  <c r="I56" i="141"/>
  <c r="H57" i="141"/>
  <c r="I57" i="141"/>
  <c r="H58" i="141"/>
  <c r="I58" i="141"/>
  <c r="H59" i="141"/>
  <c r="I59" i="141"/>
  <c r="H60" i="141"/>
  <c r="I60" i="141"/>
  <c r="H61" i="141"/>
  <c r="I61" i="141"/>
  <c r="H62" i="141"/>
  <c r="I62" i="141"/>
  <c r="H63" i="141"/>
  <c r="I63" i="141"/>
  <c r="H64" i="141"/>
  <c r="I64" i="141"/>
  <c r="H65" i="141"/>
  <c r="I65" i="141"/>
  <c r="H66" i="141"/>
  <c r="I66" i="141"/>
  <c r="H67" i="141"/>
  <c r="I67" i="141"/>
  <c r="H68" i="141"/>
  <c r="I68" i="141"/>
  <c r="H69" i="141"/>
  <c r="I69" i="141"/>
  <c r="H70" i="141"/>
  <c r="I70" i="141"/>
  <c r="H71" i="141"/>
  <c r="I71" i="141"/>
  <c r="H72" i="141"/>
  <c r="I72" i="141"/>
  <c r="H73" i="141"/>
  <c r="I73" i="141"/>
  <c r="H74" i="141"/>
  <c r="I74" i="141"/>
  <c r="H75" i="141"/>
  <c r="I75" i="141"/>
  <c r="H76" i="141"/>
  <c r="I76" i="141"/>
  <c r="H77" i="141"/>
  <c r="I77" i="141"/>
  <c r="H78" i="141"/>
  <c r="I78" i="141"/>
  <c r="H79" i="141"/>
  <c r="I79" i="141"/>
  <c r="H80" i="141"/>
  <c r="I80" i="141"/>
  <c r="H81" i="141"/>
  <c r="I81" i="141"/>
  <c r="H82" i="141"/>
  <c r="I82" i="141"/>
  <c r="H83" i="141"/>
  <c r="I83" i="141"/>
  <c r="H84" i="141"/>
  <c r="I84" i="141"/>
  <c r="H85" i="141"/>
  <c r="I85" i="141"/>
  <c r="H86" i="141"/>
  <c r="I86" i="141"/>
  <c r="H87" i="141"/>
  <c r="I87" i="141"/>
  <c r="H88" i="141"/>
  <c r="I88" i="141"/>
  <c r="H89" i="141"/>
  <c r="I89" i="141"/>
  <c r="H90" i="141"/>
  <c r="I90" i="141"/>
  <c r="H91" i="141"/>
  <c r="I91" i="141"/>
  <c r="H92" i="141"/>
  <c r="I92" i="141"/>
  <c r="H93" i="141"/>
  <c r="I93" i="141"/>
  <c r="H94" i="141"/>
  <c r="I94" i="141"/>
  <c r="H95" i="141"/>
  <c r="I95" i="141"/>
  <c r="H96" i="141"/>
  <c r="I96" i="141"/>
  <c r="H97" i="141"/>
  <c r="I97" i="141"/>
  <c r="H98" i="141"/>
  <c r="I98" i="141"/>
  <c r="H99" i="141"/>
  <c r="I99" i="141"/>
  <c r="H100" i="141"/>
  <c r="I100" i="141"/>
  <c r="H101" i="141"/>
  <c r="I101" i="141"/>
  <c r="H102" i="141"/>
  <c r="I102" i="141"/>
  <c r="H103" i="141"/>
  <c r="I103" i="141"/>
  <c r="H104" i="141"/>
  <c r="I104" i="141"/>
  <c r="H105" i="141"/>
  <c r="I105" i="141"/>
  <c r="H106" i="141"/>
  <c r="I106" i="141"/>
  <c r="H107" i="141"/>
  <c r="I107" i="141"/>
  <c r="H108" i="141"/>
  <c r="I108" i="141"/>
  <c r="H109" i="141"/>
  <c r="I109" i="141"/>
  <c r="H110" i="141"/>
  <c r="I110" i="141"/>
  <c r="H111" i="141"/>
  <c r="I111" i="141"/>
  <c r="H112" i="141"/>
  <c r="I112" i="141"/>
  <c r="H113" i="141"/>
  <c r="I113" i="141"/>
  <c r="H114" i="141"/>
  <c r="I114" i="141"/>
  <c r="H115" i="141"/>
  <c r="I115" i="141"/>
  <c r="H116" i="141"/>
  <c r="I116" i="141"/>
  <c r="H117" i="141"/>
  <c r="I117" i="141"/>
  <c r="H118" i="141"/>
  <c r="I118" i="141"/>
  <c r="H119" i="141"/>
  <c r="I119" i="141"/>
  <c r="H120" i="141"/>
  <c r="I120" i="141"/>
  <c r="H121" i="141"/>
  <c r="I121" i="141"/>
  <c r="H122" i="141"/>
  <c r="I122" i="141"/>
  <c r="H123" i="141"/>
  <c r="I123" i="141"/>
  <c r="H124" i="141"/>
  <c r="I124" i="141"/>
  <c r="H125" i="141"/>
  <c r="I125" i="141"/>
  <c r="H126" i="141"/>
  <c r="I126" i="141"/>
  <c r="I6" i="141"/>
  <c r="H6" i="141"/>
  <c r="E6" i="141"/>
  <c r="F6" i="141"/>
  <c r="G6" i="141"/>
  <c r="D6" i="141"/>
  <c r="AJ6" i="141" l="1"/>
  <c r="AK6" i="141"/>
  <c r="AL6" i="141"/>
  <c r="AC6" i="141"/>
  <c r="AE6" i="141"/>
  <c r="V6" i="141"/>
  <c r="W6" i="141"/>
  <c r="X6" i="141"/>
  <c r="O131" i="140"/>
  <c r="N131" i="140"/>
  <c r="M131" i="140"/>
  <c r="L131" i="140"/>
  <c r="O130" i="140"/>
  <c r="N130" i="140"/>
  <c r="M130" i="140"/>
  <c r="L130" i="140"/>
  <c r="O129" i="140"/>
  <c r="N129" i="140"/>
  <c r="M129" i="140"/>
  <c r="L129" i="140"/>
  <c r="O128" i="140"/>
  <c r="N128" i="140"/>
  <c r="M128" i="140"/>
  <c r="L128" i="140"/>
  <c r="O127" i="140"/>
  <c r="N127" i="140"/>
  <c r="M127" i="140"/>
  <c r="L127" i="140"/>
  <c r="O125" i="140"/>
  <c r="N125" i="140"/>
  <c r="M125" i="140"/>
  <c r="L125" i="140"/>
  <c r="O124" i="140"/>
  <c r="N124" i="140"/>
  <c r="M124" i="140"/>
  <c r="L124" i="140"/>
  <c r="O123" i="140"/>
  <c r="N123" i="140"/>
  <c r="M123" i="140"/>
  <c r="L123" i="140"/>
  <c r="O122" i="140"/>
  <c r="N122" i="140"/>
  <c r="M122" i="140"/>
  <c r="L122" i="140"/>
  <c r="O121" i="140"/>
  <c r="N121" i="140"/>
  <c r="M121" i="140"/>
  <c r="L121" i="140"/>
  <c r="O120" i="140"/>
  <c r="N120" i="140"/>
  <c r="M120" i="140"/>
  <c r="L120" i="140"/>
  <c r="O119" i="140"/>
  <c r="N119" i="140"/>
  <c r="M119" i="140"/>
  <c r="L119" i="140"/>
  <c r="O118" i="140"/>
  <c r="N118" i="140"/>
  <c r="M118" i="140"/>
  <c r="L118" i="140"/>
  <c r="O117" i="140"/>
  <c r="N117" i="140"/>
  <c r="M117" i="140"/>
  <c r="L117" i="140"/>
  <c r="O116" i="140"/>
  <c r="N116" i="140"/>
  <c r="M116" i="140"/>
  <c r="L116" i="140"/>
  <c r="O115" i="140"/>
  <c r="N115" i="140"/>
  <c r="M115" i="140"/>
  <c r="L115" i="140"/>
  <c r="O114" i="140"/>
  <c r="N114" i="140"/>
  <c r="M114" i="140"/>
  <c r="L114" i="140"/>
  <c r="O113" i="140"/>
  <c r="N113" i="140"/>
  <c r="M113" i="140"/>
  <c r="L113" i="140"/>
  <c r="O112" i="140"/>
  <c r="N112" i="140"/>
  <c r="M112" i="140"/>
  <c r="L112" i="140"/>
  <c r="O111" i="140"/>
  <c r="N111" i="140"/>
  <c r="M111" i="140"/>
  <c r="L111" i="140"/>
  <c r="O110" i="140"/>
  <c r="N110" i="140"/>
  <c r="M110" i="140"/>
  <c r="L110" i="140"/>
  <c r="O109" i="140"/>
  <c r="N109" i="140"/>
  <c r="M109" i="140"/>
  <c r="L109" i="140"/>
  <c r="O108" i="140"/>
  <c r="N108" i="140"/>
  <c r="M108" i="140"/>
  <c r="L108" i="140"/>
  <c r="O107" i="140"/>
  <c r="N107" i="140"/>
  <c r="M107" i="140"/>
  <c r="L107" i="140"/>
  <c r="O106" i="140"/>
  <c r="N106" i="140"/>
  <c r="M106" i="140"/>
  <c r="L106" i="140"/>
  <c r="O105" i="140"/>
  <c r="N105" i="140"/>
  <c r="M105" i="140"/>
  <c r="L105" i="140"/>
  <c r="O104" i="140"/>
  <c r="N104" i="140"/>
  <c r="M104" i="140"/>
  <c r="L104" i="140"/>
  <c r="O103" i="140"/>
  <c r="N103" i="140"/>
  <c r="M103" i="140"/>
  <c r="L103" i="140"/>
  <c r="O102" i="140"/>
  <c r="N102" i="140"/>
  <c r="M102" i="140"/>
  <c r="L102" i="140"/>
  <c r="O101" i="140"/>
  <c r="N101" i="140"/>
  <c r="M101" i="140"/>
  <c r="L101" i="140"/>
  <c r="O100" i="140"/>
  <c r="N100" i="140"/>
  <c r="M100" i="140"/>
  <c r="L100" i="140"/>
  <c r="O99" i="140"/>
  <c r="N99" i="140"/>
  <c r="M99" i="140"/>
  <c r="L99" i="140"/>
  <c r="O98" i="140"/>
  <c r="N98" i="140"/>
  <c r="M98" i="140"/>
  <c r="L98" i="140"/>
  <c r="O97" i="140"/>
  <c r="N97" i="140"/>
  <c r="M97" i="140"/>
  <c r="L97" i="140"/>
  <c r="O96" i="140"/>
  <c r="N96" i="140"/>
  <c r="M96" i="140"/>
  <c r="L96" i="140"/>
  <c r="O95" i="140"/>
  <c r="N95" i="140"/>
  <c r="M95" i="140"/>
  <c r="L95" i="140"/>
  <c r="O94" i="140"/>
  <c r="N94" i="140"/>
  <c r="M94" i="140"/>
  <c r="L94" i="140"/>
  <c r="O93" i="140"/>
  <c r="N93" i="140"/>
  <c r="M93" i="140"/>
  <c r="L93" i="140"/>
  <c r="O92" i="140"/>
  <c r="N92" i="140"/>
  <c r="M92" i="140"/>
  <c r="L92" i="140"/>
  <c r="O91" i="140"/>
  <c r="N91" i="140"/>
  <c r="M91" i="140"/>
  <c r="L91" i="140"/>
  <c r="O90" i="140"/>
  <c r="N90" i="140"/>
  <c r="M90" i="140"/>
  <c r="L90" i="140"/>
  <c r="O89" i="140"/>
  <c r="N89" i="140"/>
  <c r="M89" i="140"/>
  <c r="L89" i="140"/>
  <c r="O88" i="140"/>
  <c r="N88" i="140"/>
  <c r="M88" i="140"/>
  <c r="L88" i="140"/>
  <c r="O87" i="140"/>
  <c r="N87" i="140"/>
  <c r="M87" i="140"/>
  <c r="L87" i="140"/>
  <c r="O86" i="140"/>
  <c r="N86" i="140"/>
  <c r="M86" i="140"/>
  <c r="L86" i="140"/>
  <c r="O85" i="140"/>
  <c r="N85" i="140"/>
  <c r="M85" i="140"/>
  <c r="L85" i="140"/>
  <c r="O84" i="140"/>
  <c r="N84" i="140"/>
  <c r="M84" i="140"/>
  <c r="L84" i="140"/>
  <c r="O83" i="140"/>
  <c r="N83" i="140"/>
  <c r="M83" i="140"/>
  <c r="L83" i="140"/>
  <c r="O82" i="140"/>
  <c r="N82" i="140"/>
  <c r="M82" i="140"/>
  <c r="L82" i="140"/>
  <c r="O81" i="140"/>
  <c r="N81" i="140"/>
  <c r="M81" i="140"/>
  <c r="L81" i="140"/>
  <c r="O80" i="140"/>
  <c r="N80" i="140"/>
  <c r="M80" i="140"/>
  <c r="L80" i="140"/>
  <c r="O79" i="140"/>
  <c r="N79" i="140"/>
  <c r="M79" i="140"/>
  <c r="L79" i="140"/>
  <c r="O78" i="140"/>
  <c r="N78" i="140"/>
  <c r="M78" i="140"/>
  <c r="L78" i="140"/>
  <c r="O77" i="140"/>
  <c r="N77" i="140"/>
  <c r="M77" i="140"/>
  <c r="L77" i="140"/>
  <c r="O76" i="140"/>
  <c r="N76" i="140"/>
  <c r="M76" i="140"/>
  <c r="L76" i="140"/>
  <c r="O75" i="140"/>
  <c r="N75" i="140"/>
  <c r="M75" i="140"/>
  <c r="L75" i="140"/>
  <c r="O74" i="140"/>
  <c r="N74" i="140"/>
  <c r="M74" i="140"/>
  <c r="L74" i="140"/>
  <c r="O73" i="140"/>
  <c r="N73" i="140"/>
  <c r="M73" i="140"/>
  <c r="L73" i="140"/>
  <c r="O72" i="140"/>
  <c r="N72" i="140"/>
  <c r="M72" i="140"/>
  <c r="L72" i="140"/>
  <c r="O71" i="140"/>
  <c r="N71" i="140"/>
  <c r="M71" i="140"/>
  <c r="L71" i="140"/>
  <c r="O70" i="140"/>
  <c r="N70" i="140"/>
  <c r="M70" i="140"/>
  <c r="L70" i="140"/>
  <c r="O69" i="140"/>
  <c r="N69" i="140"/>
  <c r="M69" i="140"/>
  <c r="L69" i="140"/>
  <c r="O68" i="140"/>
  <c r="N68" i="140"/>
  <c r="M68" i="140"/>
  <c r="L68" i="140"/>
  <c r="O67" i="140"/>
  <c r="N67" i="140"/>
  <c r="M67" i="140"/>
  <c r="L67" i="140"/>
  <c r="O66" i="140"/>
  <c r="N66" i="140"/>
  <c r="M66" i="140"/>
  <c r="L66" i="140"/>
  <c r="O65" i="140"/>
  <c r="N65" i="140"/>
  <c r="M65" i="140"/>
  <c r="L65" i="140"/>
  <c r="O64" i="140"/>
  <c r="N64" i="140"/>
  <c r="M64" i="140"/>
  <c r="L64" i="140"/>
  <c r="O63" i="140"/>
  <c r="N63" i="140"/>
  <c r="M63" i="140"/>
  <c r="L63" i="140"/>
  <c r="O62" i="140"/>
  <c r="N62" i="140"/>
  <c r="M62" i="140"/>
  <c r="L62" i="140"/>
  <c r="O61" i="140"/>
  <c r="N61" i="140"/>
  <c r="M61" i="140"/>
  <c r="L61" i="140"/>
  <c r="O60" i="140"/>
  <c r="N60" i="140"/>
  <c r="M60" i="140"/>
  <c r="L60" i="140"/>
  <c r="O59" i="140"/>
  <c r="N59" i="140"/>
  <c r="M59" i="140"/>
  <c r="L59" i="140"/>
  <c r="O58" i="140"/>
  <c r="N58" i="140"/>
  <c r="M58" i="140"/>
  <c r="L58" i="140"/>
  <c r="O57" i="140"/>
  <c r="N57" i="140"/>
  <c r="M57" i="140"/>
  <c r="L57" i="140"/>
  <c r="O56" i="140"/>
  <c r="N56" i="140"/>
  <c r="M56" i="140"/>
  <c r="L56" i="140"/>
  <c r="O55" i="140"/>
  <c r="N55" i="140"/>
  <c r="M55" i="140"/>
  <c r="L55" i="140"/>
  <c r="O54" i="140"/>
  <c r="N54" i="140"/>
  <c r="M54" i="140"/>
  <c r="L54" i="140"/>
  <c r="O53" i="140"/>
  <c r="N53" i="140"/>
  <c r="M53" i="140"/>
  <c r="L53" i="140"/>
  <c r="O52" i="140"/>
  <c r="N52" i="140"/>
  <c r="M52" i="140"/>
  <c r="L52" i="140"/>
  <c r="O51" i="140"/>
  <c r="N51" i="140"/>
  <c r="M51" i="140"/>
  <c r="L51" i="140"/>
  <c r="O50" i="140"/>
  <c r="N50" i="140"/>
  <c r="M50" i="140"/>
  <c r="L50" i="140"/>
  <c r="O49" i="140"/>
  <c r="N49" i="140"/>
  <c r="M49" i="140"/>
  <c r="L49" i="140"/>
  <c r="O48" i="140"/>
  <c r="N48" i="140"/>
  <c r="M48" i="140"/>
  <c r="L48" i="140"/>
  <c r="O47" i="140"/>
  <c r="N47" i="140"/>
  <c r="M47" i="140"/>
  <c r="L47" i="140"/>
  <c r="O46" i="140"/>
  <c r="N46" i="140"/>
  <c r="M46" i="140"/>
  <c r="L46" i="140"/>
  <c r="O45" i="140"/>
  <c r="N45" i="140"/>
  <c r="M45" i="140"/>
  <c r="L45" i="140"/>
  <c r="O44" i="140"/>
  <c r="N44" i="140"/>
  <c r="M44" i="140"/>
  <c r="L44" i="140"/>
  <c r="O43" i="140"/>
  <c r="N43" i="140"/>
  <c r="M43" i="140"/>
  <c r="L43" i="140"/>
  <c r="O42" i="140"/>
  <c r="N42" i="140"/>
  <c r="M42" i="140"/>
  <c r="L42" i="140"/>
  <c r="O41" i="140"/>
  <c r="N41" i="140"/>
  <c r="M41" i="140"/>
  <c r="L41" i="140"/>
  <c r="O40" i="140"/>
  <c r="N40" i="140"/>
  <c r="M40" i="140"/>
  <c r="L40" i="140"/>
  <c r="O39" i="140"/>
  <c r="N39" i="140"/>
  <c r="M39" i="140"/>
  <c r="L39" i="140"/>
  <c r="O38" i="140"/>
  <c r="N38" i="140"/>
  <c r="M38" i="140"/>
  <c r="L38" i="140"/>
  <c r="O37" i="140"/>
  <c r="N37" i="140"/>
  <c r="M37" i="140"/>
  <c r="L37" i="140"/>
  <c r="O36" i="140"/>
  <c r="N36" i="140"/>
  <c r="M36" i="140"/>
  <c r="L36" i="140"/>
  <c r="O35" i="140"/>
  <c r="N35" i="140"/>
  <c r="M35" i="140"/>
  <c r="L35" i="140"/>
  <c r="O34" i="140"/>
  <c r="N34" i="140"/>
  <c r="M34" i="140"/>
  <c r="L34" i="140"/>
  <c r="O33" i="140"/>
  <c r="N33" i="140"/>
  <c r="M33" i="140"/>
  <c r="L33" i="140"/>
  <c r="O32" i="140"/>
  <c r="N32" i="140"/>
  <c r="M32" i="140"/>
  <c r="L32" i="140"/>
  <c r="O31" i="140"/>
  <c r="N31" i="140"/>
  <c r="M31" i="140"/>
  <c r="L31" i="140"/>
  <c r="O30" i="140"/>
  <c r="N30" i="140"/>
  <c r="M30" i="140"/>
  <c r="L30" i="140"/>
  <c r="O29" i="140"/>
  <c r="N29" i="140"/>
  <c r="M29" i="140"/>
  <c r="L29" i="140"/>
  <c r="O28" i="140"/>
  <c r="N28" i="140"/>
  <c r="M28" i="140"/>
  <c r="L28" i="140"/>
  <c r="O27" i="140"/>
  <c r="N27" i="140"/>
  <c r="M27" i="140"/>
  <c r="L27" i="140"/>
  <c r="O26" i="140"/>
  <c r="N26" i="140"/>
  <c r="M26" i="140"/>
  <c r="L26" i="140"/>
  <c r="O25" i="140"/>
  <c r="N25" i="140"/>
  <c r="M25" i="140"/>
  <c r="L25" i="140"/>
  <c r="O24" i="140"/>
  <c r="N24" i="140"/>
  <c r="M24" i="140"/>
  <c r="L24" i="140"/>
  <c r="O23" i="140"/>
  <c r="N23" i="140"/>
  <c r="M23" i="140"/>
  <c r="L23" i="140"/>
  <c r="O22" i="140"/>
  <c r="N22" i="140"/>
  <c r="M22" i="140"/>
  <c r="L22" i="140"/>
  <c r="O21" i="140"/>
  <c r="N21" i="140"/>
  <c r="M21" i="140"/>
  <c r="L21" i="140"/>
  <c r="O20" i="140"/>
  <c r="N20" i="140"/>
  <c r="M20" i="140"/>
  <c r="L20" i="140"/>
  <c r="O19" i="140"/>
  <c r="N19" i="140"/>
  <c r="M19" i="140"/>
  <c r="L19" i="140"/>
  <c r="O18" i="140"/>
  <c r="N18" i="140"/>
  <c r="M18" i="140"/>
  <c r="L18" i="140"/>
  <c r="O17" i="140"/>
  <c r="N17" i="140"/>
  <c r="M17" i="140"/>
  <c r="L17" i="140"/>
  <c r="O16" i="140"/>
  <c r="N16" i="140"/>
  <c r="M16" i="140"/>
  <c r="L16" i="140"/>
  <c r="O15" i="140"/>
  <c r="N15" i="140"/>
  <c r="M15" i="140"/>
  <c r="L15" i="140"/>
  <c r="O14" i="140"/>
  <c r="N14" i="140"/>
  <c r="M14" i="140"/>
  <c r="L14" i="140"/>
  <c r="O13" i="140"/>
  <c r="N13" i="140"/>
  <c r="M13" i="140"/>
  <c r="L13" i="140"/>
  <c r="O12" i="140"/>
  <c r="N12" i="140"/>
  <c r="M12" i="140"/>
  <c r="L12" i="140"/>
  <c r="O11" i="140"/>
  <c r="N11" i="140"/>
  <c r="M11" i="140"/>
  <c r="L11" i="140"/>
  <c r="O10" i="140"/>
  <c r="N10" i="140"/>
  <c r="M10" i="140"/>
  <c r="L10" i="140"/>
  <c r="O9" i="140"/>
  <c r="N9" i="140"/>
  <c r="M9" i="140"/>
  <c r="L9" i="140"/>
  <c r="O8" i="140"/>
  <c r="N8" i="140"/>
  <c r="M8" i="140"/>
  <c r="L8" i="140"/>
  <c r="O7" i="140"/>
  <c r="N7" i="140"/>
  <c r="M7" i="140"/>
  <c r="L7" i="140"/>
  <c r="O6" i="140"/>
  <c r="N6" i="140"/>
  <c r="M6" i="140"/>
  <c r="L6" i="140"/>
  <c r="K5" i="140"/>
  <c r="J5" i="140"/>
  <c r="I5" i="140"/>
  <c r="H5" i="140"/>
  <c r="G5" i="140"/>
  <c r="F5" i="140"/>
  <c r="E5" i="140"/>
  <c r="D5" i="140"/>
  <c r="L5" i="140" l="1"/>
  <c r="J121" i="1" s="1"/>
  <c r="M5" i="140"/>
  <c r="J122" i="1" s="1"/>
  <c r="N5" i="140"/>
  <c r="J123" i="1" s="1"/>
  <c r="O5" i="140"/>
  <c r="J124" i="1" s="1"/>
  <c r="F124" i="1"/>
  <c r="F123" i="1"/>
  <c r="F122" i="1"/>
  <c r="F121" i="1"/>
  <c r="O132" i="139" l="1"/>
  <c r="N132" i="139"/>
  <c r="M132" i="139"/>
  <c r="L132" i="139"/>
  <c r="O131" i="139"/>
  <c r="N131" i="139"/>
  <c r="M131" i="139"/>
  <c r="L131" i="139"/>
  <c r="O130" i="139"/>
  <c r="N130" i="139"/>
  <c r="M130" i="139"/>
  <c r="L130" i="139"/>
  <c r="O129" i="139"/>
  <c r="N129" i="139"/>
  <c r="M129" i="139"/>
  <c r="L129" i="139"/>
  <c r="O128" i="139"/>
  <c r="N128" i="139"/>
  <c r="M128" i="139"/>
  <c r="L128" i="139"/>
  <c r="O126" i="139"/>
  <c r="N126" i="139"/>
  <c r="M126" i="139"/>
  <c r="L126" i="139"/>
  <c r="O125" i="139"/>
  <c r="N125" i="139"/>
  <c r="M125" i="139"/>
  <c r="L125" i="139"/>
  <c r="O124" i="139"/>
  <c r="N124" i="139"/>
  <c r="M124" i="139"/>
  <c r="L124" i="139"/>
  <c r="O123" i="139"/>
  <c r="N123" i="139"/>
  <c r="M123" i="139"/>
  <c r="L123" i="139"/>
  <c r="O122" i="139"/>
  <c r="N122" i="139"/>
  <c r="M122" i="139"/>
  <c r="L122" i="139"/>
  <c r="O121" i="139"/>
  <c r="N121" i="139"/>
  <c r="M121" i="139"/>
  <c r="L121" i="139"/>
  <c r="O120" i="139"/>
  <c r="N120" i="139"/>
  <c r="M120" i="139"/>
  <c r="L120" i="139"/>
  <c r="O119" i="139"/>
  <c r="N119" i="139"/>
  <c r="M119" i="139"/>
  <c r="L119" i="139"/>
  <c r="O118" i="139"/>
  <c r="N118" i="139"/>
  <c r="M118" i="139"/>
  <c r="L118" i="139"/>
  <c r="O117" i="139"/>
  <c r="N117" i="139"/>
  <c r="M117" i="139"/>
  <c r="L117" i="139"/>
  <c r="O116" i="139"/>
  <c r="N116" i="139"/>
  <c r="M116" i="139"/>
  <c r="L116" i="139"/>
  <c r="O115" i="139"/>
  <c r="N115" i="139"/>
  <c r="M115" i="139"/>
  <c r="L115" i="139"/>
  <c r="O114" i="139"/>
  <c r="N114" i="139"/>
  <c r="M114" i="139"/>
  <c r="L114" i="139"/>
  <c r="O113" i="139"/>
  <c r="N113" i="139"/>
  <c r="M113" i="139"/>
  <c r="L113" i="139"/>
  <c r="O112" i="139"/>
  <c r="N112" i="139"/>
  <c r="M112" i="139"/>
  <c r="L112" i="139"/>
  <c r="O111" i="139"/>
  <c r="N111" i="139"/>
  <c r="M111" i="139"/>
  <c r="L111" i="139"/>
  <c r="O110" i="139"/>
  <c r="N110" i="139"/>
  <c r="M110" i="139"/>
  <c r="L110" i="139"/>
  <c r="O109" i="139"/>
  <c r="N109" i="139"/>
  <c r="M109" i="139"/>
  <c r="L109" i="139"/>
  <c r="O108" i="139"/>
  <c r="N108" i="139"/>
  <c r="M108" i="139"/>
  <c r="L108" i="139"/>
  <c r="O107" i="139"/>
  <c r="N107" i="139"/>
  <c r="M107" i="139"/>
  <c r="L107" i="139"/>
  <c r="O106" i="139"/>
  <c r="N106" i="139"/>
  <c r="M106" i="139"/>
  <c r="L106" i="139"/>
  <c r="O105" i="139"/>
  <c r="N105" i="139"/>
  <c r="M105" i="139"/>
  <c r="L105" i="139"/>
  <c r="O104" i="139"/>
  <c r="N104" i="139"/>
  <c r="M104" i="139"/>
  <c r="L104" i="139"/>
  <c r="O103" i="139"/>
  <c r="N103" i="139"/>
  <c r="M103" i="139"/>
  <c r="L103" i="139"/>
  <c r="O102" i="139"/>
  <c r="N102" i="139"/>
  <c r="M102" i="139"/>
  <c r="L102" i="139"/>
  <c r="O101" i="139"/>
  <c r="N101" i="139"/>
  <c r="M101" i="139"/>
  <c r="L101" i="139"/>
  <c r="O100" i="139"/>
  <c r="N100" i="139"/>
  <c r="M100" i="139"/>
  <c r="L100" i="139"/>
  <c r="O99" i="139"/>
  <c r="N99" i="139"/>
  <c r="M99" i="139"/>
  <c r="L99" i="139"/>
  <c r="O98" i="139"/>
  <c r="N98" i="139"/>
  <c r="M98" i="139"/>
  <c r="L98" i="139"/>
  <c r="O97" i="139"/>
  <c r="N97" i="139"/>
  <c r="M97" i="139"/>
  <c r="L97" i="139"/>
  <c r="O96" i="139"/>
  <c r="N96" i="139"/>
  <c r="M96" i="139"/>
  <c r="L96" i="139"/>
  <c r="O95" i="139"/>
  <c r="N95" i="139"/>
  <c r="M95" i="139"/>
  <c r="L95" i="139"/>
  <c r="O94" i="139"/>
  <c r="N94" i="139"/>
  <c r="M94" i="139"/>
  <c r="L94" i="139"/>
  <c r="O93" i="139"/>
  <c r="N93" i="139"/>
  <c r="M93" i="139"/>
  <c r="L93" i="139"/>
  <c r="O92" i="139"/>
  <c r="N92" i="139"/>
  <c r="M92" i="139"/>
  <c r="L92" i="139"/>
  <c r="O91" i="139"/>
  <c r="N91" i="139"/>
  <c r="M91" i="139"/>
  <c r="L91" i="139"/>
  <c r="O90" i="139"/>
  <c r="N90" i="139"/>
  <c r="M90" i="139"/>
  <c r="L90" i="139"/>
  <c r="O89" i="139"/>
  <c r="N89" i="139"/>
  <c r="M89" i="139"/>
  <c r="L89" i="139"/>
  <c r="O88" i="139"/>
  <c r="N88" i="139"/>
  <c r="M88" i="139"/>
  <c r="L88" i="139"/>
  <c r="O87" i="139"/>
  <c r="N87" i="139"/>
  <c r="M87" i="139"/>
  <c r="L87" i="139"/>
  <c r="O86" i="139"/>
  <c r="N86" i="139"/>
  <c r="M86" i="139"/>
  <c r="L86" i="139"/>
  <c r="O85" i="139"/>
  <c r="N85" i="139"/>
  <c r="M85" i="139"/>
  <c r="L85" i="139"/>
  <c r="O84" i="139"/>
  <c r="N84" i="139"/>
  <c r="M84" i="139"/>
  <c r="L84" i="139"/>
  <c r="O83" i="139"/>
  <c r="N83" i="139"/>
  <c r="M83" i="139"/>
  <c r="L83" i="139"/>
  <c r="O82" i="139"/>
  <c r="N82" i="139"/>
  <c r="M82" i="139"/>
  <c r="L82" i="139"/>
  <c r="O81" i="139"/>
  <c r="N81" i="139"/>
  <c r="M81" i="139"/>
  <c r="L81" i="139"/>
  <c r="O80" i="139"/>
  <c r="N80" i="139"/>
  <c r="M80" i="139"/>
  <c r="L80" i="139"/>
  <c r="O79" i="139"/>
  <c r="N79" i="139"/>
  <c r="M79" i="139"/>
  <c r="L79" i="139"/>
  <c r="O78" i="139"/>
  <c r="N78" i="139"/>
  <c r="M78" i="139"/>
  <c r="L78" i="139"/>
  <c r="O77" i="139"/>
  <c r="N77" i="139"/>
  <c r="M77" i="139"/>
  <c r="L77" i="139"/>
  <c r="O76" i="139"/>
  <c r="N76" i="139"/>
  <c r="M76" i="139"/>
  <c r="L76" i="139"/>
  <c r="O75" i="139"/>
  <c r="N75" i="139"/>
  <c r="M75" i="139"/>
  <c r="L75" i="139"/>
  <c r="O74" i="139"/>
  <c r="N74" i="139"/>
  <c r="M74" i="139"/>
  <c r="L74" i="139"/>
  <c r="O73" i="139"/>
  <c r="N73" i="139"/>
  <c r="M73" i="139"/>
  <c r="L73" i="139"/>
  <c r="O72" i="139"/>
  <c r="N72" i="139"/>
  <c r="M72" i="139"/>
  <c r="L72" i="139"/>
  <c r="O71" i="139"/>
  <c r="N71" i="139"/>
  <c r="M71" i="139"/>
  <c r="L71" i="139"/>
  <c r="O70" i="139"/>
  <c r="N70" i="139"/>
  <c r="M70" i="139"/>
  <c r="L70" i="139"/>
  <c r="O69" i="139"/>
  <c r="N69" i="139"/>
  <c r="M69" i="139"/>
  <c r="L69" i="139"/>
  <c r="O68" i="139"/>
  <c r="N68" i="139"/>
  <c r="M68" i="139"/>
  <c r="L68" i="139"/>
  <c r="O67" i="139"/>
  <c r="N67" i="139"/>
  <c r="M67" i="139"/>
  <c r="L67" i="139"/>
  <c r="O66" i="139"/>
  <c r="N66" i="139"/>
  <c r="M66" i="139"/>
  <c r="L66" i="139"/>
  <c r="O65" i="139"/>
  <c r="N65" i="139"/>
  <c r="M65" i="139"/>
  <c r="L65" i="139"/>
  <c r="O64" i="139"/>
  <c r="N64" i="139"/>
  <c r="M64" i="139"/>
  <c r="L64" i="139"/>
  <c r="O63" i="139"/>
  <c r="N63" i="139"/>
  <c r="M63" i="139"/>
  <c r="L63" i="139"/>
  <c r="O62" i="139"/>
  <c r="N62" i="139"/>
  <c r="M62" i="139"/>
  <c r="L62" i="139"/>
  <c r="O61" i="139"/>
  <c r="N61" i="139"/>
  <c r="M61" i="139"/>
  <c r="L61" i="139"/>
  <c r="O60" i="139"/>
  <c r="N60" i="139"/>
  <c r="M60" i="139"/>
  <c r="L60" i="139"/>
  <c r="O59" i="139"/>
  <c r="N59" i="139"/>
  <c r="M59" i="139"/>
  <c r="L59" i="139"/>
  <c r="O58" i="139"/>
  <c r="N58" i="139"/>
  <c r="M58" i="139"/>
  <c r="L58" i="139"/>
  <c r="O57" i="139"/>
  <c r="N57" i="139"/>
  <c r="M57" i="139"/>
  <c r="L57" i="139"/>
  <c r="O56" i="139"/>
  <c r="N56" i="139"/>
  <c r="M56" i="139"/>
  <c r="L56" i="139"/>
  <c r="O55" i="139"/>
  <c r="N55" i="139"/>
  <c r="M55" i="139"/>
  <c r="L55" i="139"/>
  <c r="O54" i="139"/>
  <c r="N54" i="139"/>
  <c r="M54" i="139"/>
  <c r="L54" i="139"/>
  <c r="O53" i="139"/>
  <c r="N53" i="139"/>
  <c r="M53" i="139"/>
  <c r="L53" i="139"/>
  <c r="O52" i="139"/>
  <c r="N52" i="139"/>
  <c r="M52" i="139"/>
  <c r="L52" i="139"/>
  <c r="O51" i="139"/>
  <c r="N51" i="139"/>
  <c r="M51" i="139"/>
  <c r="L51" i="139"/>
  <c r="O50" i="139"/>
  <c r="N50" i="139"/>
  <c r="M50" i="139"/>
  <c r="L50" i="139"/>
  <c r="O49" i="139"/>
  <c r="N49" i="139"/>
  <c r="M49" i="139"/>
  <c r="L49" i="139"/>
  <c r="O48" i="139"/>
  <c r="N48" i="139"/>
  <c r="M48" i="139"/>
  <c r="L48" i="139"/>
  <c r="O47" i="139"/>
  <c r="N47" i="139"/>
  <c r="M47" i="139"/>
  <c r="L47" i="139"/>
  <c r="O46" i="139"/>
  <c r="N46" i="139"/>
  <c r="M46" i="139"/>
  <c r="L46" i="139"/>
  <c r="O45" i="139"/>
  <c r="N45" i="139"/>
  <c r="M45" i="139"/>
  <c r="L45" i="139"/>
  <c r="O44" i="139"/>
  <c r="N44" i="139"/>
  <c r="M44" i="139"/>
  <c r="L44" i="139"/>
  <c r="O43" i="139"/>
  <c r="N43" i="139"/>
  <c r="M43" i="139"/>
  <c r="L43" i="139"/>
  <c r="O42" i="139"/>
  <c r="N42" i="139"/>
  <c r="M42" i="139"/>
  <c r="L42" i="139"/>
  <c r="O41" i="139"/>
  <c r="N41" i="139"/>
  <c r="M41" i="139"/>
  <c r="L41" i="139"/>
  <c r="O40" i="139"/>
  <c r="N40" i="139"/>
  <c r="M40" i="139"/>
  <c r="L40" i="139"/>
  <c r="O39" i="139"/>
  <c r="N39" i="139"/>
  <c r="M39" i="139"/>
  <c r="L39" i="139"/>
  <c r="O38" i="139"/>
  <c r="N38" i="139"/>
  <c r="M38" i="139"/>
  <c r="L38" i="139"/>
  <c r="O37" i="139"/>
  <c r="N37" i="139"/>
  <c r="M37" i="139"/>
  <c r="L37" i="139"/>
  <c r="O36" i="139"/>
  <c r="N36" i="139"/>
  <c r="M36" i="139"/>
  <c r="L36" i="139"/>
  <c r="O35" i="139"/>
  <c r="N35" i="139"/>
  <c r="M35" i="139"/>
  <c r="L35" i="139"/>
  <c r="O34" i="139"/>
  <c r="N34" i="139"/>
  <c r="M34" i="139"/>
  <c r="L34" i="139"/>
  <c r="O33" i="139"/>
  <c r="N33" i="139"/>
  <c r="M33" i="139"/>
  <c r="L33" i="139"/>
  <c r="O32" i="139"/>
  <c r="N32" i="139"/>
  <c r="M32" i="139"/>
  <c r="L32" i="139"/>
  <c r="O31" i="139"/>
  <c r="N31" i="139"/>
  <c r="M31" i="139"/>
  <c r="L31" i="139"/>
  <c r="O30" i="139"/>
  <c r="N30" i="139"/>
  <c r="M30" i="139"/>
  <c r="L30" i="139"/>
  <c r="O29" i="139"/>
  <c r="N29" i="139"/>
  <c r="M29" i="139"/>
  <c r="L29" i="139"/>
  <c r="O28" i="139"/>
  <c r="N28" i="139"/>
  <c r="M28" i="139"/>
  <c r="L28" i="139"/>
  <c r="O27" i="139"/>
  <c r="N27" i="139"/>
  <c r="M27" i="139"/>
  <c r="L27" i="139"/>
  <c r="O26" i="139"/>
  <c r="N26" i="139"/>
  <c r="M26" i="139"/>
  <c r="L26" i="139"/>
  <c r="O25" i="139"/>
  <c r="N25" i="139"/>
  <c r="M25" i="139"/>
  <c r="L25" i="139"/>
  <c r="O24" i="139"/>
  <c r="N24" i="139"/>
  <c r="M24" i="139"/>
  <c r="L24" i="139"/>
  <c r="O23" i="139"/>
  <c r="N23" i="139"/>
  <c r="M23" i="139"/>
  <c r="L23" i="139"/>
  <c r="O22" i="139"/>
  <c r="N22" i="139"/>
  <c r="M22" i="139"/>
  <c r="L22" i="139"/>
  <c r="O21" i="139"/>
  <c r="N21" i="139"/>
  <c r="M21" i="139"/>
  <c r="L21" i="139"/>
  <c r="O20" i="139"/>
  <c r="N20" i="139"/>
  <c r="M20" i="139"/>
  <c r="L20" i="139"/>
  <c r="O19" i="139"/>
  <c r="N19" i="139"/>
  <c r="M19" i="139"/>
  <c r="L19" i="139"/>
  <c r="O18" i="139"/>
  <c r="N18" i="139"/>
  <c r="M18" i="139"/>
  <c r="L18" i="139"/>
  <c r="O17" i="139"/>
  <c r="N17" i="139"/>
  <c r="M17" i="139"/>
  <c r="L17" i="139"/>
  <c r="O16" i="139"/>
  <c r="N16" i="139"/>
  <c r="M16" i="139"/>
  <c r="L16" i="139"/>
  <c r="O15" i="139"/>
  <c r="N15" i="139"/>
  <c r="M15" i="139"/>
  <c r="L15" i="139"/>
  <c r="O14" i="139"/>
  <c r="N14" i="139"/>
  <c r="M14" i="139"/>
  <c r="L14" i="139"/>
  <c r="O13" i="139"/>
  <c r="N13" i="139"/>
  <c r="M13" i="139"/>
  <c r="L13" i="139"/>
  <c r="O12" i="139"/>
  <c r="N12" i="139"/>
  <c r="M12" i="139"/>
  <c r="L12" i="139"/>
  <c r="O11" i="139"/>
  <c r="N11" i="139"/>
  <c r="M11" i="139"/>
  <c r="L11" i="139"/>
  <c r="O10" i="139"/>
  <c r="N10" i="139"/>
  <c r="M10" i="139"/>
  <c r="L10" i="139"/>
  <c r="O9" i="139"/>
  <c r="N9" i="139"/>
  <c r="M9" i="139"/>
  <c r="L9" i="139"/>
  <c r="O8" i="139"/>
  <c r="N8" i="139"/>
  <c r="M8" i="139"/>
  <c r="L8" i="139"/>
  <c r="O7" i="139"/>
  <c r="N7" i="139"/>
  <c r="M7" i="139"/>
  <c r="L7" i="139"/>
  <c r="O6" i="139"/>
  <c r="N6" i="139"/>
  <c r="M6" i="139"/>
  <c r="L6" i="139"/>
  <c r="BU6" i="113" l="1"/>
  <c r="BV6" i="113"/>
  <c r="BW6" i="113"/>
  <c r="BU7" i="113"/>
  <c r="BV7" i="113"/>
  <c r="BW7" i="113"/>
  <c r="BU8" i="113"/>
  <c r="BW8" i="113" s="1"/>
  <c r="BV8" i="113"/>
  <c r="BU9" i="113"/>
  <c r="BV9" i="113"/>
  <c r="BW9" i="113" s="1"/>
  <c r="BU10" i="113"/>
  <c r="BV10" i="113"/>
  <c r="BW10" i="113"/>
  <c r="BU11" i="113"/>
  <c r="BW11" i="113" s="1"/>
  <c r="BV11" i="113"/>
  <c r="BU12" i="113"/>
  <c r="BV12" i="113"/>
  <c r="BW12" i="113"/>
  <c r="BU13" i="113"/>
  <c r="BV13" i="113"/>
  <c r="BW13" i="113"/>
  <c r="BU14" i="113"/>
  <c r="BV14" i="113"/>
  <c r="BW14" i="113" s="1"/>
  <c r="BU15" i="113"/>
  <c r="BV15" i="113"/>
  <c r="BW15" i="113"/>
  <c r="BU16" i="113"/>
  <c r="BW16" i="113" s="1"/>
  <c r="BV16" i="113"/>
  <c r="BU17" i="113"/>
  <c r="BW17" i="113" s="1"/>
  <c r="BV17" i="113"/>
  <c r="BU18" i="113"/>
  <c r="BV18" i="113"/>
  <c r="BW18" i="113"/>
  <c r="BU19" i="113"/>
  <c r="BW19" i="113" s="1"/>
  <c r="BV19" i="113"/>
  <c r="BU20" i="113"/>
  <c r="BW20" i="113" s="1"/>
  <c r="BV20" i="113"/>
  <c r="BU21" i="113"/>
  <c r="BV21" i="113"/>
  <c r="BW21" i="113"/>
  <c r="BU22" i="113"/>
  <c r="BV22" i="113"/>
  <c r="BW22" i="113"/>
  <c r="BU23" i="113"/>
  <c r="BV23" i="113"/>
  <c r="BW23" i="113" s="1"/>
  <c r="BU24" i="113"/>
  <c r="BW24" i="113" s="1"/>
  <c r="BV24" i="113"/>
  <c r="BU25" i="113"/>
  <c r="BW25" i="113" s="1"/>
  <c r="BV25" i="113"/>
  <c r="BU26" i="113"/>
  <c r="BW26" i="113" s="1"/>
  <c r="BV26" i="113"/>
  <c r="BU27" i="113"/>
  <c r="BW27" i="113" s="1"/>
  <c r="BV27" i="113"/>
  <c r="BU28" i="113"/>
  <c r="BW28" i="113" s="1"/>
  <c r="BV28" i="113"/>
  <c r="BU29" i="113"/>
  <c r="BV29" i="113"/>
  <c r="BW29" i="113"/>
  <c r="BU30" i="113"/>
  <c r="BV30" i="113"/>
  <c r="BW30" i="113"/>
  <c r="BU31" i="113"/>
  <c r="BV31" i="113"/>
  <c r="BW31" i="113"/>
  <c r="BU32" i="113"/>
  <c r="BW32" i="113" s="1"/>
  <c r="BV32" i="113"/>
  <c r="BU33" i="113"/>
  <c r="BW33" i="113" s="1"/>
  <c r="BV33" i="113"/>
  <c r="BU34" i="113"/>
  <c r="BV34" i="113"/>
  <c r="BW34" i="113"/>
  <c r="BU35" i="113"/>
  <c r="BW35" i="113" s="1"/>
  <c r="BV35" i="113"/>
  <c r="BU36" i="113"/>
  <c r="BW36" i="113" s="1"/>
  <c r="BV36" i="113"/>
  <c r="BU37" i="113"/>
  <c r="BV37" i="113"/>
  <c r="BW37" i="113"/>
  <c r="BU38" i="113"/>
  <c r="BV38" i="113"/>
  <c r="BW38" i="113"/>
  <c r="BU39" i="113"/>
  <c r="BV39" i="113"/>
  <c r="BW39" i="113"/>
  <c r="BU40" i="113"/>
  <c r="BW40" i="113" s="1"/>
  <c r="BV40" i="113"/>
  <c r="BU41" i="113"/>
  <c r="BW41" i="113" s="1"/>
  <c r="BV41" i="113"/>
  <c r="BU42" i="113"/>
  <c r="BV42" i="113"/>
  <c r="BW42" i="113"/>
  <c r="BU43" i="113"/>
  <c r="BW43" i="113" s="1"/>
  <c r="BV43" i="113"/>
  <c r="BU44" i="113"/>
  <c r="BW44" i="113" s="1"/>
  <c r="BV44" i="113"/>
  <c r="BU45" i="113"/>
  <c r="BV45" i="113"/>
  <c r="BW45" i="113"/>
  <c r="BU46" i="113"/>
  <c r="BV46" i="113"/>
  <c r="BW46" i="113"/>
  <c r="BU47" i="113"/>
  <c r="BV47" i="113"/>
  <c r="BW47" i="113"/>
  <c r="BU48" i="113"/>
  <c r="BW48" i="113" s="1"/>
  <c r="BV48" i="113"/>
  <c r="BU49" i="113"/>
  <c r="BW49" i="113" s="1"/>
  <c r="BV49" i="113"/>
  <c r="BU50" i="113"/>
  <c r="BV50" i="113"/>
  <c r="BW50" i="113"/>
  <c r="BU51" i="113"/>
  <c r="BW51" i="113" s="1"/>
  <c r="BV51" i="113"/>
  <c r="BU52" i="113"/>
  <c r="BW52" i="113" s="1"/>
  <c r="BV52" i="113"/>
  <c r="BU53" i="113"/>
  <c r="BV53" i="113"/>
  <c r="BW53" i="113"/>
  <c r="BU54" i="113"/>
  <c r="BV54" i="113"/>
  <c r="BW54" i="113"/>
  <c r="BU55" i="113"/>
  <c r="BV55" i="113"/>
  <c r="BW55" i="113"/>
  <c r="BU56" i="113"/>
  <c r="BW56" i="113" s="1"/>
  <c r="BV56" i="113"/>
  <c r="BU57" i="113"/>
  <c r="BW57" i="113" s="1"/>
  <c r="BV57" i="113"/>
  <c r="BU58" i="113"/>
  <c r="BV58" i="113"/>
  <c r="BW58" i="113"/>
  <c r="BU59" i="113"/>
  <c r="BW59" i="113" s="1"/>
  <c r="BV59" i="113"/>
  <c r="BU60" i="113"/>
  <c r="BW60" i="113" s="1"/>
  <c r="BV60" i="113"/>
  <c r="BU61" i="113"/>
  <c r="BV61" i="113"/>
  <c r="BW61" i="113"/>
  <c r="BU62" i="113"/>
  <c r="BV62" i="113"/>
  <c r="BW62" i="113"/>
  <c r="BU63" i="113"/>
  <c r="BV63" i="113"/>
  <c r="BW63" i="113"/>
  <c r="BU64" i="113"/>
  <c r="BW64" i="113" s="1"/>
  <c r="BV64" i="113"/>
  <c r="BU65" i="113"/>
  <c r="BW65" i="113" s="1"/>
  <c r="BV65" i="113"/>
  <c r="BU66" i="113"/>
  <c r="BV66" i="113"/>
  <c r="BW66" i="113"/>
  <c r="BU67" i="113"/>
  <c r="BW67" i="113" s="1"/>
  <c r="BV67" i="113"/>
  <c r="BU68" i="113"/>
  <c r="BW68" i="113" s="1"/>
  <c r="BV68" i="113"/>
  <c r="BU69" i="113"/>
  <c r="BV69" i="113"/>
  <c r="BW69" i="113"/>
  <c r="BU70" i="113"/>
  <c r="BV70" i="113"/>
  <c r="BW70" i="113"/>
  <c r="BU71" i="113"/>
  <c r="BV71" i="113"/>
  <c r="BW71" i="113"/>
  <c r="BU72" i="113"/>
  <c r="BW72" i="113" s="1"/>
  <c r="BV72" i="113"/>
  <c r="BU73" i="113"/>
  <c r="BW73" i="113" s="1"/>
  <c r="BV73" i="113"/>
  <c r="BU74" i="113"/>
  <c r="BV74" i="113"/>
  <c r="BW74" i="113"/>
  <c r="BU75" i="113"/>
  <c r="BW75" i="113" s="1"/>
  <c r="BV75" i="113"/>
  <c r="BU76" i="113"/>
  <c r="BW76" i="113" s="1"/>
  <c r="BV76" i="113"/>
  <c r="BU77" i="113"/>
  <c r="BV77" i="113"/>
  <c r="BW77" i="113"/>
  <c r="BU78" i="113"/>
  <c r="BV78" i="113"/>
  <c r="BW78" i="113"/>
  <c r="BU79" i="113"/>
  <c r="BV79" i="113"/>
  <c r="BW79" i="113"/>
  <c r="BU80" i="113"/>
  <c r="BW80" i="113" s="1"/>
  <c r="BV80" i="113"/>
  <c r="BU81" i="113"/>
  <c r="BW81" i="113" s="1"/>
  <c r="BV81" i="113"/>
  <c r="BU82" i="113"/>
  <c r="BV82" i="113"/>
  <c r="BW82" i="113"/>
  <c r="BU83" i="113"/>
  <c r="BW83" i="113" s="1"/>
  <c r="BV83" i="113"/>
  <c r="BU84" i="113"/>
  <c r="BW84" i="113" s="1"/>
  <c r="BV84" i="113"/>
  <c r="BU85" i="113"/>
  <c r="BV85" i="113"/>
  <c r="BW85" i="113"/>
  <c r="BU86" i="113"/>
  <c r="BV86" i="113"/>
  <c r="BW86" i="113"/>
  <c r="BU87" i="113"/>
  <c r="BV87" i="113"/>
  <c r="BW87" i="113"/>
  <c r="BU88" i="113"/>
  <c r="BW88" i="113" s="1"/>
  <c r="BV88" i="113"/>
  <c r="BU89" i="113"/>
  <c r="BW89" i="113" s="1"/>
  <c r="BV89" i="113"/>
  <c r="BU90" i="113"/>
  <c r="BV90" i="113"/>
  <c r="BW90" i="113"/>
  <c r="BU91" i="113"/>
  <c r="BW91" i="113" s="1"/>
  <c r="BV91" i="113"/>
  <c r="BU92" i="113"/>
  <c r="BW92" i="113" s="1"/>
  <c r="BV92" i="113"/>
  <c r="BU93" i="113"/>
  <c r="BV93" i="113"/>
  <c r="BW93" i="113"/>
  <c r="BU94" i="113"/>
  <c r="BV94" i="113"/>
  <c r="BW94" i="113"/>
  <c r="BU95" i="113"/>
  <c r="BV95" i="113"/>
  <c r="BW95" i="113"/>
  <c r="BU96" i="113"/>
  <c r="BW96" i="113" s="1"/>
  <c r="BV96" i="113"/>
  <c r="BU97" i="113"/>
  <c r="BW97" i="113" s="1"/>
  <c r="BV97" i="113"/>
  <c r="BU98" i="113"/>
  <c r="BV98" i="113"/>
  <c r="BW98" i="113"/>
  <c r="BU99" i="113"/>
  <c r="BW99" i="113" s="1"/>
  <c r="BV99" i="113"/>
  <c r="BU100" i="113"/>
  <c r="BW100" i="113" s="1"/>
  <c r="BV100" i="113"/>
  <c r="BU101" i="113"/>
  <c r="BV101" i="113"/>
  <c r="BW101" i="113"/>
  <c r="BU102" i="113"/>
  <c r="BV102" i="113"/>
  <c r="BW102" i="113"/>
  <c r="BU103" i="113"/>
  <c r="BV103" i="113"/>
  <c r="BW103" i="113"/>
  <c r="BU104" i="113"/>
  <c r="BW104" i="113" s="1"/>
  <c r="BV104" i="113"/>
  <c r="BU105" i="113"/>
  <c r="BW105" i="113" s="1"/>
  <c r="BV105" i="113"/>
  <c r="BU106" i="113"/>
  <c r="BV106" i="113"/>
  <c r="BW106" i="113"/>
  <c r="BU107" i="113"/>
  <c r="BW107" i="113" s="1"/>
  <c r="BV107" i="113"/>
  <c r="BU108" i="113"/>
  <c r="BW108" i="113" s="1"/>
  <c r="BV108" i="113"/>
  <c r="BU109" i="113"/>
  <c r="BV109" i="113"/>
  <c r="BW109" i="113"/>
  <c r="BU110" i="113"/>
  <c r="BV110" i="113"/>
  <c r="BW110" i="113"/>
  <c r="BU111" i="113"/>
  <c r="BV111" i="113"/>
  <c r="BW111" i="113"/>
  <c r="BU112" i="113"/>
  <c r="BW112" i="113" s="1"/>
  <c r="BV112" i="113"/>
  <c r="BU113" i="113"/>
  <c r="BW113" i="113" s="1"/>
  <c r="BV113" i="113"/>
  <c r="BU114" i="113"/>
  <c r="BV114" i="113"/>
  <c r="BW114" i="113"/>
  <c r="BU115" i="113"/>
  <c r="BW115" i="113" s="1"/>
  <c r="BV115" i="113"/>
  <c r="BU116" i="113"/>
  <c r="BW116" i="113" s="1"/>
  <c r="BV116" i="113"/>
  <c r="BU117" i="113"/>
  <c r="BV117" i="113"/>
  <c r="BW117" i="113"/>
  <c r="BU118" i="113"/>
  <c r="BV118" i="113"/>
  <c r="BW118" i="113"/>
  <c r="BU119" i="113"/>
  <c r="BV119" i="113"/>
  <c r="BW119" i="113"/>
  <c r="BU120" i="113"/>
  <c r="BW120" i="113" s="1"/>
  <c r="BV120" i="113"/>
  <c r="BU121" i="113"/>
  <c r="BW121" i="113" s="1"/>
  <c r="BV121" i="113"/>
  <c r="BU122" i="113"/>
  <c r="BV122" i="113"/>
  <c r="BW122" i="113"/>
  <c r="BU123" i="113"/>
  <c r="BW123" i="113" s="1"/>
  <c r="BV123" i="113"/>
  <c r="BU124" i="113"/>
  <c r="BW124" i="113" s="1"/>
  <c r="BV124" i="113"/>
  <c r="BU125" i="113"/>
  <c r="BV125" i="113"/>
  <c r="BW125" i="113"/>
  <c r="BW5" i="113"/>
  <c r="BV5" i="113"/>
  <c r="BU5" i="113"/>
  <c r="BW7" i="109"/>
  <c r="BW8" i="109"/>
  <c r="BW9" i="109"/>
  <c r="BW10" i="109"/>
  <c r="BW11" i="109"/>
  <c r="BW12" i="109"/>
  <c r="BW13" i="109"/>
  <c r="BW14" i="109"/>
  <c r="BW15" i="109"/>
  <c r="BW16" i="109"/>
  <c r="BW17" i="109"/>
  <c r="BW18" i="109"/>
  <c r="BW19" i="109"/>
  <c r="BW20" i="109"/>
  <c r="BW21" i="109"/>
  <c r="BW22" i="109"/>
  <c r="BW23" i="109"/>
  <c r="BW24" i="109"/>
  <c r="BW25" i="109"/>
  <c r="BW26" i="109"/>
  <c r="BW27" i="109"/>
  <c r="BW28" i="109"/>
  <c r="BW29" i="109"/>
  <c r="BW30" i="109"/>
  <c r="BW31" i="109"/>
  <c r="BW32" i="109"/>
  <c r="BW33" i="109"/>
  <c r="BW34" i="109"/>
  <c r="BW35" i="109"/>
  <c r="BW36" i="109"/>
  <c r="BW37" i="109"/>
  <c r="BW38" i="109"/>
  <c r="BW39" i="109"/>
  <c r="BW40" i="109"/>
  <c r="BW41" i="109"/>
  <c r="BW42" i="109"/>
  <c r="BW43" i="109"/>
  <c r="BW44" i="109"/>
  <c r="BW45" i="109"/>
  <c r="BW46" i="109"/>
  <c r="BW47" i="109"/>
  <c r="BW48" i="109"/>
  <c r="BW49" i="109"/>
  <c r="BW50" i="109"/>
  <c r="BW51" i="109"/>
  <c r="BW52" i="109"/>
  <c r="BW53" i="109"/>
  <c r="BW54" i="109"/>
  <c r="BW55" i="109"/>
  <c r="BW56" i="109"/>
  <c r="BW57" i="109"/>
  <c r="BW58" i="109"/>
  <c r="BW59" i="109"/>
  <c r="BW60" i="109"/>
  <c r="BW61" i="109"/>
  <c r="BW62" i="109"/>
  <c r="BW63" i="109"/>
  <c r="BW64" i="109"/>
  <c r="BW65" i="109"/>
  <c r="BW66" i="109"/>
  <c r="BW67" i="109"/>
  <c r="BW68" i="109"/>
  <c r="BW69" i="109"/>
  <c r="BW70" i="109"/>
  <c r="BW71" i="109"/>
  <c r="BW72" i="109"/>
  <c r="BW73" i="109"/>
  <c r="BW74" i="109"/>
  <c r="BW75" i="109"/>
  <c r="BW76" i="109"/>
  <c r="BW77" i="109"/>
  <c r="BW78" i="109"/>
  <c r="BW79" i="109"/>
  <c r="BW80" i="109"/>
  <c r="BW81" i="109"/>
  <c r="BW82" i="109"/>
  <c r="BW83" i="109"/>
  <c r="BW84" i="109"/>
  <c r="BW85" i="109"/>
  <c r="BW86" i="109"/>
  <c r="BW87" i="109"/>
  <c r="BW88" i="109"/>
  <c r="BW89" i="109"/>
  <c r="BW90" i="109"/>
  <c r="BW91" i="109"/>
  <c r="BW92" i="109"/>
  <c r="BW93" i="109"/>
  <c r="BW94" i="109"/>
  <c r="BW95" i="109"/>
  <c r="BW96" i="109"/>
  <c r="BW97" i="109"/>
  <c r="BW98" i="109"/>
  <c r="BW99" i="109"/>
  <c r="BW100" i="109"/>
  <c r="BW101" i="109"/>
  <c r="BW102" i="109"/>
  <c r="BW103" i="109"/>
  <c r="BW104" i="109"/>
  <c r="BW105" i="109"/>
  <c r="BW106" i="109"/>
  <c r="BW107" i="109"/>
  <c r="BW108" i="109"/>
  <c r="BW109" i="109"/>
  <c r="BW110" i="109"/>
  <c r="BW111" i="109"/>
  <c r="BW112" i="109"/>
  <c r="BW113" i="109"/>
  <c r="BW114" i="109"/>
  <c r="BW115" i="109"/>
  <c r="BW116" i="109"/>
  <c r="BW117" i="109"/>
  <c r="BW118" i="109"/>
  <c r="BW119" i="109"/>
  <c r="BW120" i="109"/>
  <c r="BW121" i="109"/>
  <c r="BW122" i="109"/>
  <c r="BW123" i="109"/>
  <c r="BW124" i="109"/>
  <c r="BW125" i="109"/>
  <c r="BW6" i="109"/>
  <c r="BV6" i="109"/>
  <c r="BV7" i="109"/>
  <c r="BV8" i="109"/>
  <c r="BV9" i="109"/>
  <c r="BV10" i="109"/>
  <c r="BV11" i="109"/>
  <c r="BV12" i="109"/>
  <c r="BV13" i="109"/>
  <c r="BV14" i="109"/>
  <c r="BV15" i="109"/>
  <c r="BV16" i="109"/>
  <c r="BV17" i="109"/>
  <c r="BV18" i="109"/>
  <c r="BV19" i="109"/>
  <c r="BV20" i="109"/>
  <c r="BV21" i="109"/>
  <c r="BV22" i="109"/>
  <c r="BV23" i="109"/>
  <c r="BV24" i="109"/>
  <c r="BV25" i="109"/>
  <c r="BV26" i="109"/>
  <c r="BV27" i="109"/>
  <c r="BV28" i="109"/>
  <c r="BV29" i="109"/>
  <c r="BV30" i="109"/>
  <c r="BV31" i="109"/>
  <c r="BV32" i="109"/>
  <c r="BV33" i="109"/>
  <c r="BV34" i="109"/>
  <c r="BV35" i="109"/>
  <c r="BV36" i="109"/>
  <c r="BV37" i="109"/>
  <c r="BV38" i="109"/>
  <c r="BV39" i="109"/>
  <c r="BV40" i="109"/>
  <c r="BV41" i="109"/>
  <c r="BV42" i="109"/>
  <c r="BV43" i="109"/>
  <c r="BV44" i="109"/>
  <c r="BV45" i="109"/>
  <c r="BV46" i="109"/>
  <c r="BV47" i="109"/>
  <c r="BV48" i="109"/>
  <c r="BV49" i="109"/>
  <c r="BV50" i="109"/>
  <c r="BV51" i="109"/>
  <c r="BV52" i="109"/>
  <c r="BV53" i="109"/>
  <c r="BV54" i="109"/>
  <c r="BV55" i="109"/>
  <c r="BV56" i="109"/>
  <c r="BV57" i="109"/>
  <c r="BV58" i="109"/>
  <c r="BV59" i="109"/>
  <c r="BV60" i="109"/>
  <c r="BV61" i="109"/>
  <c r="BV62" i="109"/>
  <c r="BV63" i="109"/>
  <c r="BV64" i="109"/>
  <c r="BV65" i="109"/>
  <c r="BV66" i="109"/>
  <c r="BV67" i="109"/>
  <c r="BV68" i="109"/>
  <c r="BV69" i="109"/>
  <c r="BV70" i="109"/>
  <c r="BV71" i="109"/>
  <c r="BV72" i="109"/>
  <c r="BV73" i="109"/>
  <c r="BV74" i="109"/>
  <c r="BV75" i="109"/>
  <c r="BV76" i="109"/>
  <c r="BV77" i="109"/>
  <c r="BV78" i="109"/>
  <c r="BV79" i="109"/>
  <c r="BV80" i="109"/>
  <c r="BV81" i="109"/>
  <c r="BV82" i="109"/>
  <c r="BV83" i="109"/>
  <c r="BV84" i="109"/>
  <c r="BV85" i="109"/>
  <c r="BV86" i="109"/>
  <c r="BV87" i="109"/>
  <c r="BV88" i="109"/>
  <c r="BV89" i="109"/>
  <c r="BV90" i="109"/>
  <c r="BV91" i="109"/>
  <c r="BV92" i="109"/>
  <c r="BV93" i="109"/>
  <c r="BV94" i="109"/>
  <c r="BV95" i="109"/>
  <c r="BV96" i="109"/>
  <c r="BV97" i="109"/>
  <c r="BV98" i="109"/>
  <c r="BV99" i="109"/>
  <c r="BV100" i="109"/>
  <c r="BV101" i="109"/>
  <c r="BV102" i="109"/>
  <c r="BV103" i="109"/>
  <c r="BV104" i="109"/>
  <c r="BV105" i="109"/>
  <c r="BV106" i="109"/>
  <c r="BV107" i="109"/>
  <c r="BV108" i="109"/>
  <c r="BV109" i="109"/>
  <c r="BV110" i="109"/>
  <c r="BV111" i="109"/>
  <c r="BV112" i="109"/>
  <c r="BV113" i="109"/>
  <c r="BV114" i="109"/>
  <c r="BV115" i="109"/>
  <c r="BV116" i="109"/>
  <c r="BV117" i="109"/>
  <c r="BV118" i="109"/>
  <c r="BV119" i="109"/>
  <c r="BV120" i="109"/>
  <c r="BV121" i="109"/>
  <c r="BV122" i="109"/>
  <c r="BV123" i="109"/>
  <c r="BV124" i="109"/>
  <c r="BV125" i="109"/>
  <c r="BV5" i="109"/>
  <c r="BU125" i="109"/>
  <c r="BU124" i="109"/>
  <c r="BU123" i="109"/>
  <c r="BU122" i="109"/>
  <c r="BU121" i="109"/>
  <c r="BU120" i="109"/>
  <c r="BU119" i="109"/>
  <c r="BU118" i="109"/>
  <c r="BU117" i="109"/>
  <c r="BU116" i="109"/>
  <c r="BU115" i="109"/>
  <c r="BU114" i="109"/>
  <c r="BU113" i="109"/>
  <c r="BU112" i="109"/>
  <c r="BU111" i="109"/>
  <c r="BU110" i="109"/>
  <c r="BU109" i="109"/>
  <c r="BU108" i="109"/>
  <c r="BU107" i="109"/>
  <c r="BU106" i="109"/>
  <c r="BU105" i="109"/>
  <c r="BU104" i="109"/>
  <c r="BU103" i="109"/>
  <c r="BU102" i="109"/>
  <c r="BU101" i="109"/>
  <c r="BU100" i="109"/>
  <c r="BU99" i="109"/>
  <c r="BU98" i="109"/>
  <c r="BU97" i="109"/>
  <c r="BU96" i="109"/>
  <c r="BU95" i="109"/>
  <c r="BU94" i="109"/>
  <c r="BU93" i="109"/>
  <c r="BU92" i="109"/>
  <c r="BU91" i="109"/>
  <c r="BU90" i="109"/>
  <c r="BU89" i="109"/>
  <c r="BU88" i="109"/>
  <c r="BU87" i="109"/>
  <c r="BU86" i="109"/>
  <c r="BU85" i="109"/>
  <c r="BU84" i="109"/>
  <c r="BU83" i="109"/>
  <c r="BU82" i="109"/>
  <c r="BU81" i="109"/>
  <c r="BU80" i="109"/>
  <c r="BU79" i="109"/>
  <c r="BU78" i="109"/>
  <c r="BU77" i="109"/>
  <c r="BU76" i="109"/>
  <c r="BU75" i="109"/>
  <c r="BU74" i="109"/>
  <c r="BU73" i="109"/>
  <c r="BU72" i="109"/>
  <c r="BU71" i="109"/>
  <c r="BU70" i="109"/>
  <c r="BU69" i="109"/>
  <c r="BU68" i="109"/>
  <c r="BU67" i="109"/>
  <c r="BU66" i="109"/>
  <c r="BU65" i="109"/>
  <c r="BU64" i="109"/>
  <c r="BU63" i="109"/>
  <c r="BU62" i="109"/>
  <c r="BU61" i="109"/>
  <c r="BU60" i="109"/>
  <c r="BU59" i="109"/>
  <c r="BU58" i="109"/>
  <c r="BU57" i="109"/>
  <c r="BU56" i="109"/>
  <c r="BU55" i="109"/>
  <c r="BU54" i="109"/>
  <c r="BU53" i="109"/>
  <c r="BU52" i="109"/>
  <c r="BU51" i="109"/>
  <c r="BU50" i="109"/>
  <c r="BU49" i="109"/>
  <c r="BU48" i="109"/>
  <c r="BU47" i="109"/>
  <c r="BU46" i="109"/>
  <c r="BU45" i="109"/>
  <c r="BU44" i="109"/>
  <c r="BU43" i="109"/>
  <c r="BU42" i="109"/>
  <c r="BU41" i="109"/>
  <c r="BU40" i="109"/>
  <c r="BU39" i="109"/>
  <c r="BU38" i="109"/>
  <c r="BU37" i="109"/>
  <c r="BU36" i="109"/>
  <c r="BU35" i="109"/>
  <c r="BU34" i="109"/>
  <c r="BU33" i="109"/>
  <c r="BU32" i="109"/>
  <c r="BU31" i="109"/>
  <c r="BU30" i="109"/>
  <c r="BU29" i="109"/>
  <c r="BU28" i="109"/>
  <c r="BU27" i="109"/>
  <c r="BU26" i="109"/>
  <c r="BU25" i="109"/>
  <c r="BU24" i="109"/>
  <c r="BU23" i="109"/>
  <c r="BU22" i="109"/>
  <c r="BU21" i="109"/>
  <c r="BU20" i="109"/>
  <c r="BU19" i="109"/>
  <c r="BU18" i="109"/>
  <c r="BU17" i="109"/>
  <c r="BU16" i="109"/>
  <c r="BU15" i="109"/>
  <c r="BU14" i="109"/>
  <c r="BU13" i="109"/>
  <c r="BU12" i="109"/>
  <c r="BU11" i="109"/>
  <c r="BU10" i="109"/>
  <c r="BU9" i="109"/>
  <c r="BU8" i="109"/>
  <c r="BU7" i="109"/>
  <c r="BU6" i="109"/>
  <c r="BU5" i="109"/>
  <c r="BW5" i="109" s="1"/>
  <c r="N5" i="91" l="1"/>
  <c r="H40" i="1" l="1"/>
  <c r="G40" i="1"/>
  <c r="F6" i="100"/>
  <c r="F7" i="100"/>
  <c r="F8" i="100"/>
  <c r="F9" i="100"/>
  <c r="F10" i="100"/>
  <c r="F11" i="100"/>
  <c r="F12" i="100"/>
  <c r="F13" i="100"/>
  <c r="F14" i="100"/>
  <c r="F15" i="100"/>
  <c r="F16" i="100"/>
  <c r="F17" i="100"/>
  <c r="F18" i="100"/>
  <c r="F19" i="100"/>
  <c r="F20" i="100"/>
  <c r="F21" i="100"/>
  <c r="F22" i="100"/>
  <c r="F23" i="100"/>
  <c r="F24" i="100"/>
  <c r="F25" i="100"/>
  <c r="F26" i="100"/>
  <c r="F27" i="100"/>
  <c r="F28" i="100"/>
  <c r="F29" i="100"/>
  <c r="F30" i="100"/>
  <c r="F31" i="100"/>
  <c r="F32" i="100"/>
  <c r="F33" i="100"/>
  <c r="F34" i="100"/>
  <c r="F35" i="100"/>
  <c r="F36" i="100"/>
  <c r="F37" i="100"/>
  <c r="F38" i="100"/>
  <c r="F39" i="100"/>
  <c r="F40" i="100"/>
  <c r="F41" i="100"/>
  <c r="F42" i="100"/>
  <c r="F43" i="100"/>
  <c r="F44" i="100"/>
  <c r="F45" i="100"/>
  <c r="F46" i="100"/>
  <c r="F47" i="100"/>
  <c r="F48" i="100"/>
  <c r="F49" i="100"/>
  <c r="F50" i="100"/>
  <c r="F51" i="100"/>
  <c r="F52" i="100"/>
  <c r="F53" i="100"/>
  <c r="F54" i="100"/>
  <c r="F55" i="100"/>
  <c r="F56" i="100"/>
  <c r="F57" i="100"/>
  <c r="F58" i="100"/>
  <c r="F59" i="100"/>
  <c r="F60" i="100"/>
  <c r="F61" i="100"/>
  <c r="F62" i="100"/>
  <c r="F63" i="100"/>
  <c r="F64" i="100"/>
  <c r="F65" i="100"/>
  <c r="F66" i="100"/>
  <c r="F67" i="100"/>
  <c r="F68" i="100"/>
  <c r="F69" i="100"/>
  <c r="F70" i="100"/>
  <c r="F71" i="100"/>
  <c r="F72" i="100"/>
  <c r="F73" i="100"/>
  <c r="F74" i="100"/>
  <c r="F75" i="100"/>
  <c r="F76" i="100"/>
  <c r="F77" i="100"/>
  <c r="F78" i="100"/>
  <c r="F79" i="100"/>
  <c r="F80" i="100"/>
  <c r="F81" i="100"/>
  <c r="F82" i="100"/>
  <c r="F83" i="100"/>
  <c r="F84" i="100"/>
  <c r="F85" i="100"/>
  <c r="F86" i="100"/>
  <c r="F87" i="100"/>
  <c r="F88" i="100"/>
  <c r="F89" i="100"/>
  <c r="F90" i="100"/>
  <c r="F91" i="100"/>
  <c r="F92" i="100"/>
  <c r="F93" i="100"/>
  <c r="F94" i="100"/>
  <c r="F95" i="100"/>
  <c r="F96" i="100"/>
  <c r="F97" i="100"/>
  <c r="F98" i="100"/>
  <c r="F99" i="100"/>
  <c r="F100" i="100"/>
  <c r="F101" i="100"/>
  <c r="F102" i="100"/>
  <c r="F103" i="100"/>
  <c r="F104" i="100"/>
  <c r="F105" i="100"/>
  <c r="F106" i="100"/>
  <c r="F107" i="100"/>
  <c r="F108" i="100"/>
  <c r="F109" i="100"/>
  <c r="F110" i="100"/>
  <c r="F111" i="100"/>
  <c r="F112" i="100"/>
  <c r="F113" i="100"/>
  <c r="F114" i="100"/>
  <c r="F115" i="100"/>
  <c r="F116" i="100"/>
  <c r="F117" i="100"/>
  <c r="F118" i="100"/>
  <c r="F119" i="100"/>
  <c r="F120" i="100"/>
  <c r="F121" i="100"/>
  <c r="F122" i="100"/>
  <c r="F123" i="100"/>
  <c r="F124" i="100"/>
  <c r="F125" i="100"/>
  <c r="J131" i="101" l="1"/>
  <c r="I131" i="101"/>
  <c r="E131" i="101"/>
  <c r="F131" i="101"/>
  <c r="G131" i="101"/>
  <c r="D131" i="101"/>
  <c r="E131" i="59" l="1"/>
  <c r="F131" i="59"/>
  <c r="G131" i="59"/>
  <c r="H131" i="59"/>
  <c r="I23" i="108" l="1"/>
  <c r="Y131" i="113"/>
  <c r="Y130" i="113"/>
  <c r="Y129" i="113"/>
  <c r="Y128" i="113"/>
  <c r="Y127" i="113"/>
  <c r="Y125" i="113"/>
  <c r="Y124" i="113"/>
  <c r="Y123" i="113"/>
  <c r="Y122" i="113"/>
  <c r="Y121" i="113"/>
  <c r="Y120" i="113"/>
  <c r="Y119" i="113"/>
  <c r="Y118" i="113"/>
  <c r="Y117" i="113"/>
  <c r="Y116" i="113"/>
  <c r="Y115" i="113"/>
  <c r="Y114" i="113"/>
  <c r="Y113" i="113"/>
  <c r="Y112" i="113"/>
  <c r="Y111" i="113"/>
  <c r="Y110" i="113"/>
  <c r="Y109" i="113"/>
  <c r="Y108" i="113"/>
  <c r="Y107" i="113"/>
  <c r="Y106" i="113"/>
  <c r="Y105" i="113"/>
  <c r="Y104" i="113"/>
  <c r="Y103" i="113"/>
  <c r="Y102" i="113"/>
  <c r="Y101" i="113"/>
  <c r="Y100" i="113"/>
  <c r="Y99" i="113"/>
  <c r="Y98" i="113"/>
  <c r="Y97" i="113"/>
  <c r="Y96" i="113"/>
  <c r="Y95" i="113"/>
  <c r="Y94" i="113"/>
  <c r="Y93" i="113"/>
  <c r="Y92" i="113"/>
  <c r="Y91" i="113"/>
  <c r="Y90" i="113"/>
  <c r="Y89" i="113"/>
  <c r="Y88" i="113"/>
  <c r="Y87" i="113"/>
  <c r="Y86" i="113"/>
  <c r="Y85" i="113"/>
  <c r="Y84" i="113"/>
  <c r="Y83" i="113"/>
  <c r="Y82" i="113"/>
  <c r="Y81" i="113"/>
  <c r="Y80" i="113"/>
  <c r="Y79" i="113"/>
  <c r="Y78" i="113"/>
  <c r="Y77" i="113"/>
  <c r="Y76" i="113"/>
  <c r="Y75" i="113"/>
  <c r="Y74" i="113"/>
  <c r="Y73" i="113"/>
  <c r="Y72" i="113"/>
  <c r="Y71" i="113"/>
  <c r="Y70" i="113"/>
  <c r="Y69" i="113"/>
  <c r="Y68" i="113"/>
  <c r="Y67" i="113"/>
  <c r="Y66" i="113"/>
  <c r="Y65" i="113"/>
  <c r="Y64" i="113"/>
  <c r="Y63" i="113"/>
  <c r="Y62" i="113"/>
  <c r="Y61" i="113"/>
  <c r="Y60" i="113"/>
  <c r="Y59" i="113"/>
  <c r="Y58" i="113"/>
  <c r="Y57" i="113"/>
  <c r="Y56" i="113"/>
  <c r="Y55" i="113"/>
  <c r="Y54" i="113"/>
  <c r="Y53" i="113"/>
  <c r="Y52" i="113"/>
  <c r="Y51" i="113"/>
  <c r="Y50" i="113"/>
  <c r="Y49" i="113"/>
  <c r="Y48" i="113"/>
  <c r="Y47" i="113"/>
  <c r="Y46" i="113"/>
  <c r="Y45" i="113"/>
  <c r="Y44" i="113"/>
  <c r="Y43" i="113"/>
  <c r="Y42" i="113"/>
  <c r="Y41" i="113"/>
  <c r="Y40" i="113"/>
  <c r="Y39" i="113"/>
  <c r="Y38" i="113"/>
  <c r="Y37" i="113"/>
  <c r="Y36" i="113"/>
  <c r="Y35" i="113"/>
  <c r="Y34" i="113"/>
  <c r="Y33" i="113"/>
  <c r="Y32" i="113"/>
  <c r="Y31" i="113"/>
  <c r="Y30" i="113"/>
  <c r="Y29" i="113"/>
  <c r="Y28" i="113"/>
  <c r="Y27" i="113"/>
  <c r="Y26" i="113"/>
  <c r="Y25" i="113"/>
  <c r="Y24" i="113"/>
  <c r="Y23" i="113"/>
  <c r="Y22" i="113"/>
  <c r="Y21" i="113"/>
  <c r="Y20" i="113"/>
  <c r="Y19" i="113"/>
  <c r="Y18" i="113"/>
  <c r="Y17" i="113"/>
  <c r="Y16" i="113"/>
  <c r="Y15" i="113"/>
  <c r="Y14" i="113"/>
  <c r="Y13" i="113"/>
  <c r="Y12" i="113"/>
  <c r="Y11" i="113"/>
  <c r="Y10" i="113"/>
  <c r="Y9" i="113"/>
  <c r="Y8" i="113"/>
  <c r="Y7" i="113"/>
  <c r="Y6" i="113"/>
  <c r="Y5" i="113"/>
  <c r="I24" i="108" s="1"/>
  <c r="Y131" i="109"/>
  <c r="Y130" i="109"/>
  <c r="Y129" i="109"/>
  <c r="Y128" i="109"/>
  <c r="Y127"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D24" i="108" s="1"/>
  <c r="AF8" i="85" l="1"/>
  <c r="AG8" i="85"/>
  <c r="AF9" i="85"/>
  <c r="AG9" i="85"/>
  <c r="AF10" i="85"/>
  <c r="AG10" i="85"/>
  <c r="AF11" i="85"/>
  <c r="AG11" i="85"/>
  <c r="AF12" i="85"/>
  <c r="AG12" i="85"/>
  <c r="AF13" i="85"/>
  <c r="AG13" i="85"/>
  <c r="AF14" i="85"/>
  <c r="AG14" i="85"/>
  <c r="AF15" i="85"/>
  <c r="AG15" i="85"/>
  <c r="AF16" i="85"/>
  <c r="AG16" i="85"/>
  <c r="AF17" i="85"/>
  <c r="AG17" i="85"/>
  <c r="AF18" i="85"/>
  <c r="AG18" i="85"/>
  <c r="AF19" i="85"/>
  <c r="AG19" i="85"/>
  <c r="AF20" i="85"/>
  <c r="AG20" i="85"/>
  <c r="AF21" i="85"/>
  <c r="AG21" i="85"/>
  <c r="AF22" i="85"/>
  <c r="AG22" i="85"/>
  <c r="AF23" i="85"/>
  <c r="AG23" i="85"/>
  <c r="AF24" i="85"/>
  <c r="AG24" i="85"/>
  <c r="AF25" i="85"/>
  <c r="AG25" i="85"/>
  <c r="AF26" i="85"/>
  <c r="AG26" i="85"/>
  <c r="AF27" i="85"/>
  <c r="AG27" i="85"/>
  <c r="AF28" i="85"/>
  <c r="AG28" i="85"/>
  <c r="AF29" i="85"/>
  <c r="AG29" i="85"/>
  <c r="AF30" i="85"/>
  <c r="AG30" i="85"/>
  <c r="AF31" i="85"/>
  <c r="AG31" i="85"/>
  <c r="AF32" i="85"/>
  <c r="AG32" i="85"/>
  <c r="AF33" i="85"/>
  <c r="AG33" i="85"/>
  <c r="AF34" i="85"/>
  <c r="AG34" i="85"/>
  <c r="AF35" i="85"/>
  <c r="AG35" i="85"/>
  <c r="AF36" i="85"/>
  <c r="AG36" i="85"/>
  <c r="AF37" i="85"/>
  <c r="AG37" i="85"/>
  <c r="AF38" i="85"/>
  <c r="AG38" i="85"/>
  <c r="AF39" i="85"/>
  <c r="AG39" i="85"/>
  <c r="AF40" i="85"/>
  <c r="AG40" i="85"/>
  <c r="AF41" i="85"/>
  <c r="AG41" i="85"/>
  <c r="AF42" i="85"/>
  <c r="AG42" i="85"/>
  <c r="AF43" i="85"/>
  <c r="AG43" i="85"/>
  <c r="AF44" i="85"/>
  <c r="AG44" i="85"/>
  <c r="AF45" i="85"/>
  <c r="AG45" i="85"/>
  <c r="AF46" i="85"/>
  <c r="AG46" i="85"/>
  <c r="AF47" i="85"/>
  <c r="AG47" i="85"/>
  <c r="AF48" i="85"/>
  <c r="AG48" i="85"/>
  <c r="AF49" i="85"/>
  <c r="AG49" i="85"/>
  <c r="AF50" i="85"/>
  <c r="AG50" i="85"/>
  <c r="AF51" i="85"/>
  <c r="AG51" i="85"/>
  <c r="AF52" i="85"/>
  <c r="AG52" i="85"/>
  <c r="AF53" i="85"/>
  <c r="AG53" i="85"/>
  <c r="AF54" i="85"/>
  <c r="AG54" i="85"/>
  <c r="AF55" i="85"/>
  <c r="AG55" i="85"/>
  <c r="AF56" i="85"/>
  <c r="AG56" i="85"/>
  <c r="AF57" i="85"/>
  <c r="AG57" i="85"/>
  <c r="AF58" i="85"/>
  <c r="AG58" i="85"/>
  <c r="AF59" i="85"/>
  <c r="AG59" i="85"/>
  <c r="AF60" i="85"/>
  <c r="AG60" i="85"/>
  <c r="AF61" i="85"/>
  <c r="AG61" i="85"/>
  <c r="AF62" i="85"/>
  <c r="AG62" i="85"/>
  <c r="AF63" i="85"/>
  <c r="AG63" i="85"/>
  <c r="AF64" i="85"/>
  <c r="AG64" i="85"/>
  <c r="AF65" i="85"/>
  <c r="AG65" i="85"/>
  <c r="AF66" i="85"/>
  <c r="AG66" i="85"/>
  <c r="AF67" i="85"/>
  <c r="AG67" i="85"/>
  <c r="AF68" i="85"/>
  <c r="AG68" i="85"/>
  <c r="AF69" i="85"/>
  <c r="AG69" i="85"/>
  <c r="AF70" i="85"/>
  <c r="AG70" i="85"/>
  <c r="AF71" i="85"/>
  <c r="AG71" i="85"/>
  <c r="AF72" i="85"/>
  <c r="AG72" i="85"/>
  <c r="AF73" i="85"/>
  <c r="AG73" i="85"/>
  <c r="AF74" i="85"/>
  <c r="AG74" i="85"/>
  <c r="AF75" i="85"/>
  <c r="AG75" i="85"/>
  <c r="AF76" i="85"/>
  <c r="AG76" i="85"/>
  <c r="AF77" i="85"/>
  <c r="AG77" i="85"/>
  <c r="AF78" i="85"/>
  <c r="AG78" i="85"/>
  <c r="AF79" i="85"/>
  <c r="AG79" i="85"/>
  <c r="AF80" i="85"/>
  <c r="AG80" i="85"/>
  <c r="AF81" i="85"/>
  <c r="AG81" i="85"/>
  <c r="AF82" i="85"/>
  <c r="AG82" i="85"/>
  <c r="AF83" i="85"/>
  <c r="AG83" i="85"/>
  <c r="AF84" i="85"/>
  <c r="AG84" i="85"/>
  <c r="AF85" i="85"/>
  <c r="AG85" i="85"/>
  <c r="AF86" i="85"/>
  <c r="AG86" i="85"/>
  <c r="AF87" i="85"/>
  <c r="AG87" i="85"/>
  <c r="AF88" i="85"/>
  <c r="AG88" i="85"/>
  <c r="AF89" i="85"/>
  <c r="AG89" i="85"/>
  <c r="AF90" i="85"/>
  <c r="AG90" i="85"/>
  <c r="AF91" i="85"/>
  <c r="AG91" i="85"/>
  <c r="AF92" i="85"/>
  <c r="AG92" i="85"/>
  <c r="AF93" i="85"/>
  <c r="AG93" i="85"/>
  <c r="AF94" i="85"/>
  <c r="AG94" i="85"/>
  <c r="AF95" i="85"/>
  <c r="AG95" i="85"/>
  <c r="AF96" i="85"/>
  <c r="AG96" i="85"/>
  <c r="AF97" i="85"/>
  <c r="AG97" i="85"/>
  <c r="AF98" i="85"/>
  <c r="AG98" i="85"/>
  <c r="AF99" i="85"/>
  <c r="AG99" i="85"/>
  <c r="AF100" i="85"/>
  <c r="AG100" i="85"/>
  <c r="AF101" i="85"/>
  <c r="AG101" i="85"/>
  <c r="AF102" i="85"/>
  <c r="AG102" i="85"/>
  <c r="AF103" i="85"/>
  <c r="AG103" i="85"/>
  <c r="AF104" i="85"/>
  <c r="AG104" i="85"/>
  <c r="AF105" i="85"/>
  <c r="AG105" i="85"/>
  <c r="AF106" i="85"/>
  <c r="AG106" i="85"/>
  <c r="AF107" i="85"/>
  <c r="AG107" i="85"/>
  <c r="AF108" i="85"/>
  <c r="AG108" i="85"/>
  <c r="AF109" i="85"/>
  <c r="AG109" i="85"/>
  <c r="AF110" i="85"/>
  <c r="AG110" i="85"/>
  <c r="AF111" i="85"/>
  <c r="AG111" i="85"/>
  <c r="AF112" i="85"/>
  <c r="AG112" i="85"/>
  <c r="AF113" i="85"/>
  <c r="AG113" i="85"/>
  <c r="AF114" i="85"/>
  <c r="AG114" i="85"/>
  <c r="AF115" i="85"/>
  <c r="AG115" i="85"/>
  <c r="AF116" i="85"/>
  <c r="AG116" i="85"/>
  <c r="AF117" i="85"/>
  <c r="AG117" i="85"/>
  <c r="AF118" i="85"/>
  <c r="AG118" i="85"/>
  <c r="AF119" i="85"/>
  <c r="AG119" i="85"/>
  <c r="AF120" i="85"/>
  <c r="AG120" i="85"/>
  <c r="AF121" i="85"/>
  <c r="AG121" i="85"/>
  <c r="AF122" i="85"/>
  <c r="AG122" i="85"/>
  <c r="AF123" i="85"/>
  <c r="AG123" i="85"/>
  <c r="AF124" i="85"/>
  <c r="AG124" i="85"/>
  <c r="AF125" i="85"/>
  <c r="AG125" i="85"/>
  <c r="AF126" i="85"/>
  <c r="AG126" i="85"/>
  <c r="AG7" i="85"/>
  <c r="AF7" i="85"/>
  <c r="AE8" i="85"/>
  <c r="AE9" i="85"/>
  <c r="AE10" i="85"/>
  <c r="AE11" i="85"/>
  <c r="AE12" i="85"/>
  <c r="AE13" i="85"/>
  <c r="AE14" i="85"/>
  <c r="AE15" i="85"/>
  <c r="AE16" i="85"/>
  <c r="AE17" i="85"/>
  <c r="AE18" i="85"/>
  <c r="AE19" i="85"/>
  <c r="AE20" i="85"/>
  <c r="AE21" i="85"/>
  <c r="AE22" i="85"/>
  <c r="AE23" i="85"/>
  <c r="AE24" i="85"/>
  <c r="AE25" i="85"/>
  <c r="AE26" i="85"/>
  <c r="AE27" i="85"/>
  <c r="AE28" i="85"/>
  <c r="AE29" i="85"/>
  <c r="AE30" i="85"/>
  <c r="AE31" i="85"/>
  <c r="AE32" i="85"/>
  <c r="AE33" i="85"/>
  <c r="AE34" i="85"/>
  <c r="AE35" i="85"/>
  <c r="AE36" i="85"/>
  <c r="AE37" i="85"/>
  <c r="AE38" i="85"/>
  <c r="AE39" i="85"/>
  <c r="AE40" i="85"/>
  <c r="AE41" i="85"/>
  <c r="AE42" i="85"/>
  <c r="AE43" i="85"/>
  <c r="AE44" i="85"/>
  <c r="AE45" i="85"/>
  <c r="AE46" i="85"/>
  <c r="AE47" i="85"/>
  <c r="AE48" i="85"/>
  <c r="AE49" i="85"/>
  <c r="AE50" i="85"/>
  <c r="AE51" i="85"/>
  <c r="AE52" i="85"/>
  <c r="AE53" i="85"/>
  <c r="AE54" i="85"/>
  <c r="AE55" i="85"/>
  <c r="AE56" i="85"/>
  <c r="AE57" i="85"/>
  <c r="AE58" i="85"/>
  <c r="AE59" i="85"/>
  <c r="AE60" i="85"/>
  <c r="AE61" i="85"/>
  <c r="AE62" i="85"/>
  <c r="AE63" i="85"/>
  <c r="AE64" i="85"/>
  <c r="AE65" i="85"/>
  <c r="AE66" i="85"/>
  <c r="AE67" i="85"/>
  <c r="AE68" i="85"/>
  <c r="AE69" i="85"/>
  <c r="AE70" i="85"/>
  <c r="AE71" i="85"/>
  <c r="AE72" i="85"/>
  <c r="AE73" i="85"/>
  <c r="AE74" i="85"/>
  <c r="AE75" i="85"/>
  <c r="AE76" i="85"/>
  <c r="AE77" i="85"/>
  <c r="AE78" i="85"/>
  <c r="AE79" i="85"/>
  <c r="AE80" i="85"/>
  <c r="AE81" i="85"/>
  <c r="AE82" i="85"/>
  <c r="AE83" i="85"/>
  <c r="AE84" i="85"/>
  <c r="AE85" i="85"/>
  <c r="AE86" i="85"/>
  <c r="AE87" i="85"/>
  <c r="AE88" i="85"/>
  <c r="AE89" i="85"/>
  <c r="AE90" i="85"/>
  <c r="AE91" i="85"/>
  <c r="AE92" i="85"/>
  <c r="AE93" i="85"/>
  <c r="AE94" i="85"/>
  <c r="AE95" i="85"/>
  <c r="AE96" i="85"/>
  <c r="AE97" i="85"/>
  <c r="AE98" i="85"/>
  <c r="AE99" i="85"/>
  <c r="AE100" i="85"/>
  <c r="AE101" i="85"/>
  <c r="AE102" i="85"/>
  <c r="AE103" i="85"/>
  <c r="AE104" i="85"/>
  <c r="AE105" i="85"/>
  <c r="AE106" i="85"/>
  <c r="AE107" i="85"/>
  <c r="AE108" i="85"/>
  <c r="AE109" i="85"/>
  <c r="AE110" i="85"/>
  <c r="AE111" i="85"/>
  <c r="AE112" i="85"/>
  <c r="AE113" i="85"/>
  <c r="AE114" i="85"/>
  <c r="AE115" i="85"/>
  <c r="AE116" i="85"/>
  <c r="AE117" i="85"/>
  <c r="AE118" i="85"/>
  <c r="AE119" i="85"/>
  <c r="AE120" i="85"/>
  <c r="AE121" i="85"/>
  <c r="AE122" i="85"/>
  <c r="AE123" i="85"/>
  <c r="AE124" i="85"/>
  <c r="AE125" i="85"/>
  <c r="AE126" i="85"/>
  <c r="AE7" i="85"/>
  <c r="BK131" i="24" l="1"/>
  <c r="BK130" i="24"/>
  <c r="BK129" i="24"/>
  <c r="BK128" i="24"/>
  <c r="BK127"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K14" i="24"/>
  <c r="BK13" i="24"/>
  <c r="BK12" i="24"/>
  <c r="BK11" i="24"/>
  <c r="BK10" i="24"/>
  <c r="BK9" i="24"/>
  <c r="BK8" i="24"/>
  <c r="BK7" i="24"/>
  <c r="BK6" i="24"/>
  <c r="F128" i="84"/>
  <c r="G128" i="84"/>
  <c r="W128" i="84" s="1"/>
  <c r="F129" i="84"/>
  <c r="G129" i="84"/>
  <c r="W129" i="84" s="1"/>
  <c r="F130" i="84"/>
  <c r="V130" i="84" s="1"/>
  <c r="G130" i="84"/>
  <c r="F131" i="84"/>
  <c r="G131" i="84"/>
  <c r="W131" i="84" s="1"/>
  <c r="G127" i="84"/>
  <c r="W127" i="84" s="1"/>
  <c r="F127" i="84"/>
  <c r="O128" i="84"/>
  <c r="AE128" i="84" s="1"/>
  <c r="O129" i="84"/>
  <c r="AE129" i="84" s="1"/>
  <c r="O130" i="84"/>
  <c r="O131" i="84"/>
  <c r="O127" i="84"/>
  <c r="N128" i="84"/>
  <c r="AD128" i="84" s="1"/>
  <c r="N129" i="84"/>
  <c r="AD129" i="84" s="1"/>
  <c r="N130" i="84"/>
  <c r="N131" i="84"/>
  <c r="AD131" i="84" s="1"/>
  <c r="N127" i="84"/>
  <c r="AD127" i="84" s="1"/>
  <c r="M128" i="84"/>
  <c r="AC128" i="84" s="1"/>
  <c r="M129" i="84"/>
  <c r="AC129" i="84" s="1"/>
  <c r="M130" i="84"/>
  <c r="M131" i="84"/>
  <c r="M127" i="84"/>
  <c r="AC127" i="84" s="1"/>
  <c r="F7" i="84"/>
  <c r="G7" i="84"/>
  <c r="F8" i="84"/>
  <c r="G8" i="84"/>
  <c r="F9" i="84"/>
  <c r="G9" i="84"/>
  <c r="F10" i="84"/>
  <c r="G10" i="84"/>
  <c r="F11" i="84"/>
  <c r="G11" i="84"/>
  <c r="F12" i="84"/>
  <c r="G12" i="84"/>
  <c r="F13" i="84"/>
  <c r="G13" i="84"/>
  <c r="F14" i="84"/>
  <c r="G14" i="84"/>
  <c r="F15" i="84"/>
  <c r="G15" i="84"/>
  <c r="F16" i="84"/>
  <c r="G16" i="84"/>
  <c r="F17" i="84"/>
  <c r="G17" i="84"/>
  <c r="F18" i="84"/>
  <c r="G18" i="84"/>
  <c r="F19" i="84"/>
  <c r="G19" i="84"/>
  <c r="F20" i="84"/>
  <c r="G20" i="84"/>
  <c r="F21" i="84"/>
  <c r="G21" i="84"/>
  <c r="F22" i="84"/>
  <c r="G22" i="84"/>
  <c r="F23" i="84"/>
  <c r="G23" i="84"/>
  <c r="F24" i="84"/>
  <c r="G24" i="84"/>
  <c r="F25" i="84"/>
  <c r="G25" i="84"/>
  <c r="F26" i="84"/>
  <c r="G26" i="84"/>
  <c r="F27" i="84"/>
  <c r="G27" i="84"/>
  <c r="F28" i="84"/>
  <c r="G28" i="84"/>
  <c r="F29" i="84"/>
  <c r="G29" i="84"/>
  <c r="F30" i="84"/>
  <c r="G30" i="84"/>
  <c r="F31" i="84"/>
  <c r="G31" i="84"/>
  <c r="F32" i="84"/>
  <c r="G32" i="84"/>
  <c r="F33" i="84"/>
  <c r="G33" i="84"/>
  <c r="F34" i="84"/>
  <c r="G34" i="84"/>
  <c r="F35" i="84"/>
  <c r="G35" i="84"/>
  <c r="F36" i="84"/>
  <c r="G36" i="84"/>
  <c r="F37" i="84"/>
  <c r="G37" i="84"/>
  <c r="F38" i="84"/>
  <c r="G38" i="84"/>
  <c r="F39" i="84"/>
  <c r="G39" i="84"/>
  <c r="F40" i="84"/>
  <c r="G40" i="84"/>
  <c r="F41" i="84"/>
  <c r="G41" i="84"/>
  <c r="F42" i="84"/>
  <c r="G42" i="84"/>
  <c r="F43" i="84"/>
  <c r="G43" i="84"/>
  <c r="F44" i="84"/>
  <c r="G44" i="84"/>
  <c r="F45" i="84"/>
  <c r="G45" i="84"/>
  <c r="F46" i="84"/>
  <c r="G46" i="84"/>
  <c r="F47" i="84"/>
  <c r="G47" i="84"/>
  <c r="F48" i="84"/>
  <c r="G48" i="84"/>
  <c r="F49" i="84"/>
  <c r="G49" i="84"/>
  <c r="F50" i="84"/>
  <c r="G50" i="84"/>
  <c r="F51" i="84"/>
  <c r="G51" i="84"/>
  <c r="F52" i="84"/>
  <c r="G52" i="84"/>
  <c r="F53" i="84"/>
  <c r="G53" i="84"/>
  <c r="F54" i="84"/>
  <c r="G54" i="84"/>
  <c r="F55" i="84"/>
  <c r="G55" i="84"/>
  <c r="F56" i="84"/>
  <c r="G56" i="84"/>
  <c r="F57" i="84"/>
  <c r="G57" i="84"/>
  <c r="F58" i="84"/>
  <c r="G58" i="84"/>
  <c r="F59" i="84"/>
  <c r="G59" i="84"/>
  <c r="F60" i="84"/>
  <c r="G60" i="84"/>
  <c r="F61" i="84"/>
  <c r="G61" i="84"/>
  <c r="F62" i="84"/>
  <c r="G62" i="84"/>
  <c r="F63" i="84"/>
  <c r="G63" i="84"/>
  <c r="F64" i="84"/>
  <c r="G64" i="84"/>
  <c r="F65" i="84"/>
  <c r="G65" i="84"/>
  <c r="F66" i="84"/>
  <c r="G66" i="84"/>
  <c r="F67" i="84"/>
  <c r="G67" i="84"/>
  <c r="F68" i="84"/>
  <c r="G68" i="84"/>
  <c r="F69" i="84"/>
  <c r="G69" i="84"/>
  <c r="F70" i="84"/>
  <c r="G70" i="84"/>
  <c r="F71" i="84"/>
  <c r="G71" i="84"/>
  <c r="F72" i="84"/>
  <c r="G72" i="84"/>
  <c r="F73" i="84"/>
  <c r="G73" i="84"/>
  <c r="F74" i="84"/>
  <c r="G74" i="84"/>
  <c r="F75" i="84"/>
  <c r="G75" i="84"/>
  <c r="F76" i="84"/>
  <c r="G76" i="84"/>
  <c r="F77" i="84"/>
  <c r="G77" i="84"/>
  <c r="F78" i="84"/>
  <c r="G78" i="84"/>
  <c r="F79" i="84"/>
  <c r="G79" i="84"/>
  <c r="F80" i="84"/>
  <c r="G80" i="84"/>
  <c r="F81" i="84"/>
  <c r="G81" i="84"/>
  <c r="F82" i="84"/>
  <c r="G82" i="84"/>
  <c r="F83" i="84"/>
  <c r="G83" i="84"/>
  <c r="F84" i="84"/>
  <c r="G84" i="84"/>
  <c r="F85" i="84"/>
  <c r="G85" i="84"/>
  <c r="F86" i="84"/>
  <c r="G86" i="84"/>
  <c r="F87" i="84"/>
  <c r="G87" i="84"/>
  <c r="F88" i="84"/>
  <c r="G88" i="84"/>
  <c r="F89" i="84"/>
  <c r="G89" i="84"/>
  <c r="F90" i="84"/>
  <c r="G90" i="84"/>
  <c r="F91" i="84"/>
  <c r="G91" i="84"/>
  <c r="F92" i="84"/>
  <c r="G92" i="84"/>
  <c r="F93" i="84"/>
  <c r="G93" i="84"/>
  <c r="F94" i="84"/>
  <c r="G94" i="84"/>
  <c r="F95" i="84"/>
  <c r="G95" i="84"/>
  <c r="F96" i="84"/>
  <c r="G96" i="84"/>
  <c r="F97" i="84"/>
  <c r="G97" i="84"/>
  <c r="F98" i="84"/>
  <c r="G98" i="84"/>
  <c r="F99" i="84"/>
  <c r="G99" i="84"/>
  <c r="F100" i="84"/>
  <c r="G100" i="84"/>
  <c r="F101" i="84"/>
  <c r="G101" i="84"/>
  <c r="F102" i="84"/>
  <c r="G102" i="84"/>
  <c r="F103" i="84"/>
  <c r="G103" i="84"/>
  <c r="F104" i="84"/>
  <c r="G104" i="84"/>
  <c r="F105" i="84"/>
  <c r="G105" i="84"/>
  <c r="F106" i="84"/>
  <c r="G106" i="84"/>
  <c r="F107" i="84"/>
  <c r="G107" i="84"/>
  <c r="F108" i="84"/>
  <c r="G108" i="84"/>
  <c r="F109" i="84"/>
  <c r="G109" i="84"/>
  <c r="F110" i="84"/>
  <c r="G110" i="84"/>
  <c r="F111" i="84"/>
  <c r="G111" i="84"/>
  <c r="F112" i="84"/>
  <c r="G112" i="84"/>
  <c r="F113" i="84"/>
  <c r="G113" i="84"/>
  <c r="F114" i="84"/>
  <c r="G114" i="84"/>
  <c r="F115" i="84"/>
  <c r="G115" i="84"/>
  <c r="F116" i="84"/>
  <c r="G116" i="84"/>
  <c r="F117" i="84"/>
  <c r="G117" i="84"/>
  <c r="F118" i="84"/>
  <c r="G118" i="84"/>
  <c r="F119" i="84"/>
  <c r="G119" i="84"/>
  <c r="F120" i="84"/>
  <c r="G120" i="84"/>
  <c r="F121" i="84"/>
  <c r="G121" i="84"/>
  <c r="F122" i="84"/>
  <c r="G122" i="84"/>
  <c r="F123" i="84"/>
  <c r="G123" i="84"/>
  <c r="F124" i="84"/>
  <c r="G124" i="84"/>
  <c r="F125" i="84"/>
  <c r="G125" i="84"/>
  <c r="G6" i="84"/>
  <c r="F6" i="84"/>
  <c r="AE127" i="84"/>
  <c r="V127" i="84"/>
  <c r="X127" i="84"/>
  <c r="Y127" i="84"/>
  <c r="Z127" i="84"/>
  <c r="AA127" i="84"/>
  <c r="AB127" i="84"/>
  <c r="AG127" i="84"/>
  <c r="V128" i="84"/>
  <c r="X128" i="84"/>
  <c r="Y128" i="84"/>
  <c r="Z128" i="84"/>
  <c r="AA128" i="84"/>
  <c r="AB128" i="84"/>
  <c r="AG128" i="84"/>
  <c r="V129" i="84"/>
  <c r="X129" i="84"/>
  <c r="Y129" i="84"/>
  <c r="Z129" i="84"/>
  <c r="AA129" i="84"/>
  <c r="AB129" i="84"/>
  <c r="AG129" i="84"/>
  <c r="AD130" i="84"/>
  <c r="AE130" i="84"/>
  <c r="W130" i="84"/>
  <c r="X130" i="84"/>
  <c r="Y130" i="84"/>
  <c r="Z130" i="84"/>
  <c r="AA130" i="84"/>
  <c r="AB130" i="84"/>
  <c r="AC130" i="84"/>
  <c r="AG130" i="84"/>
  <c r="V131" i="84"/>
  <c r="X131" i="84"/>
  <c r="Y131" i="84"/>
  <c r="Z131" i="84"/>
  <c r="AA131" i="84"/>
  <c r="AB131" i="84"/>
  <c r="AC131" i="84"/>
  <c r="AE131" i="84"/>
  <c r="AG131" i="84"/>
  <c r="BK5" i="24" l="1"/>
  <c r="F72" i="1" s="1"/>
  <c r="D4" i="136"/>
  <c r="E4" i="136"/>
  <c r="F127" i="115" l="1"/>
  <c r="D127" i="115" s="1"/>
  <c r="F128" i="115"/>
  <c r="D128" i="115" s="1"/>
  <c r="F129" i="115"/>
  <c r="D129" i="115" s="1"/>
  <c r="F130" i="115"/>
  <c r="D130" i="115" s="1"/>
  <c r="F126" i="115"/>
  <c r="D126" i="115" s="1"/>
  <c r="H39" i="1" l="1"/>
  <c r="G39" i="1" l="1"/>
  <c r="X131" i="109" l="1"/>
  <c r="X130" i="109"/>
  <c r="X129" i="109"/>
  <c r="X128" i="109"/>
  <c r="X127" i="109"/>
  <c r="X125" i="109"/>
  <c r="X124" i="109"/>
  <c r="X123" i="109"/>
  <c r="X122" i="109"/>
  <c r="X121" i="109"/>
  <c r="X120" i="109"/>
  <c r="X119" i="109"/>
  <c r="X118" i="109"/>
  <c r="X117" i="109"/>
  <c r="X116" i="109"/>
  <c r="X115" i="109"/>
  <c r="X114" i="109"/>
  <c r="X113" i="109"/>
  <c r="X112" i="109"/>
  <c r="X111" i="109"/>
  <c r="X110" i="109"/>
  <c r="X109" i="109"/>
  <c r="X108" i="109"/>
  <c r="X107" i="109"/>
  <c r="X106" i="109"/>
  <c r="X105" i="109"/>
  <c r="X104" i="109"/>
  <c r="X103" i="109"/>
  <c r="X102" i="109"/>
  <c r="X101" i="109"/>
  <c r="X100" i="109"/>
  <c r="X99" i="109"/>
  <c r="X98" i="109"/>
  <c r="X97" i="109"/>
  <c r="X96" i="109"/>
  <c r="X95" i="109"/>
  <c r="X94" i="109"/>
  <c r="X93" i="109"/>
  <c r="X92" i="109"/>
  <c r="X91" i="109"/>
  <c r="X90" i="109"/>
  <c r="X89" i="109"/>
  <c r="X88" i="109"/>
  <c r="X87" i="109"/>
  <c r="X86" i="109"/>
  <c r="X85" i="109"/>
  <c r="X84" i="109"/>
  <c r="X83" i="109"/>
  <c r="X82" i="109"/>
  <c r="X81" i="109"/>
  <c r="X80" i="109"/>
  <c r="X79" i="109"/>
  <c r="X78" i="109"/>
  <c r="X77" i="109"/>
  <c r="X76" i="109"/>
  <c r="X75" i="109"/>
  <c r="X74" i="109"/>
  <c r="X73" i="109"/>
  <c r="X72" i="109"/>
  <c r="X71" i="109"/>
  <c r="X70" i="109"/>
  <c r="X69" i="109"/>
  <c r="X68" i="109"/>
  <c r="X67" i="109"/>
  <c r="X66" i="109"/>
  <c r="X65" i="109"/>
  <c r="X64" i="109"/>
  <c r="X63" i="109"/>
  <c r="X62" i="109"/>
  <c r="X61" i="109"/>
  <c r="X60" i="109"/>
  <c r="X59" i="109"/>
  <c r="X58" i="109"/>
  <c r="X57" i="109"/>
  <c r="X56" i="109"/>
  <c r="X55" i="109"/>
  <c r="X54" i="109"/>
  <c r="X53" i="109"/>
  <c r="X52" i="109"/>
  <c r="X51" i="109"/>
  <c r="X50" i="109"/>
  <c r="X49" i="109"/>
  <c r="X48" i="109"/>
  <c r="X47" i="109"/>
  <c r="X46" i="109"/>
  <c r="X45" i="109"/>
  <c r="X44" i="109"/>
  <c r="X43" i="109"/>
  <c r="X42" i="109"/>
  <c r="X41" i="109"/>
  <c r="X40" i="109"/>
  <c r="X39" i="109"/>
  <c r="X38" i="109"/>
  <c r="X37" i="109"/>
  <c r="X36" i="109"/>
  <c r="X35" i="109"/>
  <c r="X34" i="109"/>
  <c r="X33" i="109"/>
  <c r="X32" i="109"/>
  <c r="X31" i="109"/>
  <c r="X30" i="109"/>
  <c r="X29" i="109"/>
  <c r="X28" i="109"/>
  <c r="X27" i="109"/>
  <c r="X26" i="109"/>
  <c r="X25" i="109"/>
  <c r="X24" i="109"/>
  <c r="X23" i="109"/>
  <c r="X22" i="109"/>
  <c r="X21" i="109"/>
  <c r="X20" i="109"/>
  <c r="X19" i="109"/>
  <c r="X18" i="109"/>
  <c r="X17" i="109"/>
  <c r="X16" i="109"/>
  <c r="X15" i="109"/>
  <c r="X14" i="109"/>
  <c r="X13" i="109"/>
  <c r="X12" i="109"/>
  <c r="X11" i="109"/>
  <c r="X10" i="109"/>
  <c r="X9" i="109"/>
  <c r="X8" i="109"/>
  <c r="X7" i="109"/>
  <c r="X6" i="109"/>
  <c r="X131" i="113"/>
  <c r="X130" i="113"/>
  <c r="X129" i="113"/>
  <c r="X128" i="113"/>
  <c r="X127" i="113"/>
  <c r="X125" i="113"/>
  <c r="X124" i="113"/>
  <c r="X123" i="113"/>
  <c r="X122" i="113"/>
  <c r="X121" i="113"/>
  <c r="X120" i="113"/>
  <c r="X119" i="113"/>
  <c r="X118" i="113"/>
  <c r="X117" i="113"/>
  <c r="X116" i="113"/>
  <c r="X115" i="113"/>
  <c r="X114" i="113"/>
  <c r="X113" i="113"/>
  <c r="X112" i="113"/>
  <c r="X111" i="113"/>
  <c r="X110" i="113"/>
  <c r="X109" i="113"/>
  <c r="X108" i="113"/>
  <c r="X107" i="113"/>
  <c r="X106" i="113"/>
  <c r="X105" i="113"/>
  <c r="X104" i="113"/>
  <c r="X103" i="113"/>
  <c r="X102" i="113"/>
  <c r="X101" i="113"/>
  <c r="X100" i="113"/>
  <c r="X99" i="113"/>
  <c r="X98" i="113"/>
  <c r="X97" i="113"/>
  <c r="X96" i="113"/>
  <c r="X95" i="113"/>
  <c r="X94" i="113"/>
  <c r="X93" i="113"/>
  <c r="X92" i="113"/>
  <c r="X91" i="113"/>
  <c r="X90" i="113"/>
  <c r="X89" i="113"/>
  <c r="X88" i="113"/>
  <c r="X87" i="113"/>
  <c r="X86" i="113"/>
  <c r="X85" i="113"/>
  <c r="X84" i="113"/>
  <c r="X83" i="113"/>
  <c r="X82" i="113"/>
  <c r="X81" i="113"/>
  <c r="X80" i="113"/>
  <c r="X79" i="113"/>
  <c r="X78" i="113"/>
  <c r="X77" i="113"/>
  <c r="X76" i="113"/>
  <c r="X75" i="113"/>
  <c r="X74" i="113"/>
  <c r="X73" i="113"/>
  <c r="X72" i="113"/>
  <c r="X71" i="113"/>
  <c r="X70" i="113"/>
  <c r="X69" i="113"/>
  <c r="X68" i="113"/>
  <c r="X67" i="113"/>
  <c r="X66" i="113"/>
  <c r="X65" i="113"/>
  <c r="X64" i="113"/>
  <c r="X63" i="113"/>
  <c r="X62" i="113"/>
  <c r="X61" i="113"/>
  <c r="X60" i="113"/>
  <c r="X59" i="113"/>
  <c r="X58" i="113"/>
  <c r="X57" i="113"/>
  <c r="X56" i="113"/>
  <c r="X55" i="113"/>
  <c r="X54" i="113"/>
  <c r="X53" i="113"/>
  <c r="X52" i="113"/>
  <c r="X51" i="113"/>
  <c r="X50" i="113"/>
  <c r="X49" i="113"/>
  <c r="X48" i="113"/>
  <c r="X47" i="113"/>
  <c r="X46" i="113"/>
  <c r="X45" i="113"/>
  <c r="X44" i="113"/>
  <c r="X43" i="113"/>
  <c r="X42" i="113"/>
  <c r="X41" i="113"/>
  <c r="X40" i="113"/>
  <c r="X39" i="113"/>
  <c r="X38" i="113"/>
  <c r="X37" i="113"/>
  <c r="X36" i="113"/>
  <c r="X35" i="113"/>
  <c r="X34" i="113"/>
  <c r="X33" i="113"/>
  <c r="X32" i="113"/>
  <c r="X31" i="113"/>
  <c r="X30" i="113"/>
  <c r="X29" i="113"/>
  <c r="X28" i="113"/>
  <c r="X27" i="113"/>
  <c r="X26" i="113"/>
  <c r="X25" i="113"/>
  <c r="X24" i="113"/>
  <c r="X23" i="113"/>
  <c r="X22" i="113"/>
  <c r="X21" i="113"/>
  <c r="X20" i="113"/>
  <c r="X19" i="113"/>
  <c r="X18" i="113"/>
  <c r="X17" i="113"/>
  <c r="X16" i="113"/>
  <c r="X15" i="113"/>
  <c r="X14" i="113"/>
  <c r="X13" i="113"/>
  <c r="X12" i="113"/>
  <c r="X11" i="113"/>
  <c r="X10" i="113"/>
  <c r="X9" i="113"/>
  <c r="X8" i="113"/>
  <c r="X7" i="113"/>
  <c r="X6" i="113"/>
  <c r="X5" i="113"/>
  <c r="X5" i="109" l="1"/>
  <c r="D23" i="108" s="1"/>
  <c r="AG125" i="84"/>
  <c r="AB125" i="84"/>
  <c r="AA125" i="84"/>
  <c r="Z125" i="84"/>
  <c r="Y125" i="84"/>
  <c r="X125" i="84"/>
  <c r="W125" i="84"/>
  <c r="V125" i="84"/>
  <c r="O125" i="84"/>
  <c r="AE125" i="84" s="1"/>
  <c r="N125" i="84"/>
  <c r="AD125" i="84" s="1"/>
  <c r="M125" i="84"/>
  <c r="AC125" i="84" s="1"/>
  <c r="AG124" i="84"/>
  <c r="AB124" i="84"/>
  <c r="AA124" i="84"/>
  <c r="Z124" i="84"/>
  <c r="Y124" i="84"/>
  <c r="X124" i="84"/>
  <c r="W124" i="84"/>
  <c r="V124" i="84"/>
  <c r="O124" i="84"/>
  <c r="AE124" i="84" s="1"/>
  <c r="N124" i="84"/>
  <c r="AD124" i="84" s="1"/>
  <c r="M124" i="84"/>
  <c r="AC124" i="84" s="1"/>
  <c r="AG123" i="84"/>
  <c r="AB123" i="84"/>
  <c r="AA123" i="84"/>
  <c r="Z123" i="84"/>
  <c r="Y123" i="84"/>
  <c r="X123" i="84"/>
  <c r="W123" i="84"/>
  <c r="V123" i="84"/>
  <c r="O123" i="84"/>
  <c r="AE123" i="84" s="1"/>
  <c r="N123" i="84"/>
  <c r="AD123" i="84" s="1"/>
  <c r="M123" i="84"/>
  <c r="AC123" i="84" s="1"/>
  <c r="AG122" i="84"/>
  <c r="AB122" i="84"/>
  <c r="AA122" i="84"/>
  <c r="Z122" i="84"/>
  <c r="Y122" i="84"/>
  <c r="X122" i="84"/>
  <c r="W122" i="84"/>
  <c r="V122" i="84"/>
  <c r="O122" i="84"/>
  <c r="AE122" i="84" s="1"/>
  <c r="N122" i="84"/>
  <c r="AD122" i="84" s="1"/>
  <c r="M122" i="84"/>
  <c r="AC122" i="84" s="1"/>
  <c r="AG121" i="84"/>
  <c r="AB121" i="84"/>
  <c r="AA121" i="84"/>
  <c r="Z121" i="84"/>
  <c r="Y121" i="84"/>
  <c r="X121" i="84"/>
  <c r="W121" i="84"/>
  <c r="V121" i="84"/>
  <c r="O121" i="84"/>
  <c r="AE121" i="84" s="1"/>
  <c r="N121" i="84"/>
  <c r="AD121" i="84" s="1"/>
  <c r="M121" i="84"/>
  <c r="AC121" i="84" s="1"/>
  <c r="AG120" i="84"/>
  <c r="AB120" i="84"/>
  <c r="AA120" i="84"/>
  <c r="Z120" i="84"/>
  <c r="Y120" i="84"/>
  <c r="X120" i="84"/>
  <c r="W120" i="84"/>
  <c r="V120" i="84"/>
  <c r="O120" i="84"/>
  <c r="AE120" i="84" s="1"/>
  <c r="N120" i="84"/>
  <c r="AD120" i="84" s="1"/>
  <c r="M120" i="84"/>
  <c r="AC120" i="84" s="1"/>
  <c r="AG119" i="84"/>
  <c r="AB119" i="84"/>
  <c r="AA119" i="84"/>
  <c r="Z119" i="84"/>
  <c r="Y119" i="84"/>
  <c r="X119" i="84"/>
  <c r="W119" i="84"/>
  <c r="V119" i="84"/>
  <c r="O119" i="84"/>
  <c r="AE119" i="84" s="1"/>
  <c r="N119" i="84"/>
  <c r="AD119" i="84" s="1"/>
  <c r="M119" i="84"/>
  <c r="AC119" i="84" s="1"/>
  <c r="AG118" i="84"/>
  <c r="AB118" i="84"/>
  <c r="AA118" i="84"/>
  <c r="Z118" i="84"/>
  <c r="Y118" i="84"/>
  <c r="X118" i="84"/>
  <c r="W118" i="84"/>
  <c r="V118" i="84"/>
  <c r="O118" i="84"/>
  <c r="AE118" i="84" s="1"/>
  <c r="N118" i="84"/>
  <c r="AD118" i="84" s="1"/>
  <c r="M118" i="84"/>
  <c r="AC118" i="84" s="1"/>
  <c r="AG117" i="84"/>
  <c r="AB117" i="84"/>
  <c r="AA117" i="84"/>
  <c r="Z117" i="84"/>
  <c r="Y117" i="84"/>
  <c r="X117" i="84"/>
  <c r="W117" i="84"/>
  <c r="V117" i="84"/>
  <c r="O117" i="84"/>
  <c r="AE117" i="84" s="1"/>
  <c r="N117" i="84"/>
  <c r="AD117" i="84" s="1"/>
  <c r="M117" i="84"/>
  <c r="AC117" i="84" s="1"/>
  <c r="AG116" i="84"/>
  <c r="AB116" i="84"/>
  <c r="AA116" i="84"/>
  <c r="Z116" i="84"/>
  <c r="Y116" i="84"/>
  <c r="X116" i="84"/>
  <c r="W116" i="84"/>
  <c r="V116" i="84"/>
  <c r="O116" i="84"/>
  <c r="AE116" i="84" s="1"/>
  <c r="N116" i="84"/>
  <c r="AD116" i="84" s="1"/>
  <c r="M116" i="84"/>
  <c r="AC116" i="84" s="1"/>
  <c r="AG115" i="84"/>
  <c r="AB115" i="84"/>
  <c r="AA115" i="84"/>
  <c r="Z115" i="84"/>
  <c r="Y115" i="84"/>
  <c r="X115" i="84"/>
  <c r="W115" i="84"/>
  <c r="V115" i="84"/>
  <c r="O115" i="84"/>
  <c r="AE115" i="84" s="1"/>
  <c r="N115" i="84"/>
  <c r="AD115" i="84" s="1"/>
  <c r="M115" i="84"/>
  <c r="AC115" i="84" s="1"/>
  <c r="AG114" i="84"/>
  <c r="AB114" i="84"/>
  <c r="AA114" i="84"/>
  <c r="Z114" i="84"/>
  <c r="Y114" i="84"/>
  <c r="X114" i="84"/>
  <c r="W114" i="84"/>
  <c r="V114" i="84"/>
  <c r="O114" i="84"/>
  <c r="AE114" i="84" s="1"/>
  <c r="N114" i="84"/>
  <c r="AD114" i="84" s="1"/>
  <c r="M114" i="84"/>
  <c r="AC114" i="84" s="1"/>
  <c r="AG113" i="84"/>
  <c r="AB113" i="84"/>
  <c r="AA113" i="84"/>
  <c r="Z113" i="84"/>
  <c r="Y113" i="84"/>
  <c r="X113" i="84"/>
  <c r="W113" i="84"/>
  <c r="V113" i="84"/>
  <c r="O113" i="84"/>
  <c r="AE113" i="84" s="1"/>
  <c r="N113" i="84"/>
  <c r="AD113" i="84" s="1"/>
  <c r="M113" i="84"/>
  <c r="AC113" i="84" s="1"/>
  <c r="AG112" i="84"/>
  <c r="AB112" i="84"/>
  <c r="AA112" i="84"/>
  <c r="Z112" i="84"/>
  <c r="Y112" i="84"/>
  <c r="X112" i="84"/>
  <c r="W112" i="84"/>
  <c r="V112" i="84"/>
  <c r="O112" i="84"/>
  <c r="AE112" i="84" s="1"/>
  <c r="N112" i="84"/>
  <c r="AD112" i="84" s="1"/>
  <c r="M112" i="84"/>
  <c r="AC112" i="84" s="1"/>
  <c r="AG111" i="84"/>
  <c r="AB111" i="84"/>
  <c r="AA111" i="84"/>
  <c r="Z111" i="84"/>
  <c r="Y111" i="84"/>
  <c r="X111" i="84"/>
  <c r="W111" i="84"/>
  <c r="V111" i="84"/>
  <c r="O111" i="84"/>
  <c r="AE111" i="84" s="1"/>
  <c r="N111" i="84"/>
  <c r="AD111" i="84" s="1"/>
  <c r="M111" i="84"/>
  <c r="AC111" i="84" s="1"/>
  <c r="AG110" i="84"/>
  <c r="AB110" i="84"/>
  <c r="AA110" i="84"/>
  <c r="Z110" i="84"/>
  <c r="Y110" i="84"/>
  <c r="X110" i="84"/>
  <c r="W110" i="84"/>
  <c r="V110" i="84"/>
  <c r="O110" i="84"/>
  <c r="AE110" i="84" s="1"/>
  <c r="N110" i="84"/>
  <c r="AD110" i="84" s="1"/>
  <c r="M110" i="84"/>
  <c r="AC110" i="84" s="1"/>
  <c r="AG109" i="84"/>
  <c r="AB109" i="84"/>
  <c r="AA109" i="84"/>
  <c r="Z109" i="84"/>
  <c r="Y109" i="84"/>
  <c r="X109" i="84"/>
  <c r="W109" i="84"/>
  <c r="V109" i="84"/>
  <c r="O109" i="84"/>
  <c r="AE109" i="84" s="1"/>
  <c r="N109" i="84"/>
  <c r="AD109" i="84" s="1"/>
  <c r="M109" i="84"/>
  <c r="AC109" i="84" s="1"/>
  <c r="AG108" i="84"/>
  <c r="AB108" i="84"/>
  <c r="AA108" i="84"/>
  <c r="Z108" i="84"/>
  <c r="Y108" i="84"/>
  <c r="X108" i="84"/>
  <c r="W108" i="84"/>
  <c r="V108" i="84"/>
  <c r="O108" i="84"/>
  <c r="AE108" i="84" s="1"/>
  <c r="N108" i="84"/>
  <c r="AD108" i="84" s="1"/>
  <c r="M108" i="84"/>
  <c r="AC108" i="84" s="1"/>
  <c r="AG107" i="84"/>
  <c r="AB107" i="84"/>
  <c r="AA107" i="84"/>
  <c r="Z107" i="84"/>
  <c r="Y107" i="84"/>
  <c r="X107" i="84"/>
  <c r="W107" i="84"/>
  <c r="V107" i="84"/>
  <c r="O107" i="84"/>
  <c r="AE107" i="84" s="1"/>
  <c r="N107" i="84"/>
  <c r="AD107" i="84" s="1"/>
  <c r="M107" i="84"/>
  <c r="AC107" i="84" s="1"/>
  <c r="AG106" i="84"/>
  <c r="AB106" i="84"/>
  <c r="AA106" i="84"/>
  <c r="Z106" i="84"/>
  <c r="Y106" i="84"/>
  <c r="X106" i="84"/>
  <c r="W106" i="84"/>
  <c r="V106" i="84"/>
  <c r="O106" i="84"/>
  <c r="AE106" i="84" s="1"/>
  <c r="N106" i="84"/>
  <c r="AD106" i="84" s="1"/>
  <c r="M106" i="84"/>
  <c r="AC106" i="84" s="1"/>
  <c r="AG105" i="84"/>
  <c r="AB105" i="84"/>
  <c r="AA105" i="84"/>
  <c r="Z105" i="84"/>
  <c r="Y105" i="84"/>
  <c r="X105" i="84"/>
  <c r="W105" i="84"/>
  <c r="V105" i="84"/>
  <c r="O105" i="84"/>
  <c r="AE105" i="84" s="1"/>
  <c r="N105" i="84"/>
  <c r="AD105" i="84" s="1"/>
  <c r="M105" i="84"/>
  <c r="AC105" i="84" s="1"/>
  <c r="AG104" i="84"/>
  <c r="AB104" i="84"/>
  <c r="AA104" i="84"/>
  <c r="Z104" i="84"/>
  <c r="Y104" i="84"/>
  <c r="X104" i="84"/>
  <c r="W104" i="84"/>
  <c r="V104" i="84"/>
  <c r="O104" i="84"/>
  <c r="AE104" i="84" s="1"/>
  <c r="N104" i="84"/>
  <c r="AD104" i="84" s="1"/>
  <c r="M104" i="84"/>
  <c r="AC104" i="84" s="1"/>
  <c r="AG103" i="84"/>
  <c r="AB103" i="84"/>
  <c r="AA103" i="84"/>
  <c r="Z103" i="84"/>
  <c r="Y103" i="84"/>
  <c r="X103" i="84"/>
  <c r="W103" i="84"/>
  <c r="V103" i="84"/>
  <c r="O103" i="84"/>
  <c r="AE103" i="84" s="1"/>
  <c r="N103" i="84"/>
  <c r="AD103" i="84" s="1"/>
  <c r="M103" i="84"/>
  <c r="AC103" i="84" s="1"/>
  <c r="AG102" i="84"/>
  <c r="AB102" i="84"/>
  <c r="AA102" i="84"/>
  <c r="Z102" i="84"/>
  <c r="Y102" i="84"/>
  <c r="X102" i="84"/>
  <c r="W102" i="84"/>
  <c r="V102" i="84"/>
  <c r="O102" i="84"/>
  <c r="AE102" i="84" s="1"/>
  <c r="N102" i="84"/>
  <c r="AD102" i="84" s="1"/>
  <c r="M102" i="84"/>
  <c r="AC102" i="84" s="1"/>
  <c r="AG101" i="84"/>
  <c r="AB101" i="84"/>
  <c r="AA101" i="84"/>
  <c r="Z101" i="84"/>
  <c r="Y101" i="84"/>
  <c r="X101" i="84"/>
  <c r="W101" i="84"/>
  <c r="V101" i="84"/>
  <c r="O101" i="84"/>
  <c r="AE101" i="84" s="1"/>
  <c r="N101" i="84"/>
  <c r="AD101" i="84" s="1"/>
  <c r="M101" i="84"/>
  <c r="AC101" i="84" s="1"/>
  <c r="AG100" i="84"/>
  <c r="AB100" i="84"/>
  <c r="AA100" i="84"/>
  <c r="Z100" i="84"/>
  <c r="Y100" i="84"/>
  <c r="X100" i="84"/>
  <c r="W100" i="84"/>
  <c r="V100" i="84"/>
  <c r="O100" i="84"/>
  <c r="AE100" i="84" s="1"/>
  <c r="N100" i="84"/>
  <c r="AD100" i="84" s="1"/>
  <c r="M100" i="84"/>
  <c r="AC100" i="84" s="1"/>
  <c r="AG99" i="84"/>
  <c r="AB99" i="84"/>
  <c r="AA99" i="84"/>
  <c r="Z99" i="84"/>
  <c r="Y99" i="84"/>
  <c r="X99" i="84"/>
  <c r="W99" i="84"/>
  <c r="V99" i="84"/>
  <c r="O99" i="84"/>
  <c r="AE99" i="84" s="1"/>
  <c r="N99" i="84"/>
  <c r="AD99" i="84" s="1"/>
  <c r="M99" i="84"/>
  <c r="AC99" i="84" s="1"/>
  <c r="AG98" i="84"/>
  <c r="AB98" i="84"/>
  <c r="AA98" i="84"/>
  <c r="Z98" i="84"/>
  <c r="Y98" i="84"/>
  <c r="X98" i="84"/>
  <c r="W98" i="84"/>
  <c r="V98" i="84"/>
  <c r="O98" i="84"/>
  <c r="AE98" i="84" s="1"/>
  <c r="N98" i="84"/>
  <c r="AD98" i="84" s="1"/>
  <c r="M98" i="84"/>
  <c r="AC98" i="84" s="1"/>
  <c r="AG97" i="84"/>
  <c r="AB97" i="84"/>
  <c r="AA97" i="84"/>
  <c r="Z97" i="84"/>
  <c r="Y97" i="84"/>
  <c r="X97" i="84"/>
  <c r="W97" i="84"/>
  <c r="V97" i="84"/>
  <c r="O97" i="84"/>
  <c r="AE97" i="84" s="1"/>
  <c r="N97" i="84"/>
  <c r="AD97" i="84" s="1"/>
  <c r="M97" i="84"/>
  <c r="AC97" i="84" s="1"/>
  <c r="AG96" i="84"/>
  <c r="AB96" i="84"/>
  <c r="AA96" i="84"/>
  <c r="Z96" i="84"/>
  <c r="Y96" i="84"/>
  <c r="X96" i="84"/>
  <c r="W96" i="84"/>
  <c r="V96" i="84"/>
  <c r="O96" i="84"/>
  <c r="AE96" i="84" s="1"/>
  <c r="N96" i="84"/>
  <c r="AD96" i="84" s="1"/>
  <c r="M96" i="84"/>
  <c r="AC96" i="84" s="1"/>
  <c r="AG95" i="84"/>
  <c r="AB95" i="84"/>
  <c r="AA95" i="84"/>
  <c r="Z95" i="84"/>
  <c r="Y95" i="84"/>
  <c r="X95" i="84"/>
  <c r="W95" i="84"/>
  <c r="V95" i="84"/>
  <c r="O95" i="84"/>
  <c r="AE95" i="84" s="1"/>
  <c r="N95" i="84"/>
  <c r="AD95" i="84" s="1"/>
  <c r="M95" i="84"/>
  <c r="AC95" i="84" s="1"/>
  <c r="AG94" i="84"/>
  <c r="AB94" i="84"/>
  <c r="AA94" i="84"/>
  <c r="Z94" i="84"/>
  <c r="Y94" i="84"/>
  <c r="X94" i="84"/>
  <c r="W94" i="84"/>
  <c r="V94" i="84"/>
  <c r="O94" i="84"/>
  <c r="AE94" i="84" s="1"/>
  <c r="N94" i="84"/>
  <c r="AD94" i="84" s="1"/>
  <c r="M94" i="84"/>
  <c r="AC94" i="84" s="1"/>
  <c r="AG93" i="84"/>
  <c r="AB93" i="84"/>
  <c r="AA93" i="84"/>
  <c r="Z93" i="84"/>
  <c r="Y93" i="84"/>
  <c r="X93" i="84"/>
  <c r="W93" i="84"/>
  <c r="V93" i="84"/>
  <c r="O93" i="84"/>
  <c r="AE93" i="84" s="1"/>
  <c r="N93" i="84"/>
  <c r="AD93" i="84" s="1"/>
  <c r="M93" i="84"/>
  <c r="AC93" i="84" s="1"/>
  <c r="AG92" i="84"/>
  <c r="AB92" i="84"/>
  <c r="AA92" i="84"/>
  <c r="Z92" i="84"/>
  <c r="Y92" i="84"/>
  <c r="X92" i="84"/>
  <c r="W92" i="84"/>
  <c r="V92" i="84"/>
  <c r="O92" i="84"/>
  <c r="AE92" i="84" s="1"/>
  <c r="N92" i="84"/>
  <c r="AD92" i="84" s="1"/>
  <c r="M92" i="84"/>
  <c r="AC92" i="84" s="1"/>
  <c r="AG91" i="84"/>
  <c r="AB91" i="84"/>
  <c r="AA91" i="84"/>
  <c r="Z91" i="84"/>
  <c r="Y91" i="84"/>
  <c r="X91" i="84"/>
  <c r="W91" i="84"/>
  <c r="V91" i="84"/>
  <c r="O91" i="84"/>
  <c r="AE91" i="84" s="1"/>
  <c r="N91" i="84"/>
  <c r="AD91" i="84" s="1"/>
  <c r="M91" i="84"/>
  <c r="AC91" i="84" s="1"/>
  <c r="AG90" i="84"/>
  <c r="AB90" i="84"/>
  <c r="AA90" i="84"/>
  <c r="Z90" i="84"/>
  <c r="Y90" i="84"/>
  <c r="X90" i="84"/>
  <c r="W90" i="84"/>
  <c r="V90" i="84"/>
  <c r="O90" i="84"/>
  <c r="AE90" i="84" s="1"/>
  <c r="N90" i="84"/>
  <c r="AD90" i="84" s="1"/>
  <c r="M90" i="84"/>
  <c r="AC90" i="84" s="1"/>
  <c r="AG89" i="84"/>
  <c r="AB89" i="84"/>
  <c r="AA89" i="84"/>
  <c r="Z89" i="84"/>
  <c r="Y89" i="84"/>
  <c r="X89" i="84"/>
  <c r="W89" i="84"/>
  <c r="V89" i="84"/>
  <c r="O89" i="84"/>
  <c r="AE89" i="84" s="1"/>
  <c r="N89" i="84"/>
  <c r="AD89" i="84" s="1"/>
  <c r="M89" i="84"/>
  <c r="AC89" i="84" s="1"/>
  <c r="AG88" i="84"/>
  <c r="AB88" i="84"/>
  <c r="AA88" i="84"/>
  <c r="Z88" i="84"/>
  <c r="Y88" i="84"/>
  <c r="X88" i="84"/>
  <c r="W88" i="84"/>
  <c r="V88" i="84"/>
  <c r="O88" i="84"/>
  <c r="AE88" i="84" s="1"/>
  <c r="N88" i="84"/>
  <c r="AD88" i="84" s="1"/>
  <c r="M88" i="84"/>
  <c r="AC88" i="84" s="1"/>
  <c r="AG87" i="84"/>
  <c r="AB87" i="84"/>
  <c r="AA87" i="84"/>
  <c r="Z87" i="84"/>
  <c r="Y87" i="84"/>
  <c r="X87" i="84"/>
  <c r="W87" i="84"/>
  <c r="V87" i="84"/>
  <c r="O87" i="84"/>
  <c r="AE87" i="84" s="1"/>
  <c r="N87" i="84"/>
  <c r="AD87" i="84" s="1"/>
  <c r="M87" i="84"/>
  <c r="AC87" i="84" s="1"/>
  <c r="AG86" i="84"/>
  <c r="AB86" i="84"/>
  <c r="AA86" i="84"/>
  <c r="Z86" i="84"/>
  <c r="Y86" i="84"/>
  <c r="X86" i="84"/>
  <c r="W86" i="84"/>
  <c r="V86" i="84"/>
  <c r="O86" i="84"/>
  <c r="AE86" i="84" s="1"/>
  <c r="N86" i="84"/>
  <c r="AD86" i="84" s="1"/>
  <c r="M86" i="84"/>
  <c r="AC86" i="84" s="1"/>
  <c r="AG85" i="84"/>
  <c r="AB85" i="84"/>
  <c r="AA85" i="84"/>
  <c r="Z85" i="84"/>
  <c r="Y85" i="84"/>
  <c r="X85" i="84"/>
  <c r="W85" i="84"/>
  <c r="V85" i="84"/>
  <c r="O85" i="84"/>
  <c r="AE85" i="84" s="1"/>
  <c r="N85" i="84"/>
  <c r="AD85" i="84" s="1"/>
  <c r="M85" i="84"/>
  <c r="AC85" i="84" s="1"/>
  <c r="AG84" i="84"/>
  <c r="AB84" i="84"/>
  <c r="AA84" i="84"/>
  <c r="Z84" i="84"/>
  <c r="Y84" i="84"/>
  <c r="X84" i="84"/>
  <c r="W84" i="84"/>
  <c r="V84" i="84"/>
  <c r="O84" i="84"/>
  <c r="AE84" i="84" s="1"/>
  <c r="N84" i="84"/>
  <c r="AD84" i="84" s="1"/>
  <c r="M84" i="84"/>
  <c r="AC84" i="84" s="1"/>
  <c r="AG83" i="84"/>
  <c r="AB83" i="84"/>
  <c r="AA83" i="84"/>
  <c r="Z83" i="84"/>
  <c r="Y83" i="84"/>
  <c r="X83" i="84"/>
  <c r="W83" i="84"/>
  <c r="V83" i="84"/>
  <c r="O83" i="84"/>
  <c r="AE83" i="84" s="1"/>
  <c r="N83" i="84"/>
  <c r="AD83" i="84" s="1"/>
  <c r="M83" i="84"/>
  <c r="AC83" i="84" s="1"/>
  <c r="AG82" i="84"/>
  <c r="AB82" i="84"/>
  <c r="AA82" i="84"/>
  <c r="Z82" i="84"/>
  <c r="Y82" i="84"/>
  <c r="X82" i="84"/>
  <c r="W82" i="84"/>
  <c r="V82" i="84"/>
  <c r="O82" i="84"/>
  <c r="AE82" i="84" s="1"/>
  <c r="N82" i="84"/>
  <c r="AD82" i="84" s="1"/>
  <c r="M82" i="84"/>
  <c r="AC82" i="84" s="1"/>
  <c r="AG81" i="84"/>
  <c r="AB81" i="84"/>
  <c r="AA81" i="84"/>
  <c r="Z81" i="84"/>
  <c r="Y81" i="84"/>
  <c r="X81" i="84"/>
  <c r="W81" i="84"/>
  <c r="V81" i="84"/>
  <c r="O81" i="84"/>
  <c r="AE81" i="84" s="1"/>
  <c r="N81" i="84"/>
  <c r="AD81" i="84" s="1"/>
  <c r="M81" i="84"/>
  <c r="AC81" i="84" s="1"/>
  <c r="AG80" i="84"/>
  <c r="AB80" i="84"/>
  <c r="AA80" i="84"/>
  <c r="Z80" i="84"/>
  <c r="Y80" i="84"/>
  <c r="X80" i="84"/>
  <c r="W80" i="84"/>
  <c r="V80" i="84"/>
  <c r="O80" i="84"/>
  <c r="AE80" i="84" s="1"/>
  <c r="N80" i="84"/>
  <c r="AD80" i="84" s="1"/>
  <c r="M80" i="84"/>
  <c r="AC80" i="84" s="1"/>
  <c r="AG79" i="84"/>
  <c r="AB79" i="84"/>
  <c r="AA79" i="84"/>
  <c r="Z79" i="84"/>
  <c r="Y79" i="84"/>
  <c r="X79" i="84"/>
  <c r="W79" i="84"/>
  <c r="V79" i="84"/>
  <c r="O79" i="84"/>
  <c r="AE79" i="84" s="1"/>
  <c r="N79" i="84"/>
  <c r="AD79" i="84" s="1"/>
  <c r="M79" i="84"/>
  <c r="AC79" i="84" s="1"/>
  <c r="AG78" i="84"/>
  <c r="AB78" i="84"/>
  <c r="AA78" i="84"/>
  <c r="Z78" i="84"/>
  <c r="Y78" i="84"/>
  <c r="X78" i="84"/>
  <c r="W78" i="84"/>
  <c r="V78" i="84"/>
  <c r="O78" i="84"/>
  <c r="AE78" i="84" s="1"/>
  <c r="N78" i="84"/>
  <c r="AD78" i="84" s="1"/>
  <c r="M78" i="84"/>
  <c r="AC78" i="84" s="1"/>
  <c r="AG77" i="84"/>
  <c r="AB77" i="84"/>
  <c r="AA77" i="84"/>
  <c r="Z77" i="84"/>
  <c r="Y77" i="84"/>
  <c r="X77" i="84"/>
  <c r="W77" i="84"/>
  <c r="V77" i="84"/>
  <c r="O77" i="84"/>
  <c r="AE77" i="84" s="1"/>
  <c r="N77" i="84"/>
  <c r="AD77" i="84" s="1"/>
  <c r="M77" i="84"/>
  <c r="AC77" i="84" s="1"/>
  <c r="AG76" i="84"/>
  <c r="AB76" i="84"/>
  <c r="AA76" i="84"/>
  <c r="Z76" i="84"/>
  <c r="Y76" i="84"/>
  <c r="X76" i="84"/>
  <c r="W76" i="84"/>
  <c r="V76" i="84"/>
  <c r="O76" i="84"/>
  <c r="AE76" i="84" s="1"/>
  <c r="N76" i="84"/>
  <c r="AD76" i="84" s="1"/>
  <c r="M76" i="84"/>
  <c r="AC76" i="84" s="1"/>
  <c r="AG75" i="84"/>
  <c r="AB75" i="84"/>
  <c r="AA75" i="84"/>
  <c r="Z75" i="84"/>
  <c r="Y75" i="84"/>
  <c r="X75" i="84"/>
  <c r="W75" i="84"/>
  <c r="V75" i="84"/>
  <c r="O75" i="84"/>
  <c r="AE75" i="84" s="1"/>
  <c r="N75" i="84"/>
  <c r="AD75" i="84" s="1"/>
  <c r="M75" i="84"/>
  <c r="AC75" i="84" s="1"/>
  <c r="AG74" i="84"/>
  <c r="AB74" i="84"/>
  <c r="AA74" i="84"/>
  <c r="Z74" i="84"/>
  <c r="Y74" i="84"/>
  <c r="X74" i="84"/>
  <c r="W74" i="84"/>
  <c r="V74" i="84"/>
  <c r="O74" i="84"/>
  <c r="AE74" i="84" s="1"/>
  <c r="N74" i="84"/>
  <c r="AD74" i="84" s="1"/>
  <c r="M74" i="84"/>
  <c r="AC74" i="84" s="1"/>
  <c r="AG73" i="84"/>
  <c r="AB73" i="84"/>
  <c r="AA73" i="84"/>
  <c r="Z73" i="84"/>
  <c r="Y73" i="84"/>
  <c r="X73" i="84"/>
  <c r="W73" i="84"/>
  <c r="V73" i="84"/>
  <c r="O73" i="84"/>
  <c r="AE73" i="84" s="1"/>
  <c r="N73" i="84"/>
  <c r="AD73" i="84" s="1"/>
  <c r="M73" i="84"/>
  <c r="AC73" i="84" s="1"/>
  <c r="AG72" i="84"/>
  <c r="AB72" i="84"/>
  <c r="AA72" i="84"/>
  <c r="Z72" i="84"/>
  <c r="Y72" i="84"/>
  <c r="X72" i="84"/>
  <c r="W72" i="84"/>
  <c r="V72" i="84"/>
  <c r="O72" i="84"/>
  <c r="AE72" i="84" s="1"/>
  <c r="N72" i="84"/>
  <c r="AD72" i="84" s="1"/>
  <c r="M72" i="84"/>
  <c r="AC72" i="84" s="1"/>
  <c r="AG71" i="84"/>
  <c r="AB71" i="84"/>
  <c r="AA71" i="84"/>
  <c r="Z71" i="84"/>
  <c r="Y71" i="84"/>
  <c r="X71" i="84"/>
  <c r="W71" i="84"/>
  <c r="V71" i="84"/>
  <c r="O71" i="84"/>
  <c r="AE71" i="84" s="1"/>
  <c r="N71" i="84"/>
  <c r="AD71" i="84" s="1"/>
  <c r="M71" i="84"/>
  <c r="AC71" i="84" s="1"/>
  <c r="AG70" i="84"/>
  <c r="AB70" i="84"/>
  <c r="AA70" i="84"/>
  <c r="Z70" i="84"/>
  <c r="Y70" i="84"/>
  <c r="X70" i="84"/>
  <c r="W70" i="84"/>
  <c r="V70" i="84"/>
  <c r="O70" i="84"/>
  <c r="AE70" i="84" s="1"/>
  <c r="N70" i="84"/>
  <c r="AD70" i="84" s="1"/>
  <c r="M70" i="84"/>
  <c r="AC70" i="84" s="1"/>
  <c r="AG69" i="84"/>
  <c r="AB69" i="84"/>
  <c r="AA69" i="84"/>
  <c r="Z69" i="84"/>
  <c r="Y69" i="84"/>
  <c r="X69" i="84"/>
  <c r="W69" i="84"/>
  <c r="V69" i="84"/>
  <c r="O69" i="84"/>
  <c r="AE69" i="84" s="1"/>
  <c r="N69" i="84"/>
  <c r="AD69" i="84" s="1"/>
  <c r="M69" i="84"/>
  <c r="AC69" i="84" s="1"/>
  <c r="AG68" i="84"/>
  <c r="AB68" i="84"/>
  <c r="AA68" i="84"/>
  <c r="Z68" i="84"/>
  <c r="Y68" i="84"/>
  <c r="X68" i="84"/>
  <c r="W68" i="84"/>
  <c r="V68" i="84"/>
  <c r="O68" i="84"/>
  <c r="AE68" i="84" s="1"/>
  <c r="N68" i="84"/>
  <c r="AD68" i="84" s="1"/>
  <c r="M68" i="84"/>
  <c r="AC68" i="84" s="1"/>
  <c r="AG67" i="84"/>
  <c r="AB67" i="84"/>
  <c r="AA67" i="84"/>
  <c r="Z67" i="84"/>
  <c r="Y67" i="84"/>
  <c r="X67" i="84"/>
  <c r="W67" i="84"/>
  <c r="V67" i="84"/>
  <c r="O67" i="84"/>
  <c r="AE67" i="84" s="1"/>
  <c r="N67" i="84"/>
  <c r="AD67" i="84" s="1"/>
  <c r="M67" i="84"/>
  <c r="AC67" i="84" s="1"/>
  <c r="AG66" i="84"/>
  <c r="AB66" i="84"/>
  <c r="AA66" i="84"/>
  <c r="Z66" i="84"/>
  <c r="Y66" i="84"/>
  <c r="X66" i="84"/>
  <c r="W66" i="84"/>
  <c r="V66" i="84"/>
  <c r="O66" i="84"/>
  <c r="AE66" i="84" s="1"/>
  <c r="N66" i="84"/>
  <c r="AD66" i="84" s="1"/>
  <c r="M66" i="84"/>
  <c r="AC66" i="84" s="1"/>
  <c r="AG65" i="84"/>
  <c r="AB65" i="84"/>
  <c r="AA65" i="84"/>
  <c r="Z65" i="84"/>
  <c r="Y65" i="84"/>
  <c r="X65" i="84"/>
  <c r="W65" i="84"/>
  <c r="V65" i="84"/>
  <c r="O65" i="84"/>
  <c r="AE65" i="84" s="1"/>
  <c r="N65" i="84"/>
  <c r="AD65" i="84" s="1"/>
  <c r="M65" i="84"/>
  <c r="AC65" i="84" s="1"/>
  <c r="AG64" i="84"/>
  <c r="AB64" i="84"/>
  <c r="AA64" i="84"/>
  <c r="Z64" i="84"/>
  <c r="Y64" i="84"/>
  <c r="X64" i="84"/>
  <c r="W64" i="84"/>
  <c r="V64" i="84"/>
  <c r="O64" i="84"/>
  <c r="AE64" i="84" s="1"/>
  <c r="N64" i="84"/>
  <c r="AD64" i="84" s="1"/>
  <c r="M64" i="84"/>
  <c r="AC64" i="84" s="1"/>
  <c r="AG63" i="84"/>
  <c r="AB63" i="84"/>
  <c r="AA63" i="84"/>
  <c r="Z63" i="84"/>
  <c r="Y63" i="84"/>
  <c r="X63" i="84"/>
  <c r="W63" i="84"/>
  <c r="V63" i="84"/>
  <c r="O63" i="84"/>
  <c r="AE63" i="84" s="1"/>
  <c r="N63" i="84"/>
  <c r="AD63" i="84" s="1"/>
  <c r="M63" i="84"/>
  <c r="AC63" i="84" s="1"/>
  <c r="AG62" i="84"/>
  <c r="AB62" i="84"/>
  <c r="AA62" i="84"/>
  <c r="Z62" i="84"/>
  <c r="Y62" i="84"/>
  <c r="X62" i="84"/>
  <c r="W62" i="84"/>
  <c r="V62" i="84"/>
  <c r="O62" i="84"/>
  <c r="AE62" i="84" s="1"/>
  <c r="N62" i="84"/>
  <c r="AD62" i="84" s="1"/>
  <c r="M62" i="84"/>
  <c r="AC62" i="84" s="1"/>
  <c r="AG61" i="84"/>
  <c r="AB61" i="84"/>
  <c r="AA61" i="84"/>
  <c r="Z61" i="84"/>
  <c r="Y61" i="84"/>
  <c r="X61" i="84"/>
  <c r="W61" i="84"/>
  <c r="V61" i="84"/>
  <c r="O61" i="84"/>
  <c r="AE61" i="84" s="1"/>
  <c r="N61" i="84"/>
  <c r="AD61" i="84" s="1"/>
  <c r="M61" i="84"/>
  <c r="AC61" i="84" s="1"/>
  <c r="AG60" i="84"/>
  <c r="AB60" i="84"/>
  <c r="AA60" i="84"/>
  <c r="Z60" i="84"/>
  <c r="Y60" i="84"/>
  <c r="X60" i="84"/>
  <c r="W60" i="84"/>
  <c r="V60" i="84"/>
  <c r="O60" i="84"/>
  <c r="AE60" i="84" s="1"/>
  <c r="N60" i="84"/>
  <c r="AD60" i="84" s="1"/>
  <c r="M60" i="84"/>
  <c r="AC60" i="84" s="1"/>
  <c r="AG59" i="84"/>
  <c r="AB59" i="84"/>
  <c r="AA59" i="84"/>
  <c r="Z59" i="84"/>
  <c r="Y59" i="84"/>
  <c r="X59" i="84"/>
  <c r="W59" i="84"/>
  <c r="V59" i="84"/>
  <c r="O59" i="84"/>
  <c r="AE59" i="84" s="1"/>
  <c r="N59" i="84"/>
  <c r="AD59" i="84" s="1"/>
  <c r="M59" i="84"/>
  <c r="AC59" i="84" s="1"/>
  <c r="AG58" i="84"/>
  <c r="AB58" i="84"/>
  <c r="AA58" i="84"/>
  <c r="Z58" i="84"/>
  <c r="Y58" i="84"/>
  <c r="X58" i="84"/>
  <c r="W58" i="84"/>
  <c r="V58" i="84"/>
  <c r="O58" i="84"/>
  <c r="AE58" i="84" s="1"/>
  <c r="N58" i="84"/>
  <c r="AD58" i="84" s="1"/>
  <c r="M58" i="84"/>
  <c r="AC58" i="84" s="1"/>
  <c r="AG57" i="84"/>
  <c r="AB57" i="84"/>
  <c r="AA57" i="84"/>
  <c r="Z57" i="84"/>
  <c r="Y57" i="84"/>
  <c r="X57" i="84"/>
  <c r="W57" i="84"/>
  <c r="V57" i="84"/>
  <c r="O57" i="84"/>
  <c r="AE57" i="84" s="1"/>
  <c r="N57" i="84"/>
  <c r="AD57" i="84" s="1"/>
  <c r="M57" i="84"/>
  <c r="AC57" i="84" s="1"/>
  <c r="AG56" i="84"/>
  <c r="AB56" i="84"/>
  <c r="AA56" i="84"/>
  <c r="Z56" i="84"/>
  <c r="Y56" i="84"/>
  <c r="X56" i="84"/>
  <c r="W56" i="84"/>
  <c r="V56" i="84"/>
  <c r="O56" i="84"/>
  <c r="AE56" i="84" s="1"/>
  <c r="N56" i="84"/>
  <c r="AD56" i="84" s="1"/>
  <c r="M56" i="84"/>
  <c r="AC56" i="84" s="1"/>
  <c r="AG55" i="84"/>
  <c r="AB55" i="84"/>
  <c r="AA55" i="84"/>
  <c r="Z55" i="84"/>
  <c r="Y55" i="84"/>
  <c r="X55" i="84"/>
  <c r="W55" i="84"/>
  <c r="V55" i="84"/>
  <c r="O55" i="84"/>
  <c r="AE55" i="84" s="1"/>
  <c r="N55" i="84"/>
  <c r="AD55" i="84" s="1"/>
  <c r="M55" i="84"/>
  <c r="AC55" i="84" s="1"/>
  <c r="AG54" i="84"/>
  <c r="AB54" i="84"/>
  <c r="AA54" i="84"/>
  <c r="Z54" i="84"/>
  <c r="Y54" i="84"/>
  <c r="X54" i="84"/>
  <c r="W54" i="84"/>
  <c r="V54" i="84"/>
  <c r="O54" i="84"/>
  <c r="AE54" i="84" s="1"/>
  <c r="N54" i="84"/>
  <c r="AD54" i="84" s="1"/>
  <c r="M54" i="84"/>
  <c r="AC54" i="84" s="1"/>
  <c r="AG53" i="84"/>
  <c r="AB53" i="84"/>
  <c r="AA53" i="84"/>
  <c r="Z53" i="84"/>
  <c r="Y53" i="84"/>
  <c r="X53" i="84"/>
  <c r="W53" i="84"/>
  <c r="V53" i="84"/>
  <c r="O53" i="84"/>
  <c r="AE53" i="84" s="1"/>
  <c r="N53" i="84"/>
  <c r="AD53" i="84" s="1"/>
  <c r="M53" i="84"/>
  <c r="AC53" i="84" s="1"/>
  <c r="AG52" i="84"/>
  <c r="AB52" i="84"/>
  <c r="AA52" i="84"/>
  <c r="Z52" i="84"/>
  <c r="Y52" i="84"/>
  <c r="X52" i="84"/>
  <c r="W52" i="84"/>
  <c r="V52" i="84"/>
  <c r="O52" i="84"/>
  <c r="AE52" i="84" s="1"/>
  <c r="N52" i="84"/>
  <c r="AD52" i="84" s="1"/>
  <c r="M52" i="84"/>
  <c r="AC52" i="84" s="1"/>
  <c r="AG51" i="84"/>
  <c r="AB51" i="84"/>
  <c r="AA51" i="84"/>
  <c r="Z51" i="84"/>
  <c r="Y51" i="84"/>
  <c r="X51" i="84"/>
  <c r="W51" i="84"/>
  <c r="V51" i="84"/>
  <c r="O51" i="84"/>
  <c r="AE51" i="84" s="1"/>
  <c r="N51" i="84"/>
  <c r="AD51" i="84" s="1"/>
  <c r="M51" i="84"/>
  <c r="AC51" i="84" s="1"/>
  <c r="AG50" i="84"/>
  <c r="AB50" i="84"/>
  <c r="AA50" i="84"/>
  <c r="Z50" i="84"/>
  <c r="Y50" i="84"/>
  <c r="X50" i="84"/>
  <c r="W50" i="84"/>
  <c r="V50" i="84"/>
  <c r="O50" i="84"/>
  <c r="AE50" i="84" s="1"/>
  <c r="N50" i="84"/>
  <c r="AD50" i="84" s="1"/>
  <c r="M50" i="84"/>
  <c r="AC50" i="84" s="1"/>
  <c r="AG49" i="84"/>
  <c r="AB49" i="84"/>
  <c r="AA49" i="84"/>
  <c r="Z49" i="84"/>
  <c r="Y49" i="84"/>
  <c r="X49" i="84"/>
  <c r="W49" i="84"/>
  <c r="V49" i="84"/>
  <c r="O49" i="84"/>
  <c r="AE49" i="84" s="1"/>
  <c r="N49" i="84"/>
  <c r="AD49" i="84" s="1"/>
  <c r="M49" i="84"/>
  <c r="AC49" i="84" s="1"/>
  <c r="AG48" i="84"/>
  <c r="AB48" i="84"/>
  <c r="AA48" i="84"/>
  <c r="Z48" i="84"/>
  <c r="Y48" i="84"/>
  <c r="X48" i="84"/>
  <c r="W48" i="84"/>
  <c r="V48" i="84"/>
  <c r="O48" i="84"/>
  <c r="AE48" i="84" s="1"/>
  <c r="N48" i="84"/>
  <c r="AD48" i="84" s="1"/>
  <c r="M48" i="84"/>
  <c r="AC48" i="84" s="1"/>
  <c r="AG47" i="84"/>
  <c r="AB47" i="84"/>
  <c r="AA47" i="84"/>
  <c r="Z47" i="84"/>
  <c r="Y47" i="84"/>
  <c r="X47" i="84"/>
  <c r="W47" i="84"/>
  <c r="V47" i="84"/>
  <c r="O47" i="84"/>
  <c r="AE47" i="84" s="1"/>
  <c r="N47" i="84"/>
  <c r="AD47" i="84" s="1"/>
  <c r="M47" i="84"/>
  <c r="AC47" i="84" s="1"/>
  <c r="AG46" i="84"/>
  <c r="AB46" i="84"/>
  <c r="AA46" i="84"/>
  <c r="Z46" i="84"/>
  <c r="Y46" i="84"/>
  <c r="X46" i="84"/>
  <c r="W46" i="84"/>
  <c r="V46" i="84"/>
  <c r="O46" i="84"/>
  <c r="AE46" i="84" s="1"/>
  <c r="N46" i="84"/>
  <c r="AD46" i="84" s="1"/>
  <c r="M46" i="84"/>
  <c r="AC46" i="84" s="1"/>
  <c r="AG45" i="84"/>
  <c r="AB45" i="84"/>
  <c r="AA45" i="84"/>
  <c r="Z45" i="84"/>
  <c r="Y45" i="84"/>
  <c r="X45" i="84"/>
  <c r="W45" i="84"/>
  <c r="V45" i="84"/>
  <c r="O45" i="84"/>
  <c r="AE45" i="84" s="1"/>
  <c r="N45" i="84"/>
  <c r="AD45" i="84" s="1"/>
  <c r="M45" i="84"/>
  <c r="AC45" i="84" s="1"/>
  <c r="AG44" i="84"/>
  <c r="AB44" i="84"/>
  <c r="AA44" i="84"/>
  <c r="Z44" i="84"/>
  <c r="Y44" i="84"/>
  <c r="X44" i="84"/>
  <c r="W44" i="84"/>
  <c r="V44" i="84"/>
  <c r="O44" i="84"/>
  <c r="AE44" i="84" s="1"/>
  <c r="N44" i="84"/>
  <c r="AD44" i="84" s="1"/>
  <c r="M44" i="84"/>
  <c r="AC44" i="84" s="1"/>
  <c r="AG43" i="84"/>
  <c r="AB43" i="84"/>
  <c r="AA43" i="84"/>
  <c r="Z43" i="84"/>
  <c r="Y43" i="84"/>
  <c r="X43" i="84"/>
  <c r="W43" i="84"/>
  <c r="V43" i="84"/>
  <c r="O43" i="84"/>
  <c r="AE43" i="84" s="1"/>
  <c r="N43" i="84"/>
  <c r="AD43" i="84" s="1"/>
  <c r="M43" i="84"/>
  <c r="AC43" i="84" s="1"/>
  <c r="AG42" i="84"/>
  <c r="AB42" i="84"/>
  <c r="AA42" i="84"/>
  <c r="Z42" i="84"/>
  <c r="Y42" i="84"/>
  <c r="X42" i="84"/>
  <c r="W42" i="84"/>
  <c r="V42" i="84"/>
  <c r="O42" i="84"/>
  <c r="AE42" i="84" s="1"/>
  <c r="N42" i="84"/>
  <c r="AD42" i="84" s="1"/>
  <c r="M42" i="84"/>
  <c r="AC42" i="84" s="1"/>
  <c r="AG41" i="84"/>
  <c r="AB41" i="84"/>
  <c r="AA41" i="84"/>
  <c r="Z41" i="84"/>
  <c r="Y41" i="84"/>
  <c r="X41" i="84"/>
  <c r="W41" i="84"/>
  <c r="V41" i="84"/>
  <c r="O41" i="84"/>
  <c r="AE41" i="84" s="1"/>
  <c r="N41" i="84"/>
  <c r="AD41" i="84" s="1"/>
  <c r="M41" i="84"/>
  <c r="AC41" i="84" s="1"/>
  <c r="AG40" i="84"/>
  <c r="AB40" i="84"/>
  <c r="AA40" i="84"/>
  <c r="Z40" i="84"/>
  <c r="Y40" i="84"/>
  <c r="X40" i="84"/>
  <c r="W40" i="84"/>
  <c r="V40" i="84"/>
  <c r="O40" i="84"/>
  <c r="AE40" i="84" s="1"/>
  <c r="N40" i="84"/>
  <c r="AD40" i="84" s="1"/>
  <c r="M40" i="84"/>
  <c r="AC40" i="84" s="1"/>
  <c r="AG39" i="84"/>
  <c r="AB39" i="84"/>
  <c r="AA39" i="84"/>
  <c r="Z39" i="84"/>
  <c r="Y39" i="84"/>
  <c r="X39" i="84"/>
  <c r="W39" i="84"/>
  <c r="V39" i="84"/>
  <c r="O39" i="84"/>
  <c r="AE39" i="84" s="1"/>
  <c r="N39" i="84"/>
  <c r="AD39" i="84" s="1"/>
  <c r="M39" i="84"/>
  <c r="AC39" i="84" s="1"/>
  <c r="AG38" i="84"/>
  <c r="AB38" i="84"/>
  <c r="AA38" i="84"/>
  <c r="Z38" i="84"/>
  <c r="Y38" i="84"/>
  <c r="X38" i="84"/>
  <c r="W38" i="84"/>
  <c r="V38" i="84"/>
  <c r="O38" i="84"/>
  <c r="AE38" i="84" s="1"/>
  <c r="N38" i="84"/>
  <c r="AD38" i="84" s="1"/>
  <c r="M38" i="84"/>
  <c r="AC38" i="84" s="1"/>
  <c r="AG37" i="84"/>
  <c r="AB37" i="84"/>
  <c r="AA37" i="84"/>
  <c r="Z37" i="84"/>
  <c r="Y37" i="84"/>
  <c r="X37" i="84"/>
  <c r="W37" i="84"/>
  <c r="V37" i="84"/>
  <c r="O37" i="84"/>
  <c r="AE37" i="84" s="1"/>
  <c r="N37" i="84"/>
  <c r="AD37" i="84" s="1"/>
  <c r="M37" i="84"/>
  <c r="AC37" i="84" s="1"/>
  <c r="AG36" i="84"/>
  <c r="AB36" i="84"/>
  <c r="AA36" i="84"/>
  <c r="Z36" i="84"/>
  <c r="Y36" i="84"/>
  <c r="X36" i="84"/>
  <c r="W36" i="84"/>
  <c r="V36" i="84"/>
  <c r="O36" i="84"/>
  <c r="AE36" i="84" s="1"/>
  <c r="N36" i="84"/>
  <c r="AD36" i="84" s="1"/>
  <c r="M36" i="84"/>
  <c r="AC36" i="84" s="1"/>
  <c r="AG35" i="84"/>
  <c r="AB35" i="84"/>
  <c r="AA35" i="84"/>
  <c r="Z35" i="84"/>
  <c r="Y35" i="84"/>
  <c r="X35" i="84"/>
  <c r="W35" i="84"/>
  <c r="V35" i="84"/>
  <c r="O35" i="84"/>
  <c r="AE35" i="84" s="1"/>
  <c r="N35" i="84"/>
  <c r="AD35" i="84" s="1"/>
  <c r="M35" i="84"/>
  <c r="AC35" i="84" s="1"/>
  <c r="AG34" i="84"/>
  <c r="AB34" i="84"/>
  <c r="AA34" i="84"/>
  <c r="Z34" i="84"/>
  <c r="Y34" i="84"/>
  <c r="X34" i="84"/>
  <c r="W34" i="84"/>
  <c r="V34" i="84"/>
  <c r="O34" i="84"/>
  <c r="AE34" i="84" s="1"/>
  <c r="N34" i="84"/>
  <c r="AD34" i="84" s="1"/>
  <c r="M34" i="84"/>
  <c r="AC34" i="84" s="1"/>
  <c r="AG33" i="84"/>
  <c r="AB33" i="84"/>
  <c r="AA33" i="84"/>
  <c r="Z33" i="84"/>
  <c r="Y33" i="84"/>
  <c r="X33" i="84"/>
  <c r="W33" i="84"/>
  <c r="V33" i="84"/>
  <c r="O33" i="84"/>
  <c r="AE33" i="84" s="1"/>
  <c r="N33" i="84"/>
  <c r="AD33" i="84" s="1"/>
  <c r="M33" i="84"/>
  <c r="AC33" i="84" s="1"/>
  <c r="AG32" i="84"/>
  <c r="AB32" i="84"/>
  <c r="AA32" i="84"/>
  <c r="Z32" i="84"/>
  <c r="Y32" i="84"/>
  <c r="X32" i="84"/>
  <c r="W32" i="84"/>
  <c r="V32" i="84"/>
  <c r="O32" i="84"/>
  <c r="AE32" i="84" s="1"/>
  <c r="N32" i="84"/>
  <c r="AD32" i="84" s="1"/>
  <c r="M32" i="84"/>
  <c r="AC32" i="84" s="1"/>
  <c r="AG31" i="84"/>
  <c r="AB31" i="84"/>
  <c r="AA31" i="84"/>
  <c r="Z31" i="84"/>
  <c r="Y31" i="84"/>
  <c r="X31" i="84"/>
  <c r="W31" i="84"/>
  <c r="V31" i="84"/>
  <c r="O31" i="84"/>
  <c r="AE31" i="84" s="1"/>
  <c r="N31" i="84"/>
  <c r="AD31" i="84" s="1"/>
  <c r="M31" i="84"/>
  <c r="AC31" i="84" s="1"/>
  <c r="AG30" i="84"/>
  <c r="AB30" i="84"/>
  <c r="AA30" i="84"/>
  <c r="Z30" i="84"/>
  <c r="Y30" i="84"/>
  <c r="X30" i="84"/>
  <c r="W30" i="84"/>
  <c r="V30" i="84"/>
  <c r="O30" i="84"/>
  <c r="AE30" i="84" s="1"/>
  <c r="N30" i="84"/>
  <c r="AD30" i="84" s="1"/>
  <c r="M30" i="84"/>
  <c r="AC30" i="84" s="1"/>
  <c r="AG29" i="84"/>
  <c r="AB29" i="84"/>
  <c r="AA29" i="84"/>
  <c r="Z29" i="84"/>
  <c r="Y29" i="84"/>
  <c r="X29" i="84"/>
  <c r="W29" i="84"/>
  <c r="V29" i="84"/>
  <c r="O29" i="84"/>
  <c r="AE29" i="84" s="1"/>
  <c r="N29" i="84"/>
  <c r="AD29" i="84" s="1"/>
  <c r="M29" i="84"/>
  <c r="AC29" i="84" s="1"/>
  <c r="AG28" i="84"/>
  <c r="AB28" i="84"/>
  <c r="AA28" i="84"/>
  <c r="Z28" i="84"/>
  <c r="Y28" i="84"/>
  <c r="X28" i="84"/>
  <c r="W28" i="84"/>
  <c r="V28" i="84"/>
  <c r="O28" i="84"/>
  <c r="AE28" i="84" s="1"/>
  <c r="N28" i="84"/>
  <c r="AD28" i="84" s="1"/>
  <c r="M28" i="84"/>
  <c r="AC28" i="84" s="1"/>
  <c r="AG27" i="84"/>
  <c r="AB27" i="84"/>
  <c r="AA27" i="84"/>
  <c r="Z27" i="84"/>
  <c r="Y27" i="84"/>
  <c r="X27" i="84"/>
  <c r="W27" i="84"/>
  <c r="V27" i="84"/>
  <c r="O27" i="84"/>
  <c r="AE27" i="84" s="1"/>
  <c r="N27" i="84"/>
  <c r="AD27" i="84" s="1"/>
  <c r="M27" i="84"/>
  <c r="AC27" i="84" s="1"/>
  <c r="AG26" i="84"/>
  <c r="AB26" i="84"/>
  <c r="AA26" i="84"/>
  <c r="Z26" i="84"/>
  <c r="Y26" i="84"/>
  <c r="X26" i="84"/>
  <c r="W26" i="84"/>
  <c r="V26" i="84"/>
  <c r="O26" i="84"/>
  <c r="AE26" i="84" s="1"/>
  <c r="N26" i="84"/>
  <c r="AD26" i="84" s="1"/>
  <c r="M26" i="84"/>
  <c r="AC26" i="84" s="1"/>
  <c r="AG25" i="84"/>
  <c r="AB25" i="84"/>
  <c r="AA25" i="84"/>
  <c r="Z25" i="84"/>
  <c r="Y25" i="84"/>
  <c r="X25" i="84"/>
  <c r="W25" i="84"/>
  <c r="V25" i="84"/>
  <c r="O25" i="84"/>
  <c r="AE25" i="84" s="1"/>
  <c r="N25" i="84"/>
  <c r="AD25" i="84" s="1"/>
  <c r="M25" i="84"/>
  <c r="AC25" i="84" s="1"/>
  <c r="AG24" i="84"/>
  <c r="AB24" i="84"/>
  <c r="AA24" i="84"/>
  <c r="Z24" i="84"/>
  <c r="Y24" i="84"/>
  <c r="X24" i="84"/>
  <c r="W24" i="84"/>
  <c r="V24" i="84"/>
  <c r="O24" i="84"/>
  <c r="AE24" i="84" s="1"/>
  <c r="N24" i="84"/>
  <c r="AD24" i="84" s="1"/>
  <c r="M24" i="84"/>
  <c r="AC24" i="84" s="1"/>
  <c r="AG23" i="84"/>
  <c r="AB23" i="84"/>
  <c r="AA23" i="84"/>
  <c r="Z23" i="84"/>
  <c r="Y23" i="84"/>
  <c r="X23" i="84"/>
  <c r="W23" i="84"/>
  <c r="V23" i="84"/>
  <c r="O23" i="84"/>
  <c r="AE23" i="84" s="1"/>
  <c r="N23" i="84"/>
  <c r="AD23" i="84" s="1"/>
  <c r="M23" i="84"/>
  <c r="AC23" i="84" s="1"/>
  <c r="AG22" i="84"/>
  <c r="AB22" i="84"/>
  <c r="AA22" i="84"/>
  <c r="Z22" i="84"/>
  <c r="Y22" i="84"/>
  <c r="X22" i="84"/>
  <c r="W22" i="84"/>
  <c r="V22" i="84"/>
  <c r="O22" i="84"/>
  <c r="AE22" i="84" s="1"/>
  <c r="N22" i="84"/>
  <c r="AD22" i="84" s="1"/>
  <c r="M22" i="84"/>
  <c r="AC22" i="84" s="1"/>
  <c r="AG21" i="84"/>
  <c r="AB21" i="84"/>
  <c r="AA21" i="84"/>
  <c r="Z21" i="84"/>
  <c r="Y21" i="84"/>
  <c r="X21" i="84"/>
  <c r="W21" i="84"/>
  <c r="V21" i="84"/>
  <c r="O21" i="84"/>
  <c r="AE21" i="84" s="1"/>
  <c r="N21" i="84"/>
  <c r="AD21" i="84" s="1"/>
  <c r="M21" i="84"/>
  <c r="AC21" i="84" s="1"/>
  <c r="AG20" i="84"/>
  <c r="AB20" i="84"/>
  <c r="AA20" i="84"/>
  <c r="Z20" i="84"/>
  <c r="Y20" i="84"/>
  <c r="X20" i="84"/>
  <c r="W20" i="84"/>
  <c r="V20" i="84"/>
  <c r="O20" i="84"/>
  <c r="AE20" i="84" s="1"/>
  <c r="N20" i="84"/>
  <c r="AD20" i="84" s="1"/>
  <c r="M20" i="84"/>
  <c r="AC20" i="84" s="1"/>
  <c r="AG19" i="84"/>
  <c r="AB19" i="84"/>
  <c r="AA19" i="84"/>
  <c r="Z19" i="84"/>
  <c r="Y19" i="84"/>
  <c r="X19" i="84"/>
  <c r="W19" i="84"/>
  <c r="V19" i="84"/>
  <c r="O19" i="84"/>
  <c r="AE19" i="84" s="1"/>
  <c r="N19" i="84"/>
  <c r="AD19" i="84" s="1"/>
  <c r="M19" i="84"/>
  <c r="AC19" i="84" s="1"/>
  <c r="AG18" i="84"/>
  <c r="AB18" i="84"/>
  <c r="AA18" i="84"/>
  <c r="Z18" i="84"/>
  <c r="Y18" i="84"/>
  <c r="X18" i="84"/>
  <c r="W18" i="84"/>
  <c r="V18" i="84"/>
  <c r="O18" i="84"/>
  <c r="AE18" i="84" s="1"/>
  <c r="N18" i="84"/>
  <c r="AD18" i="84" s="1"/>
  <c r="M18" i="84"/>
  <c r="AC18" i="84" s="1"/>
  <c r="AG17" i="84"/>
  <c r="AB17" i="84"/>
  <c r="AA17" i="84"/>
  <c r="Z17" i="84"/>
  <c r="Y17" i="84"/>
  <c r="X17" i="84"/>
  <c r="W17" i="84"/>
  <c r="V17" i="84"/>
  <c r="O17" i="84"/>
  <c r="AE17" i="84" s="1"/>
  <c r="N17" i="84"/>
  <c r="AD17" i="84" s="1"/>
  <c r="M17" i="84"/>
  <c r="AC17" i="84" s="1"/>
  <c r="AG16" i="84"/>
  <c r="AB16" i="84"/>
  <c r="AA16" i="84"/>
  <c r="Z16" i="84"/>
  <c r="Y16" i="84"/>
  <c r="X16" i="84"/>
  <c r="W16" i="84"/>
  <c r="V16" i="84"/>
  <c r="O16" i="84"/>
  <c r="AE16" i="84" s="1"/>
  <c r="N16" i="84"/>
  <c r="AD16" i="84" s="1"/>
  <c r="M16" i="84"/>
  <c r="AC16" i="84" s="1"/>
  <c r="AG15" i="84"/>
  <c r="AB15" i="84"/>
  <c r="AA15" i="84"/>
  <c r="Z15" i="84"/>
  <c r="Y15" i="84"/>
  <c r="X15" i="84"/>
  <c r="W15" i="84"/>
  <c r="V15" i="84"/>
  <c r="O15" i="84"/>
  <c r="AE15" i="84" s="1"/>
  <c r="N15" i="84"/>
  <c r="AD15" i="84" s="1"/>
  <c r="M15" i="84"/>
  <c r="AC15" i="84" s="1"/>
  <c r="AG14" i="84"/>
  <c r="AB14" i="84"/>
  <c r="AA14" i="84"/>
  <c r="Z14" i="84"/>
  <c r="Y14" i="84"/>
  <c r="X14" i="84"/>
  <c r="W14" i="84"/>
  <c r="V14" i="84"/>
  <c r="O14" i="84"/>
  <c r="AE14" i="84" s="1"/>
  <c r="N14" i="84"/>
  <c r="AD14" i="84" s="1"/>
  <c r="M14" i="84"/>
  <c r="AC14" i="84" s="1"/>
  <c r="AG13" i="84"/>
  <c r="AB13" i="84"/>
  <c r="AA13" i="84"/>
  <c r="Z13" i="84"/>
  <c r="Y13" i="84"/>
  <c r="X13" i="84"/>
  <c r="W13" i="84"/>
  <c r="V13" i="84"/>
  <c r="O13" i="84"/>
  <c r="AE13" i="84" s="1"/>
  <c r="N13" i="84"/>
  <c r="AD13" i="84" s="1"/>
  <c r="M13" i="84"/>
  <c r="AC13" i="84" s="1"/>
  <c r="AG12" i="84"/>
  <c r="AB12" i="84"/>
  <c r="AA12" i="84"/>
  <c r="Z12" i="84"/>
  <c r="Y12" i="84"/>
  <c r="X12" i="84"/>
  <c r="W12" i="84"/>
  <c r="V12" i="84"/>
  <c r="O12" i="84"/>
  <c r="AE12" i="84" s="1"/>
  <c r="N12" i="84"/>
  <c r="AD12" i="84" s="1"/>
  <c r="M12" i="84"/>
  <c r="AC12" i="84" s="1"/>
  <c r="AG11" i="84"/>
  <c r="AB11" i="84"/>
  <c r="AA11" i="84"/>
  <c r="Z11" i="84"/>
  <c r="Y11" i="84"/>
  <c r="X11" i="84"/>
  <c r="W11" i="84"/>
  <c r="V11" i="84"/>
  <c r="O11" i="84"/>
  <c r="AE11" i="84" s="1"/>
  <c r="N11" i="84"/>
  <c r="AD11" i="84" s="1"/>
  <c r="M11" i="84"/>
  <c r="AC11" i="84" s="1"/>
  <c r="AG10" i="84"/>
  <c r="AB10" i="84"/>
  <c r="AA10" i="84"/>
  <c r="Z10" i="84"/>
  <c r="Y10" i="84"/>
  <c r="X10" i="84"/>
  <c r="W10" i="84"/>
  <c r="V10" i="84"/>
  <c r="O10" i="84"/>
  <c r="AE10" i="84" s="1"/>
  <c r="N10" i="84"/>
  <c r="AD10" i="84" s="1"/>
  <c r="M10" i="84"/>
  <c r="AC10" i="84" s="1"/>
  <c r="AG9" i="84"/>
  <c r="AB9" i="84"/>
  <c r="AA9" i="84"/>
  <c r="Z9" i="84"/>
  <c r="Y9" i="84"/>
  <c r="X9" i="84"/>
  <c r="W9" i="84"/>
  <c r="V9" i="84"/>
  <c r="O9" i="84"/>
  <c r="AE9" i="84" s="1"/>
  <c r="N9" i="84"/>
  <c r="AD9" i="84" s="1"/>
  <c r="M9" i="84"/>
  <c r="AC9" i="84" s="1"/>
  <c r="AG8" i="84"/>
  <c r="AB8" i="84"/>
  <c r="AA8" i="84"/>
  <c r="Z8" i="84"/>
  <c r="Y8" i="84"/>
  <c r="X8" i="84"/>
  <c r="W8" i="84"/>
  <c r="V8" i="84"/>
  <c r="O8" i="84"/>
  <c r="AE8" i="84" s="1"/>
  <c r="N8" i="84"/>
  <c r="AD8" i="84" s="1"/>
  <c r="M8" i="84"/>
  <c r="AC8" i="84" s="1"/>
  <c r="AG7" i="84"/>
  <c r="AB7" i="84"/>
  <c r="AA7" i="84"/>
  <c r="Z7" i="84"/>
  <c r="Y7" i="84"/>
  <c r="X7" i="84"/>
  <c r="W7" i="84"/>
  <c r="V7" i="84"/>
  <c r="O7" i="84"/>
  <c r="AE7" i="84" s="1"/>
  <c r="N7" i="84"/>
  <c r="AD7" i="84" s="1"/>
  <c r="M7" i="84"/>
  <c r="AC7" i="84" s="1"/>
  <c r="AG6" i="84"/>
  <c r="AB6" i="84"/>
  <c r="AA6" i="84"/>
  <c r="Z6" i="84"/>
  <c r="Y6" i="84"/>
  <c r="X6" i="84"/>
  <c r="W6" i="84"/>
  <c r="V6" i="84"/>
  <c r="O6" i="84"/>
  <c r="AE6" i="84" s="1"/>
  <c r="N6" i="84"/>
  <c r="AD6" i="84" s="1"/>
  <c r="M6" i="84"/>
  <c r="AF5" i="84"/>
  <c r="U5" i="84"/>
  <c r="T5" i="84"/>
  <c r="S5" i="84"/>
  <c r="R5" i="84"/>
  <c r="Q5" i="84"/>
  <c r="P5" i="84"/>
  <c r="L5" i="84"/>
  <c r="K5" i="84"/>
  <c r="J5" i="84"/>
  <c r="I5" i="84"/>
  <c r="H5" i="84"/>
  <c r="G5" i="84"/>
  <c r="F5" i="84"/>
  <c r="E5" i="84"/>
  <c r="X5" i="84" l="1"/>
  <c r="G16" i="1" s="1"/>
  <c r="AB5" i="84"/>
  <c r="G20" i="1" s="1"/>
  <c r="AG5" i="84"/>
  <c r="G21" i="1" s="1"/>
  <c r="N5" i="84"/>
  <c r="AD5" i="84" s="1"/>
  <c r="G14" i="1" s="1"/>
  <c r="M5" i="84"/>
  <c r="AC5" i="84" s="1"/>
  <c r="G13" i="1" s="1"/>
  <c r="Y5" i="84"/>
  <c r="G17" i="1" s="1"/>
  <c r="V5" i="84"/>
  <c r="G11" i="1" s="1"/>
  <c r="Z5" i="84"/>
  <c r="G18" i="1" s="1"/>
  <c r="W5" i="84"/>
  <c r="G12" i="1" s="1"/>
  <c r="AA5" i="84"/>
  <c r="G19" i="1" s="1"/>
  <c r="O5" i="84"/>
  <c r="AE5" i="84" s="1"/>
  <c r="G15" i="1" s="1"/>
  <c r="AC6" i="84"/>
  <c r="H131" i="55" l="1"/>
  <c r="G131" i="55"/>
  <c r="F131" i="55"/>
  <c r="E131" i="55"/>
  <c r="D131" i="55"/>
  <c r="G131" i="61" l="1"/>
  <c r="F131" i="61"/>
  <c r="E131" i="61"/>
  <c r="D131" i="61"/>
  <c r="K131" i="57"/>
  <c r="J131" i="57"/>
  <c r="I131" i="57"/>
  <c r="O131" i="57"/>
  <c r="N131" i="57"/>
  <c r="M131" i="57"/>
  <c r="E131" i="58"/>
  <c r="D131" i="117"/>
  <c r="F131" i="117"/>
  <c r="E131" i="117"/>
  <c r="W131" i="113" l="1"/>
  <c r="W130" i="113"/>
  <c r="W129" i="113"/>
  <c r="W128" i="113"/>
  <c r="W127" i="113"/>
  <c r="W100" i="113"/>
  <c r="W99" i="113"/>
  <c r="W98" i="113"/>
  <c r="W125" i="113"/>
  <c r="W124" i="113"/>
  <c r="W97" i="113"/>
  <c r="W96" i="113"/>
  <c r="W95" i="113"/>
  <c r="W123" i="113"/>
  <c r="W94" i="113"/>
  <c r="W93" i="113"/>
  <c r="W92" i="113"/>
  <c r="W122" i="113"/>
  <c r="W91" i="113"/>
  <c r="W90" i="113"/>
  <c r="W89" i="113"/>
  <c r="W88" i="113"/>
  <c r="W87" i="113"/>
  <c r="W86" i="113"/>
  <c r="W85" i="113"/>
  <c r="W84" i="113"/>
  <c r="W83" i="113"/>
  <c r="W82" i="113"/>
  <c r="W121" i="113"/>
  <c r="W81" i="113"/>
  <c r="W120" i="113"/>
  <c r="W80" i="113"/>
  <c r="W119" i="113"/>
  <c r="W79" i="113"/>
  <c r="W78" i="113"/>
  <c r="W77" i="113"/>
  <c r="W76" i="113"/>
  <c r="W75" i="113"/>
  <c r="W118" i="113"/>
  <c r="W74" i="113"/>
  <c r="W117" i="113"/>
  <c r="W73" i="113"/>
  <c r="W72" i="113"/>
  <c r="W71" i="113"/>
  <c r="W70" i="113"/>
  <c r="W116" i="113"/>
  <c r="W69" i="113"/>
  <c r="W68" i="113"/>
  <c r="W115" i="113"/>
  <c r="W114" i="113"/>
  <c r="W67" i="113"/>
  <c r="W66" i="113"/>
  <c r="W65" i="113"/>
  <c r="W64" i="113"/>
  <c r="W63" i="113"/>
  <c r="W62" i="113"/>
  <c r="W113" i="113"/>
  <c r="W112" i="113"/>
  <c r="W61" i="113"/>
  <c r="W111" i="113"/>
  <c r="W60" i="113"/>
  <c r="W59" i="113"/>
  <c r="W58" i="113"/>
  <c r="W57" i="113"/>
  <c r="W56" i="113"/>
  <c r="W55" i="113"/>
  <c r="W54" i="113"/>
  <c r="W53" i="113"/>
  <c r="W52" i="113"/>
  <c r="W51" i="113"/>
  <c r="W110" i="113"/>
  <c r="W50" i="113"/>
  <c r="W49" i="113"/>
  <c r="W48" i="113"/>
  <c r="W47" i="113"/>
  <c r="W109" i="113"/>
  <c r="W46" i="113"/>
  <c r="W45" i="113"/>
  <c r="W44" i="113"/>
  <c r="W43" i="113"/>
  <c r="W42" i="113"/>
  <c r="W41" i="113"/>
  <c r="W40" i="113"/>
  <c r="W108" i="113"/>
  <c r="W107" i="113"/>
  <c r="W39" i="113"/>
  <c r="W38" i="113"/>
  <c r="W106" i="113"/>
  <c r="W37" i="113"/>
  <c r="W36" i="113"/>
  <c r="W35" i="113"/>
  <c r="W34" i="113"/>
  <c r="W33" i="113"/>
  <c r="W32" i="113"/>
  <c r="W31" i="113"/>
  <c r="W105" i="113"/>
  <c r="W30" i="113"/>
  <c r="W29" i="113"/>
  <c r="W28" i="113"/>
  <c r="W27" i="113"/>
  <c r="W26" i="113"/>
  <c r="W104" i="113"/>
  <c r="W103" i="113"/>
  <c r="W25" i="113"/>
  <c r="W24" i="113"/>
  <c r="W23" i="113"/>
  <c r="W22" i="113"/>
  <c r="W21" i="113"/>
  <c r="W20" i="113"/>
  <c r="W19" i="113"/>
  <c r="W18" i="113"/>
  <c r="W102" i="113"/>
  <c r="W17" i="113"/>
  <c r="W16" i="113"/>
  <c r="W15" i="113"/>
  <c r="W14" i="113"/>
  <c r="W13" i="113"/>
  <c r="W12" i="113"/>
  <c r="W11" i="113"/>
  <c r="W10" i="113"/>
  <c r="W9" i="113"/>
  <c r="W8" i="113"/>
  <c r="W101" i="113"/>
  <c r="W7" i="113"/>
  <c r="W6" i="113"/>
  <c r="W5" i="113"/>
  <c r="I22" i="108" s="1"/>
  <c r="W128" i="109" l="1"/>
  <c r="W129" i="109"/>
  <c r="W130" i="109"/>
  <c r="W131" i="109"/>
  <c r="W127" i="109"/>
  <c r="W100" i="109"/>
  <c r="W99" i="109"/>
  <c r="W98" i="109"/>
  <c r="W125" i="109"/>
  <c r="W124" i="109"/>
  <c r="W97" i="109"/>
  <c r="W96" i="109"/>
  <c r="W95" i="109"/>
  <c r="W123" i="109"/>
  <c r="W94" i="109"/>
  <c r="W93" i="109"/>
  <c r="W92" i="109"/>
  <c r="W122" i="109"/>
  <c r="W91" i="109"/>
  <c r="W90" i="109"/>
  <c r="W89" i="109"/>
  <c r="W88" i="109"/>
  <c r="W87" i="109"/>
  <c r="W86" i="109"/>
  <c r="W85" i="109"/>
  <c r="W84" i="109"/>
  <c r="W83" i="109"/>
  <c r="W82" i="109"/>
  <c r="W121" i="109"/>
  <c r="W81" i="109"/>
  <c r="W120" i="109"/>
  <c r="W80" i="109"/>
  <c r="W119" i="109"/>
  <c r="W79" i="109"/>
  <c r="W78" i="109"/>
  <c r="W77" i="109"/>
  <c r="W76" i="109"/>
  <c r="W75" i="109"/>
  <c r="W118" i="109"/>
  <c r="W74" i="109"/>
  <c r="W117" i="109"/>
  <c r="W73" i="109"/>
  <c r="W72" i="109"/>
  <c r="W71" i="109"/>
  <c r="W70" i="109"/>
  <c r="W116" i="109"/>
  <c r="W69" i="109"/>
  <c r="W68" i="109"/>
  <c r="W115" i="109"/>
  <c r="W114" i="109"/>
  <c r="W67" i="109"/>
  <c r="W66" i="109"/>
  <c r="W65" i="109"/>
  <c r="W64" i="109"/>
  <c r="W63" i="109"/>
  <c r="W62" i="109"/>
  <c r="W113" i="109"/>
  <c r="W112" i="109"/>
  <c r="W61" i="109"/>
  <c r="W111" i="109"/>
  <c r="W60" i="109"/>
  <c r="W59" i="109"/>
  <c r="W58" i="109"/>
  <c r="W57" i="109"/>
  <c r="W56" i="109"/>
  <c r="W55" i="109"/>
  <c r="W54" i="109"/>
  <c r="W53" i="109"/>
  <c r="W52" i="109"/>
  <c r="W51" i="109"/>
  <c r="W110" i="109"/>
  <c r="W50" i="109"/>
  <c r="W49" i="109"/>
  <c r="W48" i="109"/>
  <c r="W47" i="109"/>
  <c r="W109" i="109"/>
  <c r="W46" i="109"/>
  <c r="W45" i="109"/>
  <c r="W44" i="109"/>
  <c r="W43" i="109"/>
  <c r="W42" i="109"/>
  <c r="W41" i="109"/>
  <c r="W40" i="109"/>
  <c r="W108" i="109"/>
  <c r="W107" i="109"/>
  <c r="W39" i="109"/>
  <c r="W38" i="109"/>
  <c r="W106" i="109"/>
  <c r="W37" i="109"/>
  <c r="W36" i="109"/>
  <c r="W35" i="109"/>
  <c r="W34" i="109"/>
  <c r="W33" i="109"/>
  <c r="W32" i="109"/>
  <c r="W31" i="109"/>
  <c r="W105" i="109"/>
  <c r="W30" i="109"/>
  <c r="W29" i="109"/>
  <c r="W28" i="109"/>
  <c r="W27" i="109"/>
  <c r="W26" i="109"/>
  <c r="W104" i="109"/>
  <c r="W103" i="109"/>
  <c r="W25" i="109"/>
  <c r="W24" i="109"/>
  <c r="W23" i="109"/>
  <c r="W22" i="109"/>
  <c r="W21" i="109"/>
  <c r="W20" i="109"/>
  <c r="W19" i="109"/>
  <c r="W18" i="109"/>
  <c r="W102" i="109"/>
  <c r="W17" i="109"/>
  <c r="W16" i="109"/>
  <c r="W15" i="109"/>
  <c r="W14" i="109"/>
  <c r="W13" i="109"/>
  <c r="W12" i="109"/>
  <c r="W11" i="109"/>
  <c r="W10" i="109"/>
  <c r="W9" i="109"/>
  <c r="W8" i="109"/>
  <c r="W101" i="109"/>
  <c r="W7" i="109"/>
  <c r="W6" i="109"/>
  <c r="W5" i="109"/>
  <c r="D22" i="108" s="1"/>
  <c r="BH131" i="24" l="1"/>
  <c r="BH130" i="24"/>
  <c r="BH129" i="24"/>
  <c r="BH128" i="24"/>
  <c r="BH127" i="24"/>
  <c r="BH125" i="24"/>
  <c r="BH124" i="24"/>
  <c r="BH123" i="24"/>
  <c r="BH122" i="24"/>
  <c r="BH121" i="24"/>
  <c r="BH120" i="24"/>
  <c r="BH119" i="24"/>
  <c r="BH118" i="24"/>
  <c r="BH117" i="24"/>
  <c r="BH116" i="24"/>
  <c r="BH115" i="24"/>
  <c r="BH114" i="24"/>
  <c r="BH113" i="24"/>
  <c r="BH112" i="24"/>
  <c r="BH111" i="24"/>
  <c r="BH110" i="24"/>
  <c r="BH109" i="24"/>
  <c r="BH108" i="24"/>
  <c r="BH107" i="24"/>
  <c r="BH106" i="24"/>
  <c r="BH105" i="24"/>
  <c r="BH104" i="24"/>
  <c r="BH103" i="24"/>
  <c r="BH102" i="24"/>
  <c r="BH101" i="24"/>
  <c r="BH100" i="24"/>
  <c r="BH99" i="24"/>
  <c r="BH98" i="24"/>
  <c r="BH97" i="24"/>
  <c r="BH96" i="24"/>
  <c r="BH95" i="24"/>
  <c r="BH94" i="24"/>
  <c r="BH93" i="24"/>
  <c r="BH92" i="24"/>
  <c r="BH91" i="24"/>
  <c r="BH90" i="24"/>
  <c r="BH89" i="24"/>
  <c r="BH88" i="24"/>
  <c r="BH87" i="24"/>
  <c r="BH86" i="24"/>
  <c r="BH85" i="24"/>
  <c r="BH84" i="24"/>
  <c r="BH83" i="24"/>
  <c r="BH82" i="24"/>
  <c r="BH81" i="24"/>
  <c r="BH80" i="24"/>
  <c r="BH79" i="24"/>
  <c r="BH78" i="24"/>
  <c r="BH77" i="24"/>
  <c r="BH76" i="24"/>
  <c r="BH75" i="24"/>
  <c r="BH74" i="24"/>
  <c r="BH73" i="24"/>
  <c r="BH72" i="24"/>
  <c r="BH71" i="24"/>
  <c r="BH70" i="24"/>
  <c r="BH69" i="24"/>
  <c r="BH68" i="24"/>
  <c r="BH67" i="24"/>
  <c r="BH66" i="24"/>
  <c r="BH65" i="24"/>
  <c r="BH64" i="24"/>
  <c r="BH63" i="24"/>
  <c r="BH62" i="24"/>
  <c r="BH61" i="24"/>
  <c r="BH60" i="24"/>
  <c r="BH59" i="24"/>
  <c r="BH58" i="24"/>
  <c r="BH57" i="24"/>
  <c r="BH56" i="24"/>
  <c r="BH55" i="24"/>
  <c r="BH54" i="24"/>
  <c r="BH53" i="24"/>
  <c r="BH52" i="24"/>
  <c r="BH51" i="24"/>
  <c r="BH50" i="24"/>
  <c r="BH49" i="24"/>
  <c r="BH48" i="24"/>
  <c r="BH47" i="24"/>
  <c r="BH46" i="24"/>
  <c r="BH45" i="24"/>
  <c r="BH44" i="24"/>
  <c r="BH43" i="24"/>
  <c r="BH42" i="24"/>
  <c r="BH41" i="24"/>
  <c r="BH40" i="24"/>
  <c r="BH39" i="24"/>
  <c r="BH38" i="24"/>
  <c r="BH37" i="24"/>
  <c r="BH36" i="24"/>
  <c r="BH35" i="24"/>
  <c r="BH34" i="24"/>
  <c r="BH33" i="24"/>
  <c r="BH32" i="24"/>
  <c r="BH31" i="24"/>
  <c r="BH30" i="24"/>
  <c r="BH29" i="24"/>
  <c r="BH28" i="24"/>
  <c r="BH27" i="24"/>
  <c r="BH26" i="24"/>
  <c r="BH25" i="24"/>
  <c r="BH24" i="24"/>
  <c r="BH23" i="24"/>
  <c r="BH22" i="24"/>
  <c r="BH21" i="24"/>
  <c r="BH20" i="24"/>
  <c r="BH19" i="24"/>
  <c r="BH18" i="24"/>
  <c r="BH17" i="24"/>
  <c r="BH16" i="24"/>
  <c r="BH15" i="24"/>
  <c r="BH14" i="24"/>
  <c r="BH13" i="24"/>
  <c r="BH12" i="24"/>
  <c r="BH11" i="24"/>
  <c r="BH10" i="24"/>
  <c r="BH9" i="24"/>
  <c r="BH8" i="24"/>
  <c r="BH7" i="24"/>
  <c r="BH6" i="24"/>
  <c r="BH5" i="24" l="1"/>
  <c r="F71" i="1" s="1"/>
  <c r="F99" i="115" l="1"/>
  <c r="F98" i="115"/>
  <c r="F97" i="115"/>
  <c r="F124" i="115"/>
  <c r="F123" i="115"/>
  <c r="F96" i="115"/>
  <c r="F95" i="115"/>
  <c r="F94" i="115"/>
  <c r="F122" i="115"/>
  <c r="F93" i="115"/>
  <c r="F92" i="115"/>
  <c r="F91" i="115"/>
  <c r="F121" i="115"/>
  <c r="F90" i="115"/>
  <c r="F89" i="115"/>
  <c r="F88" i="115"/>
  <c r="F87" i="115"/>
  <c r="F86" i="115"/>
  <c r="F85" i="115"/>
  <c r="F84" i="115"/>
  <c r="F83" i="115"/>
  <c r="F82" i="115"/>
  <c r="F81" i="115"/>
  <c r="F120" i="115"/>
  <c r="F80" i="115"/>
  <c r="F119" i="115"/>
  <c r="F79" i="115"/>
  <c r="F118" i="115"/>
  <c r="F78" i="115"/>
  <c r="F77" i="115"/>
  <c r="F76" i="115"/>
  <c r="F75" i="115"/>
  <c r="F74" i="115"/>
  <c r="F117" i="115"/>
  <c r="F73" i="115"/>
  <c r="F116" i="115"/>
  <c r="F72" i="115"/>
  <c r="F71" i="115"/>
  <c r="F70" i="115"/>
  <c r="F69" i="115"/>
  <c r="F115" i="115"/>
  <c r="F68" i="115"/>
  <c r="F67" i="115"/>
  <c r="F114" i="115"/>
  <c r="F113" i="115"/>
  <c r="F66" i="115"/>
  <c r="F65" i="115"/>
  <c r="F64" i="115"/>
  <c r="F63" i="115"/>
  <c r="F62" i="115"/>
  <c r="F61" i="115"/>
  <c r="F112" i="115"/>
  <c r="F111" i="115"/>
  <c r="F60" i="115"/>
  <c r="F110" i="115"/>
  <c r="F59" i="115"/>
  <c r="F58" i="115"/>
  <c r="F57" i="115"/>
  <c r="F56" i="115"/>
  <c r="F55" i="115"/>
  <c r="F54" i="115"/>
  <c r="F53" i="115"/>
  <c r="F52" i="115"/>
  <c r="F51" i="115"/>
  <c r="F50" i="115"/>
  <c r="F109" i="115"/>
  <c r="F49" i="115"/>
  <c r="F48" i="115"/>
  <c r="F47" i="115"/>
  <c r="F46" i="115"/>
  <c r="F108" i="115"/>
  <c r="F45" i="115"/>
  <c r="F44" i="115"/>
  <c r="F43" i="115"/>
  <c r="F42" i="115"/>
  <c r="F41" i="115"/>
  <c r="F40" i="115"/>
  <c r="F39" i="115"/>
  <c r="F107" i="115"/>
  <c r="F106" i="115"/>
  <c r="F38" i="115"/>
  <c r="F37" i="115"/>
  <c r="F105" i="115"/>
  <c r="F36" i="115"/>
  <c r="F35" i="115"/>
  <c r="F34" i="115"/>
  <c r="F33" i="115"/>
  <c r="F32" i="115"/>
  <c r="F31" i="115"/>
  <c r="F30" i="115"/>
  <c r="F104" i="115"/>
  <c r="F29" i="115"/>
  <c r="F28" i="115"/>
  <c r="F27" i="115"/>
  <c r="F26" i="115"/>
  <c r="F25" i="115"/>
  <c r="F103" i="115"/>
  <c r="F102" i="115"/>
  <c r="F24" i="115"/>
  <c r="F23" i="115"/>
  <c r="F22" i="115"/>
  <c r="F21" i="115"/>
  <c r="F20" i="115"/>
  <c r="F19" i="115"/>
  <c r="F18" i="115"/>
  <c r="F17" i="115"/>
  <c r="F101" i="115"/>
  <c r="F16" i="115"/>
  <c r="F15" i="115"/>
  <c r="F14" i="115"/>
  <c r="F13" i="115"/>
  <c r="F12" i="115"/>
  <c r="F11" i="115"/>
  <c r="F10" i="115"/>
  <c r="F9" i="115"/>
  <c r="F8" i="115"/>
  <c r="F7" i="115"/>
  <c r="F100" i="115"/>
  <c r="F6" i="115"/>
  <c r="F5" i="115"/>
  <c r="H38" i="1" l="1"/>
  <c r="G38" i="1"/>
  <c r="E126" i="57" l="1"/>
  <c r="F126" i="57"/>
  <c r="G126" i="57"/>
  <c r="E127" i="57"/>
  <c r="F127" i="57"/>
  <c r="G127" i="57"/>
  <c r="E128" i="57"/>
  <c r="F128" i="57"/>
  <c r="G128" i="57"/>
  <c r="E129" i="57"/>
  <c r="F129" i="57"/>
  <c r="G129" i="57"/>
  <c r="E130" i="57"/>
  <c r="F130" i="57"/>
  <c r="G130" i="57"/>
  <c r="G19" i="123"/>
  <c r="F19" i="123"/>
  <c r="G16" i="123"/>
  <c r="F16" i="123"/>
  <c r="F7" i="123"/>
  <c r="E7" i="123"/>
  <c r="D7" i="123"/>
  <c r="J130" i="62" l="1"/>
  <c r="J129" i="62"/>
  <c r="J128" i="62"/>
  <c r="J127" i="62"/>
  <c r="J126"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U125" i="79" l="1"/>
  <c r="U124" i="79"/>
  <c r="U123" i="79"/>
  <c r="U122" i="79"/>
  <c r="U121" i="79"/>
  <c r="U120" i="79"/>
  <c r="U119" i="79"/>
  <c r="U118" i="79"/>
  <c r="U117" i="79"/>
  <c r="U116" i="79"/>
  <c r="U115" i="79"/>
  <c r="U114" i="79"/>
  <c r="U113" i="79"/>
  <c r="U112" i="79"/>
  <c r="U111" i="79"/>
  <c r="U110" i="79"/>
  <c r="U109" i="79"/>
  <c r="U108" i="79"/>
  <c r="U107" i="79"/>
  <c r="U106" i="79"/>
  <c r="U105" i="79"/>
  <c r="U104" i="79"/>
  <c r="U103" i="79"/>
  <c r="U102" i="79"/>
  <c r="U101" i="79"/>
  <c r="U100" i="79"/>
  <c r="U99" i="79"/>
  <c r="U98" i="79"/>
  <c r="U97" i="79"/>
  <c r="U96" i="79"/>
  <c r="U95" i="79"/>
  <c r="U94" i="79"/>
  <c r="U93" i="79"/>
  <c r="U92" i="79"/>
  <c r="U91" i="79"/>
  <c r="U90" i="79"/>
  <c r="U89" i="79"/>
  <c r="U88" i="79"/>
  <c r="U87" i="79"/>
  <c r="U86" i="79"/>
  <c r="U85" i="79"/>
  <c r="U84" i="79"/>
  <c r="U83" i="79"/>
  <c r="U82" i="79"/>
  <c r="U81" i="79"/>
  <c r="U80" i="79"/>
  <c r="U79" i="79"/>
  <c r="U78" i="79"/>
  <c r="U77" i="79"/>
  <c r="U76" i="79"/>
  <c r="U75" i="79"/>
  <c r="U74" i="79"/>
  <c r="U73" i="79"/>
  <c r="U72" i="79"/>
  <c r="U71" i="79"/>
  <c r="U70" i="79"/>
  <c r="U69" i="79"/>
  <c r="U68" i="79"/>
  <c r="U67" i="79"/>
  <c r="U66" i="79"/>
  <c r="U65" i="79"/>
  <c r="U64" i="79"/>
  <c r="U63" i="79"/>
  <c r="U62" i="79"/>
  <c r="U61" i="79"/>
  <c r="U60" i="79"/>
  <c r="U59" i="79"/>
  <c r="U58" i="79"/>
  <c r="U57" i="79"/>
  <c r="U56" i="79"/>
  <c r="U55" i="79"/>
  <c r="U54" i="79"/>
  <c r="U53" i="79"/>
  <c r="U52" i="79"/>
  <c r="U51" i="79"/>
  <c r="U50" i="79"/>
  <c r="U49" i="79"/>
  <c r="U48" i="79"/>
  <c r="U47" i="79"/>
  <c r="U46" i="79"/>
  <c r="U45" i="79"/>
  <c r="U44" i="79"/>
  <c r="U43" i="79"/>
  <c r="U42" i="79"/>
  <c r="U41" i="79"/>
  <c r="U40" i="79"/>
  <c r="U39" i="79"/>
  <c r="U38" i="79"/>
  <c r="U37" i="79"/>
  <c r="U36" i="79"/>
  <c r="U35" i="79"/>
  <c r="U34" i="79"/>
  <c r="U33" i="79"/>
  <c r="U32" i="79"/>
  <c r="U31" i="79"/>
  <c r="U30" i="79"/>
  <c r="U29" i="79"/>
  <c r="U28" i="79"/>
  <c r="U27" i="79"/>
  <c r="U26" i="79"/>
  <c r="U25" i="79"/>
  <c r="U24" i="79"/>
  <c r="U23" i="79"/>
  <c r="U22" i="79"/>
  <c r="U21" i="79"/>
  <c r="U20" i="79"/>
  <c r="U19" i="79"/>
  <c r="U18" i="79"/>
  <c r="U17" i="79"/>
  <c r="U16" i="79"/>
  <c r="U15" i="79"/>
  <c r="U14" i="79"/>
  <c r="U13" i="79"/>
  <c r="U12" i="79"/>
  <c r="U11" i="79"/>
  <c r="U10" i="79"/>
  <c r="U9" i="79"/>
  <c r="U8" i="79"/>
  <c r="U7" i="79"/>
  <c r="U6"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S13" i="79"/>
  <c r="S12" i="79"/>
  <c r="S11" i="79"/>
  <c r="S10" i="79"/>
  <c r="S9" i="79"/>
  <c r="S8" i="79"/>
  <c r="S7" i="79"/>
  <c r="S6" i="79"/>
  <c r="K125" i="79"/>
  <c r="K124" i="79"/>
  <c r="K123" i="79"/>
  <c r="K122" i="79"/>
  <c r="K121" i="79"/>
  <c r="K120" i="79"/>
  <c r="K119" i="79"/>
  <c r="K118" i="79"/>
  <c r="K117" i="79"/>
  <c r="K116" i="79"/>
  <c r="K115" i="79"/>
  <c r="K114" i="79"/>
  <c r="K113" i="79"/>
  <c r="K112" i="79"/>
  <c r="K111" i="79"/>
  <c r="K110" i="79"/>
  <c r="K109" i="79"/>
  <c r="K108" i="79"/>
  <c r="K107" i="79"/>
  <c r="K106" i="79"/>
  <c r="K105" i="79"/>
  <c r="K104" i="79"/>
  <c r="K103" i="79"/>
  <c r="K102" i="79"/>
  <c r="K101" i="79"/>
  <c r="K100" i="79"/>
  <c r="K99" i="79"/>
  <c r="K98" i="79"/>
  <c r="K97" i="79"/>
  <c r="K96" i="79"/>
  <c r="K95" i="79"/>
  <c r="K94" i="79"/>
  <c r="K93" i="79"/>
  <c r="K92" i="79"/>
  <c r="K91" i="79"/>
  <c r="K90" i="79"/>
  <c r="K89" i="79"/>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F125" i="79"/>
  <c r="F124" i="79"/>
  <c r="F123" i="79"/>
  <c r="F122" i="79"/>
  <c r="F121" i="79"/>
  <c r="F120" i="79"/>
  <c r="F119" i="79"/>
  <c r="F118" i="79"/>
  <c r="F117" i="79"/>
  <c r="F116" i="79"/>
  <c r="F115" i="79"/>
  <c r="F114" i="79"/>
  <c r="F113" i="79"/>
  <c r="F112" i="79"/>
  <c r="F111" i="79"/>
  <c r="F110" i="79"/>
  <c r="F109" i="79"/>
  <c r="F108" i="79"/>
  <c r="F107" i="79"/>
  <c r="F106" i="79"/>
  <c r="F105" i="79"/>
  <c r="F104" i="79"/>
  <c r="F103" i="79"/>
  <c r="F102" i="79"/>
  <c r="F101" i="79"/>
  <c r="F100" i="79"/>
  <c r="F99" i="79"/>
  <c r="F98" i="79"/>
  <c r="F97" i="79"/>
  <c r="F96" i="79"/>
  <c r="F95" i="79"/>
  <c r="F94" i="79"/>
  <c r="F93" i="79"/>
  <c r="F9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130" i="62" l="1"/>
  <c r="I129" i="62"/>
  <c r="I128" i="62"/>
  <c r="I127" i="62"/>
  <c r="I126" i="62"/>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14" i="62"/>
  <c r="I13" i="62"/>
  <c r="I12" i="62"/>
  <c r="I11" i="62"/>
  <c r="I10" i="62"/>
  <c r="I9" i="62"/>
  <c r="I8" i="62"/>
  <c r="I7" i="62"/>
  <c r="I6" i="62"/>
  <c r="I5" i="62"/>
  <c r="I130" i="60"/>
  <c r="I129" i="60"/>
  <c r="I128" i="60"/>
  <c r="I127" i="60"/>
  <c r="I126"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G131" i="62"/>
  <c r="D131" i="62"/>
  <c r="E131" i="62"/>
  <c r="F131" i="62"/>
  <c r="F21" i="123" s="1"/>
  <c r="H131" i="62"/>
  <c r="G4" i="62"/>
  <c r="J130" i="60"/>
  <c r="J129" i="60"/>
  <c r="J128" i="60"/>
  <c r="J127" i="60"/>
  <c r="J126" i="60"/>
  <c r="G131" i="60"/>
  <c r="J124" i="60"/>
  <c r="J123" i="60"/>
  <c r="V124" i="79" s="1"/>
  <c r="J122" i="60"/>
  <c r="J121" i="60"/>
  <c r="V122" i="79" s="1"/>
  <c r="J120" i="60"/>
  <c r="J119" i="60"/>
  <c r="V120" i="79" s="1"/>
  <c r="J118" i="60"/>
  <c r="J117" i="60"/>
  <c r="V118" i="79" s="1"/>
  <c r="J116" i="60"/>
  <c r="J115" i="60"/>
  <c r="J114" i="60"/>
  <c r="V115" i="79" s="1"/>
  <c r="J113" i="60"/>
  <c r="V114" i="79" s="1"/>
  <c r="J112" i="60"/>
  <c r="J111" i="60"/>
  <c r="V112" i="79" s="1"/>
  <c r="J110" i="60"/>
  <c r="J109" i="60"/>
  <c r="V110" i="79" s="1"/>
  <c r="J108" i="60"/>
  <c r="J107" i="60"/>
  <c r="V108" i="79" s="1"/>
  <c r="J106" i="60"/>
  <c r="J105" i="60"/>
  <c r="V106" i="79" s="1"/>
  <c r="J104" i="60"/>
  <c r="J103" i="60"/>
  <c r="V104" i="79" s="1"/>
  <c r="J102" i="60"/>
  <c r="J101" i="60"/>
  <c r="V102" i="79" s="1"/>
  <c r="J100" i="60"/>
  <c r="J99" i="60"/>
  <c r="V100" i="79" s="1"/>
  <c r="J98" i="60"/>
  <c r="J97" i="60"/>
  <c r="V98" i="79" s="1"/>
  <c r="J96" i="60"/>
  <c r="J95" i="60"/>
  <c r="J94" i="60"/>
  <c r="V95" i="79" s="1"/>
  <c r="J93" i="60"/>
  <c r="V94" i="79" s="1"/>
  <c r="J92" i="60"/>
  <c r="J91" i="60"/>
  <c r="J90" i="60"/>
  <c r="J89" i="60"/>
  <c r="V90" i="79" s="1"/>
  <c r="J88" i="60"/>
  <c r="J87" i="60"/>
  <c r="J86" i="60"/>
  <c r="J85" i="60"/>
  <c r="J84" i="60"/>
  <c r="J83" i="60"/>
  <c r="V84" i="79" s="1"/>
  <c r="J82" i="60"/>
  <c r="J81" i="60"/>
  <c r="J80" i="60"/>
  <c r="J79" i="60"/>
  <c r="J78" i="60"/>
  <c r="J77" i="60"/>
  <c r="J76" i="60"/>
  <c r="J75" i="60"/>
  <c r="J74" i="60"/>
  <c r="J73" i="60"/>
  <c r="J72" i="60"/>
  <c r="J71" i="60"/>
  <c r="J70" i="60"/>
  <c r="V71" i="79" s="1"/>
  <c r="J69" i="60"/>
  <c r="V70" i="79" s="1"/>
  <c r="J68" i="60"/>
  <c r="J67" i="60"/>
  <c r="J66" i="60"/>
  <c r="J65" i="60"/>
  <c r="V66" i="79" s="1"/>
  <c r="J64" i="60"/>
  <c r="J63" i="60"/>
  <c r="J62" i="60"/>
  <c r="J61" i="60"/>
  <c r="V62" i="79" s="1"/>
  <c r="J60" i="60"/>
  <c r="J59" i="60"/>
  <c r="J58" i="60"/>
  <c r="J57" i="60"/>
  <c r="J56" i="60"/>
  <c r="J55" i="60"/>
  <c r="J54" i="60"/>
  <c r="J53" i="60"/>
  <c r="J52" i="60"/>
  <c r="J51" i="60"/>
  <c r="J50" i="60"/>
  <c r="J49" i="60"/>
  <c r="J48" i="60"/>
  <c r="J47" i="60"/>
  <c r="J46" i="60"/>
  <c r="V47" i="79" s="1"/>
  <c r="J45" i="60"/>
  <c r="J44" i="60"/>
  <c r="J43" i="60"/>
  <c r="J42" i="60"/>
  <c r="J41" i="60"/>
  <c r="J40" i="60"/>
  <c r="J39" i="60"/>
  <c r="J38" i="60"/>
  <c r="J37" i="60"/>
  <c r="J36" i="60"/>
  <c r="J35" i="60"/>
  <c r="J34" i="60"/>
  <c r="J33" i="60"/>
  <c r="J32" i="60"/>
  <c r="J31" i="60"/>
  <c r="J30" i="60"/>
  <c r="J29" i="60"/>
  <c r="J28" i="60"/>
  <c r="J27" i="60"/>
  <c r="J26" i="60"/>
  <c r="J25" i="60"/>
  <c r="V26" i="79" s="1"/>
  <c r="J24" i="60"/>
  <c r="J23" i="60"/>
  <c r="J22" i="60"/>
  <c r="J21" i="60"/>
  <c r="V22" i="79" s="1"/>
  <c r="J20" i="60"/>
  <c r="J19" i="60"/>
  <c r="J18" i="60"/>
  <c r="J17" i="60"/>
  <c r="J16" i="60"/>
  <c r="J15" i="60"/>
  <c r="J14" i="60"/>
  <c r="J13" i="60"/>
  <c r="J12" i="60"/>
  <c r="J11" i="60"/>
  <c r="J10" i="60"/>
  <c r="J9" i="60"/>
  <c r="J8" i="60"/>
  <c r="J7" i="60"/>
  <c r="J6" i="60"/>
  <c r="V7" i="79" s="1"/>
  <c r="J5" i="60"/>
  <c r="V6" i="79" s="1"/>
  <c r="G4" i="60"/>
  <c r="V23" i="79" l="1"/>
  <c r="V55" i="79"/>
  <c r="V63" i="79"/>
  <c r="V8" i="79"/>
  <c r="V12" i="79"/>
  <c r="V16" i="79"/>
  <c r="V28" i="79"/>
  <c r="V36" i="79"/>
  <c r="V40" i="79"/>
  <c r="V56" i="79"/>
  <c r="V72" i="79"/>
  <c r="V76" i="79"/>
  <c r="V80" i="79"/>
  <c r="V10" i="79"/>
  <c r="V14" i="79"/>
  <c r="V18" i="79"/>
  <c r="V30" i="79"/>
  <c r="V38" i="79"/>
  <c r="V42" i="79"/>
  <c r="V46" i="79"/>
  <c r="V58" i="79"/>
  <c r="V74" i="79"/>
  <c r="V78" i="79"/>
  <c r="V82" i="79"/>
  <c r="V27" i="79"/>
  <c r="V35" i="79"/>
  <c r="V67" i="79"/>
  <c r="V34" i="79"/>
  <c r="V54" i="79"/>
  <c r="V20" i="79"/>
  <c r="V24" i="79"/>
  <c r="V32" i="79"/>
  <c r="V44" i="79"/>
  <c r="V48" i="79"/>
  <c r="V52" i="79"/>
  <c r="V60" i="79"/>
  <c r="V64" i="79"/>
  <c r="V68" i="79"/>
  <c r="V88" i="79"/>
  <c r="V92" i="79"/>
  <c r="V96" i="79"/>
  <c r="V116" i="79"/>
  <c r="V9" i="79"/>
  <c r="V13" i="79"/>
  <c r="V17" i="79"/>
  <c r="V21" i="79"/>
  <c r="V25" i="79"/>
  <c r="V29" i="79"/>
  <c r="V33" i="79"/>
  <c r="V37" i="79"/>
  <c r="V41" i="79"/>
  <c r="V45" i="79"/>
  <c r="V49" i="79"/>
  <c r="V53" i="79"/>
  <c r="V57" i="79"/>
  <c r="V61" i="79"/>
  <c r="V65" i="79"/>
  <c r="V69" i="79"/>
  <c r="V73" i="79"/>
  <c r="V77" i="79"/>
  <c r="V81" i="79"/>
  <c r="V85" i="79"/>
  <c r="V89" i="79"/>
  <c r="V93" i="79"/>
  <c r="V97" i="79"/>
  <c r="V101" i="79"/>
  <c r="V105" i="79"/>
  <c r="V109" i="79"/>
  <c r="V113" i="79"/>
  <c r="V117" i="79"/>
  <c r="V121" i="79"/>
  <c r="V125" i="79"/>
  <c r="W100" i="79"/>
  <c r="V50" i="79"/>
  <c r="V86" i="79"/>
  <c r="V11" i="79"/>
  <c r="V15" i="79"/>
  <c r="V19" i="79"/>
  <c r="V31" i="79"/>
  <c r="V39" i="79"/>
  <c r="V43" i="79"/>
  <c r="V51" i="79"/>
  <c r="V59" i="79"/>
  <c r="V75" i="79"/>
  <c r="V79" i="79"/>
  <c r="V83" i="79"/>
  <c r="V87" i="79"/>
  <c r="V91" i="79"/>
  <c r="V99" i="79"/>
  <c r="V103" i="79"/>
  <c r="V107" i="79"/>
  <c r="V111" i="79"/>
  <c r="V119" i="79"/>
  <c r="V123" i="79"/>
  <c r="W13" i="79"/>
  <c r="W17" i="79"/>
  <c r="W25" i="79"/>
  <c r="W37" i="79"/>
  <c r="W45" i="79"/>
  <c r="W61" i="79"/>
  <c r="W69" i="79"/>
  <c r="W77" i="79"/>
  <c r="W81" i="79"/>
  <c r="W93" i="79"/>
  <c r="W105" i="79"/>
  <c r="W117" i="79"/>
  <c r="W125" i="79"/>
  <c r="W7" i="79"/>
  <c r="W47" i="79"/>
  <c r="W71" i="79"/>
  <c r="W83" i="79"/>
  <c r="W99" i="79"/>
  <c r="W119" i="79"/>
  <c r="W9" i="79"/>
  <c r="W21" i="79"/>
  <c r="W29" i="79"/>
  <c r="W41" i="79"/>
  <c r="W57" i="79"/>
  <c r="W65" i="79"/>
  <c r="W73" i="79"/>
  <c r="W85" i="79"/>
  <c r="W97" i="79"/>
  <c r="W109" i="79"/>
  <c r="W113" i="79"/>
  <c r="W121" i="79"/>
  <c r="W6" i="79"/>
  <c r="W22" i="79"/>
  <c r="W26" i="79"/>
  <c r="W46" i="79"/>
  <c r="W62" i="79"/>
  <c r="W66" i="79"/>
  <c r="W70" i="79"/>
  <c r="W82" i="79"/>
  <c r="W94" i="79"/>
  <c r="W98" i="79"/>
  <c r="W114" i="79"/>
  <c r="W118" i="79"/>
  <c r="W33" i="79"/>
  <c r="W49" i="79"/>
  <c r="W53" i="79"/>
  <c r="W89" i="79"/>
  <c r="W101" i="79"/>
  <c r="W10" i="79"/>
  <c r="W14" i="79"/>
  <c r="W18" i="79"/>
  <c r="W30" i="79"/>
  <c r="W34" i="79"/>
  <c r="W38" i="79"/>
  <c r="W42" i="79"/>
  <c r="W50" i="79"/>
  <c r="W54" i="79"/>
  <c r="W58" i="79"/>
  <c r="W74" i="79"/>
  <c r="W78" i="79"/>
  <c r="W86" i="79"/>
  <c r="W90" i="79"/>
  <c r="W102" i="79"/>
  <c r="W106" i="79"/>
  <c r="W110" i="79"/>
  <c r="W122" i="79"/>
  <c r="W11" i="79"/>
  <c r="W15" i="79"/>
  <c r="W19" i="79"/>
  <c r="W23" i="79"/>
  <c r="W27" i="79"/>
  <c r="W31" i="79"/>
  <c r="W35" i="79"/>
  <c r="W39" i="79"/>
  <c r="W43" i="79"/>
  <c r="W51" i="79"/>
  <c r="W55" i="79"/>
  <c r="W59" i="79"/>
  <c r="W63" i="79"/>
  <c r="W67" i="79"/>
  <c r="W75" i="79"/>
  <c r="W79" i="79"/>
  <c r="W87" i="79"/>
  <c r="W91" i="79"/>
  <c r="W95" i="79"/>
  <c r="W103" i="79"/>
  <c r="W107" i="79"/>
  <c r="W111" i="79"/>
  <c r="W115" i="79"/>
  <c r="W123" i="79"/>
  <c r="W8" i="79"/>
  <c r="W12" i="79"/>
  <c r="W16" i="79"/>
  <c r="W20" i="79"/>
  <c r="W24" i="79"/>
  <c r="W28" i="79"/>
  <c r="W32" i="79"/>
  <c r="W36" i="79"/>
  <c r="W40" i="79"/>
  <c r="W44" i="79"/>
  <c r="W48" i="79"/>
  <c r="W52" i="79"/>
  <c r="W56" i="79"/>
  <c r="W60" i="79"/>
  <c r="W64" i="79"/>
  <c r="W68" i="79"/>
  <c r="W72" i="79"/>
  <c r="W76" i="79"/>
  <c r="W80" i="79"/>
  <c r="W84" i="79"/>
  <c r="W88" i="79"/>
  <c r="W92" i="79"/>
  <c r="W96" i="79"/>
  <c r="W104" i="79"/>
  <c r="W108" i="79"/>
  <c r="W112" i="79"/>
  <c r="W116" i="79"/>
  <c r="W120" i="79"/>
  <c r="W124" i="79"/>
  <c r="H131" i="56"/>
  <c r="G131" i="56"/>
  <c r="F131" i="56"/>
  <c r="F10" i="123" s="1"/>
  <c r="C30" i="108" s="1"/>
  <c r="E131" i="56"/>
  <c r="D131" i="56"/>
  <c r="I6" i="53" l="1"/>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5" i="53"/>
  <c r="I3" i="1" l="1"/>
  <c r="AJ126" i="85"/>
  <c r="AI126" i="85"/>
  <c r="AH126" i="85"/>
  <c r="AJ125" i="85"/>
  <c r="AI125" i="85"/>
  <c r="AH125" i="85"/>
  <c r="AJ124" i="85"/>
  <c r="AI124" i="85"/>
  <c r="AH124" i="85"/>
  <c r="AJ123" i="85"/>
  <c r="AI123" i="85"/>
  <c r="AH123" i="85"/>
  <c r="AJ122" i="85"/>
  <c r="AI122" i="85"/>
  <c r="AH122" i="85"/>
  <c r="AJ121" i="85"/>
  <c r="AI121" i="85"/>
  <c r="AH121" i="85"/>
  <c r="AJ120" i="85"/>
  <c r="AI120" i="85"/>
  <c r="AH120" i="85"/>
  <c r="AJ119" i="85"/>
  <c r="AI119" i="85"/>
  <c r="AH119" i="85"/>
  <c r="AJ118" i="85"/>
  <c r="AI118" i="85"/>
  <c r="AH118" i="85"/>
  <c r="AJ117" i="85"/>
  <c r="AI117" i="85"/>
  <c r="AH117" i="85"/>
  <c r="AJ116" i="85"/>
  <c r="AI116" i="85"/>
  <c r="AH116" i="85"/>
  <c r="AJ115" i="85"/>
  <c r="AI115" i="85"/>
  <c r="AH115" i="85"/>
  <c r="AJ114" i="85"/>
  <c r="AI114" i="85"/>
  <c r="AH114" i="85"/>
  <c r="AJ113" i="85"/>
  <c r="AI113" i="85"/>
  <c r="AH113" i="85"/>
  <c r="AJ112" i="85"/>
  <c r="AI112" i="85"/>
  <c r="AH112" i="85"/>
  <c r="AJ111" i="85"/>
  <c r="AI111" i="85"/>
  <c r="AH111" i="85"/>
  <c r="AJ110" i="85"/>
  <c r="AI110" i="85"/>
  <c r="AH110" i="85"/>
  <c r="AJ109" i="85"/>
  <c r="AI109" i="85"/>
  <c r="AH109" i="85"/>
  <c r="AJ108" i="85"/>
  <c r="AI108" i="85"/>
  <c r="AH108" i="85"/>
  <c r="AJ107" i="85"/>
  <c r="AI107" i="85"/>
  <c r="AH107" i="85"/>
  <c r="AJ106" i="85"/>
  <c r="AI106" i="85"/>
  <c r="AH106" i="85"/>
  <c r="AJ105" i="85"/>
  <c r="AI105" i="85"/>
  <c r="AH105" i="85"/>
  <c r="AJ104" i="85"/>
  <c r="AI104" i="85"/>
  <c r="AH104" i="85"/>
  <c r="AJ103" i="85"/>
  <c r="AI103" i="85"/>
  <c r="AH103" i="85"/>
  <c r="AJ102" i="85"/>
  <c r="AI102" i="85"/>
  <c r="AH102" i="85"/>
  <c r="AJ101" i="85"/>
  <c r="AI101" i="85"/>
  <c r="AH101" i="85"/>
  <c r="AJ100" i="85"/>
  <c r="AI100" i="85"/>
  <c r="AH100" i="85"/>
  <c r="AJ99" i="85"/>
  <c r="AI99" i="85"/>
  <c r="AH99" i="85"/>
  <c r="AJ98" i="85"/>
  <c r="AI98" i="85"/>
  <c r="AH98" i="85"/>
  <c r="AJ97" i="85"/>
  <c r="AI97" i="85"/>
  <c r="AH97" i="85"/>
  <c r="AJ96" i="85"/>
  <c r="AI96" i="85"/>
  <c r="AH96" i="85"/>
  <c r="AJ95" i="85"/>
  <c r="AI95" i="85"/>
  <c r="AH95" i="85"/>
  <c r="AJ94" i="85"/>
  <c r="AI94" i="85"/>
  <c r="AH94" i="85"/>
  <c r="AJ93" i="85"/>
  <c r="AI93" i="85"/>
  <c r="AH93" i="85"/>
  <c r="AJ92" i="85"/>
  <c r="AI92" i="85"/>
  <c r="AH92" i="85"/>
  <c r="AJ91" i="85"/>
  <c r="AI91" i="85"/>
  <c r="AH91" i="85"/>
  <c r="AJ90" i="85"/>
  <c r="AI90" i="85"/>
  <c r="AH90" i="85"/>
  <c r="AJ89" i="85"/>
  <c r="AI89" i="85"/>
  <c r="AH89" i="85"/>
  <c r="AJ88" i="85"/>
  <c r="AI88" i="85"/>
  <c r="AH88" i="85"/>
  <c r="AJ87" i="85"/>
  <c r="AI87" i="85"/>
  <c r="AH87" i="85"/>
  <c r="AJ86" i="85"/>
  <c r="AI86" i="85"/>
  <c r="AH86" i="85"/>
  <c r="AJ85" i="85"/>
  <c r="AI85" i="85"/>
  <c r="AH85" i="85"/>
  <c r="AJ84" i="85"/>
  <c r="AI84" i="85"/>
  <c r="AH84" i="85"/>
  <c r="AJ83" i="85"/>
  <c r="AI83" i="85"/>
  <c r="AH83" i="85"/>
  <c r="AJ82" i="85"/>
  <c r="AI82" i="85"/>
  <c r="AH82" i="85"/>
  <c r="AJ81" i="85"/>
  <c r="AI81" i="85"/>
  <c r="AH81" i="85"/>
  <c r="AJ80" i="85"/>
  <c r="AI80" i="85"/>
  <c r="AH80" i="85"/>
  <c r="AJ79" i="85"/>
  <c r="AI79" i="85"/>
  <c r="AH79" i="85"/>
  <c r="AJ78" i="85"/>
  <c r="AI78" i="85"/>
  <c r="AH78" i="85"/>
  <c r="AJ77" i="85"/>
  <c r="AI77" i="85"/>
  <c r="AH77" i="85"/>
  <c r="AJ76" i="85"/>
  <c r="AI76" i="85"/>
  <c r="AH76" i="85"/>
  <c r="AJ75" i="85"/>
  <c r="AI75" i="85"/>
  <c r="AH75" i="85"/>
  <c r="AJ74" i="85"/>
  <c r="AI74" i="85"/>
  <c r="AH74" i="85"/>
  <c r="AJ73" i="85"/>
  <c r="AI73" i="85"/>
  <c r="AH73" i="85"/>
  <c r="AJ72" i="85"/>
  <c r="AI72" i="85"/>
  <c r="AH72" i="85"/>
  <c r="AJ71" i="85"/>
  <c r="AI71" i="85"/>
  <c r="AH71" i="85"/>
  <c r="AJ70" i="85"/>
  <c r="AI70" i="85"/>
  <c r="AH70" i="85"/>
  <c r="AJ69" i="85"/>
  <c r="AI69" i="85"/>
  <c r="AH69" i="85"/>
  <c r="AJ68" i="85"/>
  <c r="AI68" i="85"/>
  <c r="AH68" i="85"/>
  <c r="AJ67" i="85"/>
  <c r="AI67" i="85"/>
  <c r="AH67" i="85"/>
  <c r="AJ66" i="85"/>
  <c r="AI66" i="85"/>
  <c r="AH66" i="85"/>
  <c r="AJ65" i="85"/>
  <c r="AI65" i="85"/>
  <c r="AH65" i="85"/>
  <c r="AJ64" i="85"/>
  <c r="AI64" i="85"/>
  <c r="AH64" i="85"/>
  <c r="AJ63" i="85"/>
  <c r="AI63" i="85"/>
  <c r="AH63" i="85"/>
  <c r="AJ62" i="85"/>
  <c r="AI62" i="85"/>
  <c r="AH62" i="85"/>
  <c r="AJ61" i="85"/>
  <c r="AI61" i="85"/>
  <c r="AH61" i="85"/>
  <c r="AJ60" i="85"/>
  <c r="AI60" i="85"/>
  <c r="AH60" i="85"/>
  <c r="AJ59" i="85"/>
  <c r="AI59" i="85"/>
  <c r="AH59" i="85"/>
  <c r="AJ58" i="85"/>
  <c r="AI58" i="85"/>
  <c r="AH58" i="85"/>
  <c r="AJ57" i="85"/>
  <c r="AI57" i="85"/>
  <c r="AH57" i="85"/>
  <c r="AJ56" i="85"/>
  <c r="AI56" i="85"/>
  <c r="AH56" i="85"/>
  <c r="AJ55" i="85"/>
  <c r="AI55" i="85"/>
  <c r="AH55" i="85"/>
  <c r="AJ54" i="85"/>
  <c r="AI54" i="85"/>
  <c r="AH54" i="85"/>
  <c r="AJ53" i="85"/>
  <c r="AI53" i="85"/>
  <c r="AH53" i="85"/>
  <c r="AJ52" i="85"/>
  <c r="AI52" i="85"/>
  <c r="AH52" i="85"/>
  <c r="AJ51" i="85"/>
  <c r="AI51" i="85"/>
  <c r="AH51" i="85"/>
  <c r="AJ50" i="85"/>
  <c r="AI50" i="85"/>
  <c r="AH50" i="85"/>
  <c r="AJ49" i="85"/>
  <c r="AI49" i="85"/>
  <c r="AH49" i="85"/>
  <c r="AJ48" i="85"/>
  <c r="AI48" i="85"/>
  <c r="AH48" i="85"/>
  <c r="AJ47" i="85"/>
  <c r="AI47" i="85"/>
  <c r="AH47" i="85"/>
  <c r="AJ46" i="85"/>
  <c r="AI46" i="85"/>
  <c r="AH46" i="85"/>
  <c r="AJ45" i="85"/>
  <c r="AI45" i="85"/>
  <c r="AH45" i="85"/>
  <c r="AJ44" i="85"/>
  <c r="AI44" i="85"/>
  <c r="AH44" i="85"/>
  <c r="AJ43" i="85"/>
  <c r="AI43" i="85"/>
  <c r="AH43" i="85"/>
  <c r="AJ42" i="85"/>
  <c r="AI42" i="85"/>
  <c r="AH42" i="85"/>
  <c r="AJ41" i="85"/>
  <c r="AI41" i="85"/>
  <c r="AH41" i="85"/>
  <c r="AJ40" i="85"/>
  <c r="AI40" i="85"/>
  <c r="AH40" i="85"/>
  <c r="AJ39" i="85"/>
  <c r="AI39" i="85"/>
  <c r="AH39" i="85"/>
  <c r="AJ38" i="85"/>
  <c r="AI38" i="85"/>
  <c r="AH38" i="85"/>
  <c r="AJ37" i="85"/>
  <c r="AI37" i="85"/>
  <c r="AH37" i="85"/>
  <c r="AJ36" i="85"/>
  <c r="AI36" i="85"/>
  <c r="AH36" i="85"/>
  <c r="AJ35" i="85"/>
  <c r="AI35" i="85"/>
  <c r="AH35" i="85"/>
  <c r="AJ34" i="85"/>
  <c r="AI34" i="85"/>
  <c r="AH34" i="85"/>
  <c r="AJ33" i="85"/>
  <c r="AI33" i="85"/>
  <c r="AH33" i="85"/>
  <c r="AJ32" i="85"/>
  <c r="AI32" i="85"/>
  <c r="AH32" i="85"/>
  <c r="AJ31" i="85"/>
  <c r="AI31" i="85"/>
  <c r="AH31" i="85"/>
  <c r="AJ30" i="85"/>
  <c r="AI30" i="85"/>
  <c r="AH30" i="85"/>
  <c r="AJ29" i="85"/>
  <c r="AI29" i="85"/>
  <c r="AH29" i="85"/>
  <c r="AJ28" i="85"/>
  <c r="AI28" i="85"/>
  <c r="AH28" i="85"/>
  <c r="AJ27" i="85"/>
  <c r="AI27" i="85"/>
  <c r="AH27" i="85"/>
  <c r="AJ26" i="85"/>
  <c r="AI26" i="85"/>
  <c r="AH26" i="85"/>
  <c r="AJ25" i="85"/>
  <c r="AI25" i="85"/>
  <c r="AH25" i="85"/>
  <c r="AJ24" i="85"/>
  <c r="AI24" i="85"/>
  <c r="AH24" i="85"/>
  <c r="AJ23" i="85"/>
  <c r="AI23" i="85"/>
  <c r="AH23" i="85"/>
  <c r="AJ22" i="85"/>
  <c r="AI22" i="85"/>
  <c r="AH22" i="85"/>
  <c r="AJ21" i="85"/>
  <c r="AI21" i="85"/>
  <c r="AH21" i="85"/>
  <c r="AJ20" i="85"/>
  <c r="AI20" i="85"/>
  <c r="AH20" i="85"/>
  <c r="AJ19" i="85"/>
  <c r="AI19" i="85"/>
  <c r="AH19" i="85"/>
  <c r="AJ18" i="85"/>
  <c r="AI18" i="85"/>
  <c r="AH18" i="85"/>
  <c r="AJ17" i="85"/>
  <c r="AI17" i="85"/>
  <c r="AH17" i="85"/>
  <c r="AJ16" i="85"/>
  <c r="AI16" i="85"/>
  <c r="AH16" i="85"/>
  <c r="AJ15" i="85"/>
  <c r="AI15" i="85"/>
  <c r="AH15" i="85"/>
  <c r="AJ14" i="85"/>
  <c r="AI14" i="85"/>
  <c r="AH14" i="85"/>
  <c r="AJ13" i="85"/>
  <c r="AI13" i="85"/>
  <c r="AH13" i="85"/>
  <c r="AJ12" i="85"/>
  <c r="AI12" i="85"/>
  <c r="AH12" i="85"/>
  <c r="AJ11" i="85"/>
  <c r="AI11" i="85"/>
  <c r="AH11" i="85"/>
  <c r="AJ10" i="85"/>
  <c r="AI10" i="85"/>
  <c r="AH10" i="85"/>
  <c r="AJ9" i="85"/>
  <c r="AI9" i="85"/>
  <c r="AH9" i="85"/>
  <c r="AJ8" i="85"/>
  <c r="AI8" i="85"/>
  <c r="AH8" i="85"/>
  <c r="AJ7" i="85"/>
  <c r="AI7" i="85"/>
  <c r="AH7" i="85"/>
  <c r="AD6" i="85"/>
  <c r="AC6" i="85"/>
  <c r="AB6" i="85"/>
  <c r="AA6" i="85"/>
  <c r="Z6" i="85"/>
  <c r="Y6" i="85"/>
  <c r="E50" i="108" l="1"/>
  <c r="D50" i="108"/>
  <c r="C50" i="108"/>
  <c r="D43" i="108"/>
  <c r="C45" i="108"/>
  <c r="E57" i="108"/>
  <c r="D57" i="108"/>
  <c r="C57" i="108"/>
  <c r="E45" i="108"/>
  <c r="C43" i="108"/>
  <c r="C55" i="108"/>
  <c r="E56" i="108"/>
  <c r="D56" i="108"/>
  <c r="C56" i="108"/>
  <c r="D45" i="108"/>
  <c r="I83" i="1"/>
  <c r="D55" i="108"/>
  <c r="E55" i="108"/>
  <c r="E54" i="108"/>
  <c r="D54" i="108"/>
  <c r="C54" i="108"/>
  <c r="E44" i="108"/>
  <c r="E53" i="108"/>
  <c r="D53" i="108"/>
  <c r="C53" i="108"/>
  <c r="D44" i="108"/>
  <c r="E52" i="108"/>
  <c r="D52" i="108"/>
  <c r="C52" i="108"/>
  <c r="C44" i="108"/>
  <c r="E51" i="108"/>
  <c r="D51" i="108"/>
  <c r="C51" i="108"/>
  <c r="E43" i="108"/>
  <c r="B83" i="1"/>
  <c r="I186" i="1"/>
  <c r="I185" i="1"/>
  <c r="I184" i="1"/>
  <c r="I183" i="1"/>
  <c r="H181" i="1"/>
  <c r="I181" i="1"/>
  <c r="H180" i="1"/>
  <c r="H186" i="1"/>
  <c r="H220" i="1"/>
  <c r="H179" i="1"/>
  <c r="H183" i="1"/>
  <c r="H182" i="1"/>
  <c r="I182" i="1"/>
  <c r="I180" i="1"/>
  <c r="H222" i="1"/>
  <c r="H221" i="1"/>
  <c r="I179" i="1"/>
  <c r="H185" i="1"/>
  <c r="H184" i="1"/>
  <c r="D40" i="108"/>
  <c r="C37" i="108"/>
  <c r="E37" i="108"/>
  <c r="C36" i="108"/>
  <c r="D36" i="108"/>
  <c r="E39" i="108"/>
  <c r="C38" i="108"/>
  <c r="D39" i="108"/>
  <c r="B40" i="108"/>
  <c r="B38" i="108"/>
  <c r="C39" i="108"/>
  <c r="E40" i="108"/>
  <c r="D38" i="108"/>
  <c r="B39" i="108"/>
  <c r="E36" i="108"/>
  <c r="D37" i="108"/>
  <c r="B37" i="108"/>
  <c r="B36" i="108"/>
  <c r="E38" i="108"/>
  <c r="C40" i="108"/>
  <c r="K248" i="1"/>
  <c r="G121" i="1"/>
  <c r="H124" i="1"/>
  <c r="H123" i="1"/>
  <c r="H122" i="1"/>
  <c r="G124" i="1"/>
  <c r="G123" i="1"/>
  <c r="G122" i="1"/>
  <c r="H121" i="1"/>
  <c r="C122" i="1"/>
  <c r="C121" i="1"/>
  <c r="D124" i="1"/>
  <c r="D122" i="1"/>
  <c r="D123" i="1"/>
  <c r="D121" i="1"/>
  <c r="C123" i="1"/>
  <c r="C124" i="1"/>
  <c r="I227" i="1"/>
  <c r="I226" i="1"/>
  <c r="H226" i="1"/>
  <c r="I225" i="1"/>
  <c r="H225" i="1"/>
  <c r="H224" i="1"/>
  <c r="H223" i="1"/>
  <c r="I222" i="1"/>
  <c r="I221" i="1"/>
  <c r="I220" i="1"/>
  <c r="G227" i="1"/>
  <c r="I224" i="1"/>
  <c r="I223" i="1"/>
  <c r="H227" i="1"/>
  <c r="D40" i="1"/>
  <c r="C40" i="1"/>
  <c r="E227" i="1"/>
  <c r="D227" i="1"/>
  <c r="F227" i="1"/>
  <c r="G20" i="108"/>
  <c r="G12" i="108"/>
  <c r="G4" i="108"/>
  <c r="B20" i="108"/>
  <c r="B11" i="108"/>
  <c r="B7" i="108"/>
  <c r="G19" i="108"/>
  <c r="G11" i="108"/>
  <c r="G3" i="108"/>
  <c r="B19" i="108"/>
  <c r="B10" i="108"/>
  <c r="B4" i="108"/>
  <c r="G18" i="108"/>
  <c r="G10" i="108"/>
  <c r="B17" i="108"/>
  <c r="B9" i="108"/>
  <c r="G22" i="108"/>
  <c r="G17" i="108"/>
  <c r="G9" i="108"/>
  <c r="B16" i="108"/>
  <c r="B8" i="108"/>
  <c r="G14" i="108"/>
  <c r="B13" i="108"/>
  <c r="G16" i="108"/>
  <c r="G8" i="108"/>
  <c r="B23" i="108"/>
  <c r="B15" i="108"/>
  <c r="B6" i="108"/>
  <c r="G6" i="108"/>
  <c r="G23" i="108"/>
  <c r="G15" i="108"/>
  <c r="G7" i="108"/>
  <c r="B22" i="108"/>
  <c r="B14" i="108"/>
  <c r="B5" i="108"/>
  <c r="G21" i="108"/>
  <c r="G13" i="108"/>
  <c r="G5" i="108"/>
  <c r="B21" i="108"/>
  <c r="B12" i="108"/>
  <c r="B3" i="108"/>
  <c r="B24" i="108"/>
  <c r="G24" i="108"/>
  <c r="D72" i="1"/>
  <c r="C72" i="1"/>
  <c r="AF6" i="85"/>
  <c r="AI6" i="85" s="1"/>
  <c r="I285" i="1" s="1"/>
  <c r="F226" i="1"/>
  <c r="G181" i="1"/>
  <c r="F181" i="1"/>
  <c r="E181" i="1"/>
  <c r="D181" i="1"/>
  <c r="D179" i="1"/>
  <c r="D185" i="1"/>
  <c r="D184" i="1"/>
  <c r="E183" i="1"/>
  <c r="G180" i="1"/>
  <c r="F180" i="1"/>
  <c r="E180" i="1"/>
  <c r="D180" i="1"/>
  <c r="F179" i="1"/>
  <c r="G184" i="1"/>
  <c r="G183" i="1"/>
  <c r="G179" i="1"/>
  <c r="F183" i="1"/>
  <c r="G186" i="1"/>
  <c r="K177" i="1" s="1"/>
  <c r="F186" i="1"/>
  <c r="E186" i="1"/>
  <c r="D186" i="1"/>
  <c r="G185" i="1"/>
  <c r="F185" i="1"/>
  <c r="F184" i="1"/>
  <c r="D183" i="1"/>
  <c r="G182" i="1"/>
  <c r="F182" i="1"/>
  <c r="E182" i="1"/>
  <c r="D182" i="1"/>
  <c r="E179" i="1"/>
  <c r="E185" i="1"/>
  <c r="E184" i="1"/>
  <c r="D226" i="1"/>
  <c r="E226" i="1"/>
  <c r="D39" i="1"/>
  <c r="C39" i="1"/>
  <c r="G226" i="1"/>
  <c r="E19" i="1"/>
  <c r="E13" i="1"/>
  <c r="D13" i="1"/>
  <c r="D18" i="1"/>
  <c r="E11" i="1"/>
  <c r="E17" i="1"/>
  <c r="E20" i="1"/>
  <c r="E15" i="1"/>
  <c r="D21" i="1"/>
  <c r="D17" i="1"/>
  <c r="D12" i="1"/>
  <c r="E16" i="1"/>
  <c r="D15" i="1"/>
  <c r="D20" i="1"/>
  <c r="D16" i="1"/>
  <c r="D11" i="1"/>
  <c r="E18" i="1"/>
  <c r="E14" i="1"/>
  <c r="D14" i="1"/>
  <c r="D19" i="1"/>
  <c r="E12" i="1"/>
  <c r="AG6" i="85"/>
  <c r="D71" i="1"/>
  <c r="C71" i="1"/>
  <c r="C70" i="1"/>
  <c r="J207" i="1"/>
  <c r="J264" i="1"/>
  <c r="J268" i="1"/>
  <c r="J208" i="1"/>
  <c r="J239" i="1"/>
  <c r="J253" i="1"/>
  <c r="J257" i="1"/>
  <c r="J265" i="1"/>
  <c r="J281" i="1"/>
  <c r="J209" i="1"/>
  <c r="J231" i="1"/>
  <c r="J244" i="1"/>
  <c r="J254" i="1"/>
  <c r="J262" i="1"/>
  <c r="J266" i="1"/>
  <c r="J282" i="1"/>
  <c r="J206" i="1"/>
  <c r="J211" i="1"/>
  <c r="I248" i="1"/>
  <c r="J263" i="1"/>
  <c r="J267" i="1"/>
  <c r="G225" i="1"/>
  <c r="G223" i="1"/>
  <c r="G224" i="1"/>
  <c r="F225" i="1"/>
  <c r="E225" i="1"/>
  <c r="D224" i="1"/>
  <c r="D225" i="1"/>
  <c r="F224" i="1"/>
  <c r="E224" i="1"/>
  <c r="M248" i="1"/>
  <c r="H248" i="1"/>
  <c r="L248" i="1"/>
  <c r="J248" i="1"/>
  <c r="C37" i="1"/>
  <c r="C38" i="1"/>
  <c r="D38" i="1"/>
  <c r="D37" i="1"/>
  <c r="M268" i="1"/>
  <c r="K266" i="1"/>
  <c r="L265" i="1"/>
  <c r="N268" i="1"/>
  <c r="K265" i="1"/>
  <c r="M263" i="1"/>
  <c r="L268" i="1"/>
  <c r="M266" i="1"/>
  <c r="N265" i="1"/>
  <c r="L263" i="1"/>
  <c r="K268" i="1"/>
  <c r="K267" i="1"/>
  <c r="L266" i="1"/>
  <c r="M265" i="1"/>
  <c r="K257" i="1"/>
  <c r="K254" i="1"/>
  <c r="K253" i="1"/>
  <c r="N253" i="1"/>
  <c r="N262" i="1"/>
  <c r="L257" i="1"/>
  <c r="L254" i="1"/>
  <c r="L253" i="1"/>
  <c r="I282" i="1"/>
  <c r="H281" i="1"/>
  <c r="H282" i="1"/>
  <c r="I281" i="1"/>
  <c r="AJ6" i="85"/>
  <c r="J285" i="1" s="1"/>
  <c r="AE6" i="85"/>
  <c r="AH6" i="85" s="1"/>
  <c r="H285" i="1" s="1"/>
  <c r="BB6" i="24"/>
  <c r="BB7" i="24"/>
  <c r="BB8" i="24"/>
  <c r="BB9" i="24"/>
  <c r="BB10" i="24"/>
  <c r="BB11" i="24"/>
  <c r="BB12" i="24"/>
  <c r="BB13" i="24"/>
  <c r="BB14" i="24"/>
  <c r="BB15" i="24"/>
  <c r="BB16" i="24"/>
  <c r="BB17" i="24"/>
  <c r="BB18" i="24"/>
  <c r="BB19" i="24"/>
  <c r="BB20" i="24"/>
  <c r="BB21" i="24"/>
  <c r="BB22" i="24"/>
  <c r="BB23" i="24"/>
  <c r="BB24" i="24"/>
  <c r="BB25" i="24"/>
  <c r="BB26" i="24"/>
  <c r="BB27" i="24"/>
  <c r="BB28" i="24"/>
  <c r="BB29" i="24"/>
  <c r="BB30" i="24"/>
  <c r="BB31" i="24"/>
  <c r="BB32" i="24"/>
  <c r="BB33" i="24"/>
  <c r="BB34" i="24"/>
  <c r="BB35" i="24"/>
  <c r="BB36" i="24"/>
  <c r="BB37" i="24"/>
  <c r="BB38" i="24"/>
  <c r="BB39" i="24"/>
  <c r="BB40" i="24"/>
  <c r="BB41" i="24"/>
  <c r="BB42" i="24"/>
  <c r="BB43" i="24"/>
  <c r="BB44" i="24"/>
  <c r="BB45" i="24"/>
  <c r="BB46" i="24"/>
  <c r="BB47" i="24"/>
  <c r="BB48" i="24"/>
  <c r="BB49" i="24"/>
  <c r="BB50" i="24"/>
  <c r="BB51" i="24"/>
  <c r="BB52" i="24"/>
  <c r="BB53" i="24"/>
  <c r="BB54" i="24"/>
  <c r="BB55" i="24"/>
  <c r="BB56" i="24"/>
  <c r="BB57" i="24"/>
  <c r="BB58" i="24"/>
  <c r="BB59" i="24"/>
  <c r="BB60" i="24"/>
  <c r="BB61" i="24"/>
  <c r="BB62" i="24"/>
  <c r="BB63" i="24"/>
  <c r="BB64" i="24"/>
  <c r="BB65" i="24"/>
  <c r="BB66" i="24"/>
  <c r="BB67" i="24"/>
  <c r="BB68" i="24"/>
  <c r="BB69" i="24"/>
  <c r="BB70" i="24"/>
  <c r="BB71" i="24"/>
  <c r="BB72" i="24"/>
  <c r="BB73" i="24"/>
  <c r="BB74" i="24"/>
  <c r="BB75" i="24"/>
  <c r="BB76" i="24"/>
  <c r="BB77" i="24"/>
  <c r="BB78" i="24"/>
  <c r="BB79" i="24"/>
  <c r="BB80" i="24"/>
  <c r="BB81" i="24"/>
  <c r="BB82" i="24"/>
  <c r="BB83" i="24"/>
  <c r="BB84" i="24"/>
  <c r="BB85" i="24"/>
  <c r="BB86" i="24"/>
  <c r="BB87" i="24"/>
  <c r="BB88" i="24"/>
  <c r="BB89" i="24"/>
  <c r="BB90" i="24"/>
  <c r="BB91" i="24"/>
  <c r="BB92" i="24"/>
  <c r="BB93" i="24"/>
  <c r="BB94" i="24"/>
  <c r="BB95" i="24"/>
  <c r="BB96" i="24"/>
  <c r="BB97" i="24"/>
  <c r="BB98" i="24"/>
  <c r="BB99" i="24"/>
  <c r="BB100" i="24"/>
  <c r="BB101" i="24"/>
  <c r="BB102" i="24"/>
  <c r="BB103" i="24"/>
  <c r="BB104" i="24"/>
  <c r="BB105" i="24"/>
  <c r="BB106" i="24"/>
  <c r="BB107" i="24"/>
  <c r="BB108" i="24"/>
  <c r="BB109" i="24"/>
  <c r="BB110" i="24"/>
  <c r="BB111" i="24"/>
  <c r="BB112" i="24"/>
  <c r="BB113" i="24"/>
  <c r="BB114" i="24"/>
  <c r="BB115" i="24"/>
  <c r="BB116" i="24"/>
  <c r="BB117" i="24"/>
  <c r="BB118" i="24"/>
  <c r="BB119" i="24"/>
  <c r="BB120" i="24"/>
  <c r="BB121" i="24"/>
  <c r="BB122" i="24"/>
  <c r="BB123" i="24"/>
  <c r="BB124" i="24"/>
  <c r="BB125" i="24"/>
  <c r="BE131" i="24"/>
  <c r="BE130" i="24"/>
  <c r="BE129" i="24"/>
  <c r="BE128" i="24"/>
  <c r="BE127" i="24"/>
  <c r="BE125" i="24"/>
  <c r="BE124" i="24"/>
  <c r="BE123" i="24"/>
  <c r="BE122" i="24"/>
  <c r="BE121" i="24"/>
  <c r="BE120" i="24"/>
  <c r="BE119" i="24"/>
  <c r="BE118" i="24"/>
  <c r="BE117" i="24"/>
  <c r="BE116" i="24"/>
  <c r="BE115" i="24"/>
  <c r="BE114" i="24"/>
  <c r="BE113" i="24"/>
  <c r="BE112" i="24"/>
  <c r="BE111" i="24"/>
  <c r="BE110" i="24"/>
  <c r="BE109" i="24"/>
  <c r="BE108" i="24"/>
  <c r="BE107" i="24"/>
  <c r="BE106" i="24"/>
  <c r="BE105" i="24"/>
  <c r="BE104" i="24"/>
  <c r="BE103" i="24"/>
  <c r="BE102" i="24"/>
  <c r="BE101" i="24"/>
  <c r="BE100" i="24"/>
  <c r="BE99" i="24"/>
  <c r="BE98" i="24"/>
  <c r="BE97" i="24"/>
  <c r="BE96" i="24"/>
  <c r="BE95" i="24"/>
  <c r="BE94" i="24"/>
  <c r="BE93" i="24"/>
  <c r="BE92" i="24"/>
  <c r="BE91" i="24"/>
  <c r="BE90" i="24"/>
  <c r="BE89" i="24"/>
  <c r="BE88" i="24"/>
  <c r="BE87" i="24"/>
  <c r="BE86" i="24"/>
  <c r="BE85" i="24"/>
  <c r="BE84" i="24"/>
  <c r="BE83" i="24"/>
  <c r="BE82" i="24"/>
  <c r="BE81" i="24"/>
  <c r="BE80" i="24"/>
  <c r="BE79" i="24"/>
  <c r="BE78" i="24"/>
  <c r="BE77" i="24"/>
  <c r="BE76" i="24"/>
  <c r="BE75" i="24"/>
  <c r="BE74" i="24"/>
  <c r="BE73" i="24"/>
  <c r="BE72" i="24"/>
  <c r="BE71" i="24"/>
  <c r="BE70" i="24"/>
  <c r="BE69" i="24"/>
  <c r="BE68" i="24"/>
  <c r="BE67" i="24"/>
  <c r="BE66" i="24"/>
  <c r="BE65" i="24"/>
  <c r="BE64" i="24"/>
  <c r="BE63" i="24"/>
  <c r="BE62" i="24"/>
  <c r="BE61" i="24"/>
  <c r="BE60" i="24"/>
  <c r="BE59" i="24"/>
  <c r="BE58" i="24"/>
  <c r="BE57" i="24"/>
  <c r="BE56" i="24"/>
  <c r="BE55" i="24"/>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E11" i="24"/>
  <c r="BE10" i="24"/>
  <c r="BE9" i="24"/>
  <c r="BE8" i="24"/>
  <c r="BE7" i="24"/>
  <c r="BE6" i="24"/>
  <c r="D70" i="1" s="1"/>
  <c r="F39" i="108" l="1"/>
  <c r="H37" i="108"/>
  <c r="G40" i="108"/>
  <c r="H38" i="108"/>
  <c r="H39" i="108"/>
  <c r="H36" i="108"/>
  <c r="G36" i="108"/>
  <c r="G39" i="108"/>
  <c r="F36" i="108"/>
  <c r="G38" i="108"/>
  <c r="F38" i="108"/>
  <c r="G37" i="108"/>
  <c r="F37" i="108"/>
  <c r="F40" i="108"/>
  <c r="H40" i="108"/>
  <c r="J283" i="1"/>
  <c r="J284" i="1" s="1"/>
  <c r="J252" i="1"/>
  <c r="H283" i="1"/>
  <c r="H284" i="1" s="1"/>
  <c r="M260" i="1"/>
  <c r="I283" i="1"/>
  <c r="I284" i="1" s="1"/>
  <c r="BE5" i="24"/>
  <c r="F70" i="1" s="1"/>
  <c r="V131" i="113"/>
  <c r="V130" i="113"/>
  <c r="V129" i="113"/>
  <c r="V128" i="113"/>
  <c r="V127" i="113"/>
  <c r="V125" i="113"/>
  <c r="V124" i="113"/>
  <c r="V123" i="113"/>
  <c r="V122" i="113"/>
  <c r="V121" i="113"/>
  <c r="V120" i="113"/>
  <c r="V119" i="113"/>
  <c r="V118" i="113"/>
  <c r="V117" i="113"/>
  <c r="V116" i="113"/>
  <c r="V115" i="113"/>
  <c r="V114" i="113"/>
  <c r="V113" i="113"/>
  <c r="V112" i="113"/>
  <c r="V111" i="113"/>
  <c r="V110" i="113"/>
  <c r="V109" i="113"/>
  <c r="V108" i="113"/>
  <c r="V107" i="113"/>
  <c r="V106" i="113"/>
  <c r="V105" i="113"/>
  <c r="V104" i="113"/>
  <c r="V103" i="113"/>
  <c r="V102" i="113"/>
  <c r="V101" i="113"/>
  <c r="V100" i="113"/>
  <c r="V99" i="113"/>
  <c r="V98" i="113"/>
  <c r="V97" i="113"/>
  <c r="V96" i="113"/>
  <c r="V95" i="113"/>
  <c r="V94" i="113"/>
  <c r="V93" i="113"/>
  <c r="V92" i="113"/>
  <c r="V91" i="113"/>
  <c r="V90" i="113"/>
  <c r="V89" i="113"/>
  <c r="V88" i="113"/>
  <c r="V87" i="113"/>
  <c r="V86" i="113"/>
  <c r="V85" i="113"/>
  <c r="V84" i="113"/>
  <c r="V83" i="113"/>
  <c r="V82" i="113"/>
  <c r="V81" i="113"/>
  <c r="V80" i="113"/>
  <c r="V79" i="113"/>
  <c r="V78" i="113"/>
  <c r="V77" i="113"/>
  <c r="V76" i="113"/>
  <c r="V75" i="113"/>
  <c r="V74" i="113"/>
  <c r="V73" i="113"/>
  <c r="V72" i="113"/>
  <c r="V71" i="113"/>
  <c r="V70" i="113"/>
  <c r="V69" i="113"/>
  <c r="V68" i="113"/>
  <c r="V67" i="113"/>
  <c r="V66" i="113"/>
  <c r="V65" i="113"/>
  <c r="V64" i="113"/>
  <c r="V63" i="113"/>
  <c r="V62" i="113"/>
  <c r="V61" i="113"/>
  <c r="V60" i="113"/>
  <c r="V59" i="113"/>
  <c r="V58" i="113"/>
  <c r="V57" i="113"/>
  <c r="V56" i="113"/>
  <c r="V55" i="113"/>
  <c r="V54" i="113"/>
  <c r="V53" i="113"/>
  <c r="V52" i="113"/>
  <c r="V51" i="113"/>
  <c r="V50" i="113"/>
  <c r="V49" i="113"/>
  <c r="V48" i="113"/>
  <c r="V47" i="113"/>
  <c r="V46" i="113"/>
  <c r="V45" i="113"/>
  <c r="V44" i="113"/>
  <c r="V43" i="113"/>
  <c r="V42" i="113"/>
  <c r="V41" i="113"/>
  <c r="V40" i="113"/>
  <c r="V39" i="113"/>
  <c r="V38" i="113"/>
  <c r="V37" i="113"/>
  <c r="V36" i="113"/>
  <c r="V35" i="113"/>
  <c r="V34" i="113"/>
  <c r="V33" i="113"/>
  <c r="V32" i="113"/>
  <c r="V31" i="113"/>
  <c r="V30" i="113"/>
  <c r="V29" i="113"/>
  <c r="V28" i="113"/>
  <c r="V27" i="113"/>
  <c r="V26" i="113"/>
  <c r="V25" i="113"/>
  <c r="V24" i="113"/>
  <c r="V23" i="113"/>
  <c r="V22" i="113"/>
  <c r="V21" i="113"/>
  <c r="V20" i="113"/>
  <c r="V19" i="113"/>
  <c r="V18" i="113"/>
  <c r="V17" i="113"/>
  <c r="V16" i="113"/>
  <c r="V15" i="113"/>
  <c r="V14" i="113"/>
  <c r="V13" i="113"/>
  <c r="V12" i="113"/>
  <c r="V11" i="113"/>
  <c r="V10" i="113"/>
  <c r="V9" i="113"/>
  <c r="V8" i="113"/>
  <c r="V7" i="113"/>
  <c r="V6" i="113"/>
  <c r="V5" i="113"/>
  <c r="I21" i="108" s="1"/>
  <c r="L7" i="114"/>
  <c r="L101" i="114"/>
  <c r="L8" i="114"/>
  <c r="L9" i="114"/>
  <c r="L10" i="114"/>
  <c r="L11" i="114"/>
  <c r="L12" i="114"/>
  <c r="L13" i="114"/>
  <c r="L14" i="114"/>
  <c r="L15" i="114"/>
  <c r="L16" i="114"/>
  <c r="L17" i="114"/>
  <c r="L102" i="114"/>
  <c r="L18" i="114"/>
  <c r="L19" i="114"/>
  <c r="L20" i="114"/>
  <c r="L21" i="114"/>
  <c r="L22" i="114"/>
  <c r="L23" i="114"/>
  <c r="L24" i="114"/>
  <c r="L25" i="114"/>
  <c r="L103" i="114"/>
  <c r="L104" i="114"/>
  <c r="L26" i="114"/>
  <c r="L27" i="114"/>
  <c r="L28" i="114"/>
  <c r="L29" i="114"/>
  <c r="L30" i="114"/>
  <c r="L105" i="114"/>
  <c r="L31" i="114"/>
  <c r="L32" i="114"/>
  <c r="L33" i="114"/>
  <c r="L34" i="114"/>
  <c r="L35" i="114"/>
  <c r="L36" i="114"/>
  <c r="L37" i="114"/>
  <c r="L106" i="114"/>
  <c r="L38" i="114"/>
  <c r="L39" i="114"/>
  <c r="L107" i="114"/>
  <c r="L108" i="114"/>
  <c r="L40" i="114"/>
  <c r="L41" i="114"/>
  <c r="L42" i="114"/>
  <c r="L43" i="114"/>
  <c r="L44" i="114"/>
  <c r="L45" i="114"/>
  <c r="L46" i="114"/>
  <c r="L109" i="114"/>
  <c r="L47" i="114"/>
  <c r="L48" i="114"/>
  <c r="L49" i="114"/>
  <c r="L50" i="114"/>
  <c r="L110" i="114"/>
  <c r="L51" i="114"/>
  <c r="L52" i="114"/>
  <c r="L53" i="114"/>
  <c r="L54" i="114"/>
  <c r="L55" i="114"/>
  <c r="L56" i="114"/>
  <c r="L57" i="114"/>
  <c r="L58" i="114"/>
  <c r="L59" i="114"/>
  <c r="L60" i="114"/>
  <c r="L111" i="114"/>
  <c r="L61" i="114"/>
  <c r="L112" i="114"/>
  <c r="L113" i="114"/>
  <c r="L62" i="114"/>
  <c r="L63" i="114"/>
  <c r="L64" i="114"/>
  <c r="L65" i="114"/>
  <c r="L66" i="114"/>
  <c r="L67" i="114"/>
  <c r="L114" i="114"/>
  <c r="L115" i="114"/>
  <c r="L68" i="114"/>
  <c r="L69" i="114"/>
  <c r="L116" i="114"/>
  <c r="L70" i="114"/>
  <c r="L71" i="114"/>
  <c r="L72" i="114"/>
  <c r="L73" i="114"/>
  <c r="L117" i="114"/>
  <c r="L74" i="114"/>
  <c r="L118" i="114"/>
  <c r="L75" i="114"/>
  <c r="L76" i="114"/>
  <c r="L77" i="114"/>
  <c r="L78" i="114"/>
  <c r="L79" i="114"/>
  <c r="L119" i="114"/>
  <c r="L80" i="114"/>
  <c r="L120" i="114"/>
  <c r="L81" i="114"/>
  <c r="L121" i="114"/>
  <c r="L82" i="114"/>
  <c r="L83" i="114"/>
  <c r="L84" i="114"/>
  <c r="L85" i="114"/>
  <c r="L86" i="114"/>
  <c r="L87" i="114"/>
  <c r="L88" i="114"/>
  <c r="L89" i="114"/>
  <c r="L90" i="114"/>
  <c r="L91" i="114"/>
  <c r="L122" i="114"/>
  <c r="L92" i="114"/>
  <c r="L93" i="114"/>
  <c r="L94" i="114"/>
  <c r="L123" i="114"/>
  <c r="L95" i="114"/>
  <c r="L96" i="114"/>
  <c r="L97" i="114"/>
  <c r="L124" i="114"/>
  <c r="L125" i="114"/>
  <c r="L98" i="114"/>
  <c r="L99" i="114"/>
  <c r="L100" i="114"/>
  <c r="V131" i="109" l="1"/>
  <c r="V130" i="109"/>
  <c r="V129" i="109"/>
  <c r="V128" i="109"/>
  <c r="V127" i="109"/>
  <c r="V100" i="109"/>
  <c r="V99" i="109"/>
  <c r="V98" i="109"/>
  <c r="V125" i="109"/>
  <c r="V124" i="109"/>
  <c r="V97" i="109"/>
  <c r="V96" i="109"/>
  <c r="V95" i="109"/>
  <c r="V123" i="109"/>
  <c r="V94" i="109"/>
  <c r="V93" i="109"/>
  <c r="V92" i="109"/>
  <c r="V122" i="109"/>
  <c r="V91" i="109"/>
  <c r="V90" i="109"/>
  <c r="V89" i="109"/>
  <c r="V88" i="109"/>
  <c r="V87" i="109"/>
  <c r="V86" i="109"/>
  <c r="V85" i="109"/>
  <c r="V84" i="109"/>
  <c r="V83" i="109"/>
  <c r="V82" i="109"/>
  <c r="V121" i="109"/>
  <c r="V81" i="109"/>
  <c r="V120" i="109"/>
  <c r="V80" i="109"/>
  <c r="V119" i="109"/>
  <c r="V79" i="109"/>
  <c r="V78" i="109"/>
  <c r="V77" i="109"/>
  <c r="V76" i="109"/>
  <c r="V75" i="109"/>
  <c r="V118" i="109"/>
  <c r="V74" i="109"/>
  <c r="V117" i="109"/>
  <c r="V73" i="109"/>
  <c r="V72" i="109"/>
  <c r="V71" i="109"/>
  <c r="V70" i="109"/>
  <c r="V116" i="109"/>
  <c r="V69" i="109"/>
  <c r="V68" i="109"/>
  <c r="V115" i="109"/>
  <c r="V114" i="109"/>
  <c r="V67" i="109"/>
  <c r="V66" i="109"/>
  <c r="V65" i="109"/>
  <c r="V64" i="109"/>
  <c r="V63" i="109"/>
  <c r="V62" i="109"/>
  <c r="V113" i="109"/>
  <c r="V112" i="109"/>
  <c r="V61" i="109"/>
  <c r="V111" i="109"/>
  <c r="V60" i="109"/>
  <c r="V59" i="109"/>
  <c r="V58" i="109"/>
  <c r="V57" i="109"/>
  <c r="V56" i="109"/>
  <c r="V55" i="109"/>
  <c r="V54" i="109"/>
  <c r="V53" i="109"/>
  <c r="V52" i="109"/>
  <c r="V51" i="109"/>
  <c r="V110" i="109"/>
  <c r="V50" i="109"/>
  <c r="V49" i="109"/>
  <c r="V48" i="109"/>
  <c r="V47" i="109"/>
  <c r="V109" i="109"/>
  <c r="V46" i="109"/>
  <c r="V45" i="109"/>
  <c r="V44" i="109"/>
  <c r="V43" i="109"/>
  <c r="V42" i="109"/>
  <c r="V41" i="109"/>
  <c r="V40" i="109"/>
  <c r="V108" i="109"/>
  <c r="V107" i="109"/>
  <c r="V39" i="109"/>
  <c r="V38" i="109"/>
  <c r="V106" i="109"/>
  <c r="V37" i="109"/>
  <c r="V36" i="109"/>
  <c r="V35" i="109"/>
  <c r="V34" i="109"/>
  <c r="V33" i="109"/>
  <c r="V32" i="109"/>
  <c r="V31" i="109"/>
  <c r="V105" i="109"/>
  <c r="V30" i="109"/>
  <c r="V29" i="109"/>
  <c r="V28" i="109"/>
  <c r="V27" i="109"/>
  <c r="V26" i="109"/>
  <c r="V104" i="109"/>
  <c r="V103" i="109"/>
  <c r="V25" i="109"/>
  <c r="V24" i="109"/>
  <c r="V23" i="109"/>
  <c r="V22" i="109"/>
  <c r="V21" i="109"/>
  <c r="V20" i="109"/>
  <c r="V19" i="109"/>
  <c r="V18" i="109"/>
  <c r="V102" i="109"/>
  <c r="V17" i="109"/>
  <c r="V16" i="109"/>
  <c r="V15" i="109"/>
  <c r="V14" i="109"/>
  <c r="V13" i="109"/>
  <c r="V12" i="109"/>
  <c r="V11" i="109"/>
  <c r="V10" i="109"/>
  <c r="V9" i="109"/>
  <c r="V8" i="109"/>
  <c r="V101" i="109"/>
  <c r="V7" i="109"/>
  <c r="V6" i="109"/>
  <c r="V5" i="109"/>
  <c r="D21" i="108" s="1"/>
  <c r="E16" i="123" l="1"/>
  <c r="G4" i="92" l="1"/>
  <c r="F4" i="92"/>
  <c r="E4" i="92"/>
  <c r="AB5" i="6"/>
  <c r="P7" i="6"/>
  <c r="P101" i="6"/>
  <c r="P8" i="6"/>
  <c r="P9" i="6"/>
  <c r="P10" i="6"/>
  <c r="P11" i="6"/>
  <c r="P12" i="6"/>
  <c r="P13" i="6"/>
  <c r="P14" i="6"/>
  <c r="P15" i="6"/>
  <c r="P16" i="6"/>
  <c r="P17" i="6"/>
  <c r="P102" i="6"/>
  <c r="P18" i="6"/>
  <c r="P19" i="6"/>
  <c r="P20" i="6"/>
  <c r="P21" i="6"/>
  <c r="P22" i="6"/>
  <c r="P23" i="6"/>
  <c r="P24" i="6"/>
  <c r="P25" i="6"/>
  <c r="P103" i="6"/>
  <c r="P104" i="6"/>
  <c r="P26" i="6"/>
  <c r="P27" i="6"/>
  <c r="P28" i="6"/>
  <c r="P29" i="6"/>
  <c r="P30" i="6"/>
  <c r="P105" i="6"/>
  <c r="P31" i="6"/>
  <c r="P32" i="6"/>
  <c r="P33" i="6"/>
  <c r="P34" i="6"/>
  <c r="P35" i="6"/>
  <c r="P36" i="6"/>
  <c r="P37" i="6"/>
  <c r="P106" i="6"/>
  <c r="P38" i="6"/>
  <c r="P39" i="6"/>
  <c r="P107" i="6"/>
  <c r="P108" i="6"/>
  <c r="P40" i="6"/>
  <c r="P41" i="6"/>
  <c r="P42" i="6"/>
  <c r="P43" i="6"/>
  <c r="P44" i="6"/>
  <c r="P45" i="6"/>
  <c r="P46" i="6"/>
  <c r="P109" i="6"/>
  <c r="P47" i="6"/>
  <c r="P48" i="6"/>
  <c r="P49" i="6"/>
  <c r="P50" i="6"/>
  <c r="P110" i="6"/>
  <c r="P51" i="6"/>
  <c r="P52" i="6"/>
  <c r="P53" i="6"/>
  <c r="P54" i="6"/>
  <c r="P55" i="6"/>
  <c r="P56" i="6"/>
  <c r="P57" i="6"/>
  <c r="P58" i="6"/>
  <c r="P59" i="6"/>
  <c r="P60" i="6"/>
  <c r="P111" i="6"/>
  <c r="P61" i="6"/>
  <c r="P112" i="6"/>
  <c r="P113" i="6"/>
  <c r="P62" i="6"/>
  <c r="P63" i="6"/>
  <c r="P64" i="6"/>
  <c r="P65" i="6"/>
  <c r="P66" i="6"/>
  <c r="P67" i="6"/>
  <c r="P114" i="6"/>
  <c r="P115" i="6"/>
  <c r="P68" i="6"/>
  <c r="P69" i="6"/>
  <c r="P116" i="6"/>
  <c r="P70" i="6"/>
  <c r="P71" i="6"/>
  <c r="P72" i="6"/>
  <c r="P73" i="6"/>
  <c r="P117" i="6"/>
  <c r="P74" i="6"/>
  <c r="P118" i="6"/>
  <c r="P75" i="6"/>
  <c r="P76" i="6"/>
  <c r="P77" i="6"/>
  <c r="P78" i="6"/>
  <c r="P79" i="6"/>
  <c r="P119" i="6"/>
  <c r="P80" i="6"/>
  <c r="P120" i="6"/>
  <c r="P81" i="6"/>
  <c r="P121" i="6"/>
  <c r="P82" i="6"/>
  <c r="P83" i="6"/>
  <c r="P84" i="6"/>
  <c r="P85" i="6"/>
  <c r="P86" i="6"/>
  <c r="P87" i="6"/>
  <c r="P88" i="6"/>
  <c r="P89" i="6"/>
  <c r="P90" i="6"/>
  <c r="P91" i="6"/>
  <c r="P122" i="6"/>
  <c r="P92" i="6"/>
  <c r="P93" i="6"/>
  <c r="P94" i="6"/>
  <c r="P123" i="6"/>
  <c r="P95" i="6"/>
  <c r="P96" i="6"/>
  <c r="P97" i="6"/>
  <c r="P124" i="6"/>
  <c r="P125" i="6"/>
  <c r="P98" i="6"/>
  <c r="P99" i="6"/>
  <c r="P100" i="6"/>
  <c r="P6" i="6"/>
  <c r="M5" i="6"/>
  <c r="P5" i="6" l="1"/>
  <c r="H37" i="1" l="1"/>
  <c r="H36" i="1"/>
  <c r="H35" i="1"/>
  <c r="H34" i="1"/>
  <c r="H33" i="1"/>
  <c r="H32" i="1"/>
  <c r="H31" i="1"/>
  <c r="H30" i="1"/>
  <c r="H29" i="1"/>
  <c r="H28" i="1"/>
  <c r="G37" i="1"/>
  <c r="G36" i="1"/>
  <c r="G35" i="1"/>
  <c r="G34" i="1"/>
  <c r="G33" i="1"/>
  <c r="G32" i="1"/>
  <c r="G31" i="1"/>
  <c r="G30" i="1"/>
  <c r="G29" i="1"/>
  <c r="G28" i="1"/>
  <c r="G131" i="118" l="1"/>
  <c r="G130" i="118"/>
  <c r="G129" i="118"/>
  <c r="G128" i="118"/>
  <c r="G127" i="118"/>
  <c r="G7" i="118"/>
  <c r="Q7" i="79" s="1"/>
  <c r="G8" i="118"/>
  <c r="Q8" i="79" s="1"/>
  <c r="G9" i="118"/>
  <c r="Q9" i="79" s="1"/>
  <c r="G10" i="118"/>
  <c r="Q10" i="79" s="1"/>
  <c r="G11" i="118"/>
  <c r="Q11" i="79" s="1"/>
  <c r="G12" i="118"/>
  <c r="Q12" i="79" s="1"/>
  <c r="G13" i="118"/>
  <c r="Q13" i="79" s="1"/>
  <c r="G14" i="118"/>
  <c r="Q14" i="79" s="1"/>
  <c r="G15" i="118"/>
  <c r="Q15" i="79" s="1"/>
  <c r="G16" i="118"/>
  <c r="Q16" i="79" s="1"/>
  <c r="G17" i="118"/>
  <c r="Q17" i="79" s="1"/>
  <c r="G18" i="118"/>
  <c r="Q18" i="79" s="1"/>
  <c r="G19" i="118"/>
  <c r="Q19" i="79" s="1"/>
  <c r="G20" i="118"/>
  <c r="Q20" i="79" s="1"/>
  <c r="G21" i="118"/>
  <c r="Q21" i="79" s="1"/>
  <c r="G22" i="118"/>
  <c r="Q22" i="79" s="1"/>
  <c r="G23" i="118"/>
  <c r="Q23" i="79" s="1"/>
  <c r="G24" i="118"/>
  <c r="Q24" i="79" s="1"/>
  <c r="G25" i="118"/>
  <c r="Q25" i="79" s="1"/>
  <c r="G26" i="118"/>
  <c r="Q26" i="79" s="1"/>
  <c r="G27" i="118"/>
  <c r="Q27" i="79" s="1"/>
  <c r="G28" i="118"/>
  <c r="Q28" i="79" s="1"/>
  <c r="G29" i="118"/>
  <c r="Q29" i="79" s="1"/>
  <c r="G30" i="118"/>
  <c r="Q30" i="79" s="1"/>
  <c r="G31" i="118"/>
  <c r="Q31" i="79" s="1"/>
  <c r="G32" i="118"/>
  <c r="Q32" i="79" s="1"/>
  <c r="G33" i="118"/>
  <c r="Q33" i="79" s="1"/>
  <c r="G34" i="118"/>
  <c r="Q34" i="79" s="1"/>
  <c r="G35" i="118"/>
  <c r="Q35" i="79" s="1"/>
  <c r="G36" i="118"/>
  <c r="Q36" i="79" s="1"/>
  <c r="G37" i="118"/>
  <c r="Q37" i="79" s="1"/>
  <c r="G38" i="118"/>
  <c r="Q38" i="79" s="1"/>
  <c r="G39" i="118"/>
  <c r="Q39" i="79" s="1"/>
  <c r="G40" i="118"/>
  <c r="Q40" i="79" s="1"/>
  <c r="G41" i="118"/>
  <c r="Q41" i="79" s="1"/>
  <c r="G42" i="118"/>
  <c r="Q42" i="79" s="1"/>
  <c r="G43" i="118"/>
  <c r="Q43" i="79" s="1"/>
  <c r="G44" i="118"/>
  <c r="Q44" i="79" s="1"/>
  <c r="G45" i="118"/>
  <c r="Q45" i="79" s="1"/>
  <c r="G46" i="118"/>
  <c r="Q46" i="79" s="1"/>
  <c r="G47" i="118"/>
  <c r="Q47" i="79" s="1"/>
  <c r="G48" i="118"/>
  <c r="Q48" i="79" s="1"/>
  <c r="G49" i="118"/>
  <c r="Q49" i="79" s="1"/>
  <c r="G50" i="118"/>
  <c r="Q50" i="79" s="1"/>
  <c r="G51" i="118"/>
  <c r="Q51" i="79" s="1"/>
  <c r="G52" i="118"/>
  <c r="Q52" i="79" s="1"/>
  <c r="G53" i="118"/>
  <c r="Q53" i="79" s="1"/>
  <c r="G54" i="118"/>
  <c r="Q54" i="79" s="1"/>
  <c r="G55" i="118"/>
  <c r="Q55" i="79" s="1"/>
  <c r="G56" i="118"/>
  <c r="Q56" i="79" s="1"/>
  <c r="G57" i="118"/>
  <c r="Q57" i="79" s="1"/>
  <c r="G58" i="118"/>
  <c r="Q58" i="79" s="1"/>
  <c r="G59" i="118"/>
  <c r="Q59" i="79" s="1"/>
  <c r="G60" i="118"/>
  <c r="Q60" i="79" s="1"/>
  <c r="G61" i="118"/>
  <c r="Q61" i="79" s="1"/>
  <c r="G62" i="118"/>
  <c r="Q62" i="79" s="1"/>
  <c r="G63" i="118"/>
  <c r="Q63" i="79" s="1"/>
  <c r="G64" i="118"/>
  <c r="Q64" i="79" s="1"/>
  <c r="G65" i="118"/>
  <c r="Q65" i="79" s="1"/>
  <c r="G66" i="118"/>
  <c r="Q66" i="79" s="1"/>
  <c r="G67" i="118"/>
  <c r="Q67" i="79" s="1"/>
  <c r="G68" i="118"/>
  <c r="Q68" i="79" s="1"/>
  <c r="G69" i="118"/>
  <c r="Q69" i="79" s="1"/>
  <c r="G70" i="118"/>
  <c r="Q70" i="79" s="1"/>
  <c r="G71" i="118"/>
  <c r="Q71" i="79" s="1"/>
  <c r="G72" i="118"/>
  <c r="Q72" i="79" s="1"/>
  <c r="G73" i="118"/>
  <c r="Q73" i="79" s="1"/>
  <c r="G74" i="118"/>
  <c r="Q74" i="79" s="1"/>
  <c r="G75" i="118"/>
  <c r="Q75" i="79" s="1"/>
  <c r="G76" i="118"/>
  <c r="Q76" i="79" s="1"/>
  <c r="G77" i="118"/>
  <c r="Q77" i="79" s="1"/>
  <c r="G78" i="118"/>
  <c r="Q78" i="79" s="1"/>
  <c r="G79" i="118"/>
  <c r="Q79" i="79" s="1"/>
  <c r="G80" i="118"/>
  <c r="Q80" i="79" s="1"/>
  <c r="G81" i="118"/>
  <c r="Q81" i="79" s="1"/>
  <c r="G82" i="118"/>
  <c r="Q82" i="79" s="1"/>
  <c r="G83" i="118"/>
  <c r="Q83" i="79" s="1"/>
  <c r="G84" i="118"/>
  <c r="Q84" i="79" s="1"/>
  <c r="G85" i="118"/>
  <c r="Q85" i="79" s="1"/>
  <c r="G86" i="118"/>
  <c r="Q86" i="79" s="1"/>
  <c r="G87" i="118"/>
  <c r="Q87" i="79" s="1"/>
  <c r="G88" i="118"/>
  <c r="Q88" i="79" s="1"/>
  <c r="G89" i="118"/>
  <c r="Q89" i="79" s="1"/>
  <c r="G90" i="118"/>
  <c r="Q90" i="79" s="1"/>
  <c r="G91" i="118"/>
  <c r="Q91" i="79" s="1"/>
  <c r="G92" i="118"/>
  <c r="Q92" i="79" s="1"/>
  <c r="G93" i="118"/>
  <c r="Q93" i="79" s="1"/>
  <c r="G94" i="118"/>
  <c r="Q94" i="79" s="1"/>
  <c r="G95" i="118"/>
  <c r="Q95" i="79" s="1"/>
  <c r="G96" i="118"/>
  <c r="Q96" i="79" s="1"/>
  <c r="G97" i="118"/>
  <c r="Q97" i="79" s="1"/>
  <c r="G98" i="118"/>
  <c r="Q98" i="79" s="1"/>
  <c r="G99" i="118"/>
  <c r="Q99" i="79" s="1"/>
  <c r="G100" i="118"/>
  <c r="Q100" i="79" s="1"/>
  <c r="G101" i="118"/>
  <c r="Q101" i="79" s="1"/>
  <c r="G102" i="118"/>
  <c r="Q102" i="79" s="1"/>
  <c r="G103" i="118"/>
  <c r="Q103" i="79" s="1"/>
  <c r="G104" i="118"/>
  <c r="Q104" i="79" s="1"/>
  <c r="G105" i="118"/>
  <c r="Q105" i="79" s="1"/>
  <c r="G106" i="118"/>
  <c r="Q106" i="79" s="1"/>
  <c r="G107" i="118"/>
  <c r="Q107" i="79" s="1"/>
  <c r="G108" i="118"/>
  <c r="Q108" i="79" s="1"/>
  <c r="G109" i="118"/>
  <c r="Q109" i="79" s="1"/>
  <c r="G110" i="118"/>
  <c r="Q110" i="79" s="1"/>
  <c r="G111" i="118"/>
  <c r="Q111" i="79" s="1"/>
  <c r="G112" i="118"/>
  <c r="Q112" i="79" s="1"/>
  <c r="G113" i="118"/>
  <c r="Q113" i="79" s="1"/>
  <c r="G114" i="118"/>
  <c r="Q114" i="79" s="1"/>
  <c r="G115" i="118"/>
  <c r="Q115" i="79" s="1"/>
  <c r="G116" i="118"/>
  <c r="Q116" i="79" s="1"/>
  <c r="G117" i="118"/>
  <c r="Q117" i="79" s="1"/>
  <c r="G118" i="118"/>
  <c r="Q118" i="79" s="1"/>
  <c r="G119" i="118"/>
  <c r="Q119" i="79" s="1"/>
  <c r="G120" i="118"/>
  <c r="Q120" i="79" s="1"/>
  <c r="G121" i="118"/>
  <c r="Q121" i="79" s="1"/>
  <c r="G122" i="118"/>
  <c r="Q122" i="79" s="1"/>
  <c r="G123" i="118"/>
  <c r="Q123" i="79" s="1"/>
  <c r="G124" i="118"/>
  <c r="Q124" i="79" s="1"/>
  <c r="G125" i="118"/>
  <c r="Q125" i="79" s="1"/>
  <c r="G6" i="118"/>
  <c r="Q6" i="79" s="1"/>
  <c r="G132" i="118" l="1"/>
  <c r="J130" i="56" l="1"/>
  <c r="J129" i="56"/>
  <c r="J128" i="56"/>
  <c r="J126" i="56"/>
  <c r="I129" i="56"/>
  <c r="I128" i="56"/>
  <c r="I127" i="56"/>
  <c r="K128" i="56" l="1"/>
  <c r="J127" i="56"/>
  <c r="K127" i="56" s="1"/>
  <c r="I126" i="56"/>
  <c r="I130" i="56"/>
  <c r="K129" i="56"/>
  <c r="K126" i="56"/>
  <c r="K130" i="56"/>
  <c r="J99" i="56"/>
  <c r="K130" i="101" l="1"/>
  <c r="K129" i="101"/>
  <c r="K128" i="101"/>
  <c r="K127" i="101"/>
  <c r="K126" i="101"/>
  <c r="H130" i="101"/>
  <c r="H129" i="101"/>
  <c r="H128" i="101"/>
  <c r="H127" i="101"/>
  <c r="H126" i="101"/>
  <c r="I130" i="117"/>
  <c r="H130" i="117"/>
  <c r="I129" i="117"/>
  <c r="H129" i="117"/>
  <c r="I128" i="117"/>
  <c r="H128" i="117"/>
  <c r="I127" i="117"/>
  <c r="H127" i="117"/>
  <c r="I126" i="117"/>
  <c r="H126" i="117"/>
  <c r="I130" i="61"/>
  <c r="I129" i="61"/>
  <c r="I128" i="61"/>
  <c r="I127" i="61"/>
  <c r="I126" i="61"/>
  <c r="L131" i="24" l="1"/>
  <c r="L130" i="24"/>
  <c r="L129" i="24"/>
  <c r="L128" i="24"/>
  <c r="L127"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R1" i="108" l="1"/>
  <c r="P1" i="108"/>
  <c r="N1" i="108"/>
  <c r="L1" i="108"/>
  <c r="O4" i="136"/>
  <c r="N4" i="136"/>
  <c r="M4" i="136"/>
  <c r="L4" i="136"/>
  <c r="K4" i="136"/>
  <c r="J4" i="136"/>
  <c r="I4" i="136"/>
  <c r="H4" i="136"/>
  <c r="G4" i="136"/>
  <c r="F4" i="136"/>
  <c r="O4" i="135"/>
  <c r="N4" i="135"/>
  <c r="M4" i="135"/>
  <c r="L4" i="135"/>
  <c r="K4" i="135"/>
  <c r="J4" i="135"/>
  <c r="I4" i="135"/>
  <c r="H4" i="135"/>
  <c r="G4" i="135"/>
  <c r="F4" i="135"/>
  <c r="E4" i="135"/>
  <c r="D4" i="135"/>
  <c r="O4" i="134"/>
  <c r="N4" i="134"/>
  <c r="M4" i="134"/>
  <c r="L4" i="134"/>
  <c r="K4" i="134"/>
  <c r="J4" i="134"/>
  <c r="I4" i="134"/>
  <c r="H4" i="134"/>
  <c r="G4" i="134"/>
  <c r="F4" i="134"/>
  <c r="E4" i="134"/>
  <c r="D4" i="134"/>
  <c r="O4" i="133"/>
  <c r="N4" i="133"/>
  <c r="M4" i="133"/>
  <c r="L4" i="133"/>
  <c r="K4" i="133"/>
  <c r="J4" i="133"/>
  <c r="I4" i="133"/>
  <c r="H4" i="133"/>
  <c r="G4" i="133"/>
  <c r="F4" i="133"/>
  <c r="E4" i="133"/>
  <c r="D4" i="133"/>
  <c r="P4" i="136" l="1"/>
  <c r="P4" i="134"/>
  <c r="P4" i="135"/>
  <c r="P4" i="133"/>
  <c r="U131" i="113"/>
  <c r="U130" i="113"/>
  <c r="U129" i="113"/>
  <c r="U128" i="113"/>
  <c r="U127" i="113"/>
  <c r="U125" i="113"/>
  <c r="U124" i="113"/>
  <c r="U123" i="113"/>
  <c r="U122" i="113"/>
  <c r="U121" i="113"/>
  <c r="U120" i="113"/>
  <c r="U119" i="113"/>
  <c r="U118" i="113"/>
  <c r="U117" i="113"/>
  <c r="U116" i="113"/>
  <c r="U115" i="113"/>
  <c r="U114" i="113"/>
  <c r="U113" i="113"/>
  <c r="U112" i="113"/>
  <c r="U111" i="113"/>
  <c r="U110" i="113"/>
  <c r="U109" i="113"/>
  <c r="U108" i="113"/>
  <c r="U107" i="113"/>
  <c r="U106" i="113"/>
  <c r="U105" i="113"/>
  <c r="U104" i="113"/>
  <c r="U103" i="113"/>
  <c r="U102" i="113"/>
  <c r="U101" i="113"/>
  <c r="U100" i="113"/>
  <c r="U99" i="113"/>
  <c r="U98" i="113"/>
  <c r="U97" i="113"/>
  <c r="U96" i="113"/>
  <c r="U95" i="113"/>
  <c r="U94" i="113"/>
  <c r="U93" i="113"/>
  <c r="U92" i="113"/>
  <c r="U91" i="113"/>
  <c r="U90" i="113"/>
  <c r="U89" i="113"/>
  <c r="U88" i="113"/>
  <c r="U87" i="113"/>
  <c r="U86" i="113"/>
  <c r="U85" i="113"/>
  <c r="U84" i="113"/>
  <c r="U83" i="113"/>
  <c r="U82" i="113"/>
  <c r="U81" i="113"/>
  <c r="U80" i="113"/>
  <c r="U79" i="113"/>
  <c r="U78" i="113"/>
  <c r="U77" i="113"/>
  <c r="U76" i="113"/>
  <c r="U75" i="113"/>
  <c r="U74" i="113"/>
  <c r="U73" i="113"/>
  <c r="U72" i="113"/>
  <c r="U71" i="113"/>
  <c r="U70" i="113"/>
  <c r="U69" i="113"/>
  <c r="U68" i="113"/>
  <c r="U67" i="113"/>
  <c r="U66" i="113"/>
  <c r="U65" i="113"/>
  <c r="U64" i="113"/>
  <c r="U63" i="113"/>
  <c r="U62" i="113"/>
  <c r="U61" i="113"/>
  <c r="U60" i="113"/>
  <c r="U59" i="113"/>
  <c r="U58" i="113"/>
  <c r="U57" i="113"/>
  <c r="U56" i="113"/>
  <c r="U55" i="113"/>
  <c r="U54" i="113"/>
  <c r="U53" i="113"/>
  <c r="U52" i="113"/>
  <c r="U51" i="113"/>
  <c r="U50" i="113"/>
  <c r="U49" i="113"/>
  <c r="U48" i="113"/>
  <c r="U47" i="113"/>
  <c r="U46" i="113"/>
  <c r="U45" i="113"/>
  <c r="U44" i="113"/>
  <c r="U43" i="113"/>
  <c r="U42" i="113"/>
  <c r="U41" i="113"/>
  <c r="U40" i="113"/>
  <c r="U39" i="113"/>
  <c r="U38" i="113"/>
  <c r="U37" i="113"/>
  <c r="U36" i="113"/>
  <c r="U35" i="113"/>
  <c r="U34" i="113"/>
  <c r="U33" i="113"/>
  <c r="U32" i="113"/>
  <c r="U31" i="113"/>
  <c r="U30" i="113"/>
  <c r="U29" i="113"/>
  <c r="U28" i="113"/>
  <c r="U27" i="113"/>
  <c r="U26" i="113"/>
  <c r="U25" i="113"/>
  <c r="U24" i="113"/>
  <c r="U23" i="113"/>
  <c r="U22" i="113"/>
  <c r="U21" i="113"/>
  <c r="U20" i="113"/>
  <c r="U19" i="113"/>
  <c r="U18" i="113"/>
  <c r="U17" i="113"/>
  <c r="U16" i="113"/>
  <c r="U15" i="113"/>
  <c r="U14" i="113"/>
  <c r="U13" i="113"/>
  <c r="U12" i="113"/>
  <c r="U11" i="113"/>
  <c r="U10" i="113"/>
  <c r="U9" i="113"/>
  <c r="U8" i="113"/>
  <c r="U7" i="113"/>
  <c r="U6" i="113"/>
  <c r="U5" i="113"/>
  <c r="I20" i="108" s="1"/>
  <c r="BB131" i="24" l="1"/>
  <c r="BB130" i="24"/>
  <c r="BB129" i="24"/>
  <c r="BB128" i="24"/>
  <c r="BB127" i="24"/>
  <c r="BB5" i="24" l="1"/>
  <c r="F69" i="1" s="1"/>
  <c r="O4" i="131" l="1"/>
  <c r="N4" i="131"/>
  <c r="M4" i="131"/>
  <c r="L4" i="131"/>
  <c r="K4" i="131"/>
  <c r="J4" i="131"/>
  <c r="I4" i="131"/>
  <c r="H4" i="131"/>
  <c r="G4" i="131"/>
  <c r="F4" i="131"/>
  <c r="E4" i="131"/>
  <c r="D4" i="131"/>
  <c r="O4" i="130"/>
  <c r="N4" i="130"/>
  <c r="M4" i="130"/>
  <c r="L4" i="130"/>
  <c r="K4" i="130"/>
  <c r="J4" i="130"/>
  <c r="I4" i="130"/>
  <c r="H4" i="130"/>
  <c r="G4" i="130"/>
  <c r="F4" i="130"/>
  <c r="E4" i="130"/>
  <c r="D4" i="130"/>
  <c r="O4" i="128"/>
  <c r="N4" i="128"/>
  <c r="M4" i="128"/>
  <c r="L4" i="128"/>
  <c r="K4" i="128"/>
  <c r="J4" i="128"/>
  <c r="I4" i="128"/>
  <c r="H4" i="128"/>
  <c r="G4" i="128"/>
  <c r="F4" i="128"/>
  <c r="E4" i="128"/>
  <c r="D4" i="128"/>
  <c r="O4" i="129"/>
  <c r="N4" i="129"/>
  <c r="M4" i="129"/>
  <c r="L4" i="129"/>
  <c r="K4" i="129"/>
  <c r="J4" i="129"/>
  <c r="I4" i="129"/>
  <c r="H4" i="129"/>
  <c r="G4" i="129"/>
  <c r="F4" i="129"/>
  <c r="E4" i="129"/>
  <c r="D4" i="129"/>
  <c r="P4" i="131" l="1"/>
  <c r="P4" i="128"/>
  <c r="P4" i="129"/>
  <c r="P4" i="130"/>
  <c r="U131" i="109"/>
  <c r="U130" i="109"/>
  <c r="U129" i="109"/>
  <c r="U128" i="109"/>
  <c r="U127" i="109"/>
  <c r="U100" i="109"/>
  <c r="U99" i="109"/>
  <c r="U98" i="109"/>
  <c r="U125" i="109"/>
  <c r="U124" i="109"/>
  <c r="U97" i="109"/>
  <c r="U96" i="109"/>
  <c r="U95" i="109"/>
  <c r="U123" i="109"/>
  <c r="U94" i="109"/>
  <c r="U93" i="109"/>
  <c r="U92" i="109"/>
  <c r="U122" i="109"/>
  <c r="U91" i="109"/>
  <c r="U90" i="109"/>
  <c r="U89" i="109"/>
  <c r="U88" i="109"/>
  <c r="U87" i="109"/>
  <c r="U86" i="109"/>
  <c r="U85" i="109"/>
  <c r="U84" i="109"/>
  <c r="U83" i="109"/>
  <c r="U82" i="109"/>
  <c r="U121" i="109"/>
  <c r="U81" i="109"/>
  <c r="U120" i="109"/>
  <c r="U80" i="109"/>
  <c r="U119" i="109"/>
  <c r="U79" i="109"/>
  <c r="U78" i="109"/>
  <c r="U77" i="109"/>
  <c r="U76" i="109"/>
  <c r="U75" i="109"/>
  <c r="U118" i="109"/>
  <c r="U74" i="109"/>
  <c r="U117" i="109"/>
  <c r="U73" i="109"/>
  <c r="U72" i="109"/>
  <c r="U71" i="109"/>
  <c r="U70" i="109"/>
  <c r="U116" i="109"/>
  <c r="U69" i="109"/>
  <c r="U68" i="109"/>
  <c r="U115" i="109"/>
  <c r="U114" i="109"/>
  <c r="U67" i="109"/>
  <c r="U66" i="109"/>
  <c r="U65" i="109"/>
  <c r="U64" i="109"/>
  <c r="U63" i="109"/>
  <c r="U62" i="109"/>
  <c r="U113" i="109"/>
  <c r="U112" i="109"/>
  <c r="U61" i="109"/>
  <c r="U111" i="109"/>
  <c r="U60" i="109"/>
  <c r="U59" i="109"/>
  <c r="U58" i="109"/>
  <c r="U57" i="109"/>
  <c r="U56" i="109"/>
  <c r="U55" i="109"/>
  <c r="U54" i="109"/>
  <c r="U53" i="109"/>
  <c r="U52" i="109"/>
  <c r="U51" i="109"/>
  <c r="U110" i="109"/>
  <c r="U50" i="109"/>
  <c r="U49" i="109"/>
  <c r="U48" i="109"/>
  <c r="U47" i="109"/>
  <c r="U109" i="109"/>
  <c r="U46" i="109"/>
  <c r="U45" i="109"/>
  <c r="U44" i="109"/>
  <c r="U43" i="109"/>
  <c r="U42" i="109"/>
  <c r="U41" i="109"/>
  <c r="U40" i="109"/>
  <c r="U108" i="109"/>
  <c r="U107" i="109"/>
  <c r="U39" i="109"/>
  <c r="U38" i="109"/>
  <c r="U106" i="109"/>
  <c r="U37" i="109"/>
  <c r="U36" i="109"/>
  <c r="U35" i="109"/>
  <c r="U34" i="109"/>
  <c r="U33" i="109"/>
  <c r="U32" i="109"/>
  <c r="U31" i="109"/>
  <c r="U105" i="109"/>
  <c r="U30" i="109"/>
  <c r="U29" i="109"/>
  <c r="U28" i="109"/>
  <c r="U27" i="109"/>
  <c r="U26" i="109"/>
  <c r="U104" i="109"/>
  <c r="U103" i="109"/>
  <c r="U25" i="109"/>
  <c r="U24" i="109"/>
  <c r="U23" i="109"/>
  <c r="U22" i="109"/>
  <c r="U21" i="109"/>
  <c r="U20" i="109"/>
  <c r="U19" i="109"/>
  <c r="U18" i="109"/>
  <c r="U102" i="109"/>
  <c r="U17" i="109"/>
  <c r="U16" i="109"/>
  <c r="U15" i="109"/>
  <c r="U14" i="109"/>
  <c r="U13" i="109"/>
  <c r="U12" i="109"/>
  <c r="U11" i="109"/>
  <c r="U10" i="109"/>
  <c r="U9" i="109"/>
  <c r="U8" i="109"/>
  <c r="U101" i="109"/>
  <c r="U7" i="109"/>
  <c r="U6" i="109"/>
  <c r="U5" i="109"/>
  <c r="D20" i="108" s="1"/>
  <c r="Y6" i="122" l="1"/>
  <c r="Z6" i="122"/>
  <c r="Y100" i="122"/>
  <c r="Z100" i="122"/>
  <c r="Y7" i="122"/>
  <c r="Z7" i="122"/>
  <c r="Y8" i="122"/>
  <c r="Z8" i="122"/>
  <c r="Y9" i="122"/>
  <c r="Z9" i="122"/>
  <c r="Y10" i="122"/>
  <c r="Z10" i="122"/>
  <c r="Y11" i="122"/>
  <c r="Z11" i="122"/>
  <c r="Y12" i="122"/>
  <c r="Z12" i="122"/>
  <c r="Y13" i="122"/>
  <c r="Z13" i="122"/>
  <c r="Y14" i="122"/>
  <c r="Z14" i="122"/>
  <c r="Y15" i="122"/>
  <c r="Z15" i="122"/>
  <c r="Y16" i="122"/>
  <c r="Z16" i="122"/>
  <c r="Y101" i="122"/>
  <c r="Z101" i="122"/>
  <c r="Y17" i="122"/>
  <c r="Z17" i="122"/>
  <c r="Y18" i="122"/>
  <c r="Z18" i="122"/>
  <c r="Y19" i="122"/>
  <c r="Z19" i="122"/>
  <c r="Y20" i="122"/>
  <c r="Z20" i="122"/>
  <c r="Y21" i="122"/>
  <c r="Z21" i="122"/>
  <c r="Y22" i="122"/>
  <c r="Z22" i="122"/>
  <c r="Y23" i="122"/>
  <c r="Z23" i="122"/>
  <c r="Y24" i="122"/>
  <c r="Z24" i="122"/>
  <c r="Y102" i="122"/>
  <c r="Z102" i="122"/>
  <c r="Y103" i="122"/>
  <c r="Z103" i="122"/>
  <c r="Y25" i="122"/>
  <c r="Z25" i="122"/>
  <c r="Y26" i="122"/>
  <c r="Z26" i="122"/>
  <c r="Y27" i="122"/>
  <c r="Z27" i="122"/>
  <c r="Y28" i="122"/>
  <c r="Z28" i="122"/>
  <c r="Y29" i="122"/>
  <c r="Z29" i="122"/>
  <c r="Y104" i="122"/>
  <c r="Z104" i="122"/>
  <c r="Y30" i="122"/>
  <c r="Z30" i="122"/>
  <c r="Y31" i="122"/>
  <c r="Z31" i="122"/>
  <c r="Y32" i="122"/>
  <c r="Z32" i="122"/>
  <c r="Y33" i="122"/>
  <c r="Z33" i="122"/>
  <c r="Y34" i="122"/>
  <c r="Z34" i="122"/>
  <c r="Y35" i="122"/>
  <c r="Z35" i="122"/>
  <c r="Y36" i="122"/>
  <c r="Z36" i="122"/>
  <c r="Y105" i="122"/>
  <c r="Z105" i="122"/>
  <c r="Y37" i="122"/>
  <c r="Z37" i="122"/>
  <c r="Y38" i="122"/>
  <c r="Z38" i="122"/>
  <c r="Y106" i="122"/>
  <c r="Z106" i="122"/>
  <c r="Y107" i="122"/>
  <c r="Z107" i="122"/>
  <c r="Y39" i="122"/>
  <c r="Z39" i="122"/>
  <c r="Y40" i="122"/>
  <c r="Z40" i="122"/>
  <c r="Y41" i="122"/>
  <c r="Z41" i="122"/>
  <c r="Y42" i="122"/>
  <c r="Z42" i="122"/>
  <c r="Y43" i="122"/>
  <c r="Z43" i="122"/>
  <c r="Y44" i="122"/>
  <c r="Z44" i="122"/>
  <c r="Y45" i="122"/>
  <c r="Z45" i="122"/>
  <c r="Y108" i="122"/>
  <c r="Z108" i="122"/>
  <c r="Y46" i="122"/>
  <c r="Z46" i="122"/>
  <c r="Y47" i="122"/>
  <c r="Z47" i="122"/>
  <c r="Y48" i="122"/>
  <c r="Z48" i="122"/>
  <c r="Y49" i="122"/>
  <c r="Z49" i="122"/>
  <c r="Y109" i="122"/>
  <c r="Z109" i="122"/>
  <c r="Y50" i="122"/>
  <c r="Z50" i="122"/>
  <c r="Y51" i="122"/>
  <c r="Z51" i="122"/>
  <c r="Y52" i="122"/>
  <c r="Z52" i="122"/>
  <c r="Y53" i="122"/>
  <c r="Z53" i="122"/>
  <c r="Y54" i="122"/>
  <c r="Z54" i="122"/>
  <c r="Y55" i="122"/>
  <c r="Z55" i="122"/>
  <c r="Y56" i="122"/>
  <c r="Z56" i="122"/>
  <c r="Y57" i="122"/>
  <c r="Z57" i="122"/>
  <c r="Y58" i="122"/>
  <c r="Z58" i="122"/>
  <c r="Y59" i="122"/>
  <c r="Z59" i="122"/>
  <c r="Y110" i="122"/>
  <c r="Z110" i="122"/>
  <c r="Y60" i="122"/>
  <c r="Z60" i="122"/>
  <c r="Y111" i="122"/>
  <c r="Z111" i="122"/>
  <c r="Y112" i="122"/>
  <c r="Z112" i="122"/>
  <c r="Y61" i="122"/>
  <c r="Z61" i="122"/>
  <c r="Y62" i="122"/>
  <c r="Z62" i="122"/>
  <c r="Y63" i="122"/>
  <c r="Z63" i="122"/>
  <c r="Y64" i="122"/>
  <c r="Z64" i="122"/>
  <c r="Y65" i="122"/>
  <c r="Z65" i="122"/>
  <c r="Y66" i="122"/>
  <c r="Z66" i="122"/>
  <c r="Y113" i="122"/>
  <c r="Z113" i="122"/>
  <c r="Y114" i="122"/>
  <c r="Z114" i="122"/>
  <c r="Y67" i="122"/>
  <c r="Z67" i="122"/>
  <c r="Y68" i="122"/>
  <c r="Z68" i="122"/>
  <c r="Y115" i="122"/>
  <c r="Z115" i="122"/>
  <c r="Y69" i="122"/>
  <c r="Z69" i="122"/>
  <c r="Y70" i="122"/>
  <c r="Z70" i="122"/>
  <c r="Y71" i="122"/>
  <c r="Z71" i="122"/>
  <c r="Y72" i="122"/>
  <c r="Z72" i="122"/>
  <c r="Y116" i="122"/>
  <c r="Z116" i="122"/>
  <c r="Y73" i="122"/>
  <c r="Z73" i="122"/>
  <c r="Y117" i="122"/>
  <c r="Z117" i="122"/>
  <c r="Y74" i="122"/>
  <c r="Z74" i="122"/>
  <c r="Y75" i="122"/>
  <c r="Z75" i="122"/>
  <c r="Y76" i="122"/>
  <c r="Z76" i="122"/>
  <c r="Y77" i="122"/>
  <c r="Z77" i="122"/>
  <c r="Y78" i="122"/>
  <c r="Z78" i="122"/>
  <c r="Y118" i="122"/>
  <c r="Z118" i="122"/>
  <c r="Y79" i="122"/>
  <c r="Z79" i="122"/>
  <c r="Y119" i="122"/>
  <c r="Z119" i="122"/>
  <c r="Y80" i="122"/>
  <c r="Z80" i="122"/>
  <c r="Y120" i="122"/>
  <c r="Z120" i="122"/>
  <c r="Y81" i="122"/>
  <c r="Z81" i="122"/>
  <c r="Y82" i="122"/>
  <c r="Z82" i="122"/>
  <c r="Y83" i="122"/>
  <c r="Z83" i="122"/>
  <c r="Y84" i="122"/>
  <c r="Z84" i="122"/>
  <c r="Y85" i="122"/>
  <c r="Z85" i="122"/>
  <c r="Y86" i="122"/>
  <c r="Z86" i="122"/>
  <c r="Y87" i="122"/>
  <c r="Z87" i="122"/>
  <c r="Y88" i="122"/>
  <c r="Z88" i="122"/>
  <c r="Y89" i="122"/>
  <c r="Z89" i="122"/>
  <c r="Y90" i="122"/>
  <c r="Z90" i="122"/>
  <c r="Y121" i="122"/>
  <c r="Z121" i="122"/>
  <c r="Y91" i="122"/>
  <c r="Z91" i="122"/>
  <c r="Y92" i="122"/>
  <c r="Z92" i="122"/>
  <c r="Y93" i="122"/>
  <c r="Z93" i="122"/>
  <c r="Y122" i="122"/>
  <c r="Z122" i="122"/>
  <c r="Y94" i="122"/>
  <c r="Z94" i="122"/>
  <c r="Y95" i="122"/>
  <c r="Z95" i="122"/>
  <c r="Y96" i="122"/>
  <c r="Z96" i="122"/>
  <c r="Y123" i="122"/>
  <c r="Z123" i="122"/>
  <c r="Y124" i="122"/>
  <c r="Z124" i="122"/>
  <c r="Y97" i="122"/>
  <c r="Z97" i="122"/>
  <c r="Y98" i="122"/>
  <c r="Z98" i="122"/>
  <c r="Y99" i="122"/>
  <c r="Z99" i="122"/>
  <c r="Z5" i="122"/>
  <c r="Y5" i="122"/>
  <c r="Y4" i="122" l="1"/>
  <c r="AF100" i="6"/>
  <c r="AE100" i="6"/>
  <c r="AF99" i="6"/>
  <c r="AE99" i="6"/>
  <c r="AF98" i="6"/>
  <c r="AE98" i="6"/>
  <c r="AF125" i="6"/>
  <c r="AE125" i="6"/>
  <c r="AF124" i="6"/>
  <c r="AE124" i="6"/>
  <c r="AF97" i="6"/>
  <c r="AE97" i="6"/>
  <c r="AF96" i="6"/>
  <c r="AE96" i="6"/>
  <c r="AF95" i="6"/>
  <c r="AE95" i="6"/>
  <c r="AF123" i="6"/>
  <c r="AE123" i="6"/>
  <c r="AF94" i="6"/>
  <c r="AE94" i="6"/>
  <c r="AF93" i="6"/>
  <c r="AE93" i="6"/>
  <c r="AF92" i="6"/>
  <c r="AE92" i="6"/>
  <c r="AF122" i="6"/>
  <c r="AE122" i="6"/>
  <c r="AF91" i="6"/>
  <c r="AE91" i="6"/>
  <c r="AF90" i="6"/>
  <c r="AE90" i="6"/>
  <c r="AF89" i="6"/>
  <c r="AE89" i="6"/>
  <c r="AF88" i="6"/>
  <c r="AE88" i="6"/>
  <c r="AF87" i="6"/>
  <c r="AE87" i="6"/>
  <c r="AF86" i="6"/>
  <c r="AE86" i="6"/>
  <c r="AF85" i="6"/>
  <c r="AE85" i="6"/>
  <c r="AF84" i="6"/>
  <c r="AE84" i="6"/>
  <c r="AF83" i="6"/>
  <c r="AE83" i="6"/>
  <c r="AF82" i="6"/>
  <c r="AE82" i="6"/>
  <c r="AF121" i="6"/>
  <c r="AE121" i="6"/>
  <c r="AF81" i="6"/>
  <c r="AE81" i="6"/>
  <c r="AF120" i="6"/>
  <c r="AE120" i="6"/>
  <c r="AF80" i="6"/>
  <c r="AE80" i="6"/>
  <c r="AF119" i="6"/>
  <c r="AE119" i="6"/>
  <c r="AF79" i="6"/>
  <c r="AE79" i="6"/>
  <c r="AF78" i="6"/>
  <c r="AE78" i="6"/>
  <c r="AF77" i="6"/>
  <c r="AE77" i="6"/>
  <c r="AF76" i="6"/>
  <c r="AE76" i="6"/>
  <c r="AF75" i="6"/>
  <c r="AE75" i="6"/>
  <c r="AF118" i="6"/>
  <c r="AE118" i="6"/>
  <c r="AF74" i="6"/>
  <c r="AE74" i="6"/>
  <c r="AF117" i="6"/>
  <c r="AE117" i="6"/>
  <c r="AF73" i="6"/>
  <c r="AE73" i="6"/>
  <c r="AF72" i="6"/>
  <c r="AE72" i="6"/>
  <c r="AF71" i="6"/>
  <c r="AE71" i="6"/>
  <c r="AF70" i="6"/>
  <c r="AE70" i="6"/>
  <c r="AF116" i="6"/>
  <c r="AE116" i="6"/>
  <c r="AF69" i="6"/>
  <c r="AE69" i="6"/>
  <c r="AF68" i="6"/>
  <c r="AE68" i="6"/>
  <c r="AF115" i="6"/>
  <c r="AE115" i="6"/>
  <c r="AF114" i="6"/>
  <c r="AE114" i="6"/>
  <c r="AF67" i="6"/>
  <c r="AE67" i="6"/>
  <c r="AF66" i="6"/>
  <c r="AE66" i="6"/>
  <c r="AF65" i="6"/>
  <c r="AE65" i="6"/>
  <c r="AF64" i="6"/>
  <c r="AE64" i="6"/>
  <c r="AF63" i="6"/>
  <c r="AE63" i="6"/>
  <c r="AF62" i="6"/>
  <c r="AE62" i="6"/>
  <c r="AF113" i="6"/>
  <c r="AE113" i="6"/>
  <c r="AF112" i="6"/>
  <c r="AE112" i="6"/>
  <c r="AF61" i="6"/>
  <c r="AE61" i="6"/>
  <c r="AF111" i="6"/>
  <c r="AE111" i="6"/>
  <c r="AF60" i="6"/>
  <c r="AE60" i="6"/>
  <c r="AF59" i="6"/>
  <c r="AE59" i="6"/>
  <c r="AF58" i="6"/>
  <c r="AE58" i="6"/>
  <c r="AF57" i="6"/>
  <c r="AE57" i="6"/>
  <c r="AF56" i="6"/>
  <c r="AE56" i="6"/>
  <c r="AF55" i="6"/>
  <c r="AE55" i="6"/>
  <c r="AF54" i="6"/>
  <c r="AE54" i="6"/>
  <c r="AF53" i="6"/>
  <c r="AE53" i="6"/>
  <c r="AF52" i="6"/>
  <c r="AE52" i="6"/>
  <c r="AF51" i="6"/>
  <c r="AE51" i="6"/>
  <c r="AF110" i="6"/>
  <c r="AE110" i="6"/>
  <c r="AF50" i="6"/>
  <c r="AE50" i="6"/>
  <c r="AF49" i="6"/>
  <c r="AE49" i="6"/>
  <c r="AF48" i="6"/>
  <c r="AE48" i="6"/>
  <c r="AF47" i="6"/>
  <c r="AE47" i="6"/>
  <c r="AF109" i="6"/>
  <c r="AE109" i="6"/>
  <c r="AF46" i="6"/>
  <c r="AE46" i="6"/>
  <c r="AF45" i="6"/>
  <c r="AE45" i="6"/>
  <c r="AF44" i="6"/>
  <c r="AE44" i="6"/>
  <c r="AF43" i="6"/>
  <c r="AE43" i="6"/>
  <c r="AF42" i="6"/>
  <c r="AE42" i="6"/>
  <c r="AF41" i="6"/>
  <c r="AE41" i="6"/>
  <c r="AF40" i="6"/>
  <c r="AE40" i="6"/>
  <c r="AF108" i="6"/>
  <c r="AE108" i="6"/>
  <c r="AF107" i="6"/>
  <c r="AE107" i="6"/>
  <c r="AF39" i="6"/>
  <c r="AE39" i="6"/>
  <c r="AF38" i="6"/>
  <c r="AE38" i="6"/>
  <c r="AF106" i="6"/>
  <c r="AE106" i="6"/>
  <c r="AF37" i="6"/>
  <c r="AE37" i="6"/>
  <c r="AF36" i="6"/>
  <c r="AE36" i="6"/>
  <c r="AF35" i="6"/>
  <c r="AE35" i="6"/>
  <c r="AF34" i="6"/>
  <c r="AE34" i="6"/>
  <c r="AF33" i="6"/>
  <c r="AE33" i="6"/>
  <c r="AF32" i="6"/>
  <c r="AE32" i="6"/>
  <c r="AF31" i="6"/>
  <c r="AE31" i="6"/>
  <c r="AF105" i="6"/>
  <c r="AE105" i="6"/>
  <c r="AF30" i="6"/>
  <c r="AE30" i="6"/>
  <c r="AF29" i="6"/>
  <c r="AE29" i="6"/>
  <c r="AF28" i="6"/>
  <c r="AE28" i="6"/>
  <c r="AF27" i="6"/>
  <c r="AE27" i="6"/>
  <c r="AF26" i="6"/>
  <c r="AE26" i="6"/>
  <c r="AF104" i="6"/>
  <c r="AE104" i="6"/>
  <c r="AF103" i="6"/>
  <c r="AE103" i="6"/>
  <c r="AF25" i="6"/>
  <c r="AE25" i="6"/>
  <c r="AF24" i="6"/>
  <c r="AE24" i="6"/>
  <c r="AF23" i="6"/>
  <c r="AE23" i="6"/>
  <c r="AF22" i="6"/>
  <c r="AE22" i="6"/>
  <c r="AF21" i="6"/>
  <c r="AE21" i="6"/>
  <c r="AF20" i="6"/>
  <c r="AE20" i="6"/>
  <c r="AF19" i="6"/>
  <c r="AE19" i="6"/>
  <c r="AF18" i="6"/>
  <c r="AE18" i="6"/>
  <c r="AF102" i="6"/>
  <c r="AE102" i="6"/>
  <c r="AF17" i="6"/>
  <c r="AE17" i="6"/>
  <c r="AF16" i="6"/>
  <c r="AE16" i="6"/>
  <c r="AF15" i="6"/>
  <c r="AE15" i="6"/>
  <c r="AF14" i="6"/>
  <c r="AE14" i="6"/>
  <c r="AF13" i="6"/>
  <c r="AE13" i="6"/>
  <c r="AF12" i="6"/>
  <c r="AE12" i="6"/>
  <c r="AF11" i="6"/>
  <c r="AE11" i="6"/>
  <c r="AF10" i="6"/>
  <c r="AE10" i="6"/>
  <c r="AF9" i="6"/>
  <c r="AE9" i="6"/>
  <c r="AF8" i="6"/>
  <c r="AE8" i="6"/>
  <c r="AF101" i="6"/>
  <c r="AE101" i="6"/>
  <c r="AF7" i="6"/>
  <c r="AE7" i="6"/>
  <c r="AF6" i="6"/>
  <c r="AE6" i="6"/>
  <c r="AE5" i="6" l="1"/>
  <c r="G251" i="1"/>
  <c r="A4" i="123"/>
  <c r="L131" i="100" l="1"/>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K5" i="114" l="1"/>
  <c r="J5" i="114"/>
  <c r="I5" i="114"/>
  <c r="H5" i="114"/>
  <c r="G5" i="114"/>
  <c r="F5" i="114"/>
  <c r="E5" i="114"/>
  <c r="D5" i="114"/>
  <c r="L5" i="91" l="1"/>
  <c r="O5" i="91"/>
  <c r="M5" i="91"/>
  <c r="Z4" i="122" l="1"/>
  <c r="AA99" i="122"/>
  <c r="X99" i="122"/>
  <c r="W99" i="122"/>
  <c r="AA98" i="122"/>
  <c r="X98" i="122"/>
  <c r="W98" i="122"/>
  <c r="AA97" i="122"/>
  <c r="X97" i="122"/>
  <c r="W97" i="122"/>
  <c r="AA124" i="122"/>
  <c r="X124" i="122"/>
  <c r="W124" i="122"/>
  <c r="AA123" i="122"/>
  <c r="X123" i="122"/>
  <c r="W123" i="122"/>
  <c r="AA96" i="122"/>
  <c r="X96" i="122"/>
  <c r="W96" i="122"/>
  <c r="AA95" i="122"/>
  <c r="X95" i="122"/>
  <c r="W95" i="122"/>
  <c r="AA94" i="122"/>
  <c r="X94" i="122"/>
  <c r="W94" i="122"/>
  <c r="AA122" i="122"/>
  <c r="X122" i="122"/>
  <c r="W122" i="122"/>
  <c r="AA93" i="122"/>
  <c r="X93" i="122"/>
  <c r="W93" i="122"/>
  <c r="AA92" i="122"/>
  <c r="X92" i="122"/>
  <c r="W92" i="122"/>
  <c r="AA91" i="122"/>
  <c r="X91" i="122"/>
  <c r="W91" i="122"/>
  <c r="AA121" i="122"/>
  <c r="X121" i="122"/>
  <c r="W12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120" i="122"/>
  <c r="X120" i="122"/>
  <c r="W120" i="122"/>
  <c r="AA80" i="122"/>
  <c r="X80" i="122"/>
  <c r="W80" i="122"/>
  <c r="AA119" i="122"/>
  <c r="X119" i="122"/>
  <c r="W119" i="122"/>
  <c r="AA79" i="122"/>
  <c r="X79" i="122"/>
  <c r="W79" i="122"/>
  <c r="AA118" i="122"/>
  <c r="X118" i="122"/>
  <c r="W118" i="122"/>
  <c r="AA78" i="122"/>
  <c r="X78" i="122"/>
  <c r="W78" i="122"/>
  <c r="AA77" i="122"/>
  <c r="X77" i="122"/>
  <c r="W77" i="122"/>
  <c r="AA76" i="122"/>
  <c r="X76" i="122"/>
  <c r="W76" i="122"/>
  <c r="AA75" i="122"/>
  <c r="X75" i="122"/>
  <c r="W75" i="122"/>
  <c r="AA74" i="122"/>
  <c r="X74" i="122"/>
  <c r="W74" i="122"/>
  <c r="AA117" i="122"/>
  <c r="X117" i="122"/>
  <c r="W117" i="122"/>
  <c r="AA73" i="122"/>
  <c r="X73" i="122"/>
  <c r="W73" i="122"/>
  <c r="AA116" i="122"/>
  <c r="X116" i="122"/>
  <c r="W116" i="122"/>
  <c r="AA72" i="122"/>
  <c r="X72" i="122"/>
  <c r="W72" i="122"/>
  <c r="AA71" i="122"/>
  <c r="X71" i="122"/>
  <c r="W71" i="122"/>
  <c r="AA70" i="122"/>
  <c r="X70" i="122"/>
  <c r="W70" i="122"/>
  <c r="AA69" i="122"/>
  <c r="X69" i="122"/>
  <c r="W69" i="122"/>
  <c r="AA115" i="122"/>
  <c r="X115" i="122"/>
  <c r="W115" i="122"/>
  <c r="AA68" i="122"/>
  <c r="X68" i="122"/>
  <c r="W68" i="122"/>
  <c r="AA67" i="122"/>
  <c r="X67" i="122"/>
  <c r="W67" i="122"/>
  <c r="AA114" i="122"/>
  <c r="X114" i="122"/>
  <c r="W114" i="122"/>
  <c r="AA113" i="122"/>
  <c r="X113" i="122"/>
  <c r="W113" i="122"/>
  <c r="AA66" i="122"/>
  <c r="X66" i="122"/>
  <c r="W66" i="122"/>
  <c r="AA65" i="122"/>
  <c r="X65" i="122"/>
  <c r="W65" i="122"/>
  <c r="AA64" i="122"/>
  <c r="X64" i="122"/>
  <c r="W64" i="122"/>
  <c r="AA63" i="122"/>
  <c r="X63" i="122"/>
  <c r="W63" i="122"/>
  <c r="AA62" i="122"/>
  <c r="X62" i="122"/>
  <c r="W62" i="122"/>
  <c r="AA61" i="122"/>
  <c r="X61" i="122"/>
  <c r="W61" i="122"/>
  <c r="AA112" i="122"/>
  <c r="X112" i="122"/>
  <c r="W112" i="122"/>
  <c r="AA111" i="122"/>
  <c r="X111" i="122"/>
  <c r="W111" i="122"/>
  <c r="AA60" i="122"/>
  <c r="X60" i="122"/>
  <c r="W60" i="122"/>
  <c r="AA110" i="122"/>
  <c r="X110" i="122"/>
  <c r="W11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109" i="122"/>
  <c r="X109" i="122"/>
  <c r="W109" i="122"/>
  <c r="AA49" i="122"/>
  <c r="X49" i="122"/>
  <c r="W49" i="122"/>
  <c r="AA48" i="122"/>
  <c r="X48" i="122"/>
  <c r="W48" i="122"/>
  <c r="AA47" i="122"/>
  <c r="X47" i="122"/>
  <c r="W47" i="122"/>
  <c r="AA46" i="122"/>
  <c r="X46" i="122"/>
  <c r="W46" i="122"/>
  <c r="AA108" i="122"/>
  <c r="X108" i="122"/>
  <c r="W108" i="122"/>
  <c r="AA45" i="122"/>
  <c r="X45" i="122"/>
  <c r="W45" i="122"/>
  <c r="AA44" i="122"/>
  <c r="X44" i="122"/>
  <c r="W44" i="122"/>
  <c r="AA43" i="122"/>
  <c r="X43" i="122"/>
  <c r="W43" i="122"/>
  <c r="AA42" i="122"/>
  <c r="X42" i="122"/>
  <c r="W42" i="122"/>
  <c r="AA41" i="122"/>
  <c r="X41" i="122"/>
  <c r="W41" i="122"/>
  <c r="AA40" i="122"/>
  <c r="X40" i="122"/>
  <c r="W40" i="122"/>
  <c r="AA39" i="122"/>
  <c r="X39" i="122"/>
  <c r="W39" i="122"/>
  <c r="AA107" i="122"/>
  <c r="X107" i="122"/>
  <c r="W107" i="122"/>
  <c r="AA106" i="122"/>
  <c r="X106" i="122"/>
  <c r="W106" i="122"/>
  <c r="AA38" i="122"/>
  <c r="X38" i="122"/>
  <c r="W38" i="122"/>
  <c r="AA37" i="122"/>
  <c r="X37" i="122"/>
  <c r="W37" i="122"/>
  <c r="AA105" i="122"/>
  <c r="X105" i="122"/>
  <c r="W105" i="122"/>
  <c r="AA36" i="122"/>
  <c r="X36" i="122"/>
  <c r="W36" i="122"/>
  <c r="AA35" i="122"/>
  <c r="X35" i="122"/>
  <c r="W35" i="122"/>
  <c r="AA34" i="122"/>
  <c r="X34" i="122"/>
  <c r="W34" i="122"/>
  <c r="AA33" i="122"/>
  <c r="X33" i="122"/>
  <c r="W33" i="122"/>
  <c r="AA32" i="122"/>
  <c r="X32" i="122"/>
  <c r="W32" i="122"/>
  <c r="AA31" i="122"/>
  <c r="X31" i="122"/>
  <c r="W31" i="122"/>
  <c r="AA30" i="122"/>
  <c r="X30" i="122"/>
  <c r="W30" i="122"/>
  <c r="AA104" i="122"/>
  <c r="X104" i="122"/>
  <c r="W104" i="122"/>
  <c r="AA29" i="122"/>
  <c r="X29" i="122"/>
  <c r="W29" i="122"/>
  <c r="AA28" i="122"/>
  <c r="X28" i="122"/>
  <c r="W28" i="122"/>
  <c r="AA27" i="122"/>
  <c r="X27" i="122"/>
  <c r="W27" i="122"/>
  <c r="AA26" i="122"/>
  <c r="X26" i="122"/>
  <c r="W26" i="122"/>
  <c r="AA25" i="122"/>
  <c r="X25" i="122"/>
  <c r="W25" i="122"/>
  <c r="AA103" i="122"/>
  <c r="X103" i="122"/>
  <c r="W103" i="122"/>
  <c r="AA102" i="122"/>
  <c r="X102" i="122"/>
  <c r="W102"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01" i="122"/>
  <c r="X101" i="122"/>
  <c r="W101"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100" i="122"/>
  <c r="X100" i="122"/>
  <c r="W100" i="122"/>
  <c r="AA6" i="122"/>
  <c r="X6" i="122"/>
  <c r="W6" i="122"/>
  <c r="AA5" i="122"/>
  <c r="X5" i="122"/>
  <c r="W5" i="122"/>
  <c r="J238" i="1" s="1"/>
  <c r="P4" i="122"/>
  <c r="U4" i="122"/>
  <c r="AF5" i="6"/>
  <c r="AG100" i="6"/>
  <c r="AD100" i="6"/>
  <c r="AC100" i="6"/>
  <c r="AG99" i="6"/>
  <c r="AD99" i="6"/>
  <c r="AC99" i="6"/>
  <c r="AG98" i="6"/>
  <c r="AD98" i="6"/>
  <c r="AC98" i="6"/>
  <c r="AG125" i="6"/>
  <c r="AD125" i="6"/>
  <c r="AC125" i="6"/>
  <c r="AG124" i="6"/>
  <c r="AD124" i="6"/>
  <c r="AC124" i="6"/>
  <c r="AG97" i="6"/>
  <c r="AD97" i="6"/>
  <c r="AC97" i="6"/>
  <c r="AG96" i="6"/>
  <c r="AD96" i="6"/>
  <c r="AC96" i="6"/>
  <c r="AG95" i="6"/>
  <c r="AD95" i="6"/>
  <c r="AC95" i="6"/>
  <c r="AG123" i="6"/>
  <c r="AD123" i="6"/>
  <c r="AC123" i="6"/>
  <c r="AG94" i="6"/>
  <c r="AD94" i="6"/>
  <c r="AC94" i="6"/>
  <c r="AG93" i="6"/>
  <c r="AD93" i="6"/>
  <c r="AC93" i="6"/>
  <c r="AG92" i="6"/>
  <c r="AD92" i="6"/>
  <c r="AC92" i="6"/>
  <c r="AG122" i="6"/>
  <c r="AD122" i="6"/>
  <c r="AC122" i="6"/>
  <c r="AG91" i="6"/>
  <c r="AD91" i="6"/>
  <c r="AC91" i="6"/>
  <c r="AG90" i="6"/>
  <c r="AD90" i="6"/>
  <c r="AC90" i="6"/>
  <c r="AG89" i="6"/>
  <c r="AD89" i="6"/>
  <c r="AC89" i="6"/>
  <c r="AG88" i="6"/>
  <c r="AD88" i="6"/>
  <c r="AC88" i="6"/>
  <c r="AG87" i="6"/>
  <c r="AD87" i="6"/>
  <c r="AC87" i="6"/>
  <c r="AG86" i="6"/>
  <c r="AD86" i="6"/>
  <c r="AC86" i="6"/>
  <c r="AG85" i="6"/>
  <c r="AD85" i="6"/>
  <c r="AC85" i="6"/>
  <c r="AG84" i="6"/>
  <c r="AD84" i="6"/>
  <c r="AC84" i="6"/>
  <c r="AG83" i="6"/>
  <c r="AD83" i="6"/>
  <c r="AC83" i="6"/>
  <c r="AG82" i="6"/>
  <c r="AD82" i="6"/>
  <c r="AC82" i="6"/>
  <c r="AG121" i="6"/>
  <c r="AD121" i="6"/>
  <c r="AC121" i="6"/>
  <c r="AG81" i="6"/>
  <c r="AD81" i="6"/>
  <c r="AC81" i="6"/>
  <c r="AG120" i="6"/>
  <c r="AD120" i="6"/>
  <c r="AC120" i="6"/>
  <c r="AG80" i="6"/>
  <c r="AD80" i="6"/>
  <c r="AC80" i="6"/>
  <c r="AG119" i="6"/>
  <c r="AD119" i="6"/>
  <c r="AC119" i="6"/>
  <c r="AG79" i="6"/>
  <c r="AD79" i="6"/>
  <c r="AC79" i="6"/>
  <c r="AG78" i="6"/>
  <c r="AD78" i="6"/>
  <c r="AC78" i="6"/>
  <c r="AG77" i="6"/>
  <c r="AD77" i="6"/>
  <c r="AC77" i="6"/>
  <c r="AG76" i="6"/>
  <c r="AD76" i="6"/>
  <c r="AC76" i="6"/>
  <c r="AG75" i="6"/>
  <c r="AD75" i="6"/>
  <c r="AC75" i="6"/>
  <c r="AG118" i="6"/>
  <c r="AD118" i="6"/>
  <c r="AC118" i="6"/>
  <c r="AG74" i="6"/>
  <c r="AD74" i="6"/>
  <c r="AC74" i="6"/>
  <c r="AG117" i="6"/>
  <c r="AD117" i="6"/>
  <c r="AC117" i="6"/>
  <c r="AG73" i="6"/>
  <c r="AD73" i="6"/>
  <c r="AC73" i="6"/>
  <c r="AG72" i="6"/>
  <c r="AD72" i="6"/>
  <c r="AC72" i="6"/>
  <c r="AG71" i="6"/>
  <c r="AD71" i="6"/>
  <c r="AC71" i="6"/>
  <c r="AG70" i="6"/>
  <c r="AD70" i="6"/>
  <c r="AC70" i="6"/>
  <c r="AG116" i="6"/>
  <c r="AD116" i="6"/>
  <c r="AC116" i="6"/>
  <c r="AG69" i="6"/>
  <c r="AD69" i="6"/>
  <c r="AC69" i="6"/>
  <c r="AG68" i="6"/>
  <c r="AD68" i="6"/>
  <c r="AC68" i="6"/>
  <c r="AG115" i="6"/>
  <c r="AD115" i="6"/>
  <c r="AC115" i="6"/>
  <c r="AG114" i="6"/>
  <c r="AD114" i="6"/>
  <c r="AC114" i="6"/>
  <c r="AG67" i="6"/>
  <c r="AD67" i="6"/>
  <c r="AC67" i="6"/>
  <c r="AG66" i="6"/>
  <c r="AD66" i="6"/>
  <c r="AC66" i="6"/>
  <c r="AG65" i="6"/>
  <c r="AD65" i="6"/>
  <c r="AC65" i="6"/>
  <c r="AG64" i="6"/>
  <c r="AD64" i="6"/>
  <c r="AC64" i="6"/>
  <c r="AG63" i="6"/>
  <c r="AD63" i="6"/>
  <c r="AC63" i="6"/>
  <c r="AG62" i="6"/>
  <c r="AD62" i="6"/>
  <c r="AC62" i="6"/>
  <c r="AG113" i="6"/>
  <c r="AD113" i="6"/>
  <c r="AC113" i="6"/>
  <c r="AG112" i="6"/>
  <c r="AD112" i="6"/>
  <c r="AC112" i="6"/>
  <c r="AG61" i="6"/>
  <c r="AD61" i="6"/>
  <c r="AC61" i="6"/>
  <c r="AG111" i="6"/>
  <c r="AD111" i="6"/>
  <c r="AC111" i="6"/>
  <c r="AG60" i="6"/>
  <c r="AD60" i="6"/>
  <c r="AC60" i="6"/>
  <c r="AG59" i="6"/>
  <c r="AD59" i="6"/>
  <c r="AC59" i="6"/>
  <c r="AG58" i="6"/>
  <c r="AD58" i="6"/>
  <c r="AC58" i="6"/>
  <c r="AG57" i="6"/>
  <c r="AD57" i="6"/>
  <c r="AC57" i="6"/>
  <c r="AG56" i="6"/>
  <c r="AD56" i="6"/>
  <c r="AC56" i="6"/>
  <c r="AG55" i="6"/>
  <c r="AD55" i="6"/>
  <c r="AC55" i="6"/>
  <c r="AG54" i="6"/>
  <c r="AD54" i="6"/>
  <c r="AC54" i="6"/>
  <c r="AG53" i="6"/>
  <c r="AD53" i="6"/>
  <c r="AC53" i="6"/>
  <c r="AG52" i="6"/>
  <c r="AD52" i="6"/>
  <c r="AC52" i="6"/>
  <c r="AG51" i="6"/>
  <c r="AD51" i="6"/>
  <c r="AC51" i="6"/>
  <c r="AG110" i="6"/>
  <c r="AD110" i="6"/>
  <c r="AC110" i="6"/>
  <c r="AG50" i="6"/>
  <c r="AD50" i="6"/>
  <c r="AC50" i="6"/>
  <c r="AG49" i="6"/>
  <c r="AD49" i="6"/>
  <c r="AC49" i="6"/>
  <c r="AG48" i="6"/>
  <c r="AD48" i="6"/>
  <c r="AC48" i="6"/>
  <c r="AG47" i="6"/>
  <c r="AD47" i="6"/>
  <c r="AC47" i="6"/>
  <c r="AG109" i="6"/>
  <c r="AD109" i="6"/>
  <c r="AC109" i="6"/>
  <c r="AG46" i="6"/>
  <c r="AD46" i="6"/>
  <c r="AC46" i="6"/>
  <c r="AG45" i="6"/>
  <c r="AD45" i="6"/>
  <c r="AC45" i="6"/>
  <c r="AG44" i="6"/>
  <c r="AD44" i="6"/>
  <c r="AC44" i="6"/>
  <c r="AG43" i="6"/>
  <c r="AD43" i="6"/>
  <c r="AC43" i="6"/>
  <c r="AG42" i="6"/>
  <c r="AD42" i="6"/>
  <c r="AC42" i="6"/>
  <c r="AG41" i="6"/>
  <c r="AD41" i="6"/>
  <c r="AC41" i="6"/>
  <c r="AG40" i="6"/>
  <c r="AD40" i="6"/>
  <c r="AC40" i="6"/>
  <c r="AG108" i="6"/>
  <c r="AD108" i="6"/>
  <c r="AC108" i="6"/>
  <c r="AG107" i="6"/>
  <c r="AD107" i="6"/>
  <c r="AC107" i="6"/>
  <c r="AG39" i="6"/>
  <c r="AD39" i="6"/>
  <c r="AC39" i="6"/>
  <c r="AG38" i="6"/>
  <c r="AD38" i="6"/>
  <c r="AC38" i="6"/>
  <c r="AG106" i="6"/>
  <c r="AD106" i="6"/>
  <c r="AC106" i="6"/>
  <c r="AG37" i="6"/>
  <c r="AD37" i="6"/>
  <c r="AC37" i="6"/>
  <c r="AG36" i="6"/>
  <c r="AD36" i="6"/>
  <c r="AC36" i="6"/>
  <c r="AG35" i="6"/>
  <c r="AD35" i="6"/>
  <c r="AC35" i="6"/>
  <c r="AG34" i="6"/>
  <c r="AD34" i="6"/>
  <c r="AC34" i="6"/>
  <c r="AG33" i="6"/>
  <c r="AD33" i="6"/>
  <c r="AC33" i="6"/>
  <c r="AG32" i="6"/>
  <c r="AD32" i="6"/>
  <c r="AC32" i="6"/>
  <c r="AG31" i="6"/>
  <c r="AD31" i="6"/>
  <c r="AC31" i="6"/>
  <c r="AG105" i="6"/>
  <c r="AD105" i="6"/>
  <c r="AC105" i="6"/>
  <c r="AG30" i="6"/>
  <c r="AD30" i="6"/>
  <c r="AC30" i="6"/>
  <c r="AG29" i="6"/>
  <c r="AD29" i="6"/>
  <c r="AC29" i="6"/>
  <c r="AG28" i="6"/>
  <c r="AD28" i="6"/>
  <c r="AC28" i="6"/>
  <c r="AG27" i="6"/>
  <c r="AD27" i="6"/>
  <c r="AC27" i="6"/>
  <c r="AG26" i="6"/>
  <c r="AD26" i="6"/>
  <c r="AC26" i="6"/>
  <c r="AG104" i="6"/>
  <c r="AD104" i="6"/>
  <c r="AC104" i="6"/>
  <c r="AG103" i="6"/>
  <c r="AD103" i="6"/>
  <c r="AC103" i="6"/>
  <c r="AG25" i="6"/>
  <c r="AD25" i="6"/>
  <c r="AC25" i="6"/>
  <c r="AG24" i="6"/>
  <c r="AD24" i="6"/>
  <c r="AC24" i="6"/>
  <c r="AG23" i="6"/>
  <c r="AD23" i="6"/>
  <c r="AC23" i="6"/>
  <c r="AG22" i="6"/>
  <c r="AD22" i="6"/>
  <c r="AC22" i="6"/>
  <c r="AG21" i="6"/>
  <c r="AD21" i="6"/>
  <c r="AC21" i="6"/>
  <c r="AG20" i="6"/>
  <c r="AD20" i="6"/>
  <c r="AC20" i="6"/>
  <c r="AG19" i="6"/>
  <c r="AD19" i="6"/>
  <c r="AC19" i="6"/>
  <c r="AG18" i="6"/>
  <c r="AD18" i="6"/>
  <c r="AC18" i="6"/>
  <c r="AG102" i="6"/>
  <c r="AD102" i="6"/>
  <c r="AC102" i="6"/>
  <c r="AG17" i="6"/>
  <c r="AD17" i="6"/>
  <c r="AC17" i="6"/>
  <c r="AG16" i="6"/>
  <c r="AD16" i="6"/>
  <c r="AC16" i="6"/>
  <c r="AG15" i="6"/>
  <c r="AD15" i="6"/>
  <c r="AC15" i="6"/>
  <c r="AG14" i="6"/>
  <c r="AD14" i="6"/>
  <c r="AC14" i="6"/>
  <c r="AG13" i="6"/>
  <c r="AD13" i="6"/>
  <c r="AC13" i="6"/>
  <c r="AG12" i="6"/>
  <c r="AD12" i="6"/>
  <c r="AC12" i="6"/>
  <c r="AG11" i="6"/>
  <c r="AD11" i="6"/>
  <c r="AC11" i="6"/>
  <c r="AG10" i="6"/>
  <c r="AD10" i="6"/>
  <c r="AC10" i="6"/>
  <c r="AG9" i="6"/>
  <c r="AD9" i="6"/>
  <c r="AC9" i="6"/>
  <c r="AG8" i="6"/>
  <c r="AD8" i="6"/>
  <c r="AC8" i="6"/>
  <c r="AG101" i="6"/>
  <c r="AD101" i="6"/>
  <c r="AC101" i="6"/>
  <c r="AG7" i="6"/>
  <c r="AD7" i="6"/>
  <c r="AC7" i="6"/>
  <c r="AG6" i="6"/>
  <c r="AD6" i="6"/>
  <c r="AC6" i="6"/>
  <c r="J237" i="1" s="1"/>
  <c r="AA5" i="6"/>
  <c r="Z5" i="6"/>
  <c r="V5" i="6"/>
  <c r="AA4" i="122" l="1"/>
  <c r="W4" i="122"/>
  <c r="X4" i="122"/>
  <c r="AC5" i="6"/>
  <c r="AD5" i="6"/>
  <c r="AG5" i="6"/>
  <c r="AD6" i="92"/>
  <c r="AE6" i="92"/>
  <c r="AD100" i="92"/>
  <c r="AE100" i="92"/>
  <c r="AD7" i="92"/>
  <c r="AE7" i="92"/>
  <c r="AD8" i="92"/>
  <c r="AE8" i="92"/>
  <c r="AD9" i="92"/>
  <c r="AE9" i="92"/>
  <c r="AD10" i="92"/>
  <c r="AE10" i="92"/>
  <c r="AD11" i="92"/>
  <c r="AE11" i="92"/>
  <c r="AD12" i="92"/>
  <c r="AE12" i="92"/>
  <c r="AD13" i="92"/>
  <c r="AE13" i="92"/>
  <c r="AD14" i="92"/>
  <c r="AE14" i="92"/>
  <c r="AD15" i="92"/>
  <c r="AE15" i="92"/>
  <c r="AD16" i="92"/>
  <c r="AE16" i="92"/>
  <c r="AD101" i="92"/>
  <c r="AE101" i="92"/>
  <c r="AD17" i="92"/>
  <c r="AE17" i="92"/>
  <c r="AD18" i="92"/>
  <c r="AE18" i="92"/>
  <c r="AD19" i="92"/>
  <c r="AE19" i="92"/>
  <c r="AD20" i="92"/>
  <c r="AE20" i="92"/>
  <c r="AD21" i="92"/>
  <c r="AE21" i="92"/>
  <c r="AD22" i="92"/>
  <c r="AE22" i="92"/>
  <c r="AD23" i="92"/>
  <c r="AE23" i="92"/>
  <c r="AD24" i="92"/>
  <c r="AE24" i="92"/>
  <c r="AD102" i="92"/>
  <c r="AE102" i="92"/>
  <c r="AD103" i="92"/>
  <c r="AE103" i="92"/>
  <c r="AD25" i="92"/>
  <c r="AE25" i="92"/>
  <c r="AD26" i="92"/>
  <c r="AE26" i="92"/>
  <c r="AD27" i="92"/>
  <c r="AE27" i="92"/>
  <c r="AD28" i="92"/>
  <c r="AE28" i="92"/>
  <c r="AD29" i="92"/>
  <c r="AE29" i="92"/>
  <c r="AD104" i="92"/>
  <c r="AE104" i="92"/>
  <c r="AD30" i="92"/>
  <c r="AE30" i="92"/>
  <c r="AD31" i="92"/>
  <c r="AE31" i="92"/>
  <c r="AD32" i="92"/>
  <c r="AE32" i="92"/>
  <c r="AD33" i="92"/>
  <c r="AE33" i="92"/>
  <c r="AD34" i="92"/>
  <c r="AE34" i="92"/>
  <c r="AD35" i="92"/>
  <c r="AE35" i="92"/>
  <c r="AD36" i="92"/>
  <c r="AE36" i="92"/>
  <c r="AD105" i="92"/>
  <c r="AE105" i="92"/>
  <c r="AD37" i="92"/>
  <c r="AE37" i="92"/>
  <c r="AD38" i="92"/>
  <c r="AE38" i="92"/>
  <c r="AD106" i="92"/>
  <c r="AE106" i="92"/>
  <c r="AD107" i="92"/>
  <c r="AE107" i="92"/>
  <c r="AD39" i="92"/>
  <c r="AE39" i="92"/>
  <c r="AD40" i="92"/>
  <c r="AE40" i="92"/>
  <c r="AD41" i="92"/>
  <c r="AE41" i="92"/>
  <c r="AD42" i="92"/>
  <c r="AE42" i="92"/>
  <c r="AD43" i="92"/>
  <c r="AE43" i="92"/>
  <c r="AD44" i="92"/>
  <c r="AE44" i="92"/>
  <c r="AD45" i="92"/>
  <c r="AE45" i="92"/>
  <c r="AD108" i="92"/>
  <c r="AE108" i="92"/>
  <c r="AD46" i="92"/>
  <c r="AE46" i="92"/>
  <c r="AD47" i="92"/>
  <c r="AE47" i="92"/>
  <c r="AD48" i="92"/>
  <c r="AE48" i="92"/>
  <c r="AD49" i="92"/>
  <c r="AE49" i="92"/>
  <c r="AD109" i="92"/>
  <c r="AE109" i="92"/>
  <c r="AD50" i="92"/>
  <c r="AE50" i="92"/>
  <c r="AD51" i="92"/>
  <c r="AE51" i="92"/>
  <c r="AD52" i="92"/>
  <c r="AE52" i="92"/>
  <c r="AD53" i="92"/>
  <c r="AE53" i="92"/>
  <c r="AD54" i="92"/>
  <c r="AE54" i="92"/>
  <c r="AD55" i="92"/>
  <c r="AE55" i="92"/>
  <c r="AD56" i="92"/>
  <c r="AE56" i="92"/>
  <c r="AD57" i="92"/>
  <c r="AE57" i="92"/>
  <c r="AD58" i="92"/>
  <c r="AE58" i="92"/>
  <c r="AD59" i="92"/>
  <c r="AE59" i="92"/>
  <c r="AD110" i="92"/>
  <c r="AE110" i="92"/>
  <c r="AD60" i="92"/>
  <c r="AE60" i="92"/>
  <c r="AD111" i="92"/>
  <c r="AE111" i="92"/>
  <c r="AD112" i="92"/>
  <c r="AE112" i="92"/>
  <c r="AD61" i="92"/>
  <c r="AE61" i="92"/>
  <c r="AD62" i="92"/>
  <c r="AE62" i="92"/>
  <c r="AD63" i="92"/>
  <c r="AE63" i="92"/>
  <c r="AD64" i="92"/>
  <c r="AE64" i="92"/>
  <c r="AD65" i="92"/>
  <c r="AE65" i="92"/>
  <c r="AD66" i="92"/>
  <c r="AE66" i="92"/>
  <c r="AD113" i="92"/>
  <c r="AE113" i="92"/>
  <c r="AD114" i="92"/>
  <c r="AE114" i="92"/>
  <c r="AD67" i="92"/>
  <c r="AE67" i="92"/>
  <c r="AD68" i="92"/>
  <c r="AE68" i="92"/>
  <c r="AD115" i="92"/>
  <c r="AE115" i="92"/>
  <c r="AD69" i="92"/>
  <c r="AE69" i="92"/>
  <c r="AD70" i="92"/>
  <c r="AE70" i="92"/>
  <c r="AD71" i="92"/>
  <c r="AE71" i="92"/>
  <c r="AD72" i="92"/>
  <c r="AE72" i="92"/>
  <c r="AD116" i="92"/>
  <c r="AE116" i="92"/>
  <c r="AD73" i="92"/>
  <c r="AE73" i="92"/>
  <c r="AD117" i="92"/>
  <c r="AE117" i="92"/>
  <c r="AD74" i="92"/>
  <c r="AE74" i="92"/>
  <c r="AD75" i="92"/>
  <c r="AE75" i="92"/>
  <c r="AD76" i="92"/>
  <c r="AE76" i="92"/>
  <c r="AD77" i="92"/>
  <c r="AE77" i="92"/>
  <c r="AD78" i="92"/>
  <c r="AE78" i="92"/>
  <c r="AD118" i="92"/>
  <c r="AE118" i="92"/>
  <c r="AD79" i="92"/>
  <c r="AE79" i="92"/>
  <c r="AD119" i="92"/>
  <c r="AE119" i="92"/>
  <c r="AD80" i="92"/>
  <c r="AE80" i="92"/>
  <c r="AD120" i="92"/>
  <c r="AE120" i="92"/>
  <c r="AD81" i="92"/>
  <c r="AE81" i="92"/>
  <c r="AD82" i="92"/>
  <c r="AE82" i="92"/>
  <c r="AD83" i="92"/>
  <c r="AE83" i="92"/>
  <c r="AD84" i="92"/>
  <c r="AE84" i="92"/>
  <c r="AD85" i="92"/>
  <c r="AE85" i="92"/>
  <c r="AD86" i="92"/>
  <c r="AE86" i="92"/>
  <c r="AD87" i="92"/>
  <c r="AE87" i="92"/>
  <c r="AD88" i="92"/>
  <c r="AE88" i="92"/>
  <c r="AD89" i="92"/>
  <c r="AE89" i="92"/>
  <c r="AD90" i="92"/>
  <c r="AE90" i="92"/>
  <c r="AD121" i="92"/>
  <c r="AE121" i="92"/>
  <c r="AD91" i="92"/>
  <c r="AE91" i="92"/>
  <c r="AD92" i="92"/>
  <c r="AE92" i="92"/>
  <c r="AD93" i="92"/>
  <c r="AE93" i="92"/>
  <c r="AD122" i="92"/>
  <c r="AE122" i="92"/>
  <c r="AD94" i="92"/>
  <c r="AE94" i="92"/>
  <c r="AD95" i="92"/>
  <c r="AE95" i="92"/>
  <c r="AD96" i="92"/>
  <c r="AE96" i="92"/>
  <c r="AD123" i="92"/>
  <c r="AE123" i="92"/>
  <c r="AD124" i="92"/>
  <c r="AE124" i="92"/>
  <c r="AD97" i="92"/>
  <c r="AE97" i="92"/>
  <c r="AD98" i="92"/>
  <c r="AE98" i="92"/>
  <c r="AD99" i="92"/>
  <c r="AE99" i="92"/>
  <c r="AE5" i="92"/>
  <c r="AD5" i="92"/>
  <c r="AD4" i="92" l="1"/>
  <c r="AE4" i="92"/>
  <c r="F4" i="120"/>
  <c r="W5" i="106" l="1"/>
  <c r="G5" i="106"/>
  <c r="O5" i="106"/>
  <c r="N5" i="106"/>
  <c r="E5" i="106"/>
  <c r="T131" i="113" l="1"/>
  <c r="T130" i="113"/>
  <c r="T129" i="113"/>
  <c r="T128" i="113"/>
  <c r="T127" i="113"/>
  <c r="T125" i="113"/>
  <c r="T124" i="113"/>
  <c r="T123" i="113"/>
  <c r="T122" i="113"/>
  <c r="T121" i="113"/>
  <c r="T120" i="113"/>
  <c r="T119" i="113"/>
  <c r="T118" i="113"/>
  <c r="T117" i="113"/>
  <c r="T116" i="113"/>
  <c r="T115" i="113"/>
  <c r="T114" i="113"/>
  <c r="T113" i="113"/>
  <c r="T112" i="113"/>
  <c r="T111" i="113"/>
  <c r="T110" i="113"/>
  <c r="T109" i="113"/>
  <c r="T108" i="113"/>
  <c r="T107" i="113"/>
  <c r="T106" i="113"/>
  <c r="T105" i="113"/>
  <c r="T104" i="113"/>
  <c r="T103" i="113"/>
  <c r="T102" i="113"/>
  <c r="T101" i="113"/>
  <c r="T100" i="113"/>
  <c r="T99" i="113"/>
  <c r="T98" i="113"/>
  <c r="T97" i="113"/>
  <c r="T96" i="113"/>
  <c r="T95" i="113"/>
  <c r="T94" i="113"/>
  <c r="T93" i="113"/>
  <c r="T92" i="113"/>
  <c r="T91" i="113"/>
  <c r="T90" i="113"/>
  <c r="T89" i="113"/>
  <c r="T88" i="113"/>
  <c r="T87" i="113"/>
  <c r="T86" i="113"/>
  <c r="T85" i="113"/>
  <c r="T84" i="113"/>
  <c r="T83" i="113"/>
  <c r="T82" i="113"/>
  <c r="T81" i="113"/>
  <c r="T80" i="113"/>
  <c r="T79" i="113"/>
  <c r="T78" i="113"/>
  <c r="T77" i="113"/>
  <c r="T76" i="113"/>
  <c r="T75" i="113"/>
  <c r="T74" i="113"/>
  <c r="T73" i="113"/>
  <c r="T72" i="113"/>
  <c r="T71" i="113"/>
  <c r="T70" i="113"/>
  <c r="T69" i="113"/>
  <c r="T68" i="113"/>
  <c r="T67" i="113"/>
  <c r="T66" i="113"/>
  <c r="T65" i="113"/>
  <c r="T64" i="113"/>
  <c r="T63" i="113"/>
  <c r="T62" i="113"/>
  <c r="T61" i="113"/>
  <c r="T60" i="113"/>
  <c r="T59" i="113"/>
  <c r="T58" i="113"/>
  <c r="T57" i="113"/>
  <c r="T56" i="113"/>
  <c r="T55" i="113"/>
  <c r="T54" i="113"/>
  <c r="T53" i="113"/>
  <c r="T52" i="113"/>
  <c r="T51" i="113"/>
  <c r="T50" i="113"/>
  <c r="T49" i="113"/>
  <c r="T48" i="113"/>
  <c r="T47" i="113"/>
  <c r="T46" i="113"/>
  <c r="T45" i="113"/>
  <c r="T44" i="113"/>
  <c r="T43" i="113"/>
  <c r="T42" i="113"/>
  <c r="T41" i="113"/>
  <c r="T40" i="113"/>
  <c r="T39" i="113"/>
  <c r="T38" i="113"/>
  <c r="T37" i="113"/>
  <c r="T36" i="113"/>
  <c r="T35" i="113"/>
  <c r="T34" i="113"/>
  <c r="T33" i="113"/>
  <c r="T32" i="113"/>
  <c r="T31" i="113"/>
  <c r="T30" i="113"/>
  <c r="T29" i="113"/>
  <c r="T28" i="113"/>
  <c r="T27" i="113"/>
  <c r="T26" i="113"/>
  <c r="T25" i="113"/>
  <c r="T24" i="113"/>
  <c r="T23" i="113"/>
  <c r="T22" i="113"/>
  <c r="T21" i="113"/>
  <c r="T20" i="113"/>
  <c r="T19" i="113"/>
  <c r="T18" i="113"/>
  <c r="T17" i="113"/>
  <c r="T16" i="113"/>
  <c r="T15" i="113"/>
  <c r="T14" i="113"/>
  <c r="T13" i="113"/>
  <c r="T12" i="113"/>
  <c r="T11" i="113"/>
  <c r="T10" i="113"/>
  <c r="T9" i="113"/>
  <c r="T8" i="113"/>
  <c r="T7" i="113"/>
  <c r="T6" i="113"/>
  <c r="T5" i="113"/>
  <c r="I19" i="108" s="1"/>
  <c r="D19" i="108" l="1"/>
  <c r="T7" i="79" l="1"/>
  <c r="T8" i="79"/>
  <c r="T9" i="79"/>
  <c r="T10" i="79"/>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70" i="79"/>
  <c r="T71" i="79"/>
  <c r="T72" i="79"/>
  <c r="T73" i="79"/>
  <c r="T74" i="79"/>
  <c r="T75" i="79"/>
  <c r="T76" i="79"/>
  <c r="T77" i="79"/>
  <c r="T78" i="79"/>
  <c r="T79" i="79"/>
  <c r="T80" i="79"/>
  <c r="T81" i="79"/>
  <c r="T82" i="79"/>
  <c r="T83" i="79"/>
  <c r="T84" i="79"/>
  <c r="T85" i="79"/>
  <c r="T86" i="79"/>
  <c r="T87" i="79"/>
  <c r="T88" i="79"/>
  <c r="T89" i="79"/>
  <c r="T90" i="79"/>
  <c r="T91" i="79"/>
  <c r="T92" i="79"/>
  <c r="T93" i="79"/>
  <c r="T94" i="79"/>
  <c r="T95" i="79"/>
  <c r="T96" i="79"/>
  <c r="T97" i="79"/>
  <c r="T98" i="79"/>
  <c r="T99" i="79"/>
  <c r="T100" i="79"/>
  <c r="T101" i="79"/>
  <c r="T102" i="79"/>
  <c r="T103" i="79"/>
  <c r="T104" i="79"/>
  <c r="T105" i="79"/>
  <c r="T106" i="79"/>
  <c r="T107" i="79"/>
  <c r="T108" i="79"/>
  <c r="T109" i="79"/>
  <c r="T110" i="79"/>
  <c r="T111" i="79"/>
  <c r="T112" i="79"/>
  <c r="T113" i="79"/>
  <c r="T114" i="79"/>
  <c r="T115" i="79"/>
  <c r="T116" i="79"/>
  <c r="T117" i="79"/>
  <c r="T118" i="79"/>
  <c r="T119" i="79"/>
  <c r="T120" i="79"/>
  <c r="T121" i="79"/>
  <c r="T122" i="79"/>
  <c r="T123" i="79"/>
  <c r="T124" i="79"/>
  <c r="T125" i="79"/>
  <c r="T6" i="79"/>
  <c r="J7" i="79" l="1"/>
  <c r="J30" i="79"/>
  <c r="J31" i="79"/>
  <c r="J33" i="79"/>
  <c r="J34" i="79"/>
  <c r="J48" i="79"/>
  <c r="J49" i="79"/>
  <c r="J50" i="79"/>
  <c r="J51" i="79"/>
  <c r="J52" i="79"/>
  <c r="J53" i="79"/>
  <c r="J54" i="79"/>
  <c r="J86" i="79"/>
  <c r="J87" i="79"/>
  <c r="J88" i="79"/>
  <c r="J89" i="79"/>
  <c r="J101" i="79"/>
  <c r="J6" i="79"/>
  <c r="I7" i="79"/>
  <c r="I30" i="79"/>
  <c r="I31" i="79"/>
  <c r="I33" i="79"/>
  <c r="I34" i="79"/>
  <c r="I48" i="79"/>
  <c r="I49" i="79"/>
  <c r="I50" i="79"/>
  <c r="I51" i="79"/>
  <c r="I53" i="79"/>
  <c r="I54" i="79"/>
  <c r="I86" i="79"/>
  <c r="I87" i="79"/>
  <c r="I89" i="79"/>
  <c r="I101" i="79"/>
  <c r="I6" i="79"/>
  <c r="I120" i="79" l="1"/>
  <c r="I84" i="79"/>
  <c r="I72" i="79"/>
  <c r="J120" i="79"/>
  <c r="J84" i="79"/>
  <c r="I115" i="79"/>
  <c r="I67" i="79"/>
  <c r="I63" i="79"/>
  <c r="I27" i="79"/>
  <c r="I23" i="79"/>
  <c r="J115" i="79"/>
  <c r="J67" i="79"/>
  <c r="J63" i="79"/>
  <c r="J27" i="79"/>
  <c r="J23" i="79"/>
  <c r="I110" i="79"/>
  <c r="I106" i="79"/>
  <c r="I123" i="79"/>
  <c r="I111" i="79"/>
  <c r="I107" i="79"/>
  <c r="I103" i="79"/>
  <c r="I91" i="79"/>
  <c r="I79" i="79"/>
  <c r="I75" i="79"/>
  <c r="I59" i="79"/>
  <c r="I55" i="79"/>
  <c r="I43" i="79"/>
  <c r="I39" i="79"/>
  <c r="I35" i="79"/>
  <c r="I19" i="79"/>
  <c r="I15" i="79"/>
  <c r="I11" i="79"/>
  <c r="J123" i="79"/>
  <c r="J111" i="79"/>
  <c r="J107" i="79"/>
  <c r="J103" i="79"/>
  <c r="J91" i="79"/>
  <c r="J79" i="79"/>
  <c r="J75" i="79"/>
  <c r="J59" i="79"/>
  <c r="J55" i="79"/>
  <c r="J43" i="79"/>
  <c r="J39" i="79"/>
  <c r="J35" i="79"/>
  <c r="J19" i="79"/>
  <c r="J15" i="79"/>
  <c r="J11" i="79"/>
  <c r="I38" i="79"/>
  <c r="I18" i="79"/>
  <c r="I10" i="79"/>
  <c r="J110" i="79"/>
  <c r="J106" i="79"/>
  <c r="J78" i="79"/>
  <c r="J58" i="79"/>
  <c r="J42" i="79"/>
  <c r="J38" i="79"/>
  <c r="J14" i="79"/>
  <c r="J10" i="79"/>
  <c r="J72" i="79"/>
  <c r="I58" i="79"/>
  <c r="J32" i="79"/>
  <c r="I116" i="79"/>
  <c r="I108" i="79"/>
  <c r="I104" i="79"/>
  <c r="I96" i="79"/>
  <c r="I92" i="79"/>
  <c r="I80" i="79"/>
  <c r="I76" i="79"/>
  <c r="I68" i="79"/>
  <c r="I64" i="79"/>
  <c r="I60" i="79"/>
  <c r="I56" i="79"/>
  <c r="I44" i="79"/>
  <c r="I40" i="79"/>
  <c r="I36" i="79"/>
  <c r="I28" i="79"/>
  <c r="I24" i="79"/>
  <c r="I20" i="79"/>
  <c r="I16" i="79"/>
  <c r="I12" i="79"/>
  <c r="I8" i="79"/>
  <c r="J116" i="79"/>
  <c r="J108" i="79"/>
  <c r="J104" i="79"/>
  <c r="J96" i="79"/>
  <c r="J92" i="79"/>
  <c r="J80" i="79"/>
  <c r="J76" i="79"/>
  <c r="J68" i="79"/>
  <c r="J64" i="79"/>
  <c r="J60" i="79"/>
  <c r="J56" i="79"/>
  <c r="J44" i="79"/>
  <c r="J40" i="79"/>
  <c r="J36" i="79"/>
  <c r="J28" i="79"/>
  <c r="J24" i="79"/>
  <c r="J20" i="79"/>
  <c r="J16" i="79"/>
  <c r="J12" i="79"/>
  <c r="J8" i="79"/>
  <c r="I124" i="79"/>
  <c r="J124" i="79"/>
  <c r="I112" i="79"/>
  <c r="J112" i="79"/>
  <c r="I95" i="79"/>
  <c r="J95" i="79"/>
  <c r="I88" i="79"/>
  <c r="I78" i="79"/>
  <c r="I52" i="79"/>
  <c r="I42" i="79"/>
  <c r="I32" i="79"/>
  <c r="I100" i="79"/>
  <c r="J100" i="79"/>
  <c r="I99" i="79"/>
  <c r="I83" i="79"/>
  <c r="I71" i="79"/>
  <c r="I47" i="79"/>
  <c r="J83" i="79"/>
  <c r="J47" i="79"/>
  <c r="I122" i="79"/>
  <c r="I118" i="79"/>
  <c r="I114" i="79"/>
  <c r="I102" i="79"/>
  <c r="I98" i="79"/>
  <c r="I94" i="79"/>
  <c r="I90" i="79"/>
  <c r="I82" i="79"/>
  <c r="I74" i="79"/>
  <c r="I70" i="79"/>
  <c r="I66" i="79"/>
  <c r="I62" i="79"/>
  <c r="I46" i="79"/>
  <c r="I26" i="79"/>
  <c r="I22" i="79"/>
  <c r="I14" i="79"/>
  <c r="J122" i="79"/>
  <c r="J118" i="79"/>
  <c r="J114" i="79"/>
  <c r="J102" i="79"/>
  <c r="J98" i="79"/>
  <c r="J94" i="79"/>
  <c r="J90" i="79"/>
  <c r="J82" i="79"/>
  <c r="J74" i="79"/>
  <c r="J70" i="79"/>
  <c r="J66" i="79"/>
  <c r="J62" i="79"/>
  <c r="J46" i="79"/>
  <c r="J26" i="79"/>
  <c r="J22" i="79"/>
  <c r="J18" i="79"/>
  <c r="I119" i="79"/>
  <c r="J119" i="79"/>
  <c r="J99" i="79"/>
  <c r="J71" i="79"/>
  <c r="I125" i="79"/>
  <c r="I121" i="79"/>
  <c r="I117" i="79"/>
  <c r="I113" i="79"/>
  <c r="I109" i="79"/>
  <c r="I105" i="79"/>
  <c r="I97" i="79"/>
  <c r="I93" i="79"/>
  <c r="I85" i="79"/>
  <c r="I81" i="79"/>
  <c r="I77" i="79"/>
  <c r="I73" i="79"/>
  <c r="I69" i="79"/>
  <c r="I65" i="79"/>
  <c r="I61" i="79"/>
  <c r="I57" i="79"/>
  <c r="I45" i="79"/>
  <c r="I41" i="79"/>
  <c r="I37" i="79"/>
  <c r="I29" i="79"/>
  <c r="I25" i="79"/>
  <c r="I21" i="79"/>
  <c r="I17" i="79"/>
  <c r="I13" i="79"/>
  <c r="I9" i="79"/>
  <c r="J125" i="79"/>
  <c r="J121" i="79"/>
  <c r="J117" i="79"/>
  <c r="J113" i="79"/>
  <c r="J109" i="79"/>
  <c r="J105" i="79"/>
  <c r="J97" i="79"/>
  <c r="J93" i="79"/>
  <c r="J85" i="79"/>
  <c r="J81" i="79"/>
  <c r="J77" i="79"/>
  <c r="J73" i="79"/>
  <c r="J69" i="79"/>
  <c r="J65" i="79"/>
  <c r="J61" i="79"/>
  <c r="J57" i="79"/>
  <c r="J45" i="79"/>
  <c r="J41" i="79"/>
  <c r="J37" i="79"/>
  <c r="J29" i="79"/>
  <c r="J25" i="79"/>
  <c r="J21" i="79"/>
  <c r="J17" i="79"/>
  <c r="J13" i="79"/>
  <c r="J9" i="79"/>
  <c r="G6" i="57" l="1"/>
  <c r="F7" i="118" s="1"/>
  <c r="P7" i="79" s="1"/>
  <c r="Z7" i="79" s="1"/>
  <c r="AN7" i="79" s="1"/>
  <c r="G100" i="57"/>
  <c r="G7" i="57"/>
  <c r="G8" i="57"/>
  <c r="G9" i="57"/>
  <c r="G10" i="57"/>
  <c r="G11" i="57"/>
  <c r="G12" i="57"/>
  <c r="G13" i="57"/>
  <c r="G14" i="57"/>
  <c r="G15" i="57"/>
  <c r="G16" i="57"/>
  <c r="G101" i="57"/>
  <c r="G17" i="57"/>
  <c r="G18" i="57"/>
  <c r="G19" i="57"/>
  <c r="G20" i="57"/>
  <c r="G21" i="57"/>
  <c r="G22" i="57"/>
  <c r="G23" i="57"/>
  <c r="G24" i="57"/>
  <c r="G102" i="57"/>
  <c r="G103" i="57"/>
  <c r="G25" i="57"/>
  <c r="F26" i="118" s="1"/>
  <c r="P26" i="79" s="1"/>
  <c r="Z26" i="79" s="1"/>
  <c r="AN26" i="79" s="1"/>
  <c r="G26" i="57"/>
  <c r="F27" i="118" s="1"/>
  <c r="P27" i="79" s="1"/>
  <c r="Z27" i="79" s="1"/>
  <c r="AN27" i="79" s="1"/>
  <c r="G27" i="57"/>
  <c r="F28" i="118" s="1"/>
  <c r="P28" i="79" s="1"/>
  <c r="Z28" i="79" s="1"/>
  <c r="AN28" i="79" s="1"/>
  <c r="G28" i="57"/>
  <c r="G29" i="57"/>
  <c r="F30" i="118" s="1"/>
  <c r="P30" i="79" s="1"/>
  <c r="Z30" i="79" s="1"/>
  <c r="AN30" i="79" s="1"/>
  <c r="G104" i="57"/>
  <c r="G30" i="57"/>
  <c r="G31" i="57"/>
  <c r="G32" i="57"/>
  <c r="G33" i="57"/>
  <c r="G34" i="57"/>
  <c r="G35" i="57"/>
  <c r="G36" i="57"/>
  <c r="G105" i="57"/>
  <c r="G37" i="57"/>
  <c r="G38" i="57"/>
  <c r="G106" i="57"/>
  <c r="G107" i="57"/>
  <c r="G39" i="57"/>
  <c r="F40" i="118" s="1"/>
  <c r="P40" i="79" s="1"/>
  <c r="Z40" i="79" s="1"/>
  <c r="AN40" i="79" s="1"/>
  <c r="G40" i="57"/>
  <c r="F41" i="118" s="1"/>
  <c r="P41" i="79" s="1"/>
  <c r="Z41" i="79" s="1"/>
  <c r="AN41" i="79" s="1"/>
  <c r="G41" i="57"/>
  <c r="F42" i="118" s="1"/>
  <c r="P42" i="79" s="1"/>
  <c r="Z42" i="79" s="1"/>
  <c r="AN42" i="79" s="1"/>
  <c r="G42" i="57"/>
  <c r="F43" i="118" s="1"/>
  <c r="P43" i="79" s="1"/>
  <c r="Z43" i="79" s="1"/>
  <c r="AN43" i="79" s="1"/>
  <c r="G43" i="57"/>
  <c r="F44" i="118" s="1"/>
  <c r="P44" i="79" s="1"/>
  <c r="Z44" i="79" s="1"/>
  <c r="AN44" i="79" s="1"/>
  <c r="G44" i="57"/>
  <c r="F45" i="118" s="1"/>
  <c r="P45" i="79" s="1"/>
  <c r="Z45" i="79" s="1"/>
  <c r="AN45" i="79" s="1"/>
  <c r="G45" i="57"/>
  <c r="F46" i="118" s="1"/>
  <c r="P46" i="79" s="1"/>
  <c r="Z46" i="79" s="1"/>
  <c r="AN46" i="79" s="1"/>
  <c r="G108" i="57"/>
  <c r="G46" i="57"/>
  <c r="G47" i="57"/>
  <c r="G48" i="57"/>
  <c r="G49" i="57"/>
  <c r="G109" i="57"/>
  <c r="G50" i="57"/>
  <c r="G51" i="57"/>
  <c r="G52" i="57"/>
  <c r="G53" i="57"/>
  <c r="G54" i="57"/>
  <c r="G55" i="57"/>
  <c r="G56" i="57"/>
  <c r="G57" i="57"/>
  <c r="G58" i="57"/>
  <c r="G59" i="57"/>
  <c r="G110" i="57"/>
  <c r="G60" i="57"/>
  <c r="G111" i="57"/>
  <c r="G112" i="57"/>
  <c r="G61" i="57"/>
  <c r="G62" i="57"/>
  <c r="G63" i="57"/>
  <c r="G64" i="57"/>
  <c r="G65" i="57"/>
  <c r="G66" i="57"/>
  <c r="G113" i="57"/>
  <c r="G114" i="57"/>
  <c r="G67" i="57"/>
  <c r="G68" i="57"/>
  <c r="G115" i="57"/>
  <c r="G69" i="57"/>
  <c r="F70" i="118" s="1"/>
  <c r="P70" i="79" s="1"/>
  <c r="Z70" i="79" s="1"/>
  <c r="AN70" i="79" s="1"/>
  <c r="G70" i="57"/>
  <c r="F71" i="118" s="1"/>
  <c r="P71" i="79" s="1"/>
  <c r="Z71" i="79" s="1"/>
  <c r="AN71" i="79" s="1"/>
  <c r="G71" i="57"/>
  <c r="F72" i="118" s="1"/>
  <c r="P72" i="79" s="1"/>
  <c r="Z72" i="79" s="1"/>
  <c r="AN72" i="79" s="1"/>
  <c r="G72" i="57"/>
  <c r="F73" i="118" s="1"/>
  <c r="P73" i="79" s="1"/>
  <c r="Z73" i="79" s="1"/>
  <c r="AN73" i="79" s="1"/>
  <c r="G116" i="57"/>
  <c r="G73" i="57"/>
  <c r="G117" i="57"/>
  <c r="G74" i="57"/>
  <c r="G75" i="57"/>
  <c r="G76" i="57"/>
  <c r="G77" i="57"/>
  <c r="G78" i="57"/>
  <c r="G118" i="57"/>
  <c r="G79" i="57"/>
  <c r="G119" i="57"/>
  <c r="G80" i="57"/>
  <c r="F81" i="118" s="1"/>
  <c r="P81" i="79" s="1"/>
  <c r="Z81" i="79" s="1"/>
  <c r="AN81" i="79" s="1"/>
  <c r="G120" i="57"/>
  <c r="G81" i="57"/>
  <c r="G82" i="57"/>
  <c r="G83" i="57"/>
  <c r="G84" i="57"/>
  <c r="G85" i="57"/>
  <c r="G86" i="57"/>
  <c r="G87" i="57"/>
  <c r="G88" i="57"/>
  <c r="G89" i="57"/>
  <c r="G90" i="57"/>
  <c r="G121" i="57"/>
  <c r="G91" i="57"/>
  <c r="G92" i="57"/>
  <c r="G93" i="57"/>
  <c r="G122" i="57"/>
  <c r="G94" i="57"/>
  <c r="G95" i="57"/>
  <c r="G96" i="57"/>
  <c r="G123" i="57"/>
  <c r="G124" i="57"/>
  <c r="G97" i="57"/>
  <c r="G98" i="57"/>
  <c r="G99" i="57"/>
  <c r="G5" i="57"/>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F94" i="118" l="1"/>
  <c r="P94" i="79" s="1"/>
  <c r="Z94" i="79" s="1"/>
  <c r="AN94" i="79" s="1"/>
  <c r="F78" i="118"/>
  <c r="P78" i="79" s="1"/>
  <c r="Z78" i="79" s="1"/>
  <c r="AN78" i="79" s="1"/>
  <c r="F98" i="118"/>
  <c r="P98" i="79" s="1"/>
  <c r="Z98" i="79" s="1"/>
  <c r="AN98" i="79" s="1"/>
  <c r="F90" i="118"/>
  <c r="P90" i="79" s="1"/>
  <c r="Z90" i="79" s="1"/>
  <c r="AN90" i="79" s="1"/>
  <c r="F86" i="118"/>
  <c r="P86" i="79" s="1"/>
  <c r="Z86" i="79" s="1"/>
  <c r="AN86" i="79" s="1"/>
  <c r="F82" i="118"/>
  <c r="P82" i="79" s="1"/>
  <c r="Z82" i="79" s="1"/>
  <c r="AN82" i="79" s="1"/>
  <c r="F74" i="118"/>
  <c r="P74" i="79" s="1"/>
  <c r="Z74" i="79" s="1"/>
  <c r="AN74" i="79" s="1"/>
  <c r="F66" i="118"/>
  <c r="P66" i="79" s="1"/>
  <c r="Z66" i="79" s="1"/>
  <c r="AN66" i="79" s="1"/>
  <c r="F62" i="118"/>
  <c r="P62" i="79" s="1"/>
  <c r="Z62" i="79" s="1"/>
  <c r="AN62" i="79" s="1"/>
  <c r="F50" i="118"/>
  <c r="P50" i="79" s="1"/>
  <c r="Z50" i="79" s="1"/>
  <c r="AN50" i="79" s="1"/>
  <c r="F34" i="118"/>
  <c r="P34" i="79" s="1"/>
  <c r="Z34" i="79" s="1"/>
  <c r="AN34" i="79" s="1"/>
  <c r="F14" i="118"/>
  <c r="P14" i="79" s="1"/>
  <c r="Z14" i="79" s="1"/>
  <c r="AN14" i="79" s="1"/>
  <c r="F10" i="118"/>
  <c r="P10" i="79" s="1"/>
  <c r="Z10" i="79" s="1"/>
  <c r="AN10" i="79" s="1"/>
  <c r="F6" i="118"/>
  <c r="P6" i="79" s="1"/>
  <c r="Z6" i="79" s="1"/>
  <c r="AN6" i="79" s="1"/>
  <c r="L261" i="1"/>
  <c r="F58" i="118"/>
  <c r="P58" i="79" s="1"/>
  <c r="Z58" i="79" s="1"/>
  <c r="AN58" i="79" s="1"/>
  <c r="F54" i="118"/>
  <c r="P54" i="79" s="1"/>
  <c r="Z54" i="79" s="1"/>
  <c r="AN54" i="79" s="1"/>
  <c r="F38" i="118"/>
  <c r="P38" i="79" s="1"/>
  <c r="Z38" i="79" s="1"/>
  <c r="AN38" i="79" s="1"/>
  <c r="F22" i="118"/>
  <c r="P22" i="79" s="1"/>
  <c r="Z22" i="79" s="1"/>
  <c r="AN22" i="79" s="1"/>
  <c r="F18" i="118"/>
  <c r="P18" i="79" s="1"/>
  <c r="Z18" i="79" s="1"/>
  <c r="AN18" i="79" s="1"/>
  <c r="F79" i="118"/>
  <c r="P79" i="79" s="1"/>
  <c r="Z79" i="79" s="1"/>
  <c r="AN79" i="79" s="1"/>
  <c r="F75" i="118"/>
  <c r="P75" i="79" s="1"/>
  <c r="Z75" i="79" s="1"/>
  <c r="AN75" i="79" s="1"/>
  <c r="F59" i="118"/>
  <c r="P59" i="79" s="1"/>
  <c r="Z59" i="79" s="1"/>
  <c r="AN59" i="79" s="1"/>
  <c r="F55" i="118"/>
  <c r="P55" i="79" s="1"/>
  <c r="Z55" i="79" s="1"/>
  <c r="AN55" i="79" s="1"/>
  <c r="F51" i="118"/>
  <c r="P51" i="79" s="1"/>
  <c r="Z51" i="79" s="1"/>
  <c r="AN51" i="79" s="1"/>
  <c r="F39" i="118"/>
  <c r="P39" i="79" s="1"/>
  <c r="Z39" i="79" s="1"/>
  <c r="AN39" i="79" s="1"/>
  <c r="F99" i="118"/>
  <c r="P99" i="79" s="1"/>
  <c r="Z99" i="79" s="1"/>
  <c r="AN99" i="79" s="1"/>
  <c r="F91" i="118"/>
  <c r="P91" i="79" s="1"/>
  <c r="Z91" i="79" s="1"/>
  <c r="AN91" i="79" s="1"/>
  <c r="F87" i="118"/>
  <c r="P87" i="79" s="1"/>
  <c r="Z87" i="79" s="1"/>
  <c r="AN87" i="79" s="1"/>
  <c r="F83" i="118"/>
  <c r="P83" i="79" s="1"/>
  <c r="Z83" i="79" s="1"/>
  <c r="AN83" i="79" s="1"/>
  <c r="F67" i="118"/>
  <c r="P67" i="79" s="1"/>
  <c r="Z67" i="79" s="1"/>
  <c r="AN67" i="79" s="1"/>
  <c r="F63" i="118"/>
  <c r="P63" i="79" s="1"/>
  <c r="Z63" i="79" s="1"/>
  <c r="AN63" i="79" s="1"/>
  <c r="F47" i="118"/>
  <c r="P47" i="79" s="1"/>
  <c r="Z47" i="79" s="1"/>
  <c r="AN47" i="79" s="1"/>
  <c r="F95" i="118"/>
  <c r="P95" i="79" s="1"/>
  <c r="Z95" i="79" s="1"/>
  <c r="AN95" i="79" s="1"/>
  <c r="F100" i="118"/>
  <c r="P100" i="79" s="1"/>
  <c r="Z100" i="79" s="1"/>
  <c r="AN100" i="79" s="1"/>
  <c r="F124" i="118"/>
  <c r="P124" i="79" s="1"/>
  <c r="Z124" i="79" s="1"/>
  <c r="AN124" i="79" s="1"/>
  <c r="F123" i="118"/>
  <c r="P123" i="79" s="1"/>
  <c r="Z123" i="79" s="1"/>
  <c r="AN123" i="79" s="1"/>
  <c r="F122" i="118"/>
  <c r="P122" i="79" s="1"/>
  <c r="Z122" i="79" s="1"/>
  <c r="AN122" i="79" s="1"/>
  <c r="F88" i="118"/>
  <c r="P88" i="79" s="1"/>
  <c r="Z88" i="79" s="1"/>
  <c r="AN88" i="79" s="1"/>
  <c r="F84" i="118"/>
  <c r="P84" i="79" s="1"/>
  <c r="Z84" i="79" s="1"/>
  <c r="AN84" i="79" s="1"/>
  <c r="F116" i="118"/>
  <c r="P116" i="79" s="1"/>
  <c r="Z116" i="79" s="1"/>
  <c r="AN116" i="79" s="1"/>
  <c r="F114" i="118"/>
  <c r="P114" i="79" s="1"/>
  <c r="Z114" i="79" s="1"/>
  <c r="AN114" i="79" s="1"/>
  <c r="F64" i="118"/>
  <c r="P64" i="79" s="1"/>
  <c r="Z64" i="79" s="1"/>
  <c r="AN64" i="79" s="1"/>
  <c r="F112" i="118"/>
  <c r="P112" i="79" s="1"/>
  <c r="Z112" i="79" s="1"/>
  <c r="AN112" i="79" s="1"/>
  <c r="F48" i="118"/>
  <c r="P48" i="79" s="1"/>
  <c r="Z48" i="79" s="1"/>
  <c r="AN48" i="79" s="1"/>
  <c r="F36" i="118"/>
  <c r="P36" i="79" s="1"/>
  <c r="Z36" i="79" s="1"/>
  <c r="AN36" i="79" s="1"/>
  <c r="F32" i="118"/>
  <c r="P32" i="79" s="1"/>
  <c r="Z32" i="79" s="1"/>
  <c r="AN32" i="79" s="1"/>
  <c r="F104" i="118"/>
  <c r="P104" i="79" s="1"/>
  <c r="Z104" i="79" s="1"/>
  <c r="AN104" i="79" s="1"/>
  <c r="F23" i="118"/>
  <c r="P23" i="79" s="1"/>
  <c r="Z23" i="79" s="1"/>
  <c r="AN23" i="79" s="1"/>
  <c r="F19" i="118"/>
  <c r="P19" i="79" s="1"/>
  <c r="Z19" i="79" s="1"/>
  <c r="AN19" i="79" s="1"/>
  <c r="F16" i="118"/>
  <c r="P16" i="79" s="1"/>
  <c r="Z16" i="79" s="1"/>
  <c r="AN16" i="79" s="1"/>
  <c r="F12" i="118"/>
  <c r="P12" i="79" s="1"/>
  <c r="Z12" i="79" s="1"/>
  <c r="AN12" i="79" s="1"/>
  <c r="F8" i="118"/>
  <c r="P8" i="79" s="1"/>
  <c r="Z8" i="79" s="1"/>
  <c r="AN8" i="79" s="1"/>
  <c r="F96" i="118"/>
  <c r="P96" i="79" s="1"/>
  <c r="Z96" i="79" s="1"/>
  <c r="AN96" i="79" s="1"/>
  <c r="F80" i="118"/>
  <c r="P80" i="79" s="1"/>
  <c r="Z80" i="79" s="1"/>
  <c r="AN80" i="79" s="1"/>
  <c r="F68" i="118"/>
  <c r="P68" i="79" s="1"/>
  <c r="Z68" i="79" s="1"/>
  <c r="AN68" i="79" s="1"/>
  <c r="F92" i="118"/>
  <c r="P92" i="79" s="1"/>
  <c r="Z92" i="79" s="1"/>
  <c r="AN92" i="79" s="1"/>
  <c r="F76" i="118"/>
  <c r="P76" i="79" s="1"/>
  <c r="Z76" i="79" s="1"/>
  <c r="AN76" i="79" s="1"/>
  <c r="F60" i="118"/>
  <c r="P60" i="79" s="1"/>
  <c r="Z60" i="79" s="1"/>
  <c r="AN60" i="79" s="1"/>
  <c r="F56" i="118"/>
  <c r="P56" i="79" s="1"/>
  <c r="Z56" i="79" s="1"/>
  <c r="AN56" i="79" s="1"/>
  <c r="F52" i="118"/>
  <c r="P52" i="79" s="1"/>
  <c r="Z52" i="79" s="1"/>
  <c r="AN52" i="79" s="1"/>
  <c r="F24" i="118"/>
  <c r="P24" i="79" s="1"/>
  <c r="Z24" i="79" s="1"/>
  <c r="AN24" i="79" s="1"/>
  <c r="F20" i="118"/>
  <c r="P20" i="79" s="1"/>
  <c r="Z20" i="79" s="1"/>
  <c r="AN20" i="79" s="1"/>
  <c r="F35" i="118"/>
  <c r="P35" i="79" s="1"/>
  <c r="Z35" i="79" s="1"/>
  <c r="AN35" i="79" s="1"/>
  <c r="F31" i="118"/>
  <c r="P31" i="79" s="1"/>
  <c r="Z31" i="79" s="1"/>
  <c r="AN31" i="79" s="1"/>
  <c r="F97" i="118"/>
  <c r="P97" i="79" s="1"/>
  <c r="Z97" i="79" s="1"/>
  <c r="AN97" i="79" s="1"/>
  <c r="F120" i="118"/>
  <c r="P120" i="79" s="1"/>
  <c r="Z120" i="79" s="1"/>
  <c r="AN120" i="79" s="1"/>
  <c r="F118" i="118"/>
  <c r="P118" i="79" s="1"/>
  <c r="Z118" i="79" s="1"/>
  <c r="AN118" i="79" s="1"/>
  <c r="F69" i="118"/>
  <c r="P69" i="79" s="1"/>
  <c r="Z69" i="79" s="1"/>
  <c r="AN69" i="79" s="1"/>
  <c r="F61" i="118"/>
  <c r="P61" i="79" s="1"/>
  <c r="Z61" i="79" s="1"/>
  <c r="AN61" i="79" s="1"/>
  <c r="F110" i="118"/>
  <c r="P110" i="79" s="1"/>
  <c r="Z110" i="79" s="1"/>
  <c r="AN110" i="79" s="1"/>
  <c r="F103" i="118"/>
  <c r="P103" i="79" s="1"/>
  <c r="Z103" i="79" s="1"/>
  <c r="AN103" i="79" s="1"/>
  <c r="F15" i="118"/>
  <c r="P15" i="79" s="1"/>
  <c r="Z15" i="79" s="1"/>
  <c r="AN15" i="79" s="1"/>
  <c r="F11" i="118"/>
  <c r="P11" i="79" s="1"/>
  <c r="Z11" i="79" s="1"/>
  <c r="AN11" i="79" s="1"/>
  <c r="F101" i="118"/>
  <c r="P101" i="79" s="1"/>
  <c r="Z101" i="79" s="1"/>
  <c r="AN101" i="79" s="1"/>
  <c r="F29" i="118"/>
  <c r="P29" i="79" s="1"/>
  <c r="Z29" i="79" s="1"/>
  <c r="AN29" i="79" s="1"/>
  <c r="F93" i="118"/>
  <c r="P93" i="79" s="1"/>
  <c r="Z93" i="79" s="1"/>
  <c r="AN93" i="79" s="1"/>
  <c r="F77" i="118"/>
  <c r="P77" i="79" s="1"/>
  <c r="Z77" i="79" s="1"/>
  <c r="AN77" i="79" s="1"/>
  <c r="F111" i="118"/>
  <c r="P111" i="79" s="1"/>
  <c r="Z111" i="79" s="1"/>
  <c r="AN111" i="79" s="1"/>
  <c r="F57" i="118"/>
  <c r="P57" i="79" s="1"/>
  <c r="Z57" i="79" s="1"/>
  <c r="AN57" i="79" s="1"/>
  <c r="F53" i="118"/>
  <c r="P53" i="79" s="1"/>
  <c r="Z53" i="79" s="1"/>
  <c r="AN53" i="79" s="1"/>
  <c r="F109" i="118"/>
  <c r="P109" i="79" s="1"/>
  <c r="Z109" i="79" s="1"/>
  <c r="AN109" i="79" s="1"/>
  <c r="F108" i="118"/>
  <c r="P108" i="79" s="1"/>
  <c r="Z108" i="79" s="1"/>
  <c r="AN108" i="79" s="1"/>
  <c r="F106" i="118"/>
  <c r="P106" i="79" s="1"/>
  <c r="Z106" i="79" s="1"/>
  <c r="AN106" i="79" s="1"/>
  <c r="F105" i="118"/>
  <c r="P105" i="79" s="1"/>
  <c r="Z105" i="79" s="1"/>
  <c r="AN105" i="79" s="1"/>
  <c r="F25" i="118"/>
  <c r="P25" i="79" s="1"/>
  <c r="Z25" i="79" s="1"/>
  <c r="AN25" i="79" s="1"/>
  <c r="F21" i="118"/>
  <c r="P21" i="79" s="1"/>
  <c r="Z21" i="79" s="1"/>
  <c r="AN21" i="79" s="1"/>
  <c r="F102" i="118"/>
  <c r="P102" i="79" s="1"/>
  <c r="Z102" i="79" s="1"/>
  <c r="AN102" i="79" s="1"/>
  <c r="F125" i="118"/>
  <c r="P125" i="79" s="1"/>
  <c r="Z125" i="79" s="1"/>
  <c r="AN125" i="79" s="1"/>
  <c r="F89" i="118"/>
  <c r="P89" i="79" s="1"/>
  <c r="Z89" i="79" s="1"/>
  <c r="AN89" i="79" s="1"/>
  <c r="F85" i="118"/>
  <c r="P85" i="79" s="1"/>
  <c r="Z85" i="79" s="1"/>
  <c r="AN85" i="79" s="1"/>
  <c r="F121" i="118"/>
  <c r="P121" i="79" s="1"/>
  <c r="Z121" i="79" s="1"/>
  <c r="AN121" i="79" s="1"/>
  <c r="F119" i="118"/>
  <c r="P119" i="79" s="1"/>
  <c r="Z119" i="79" s="1"/>
  <c r="AN119" i="79" s="1"/>
  <c r="F117" i="118"/>
  <c r="P117" i="79" s="1"/>
  <c r="Z117" i="79" s="1"/>
  <c r="AN117" i="79" s="1"/>
  <c r="F115" i="118"/>
  <c r="P115" i="79" s="1"/>
  <c r="Z115" i="79" s="1"/>
  <c r="AN115" i="79" s="1"/>
  <c r="F65" i="118"/>
  <c r="P65" i="79" s="1"/>
  <c r="Z65" i="79" s="1"/>
  <c r="AN65" i="79" s="1"/>
  <c r="F113" i="118"/>
  <c r="P113" i="79" s="1"/>
  <c r="Z113" i="79" s="1"/>
  <c r="AN113" i="79" s="1"/>
  <c r="F49" i="118"/>
  <c r="P49" i="79" s="1"/>
  <c r="Z49" i="79" s="1"/>
  <c r="AN49" i="79" s="1"/>
  <c r="F107" i="118"/>
  <c r="P107" i="79" s="1"/>
  <c r="Z107" i="79" s="1"/>
  <c r="AN107" i="79" s="1"/>
  <c r="F37" i="118"/>
  <c r="P37" i="79" s="1"/>
  <c r="Z37" i="79" s="1"/>
  <c r="AN37" i="79" s="1"/>
  <c r="F33" i="118"/>
  <c r="P33" i="79" s="1"/>
  <c r="Z33" i="79" s="1"/>
  <c r="AN33" i="79" s="1"/>
  <c r="F17" i="118"/>
  <c r="P17" i="79" s="1"/>
  <c r="Z17" i="79" s="1"/>
  <c r="AN17" i="79" s="1"/>
  <c r="F13" i="118"/>
  <c r="P13" i="79" s="1"/>
  <c r="Z13" i="79" s="1"/>
  <c r="AN13" i="79" s="1"/>
  <c r="F9" i="118"/>
  <c r="P9" i="79" s="1"/>
  <c r="Z9" i="79" s="1"/>
  <c r="AN9" i="79" s="1"/>
  <c r="AY131" i="24"/>
  <c r="AY130" i="24"/>
  <c r="AY129" i="24"/>
  <c r="AY128" i="24"/>
  <c r="AY127" i="24"/>
  <c r="AY100" i="24"/>
  <c r="AY99" i="24"/>
  <c r="AY98" i="24"/>
  <c r="AY125" i="24"/>
  <c r="AY124" i="24"/>
  <c r="AY97" i="24"/>
  <c r="AY96" i="24"/>
  <c r="AY95" i="24"/>
  <c r="AY123" i="24"/>
  <c r="AY94" i="24"/>
  <c r="AY93" i="24"/>
  <c r="AY92" i="24"/>
  <c r="AY122" i="24"/>
  <c r="AY91" i="24"/>
  <c r="AY90" i="24"/>
  <c r="AY89" i="24"/>
  <c r="AY88" i="24"/>
  <c r="AY87" i="24"/>
  <c r="AY86" i="24"/>
  <c r="AY85" i="24"/>
  <c r="AY84" i="24"/>
  <c r="AY83" i="24"/>
  <c r="AY82" i="24"/>
  <c r="AY121" i="24"/>
  <c r="AY81" i="24"/>
  <c r="AY120" i="24"/>
  <c r="AY80" i="24"/>
  <c r="AY119" i="24"/>
  <c r="AY79" i="24"/>
  <c r="AY78" i="24"/>
  <c r="AY77" i="24"/>
  <c r="AY76" i="24"/>
  <c r="AY75" i="24"/>
  <c r="AY118" i="24"/>
  <c r="AY74" i="24"/>
  <c r="AY117" i="24"/>
  <c r="AY73" i="24"/>
  <c r="AY72" i="24"/>
  <c r="AY71" i="24"/>
  <c r="AY70" i="24"/>
  <c r="AY116" i="24"/>
  <c r="AY69" i="24"/>
  <c r="AY68" i="24"/>
  <c r="AY115" i="24"/>
  <c r="AY114" i="24"/>
  <c r="AY67" i="24"/>
  <c r="AY66" i="24"/>
  <c r="AY65" i="24"/>
  <c r="AY64" i="24"/>
  <c r="AY63" i="24"/>
  <c r="AY62" i="24"/>
  <c r="AY113" i="24"/>
  <c r="AY112" i="24"/>
  <c r="AY61" i="24"/>
  <c r="AY111" i="24"/>
  <c r="AY60" i="24"/>
  <c r="AY59" i="24"/>
  <c r="AY58" i="24"/>
  <c r="AY57" i="24"/>
  <c r="AY56" i="24"/>
  <c r="AY55" i="24"/>
  <c r="AY54" i="24"/>
  <c r="AY53" i="24"/>
  <c r="AY52" i="24"/>
  <c r="AY51" i="24"/>
  <c r="AY110" i="24"/>
  <c r="AY50" i="24"/>
  <c r="AY49" i="24"/>
  <c r="AY48" i="24"/>
  <c r="AY47" i="24"/>
  <c r="AY109" i="24"/>
  <c r="AY46" i="24"/>
  <c r="AY45" i="24"/>
  <c r="AY44" i="24"/>
  <c r="AY43" i="24"/>
  <c r="AY42" i="24"/>
  <c r="AY41" i="24"/>
  <c r="AY40" i="24"/>
  <c r="AY108" i="24"/>
  <c r="AY107" i="24"/>
  <c r="AY39" i="24"/>
  <c r="AY38" i="24"/>
  <c r="AY106" i="24"/>
  <c r="AY37" i="24"/>
  <c r="AY36" i="24"/>
  <c r="AY35" i="24"/>
  <c r="AY34" i="24"/>
  <c r="AY33" i="24"/>
  <c r="AY32" i="24"/>
  <c r="AY31" i="24"/>
  <c r="AY105" i="24"/>
  <c r="AY30" i="24"/>
  <c r="AY29" i="24"/>
  <c r="AY28" i="24"/>
  <c r="AY27" i="24"/>
  <c r="AY26" i="24"/>
  <c r="AY104" i="24"/>
  <c r="AY103" i="24"/>
  <c r="AY25" i="24"/>
  <c r="AY24" i="24"/>
  <c r="AY23" i="24"/>
  <c r="AY22" i="24"/>
  <c r="AY21" i="24"/>
  <c r="AY20" i="24"/>
  <c r="AY19" i="24"/>
  <c r="AY18" i="24"/>
  <c r="AY102" i="24"/>
  <c r="AY17" i="24"/>
  <c r="AY16" i="24"/>
  <c r="AY15" i="24"/>
  <c r="AY14" i="24"/>
  <c r="AY13" i="24"/>
  <c r="AY12" i="24"/>
  <c r="AY11" i="24"/>
  <c r="AY10" i="24"/>
  <c r="AY9" i="24"/>
  <c r="AY8" i="24"/>
  <c r="AY101" i="24"/>
  <c r="AY7" i="24"/>
  <c r="AY6" i="24"/>
  <c r="AY5" i="24" l="1"/>
  <c r="F68" i="1" s="1"/>
  <c r="H4" i="115"/>
  <c r="G4" i="115"/>
  <c r="E4" i="115"/>
  <c r="D4" i="115"/>
  <c r="F4" i="115" l="1"/>
  <c r="AC99" i="92" l="1"/>
  <c r="AC98" i="92"/>
  <c r="AC97" i="92"/>
  <c r="AC124" i="92"/>
  <c r="AC123" i="92"/>
  <c r="AC96" i="92"/>
  <c r="AC95" i="92"/>
  <c r="AC94" i="92"/>
  <c r="AC122" i="92"/>
  <c r="AC93" i="92"/>
  <c r="AC92" i="92"/>
  <c r="AC91" i="92"/>
  <c r="AC121" i="92"/>
  <c r="AC90" i="92"/>
  <c r="AC89" i="92"/>
  <c r="AC88" i="92"/>
  <c r="AC87" i="92"/>
  <c r="AC86" i="92"/>
  <c r="AC85" i="92"/>
  <c r="AC84" i="92"/>
  <c r="AC83" i="92"/>
  <c r="AC82" i="92"/>
  <c r="AC81" i="92"/>
  <c r="AC120" i="92"/>
  <c r="AC80" i="92"/>
  <c r="AC119" i="92"/>
  <c r="AC79" i="92"/>
  <c r="AC118" i="92"/>
  <c r="AC78" i="92"/>
  <c r="AC77" i="92"/>
  <c r="AC76" i="92"/>
  <c r="AC75" i="92"/>
  <c r="AC74" i="92"/>
  <c r="AC117" i="92"/>
  <c r="AC73" i="92"/>
  <c r="AC116" i="92"/>
  <c r="AC72" i="92"/>
  <c r="AC71" i="92"/>
  <c r="AC70" i="92"/>
  <c r="AC69" i="92"/>
  <c r="AC115" i="92"/>
  <c r="AC68" i="92"/>
  <c r="AC67" i="92"/>
  <c r="AC114" i="92"/>
  <c r="AC113" i="92"/>
  <c r="AC66" i="92"/>
  <c r="AC65" i="92"/>
  <c r="AC64" i="92"/>
  <c r="AC63" i="92"/>
  <c r="AC62" i="92"/>
  <c r="AC61" i="92"/>
  <c r="AC112" i="92"/>
  <c r="AC111" i="92"/>
  <c r="AC60" i="92"/>
  <c r="AC110" i="92"/>
  <c r="AC59" i="92"/>
  <c r="AC58" i="92"/>
  <c r="AC57" i="92"/>
  <c r="AC56" i="92"/>
  <c r="AC55" i="92"/>
  <c r="AC54" i="92"/>
  <c r="AC53" i="92"/>
  <c r="AC52" i="92"/>
  <c r="AC51" i="92"/>
  <c r="AC50" i="92"/>
  <c r="AC109" i="92"/>
  <c r="AC49" i="92"/>
  <c r="AC48" i="92"/>
  <c r="AC47" i="92"/>
  <c r="AC46" i="92"/>
  <c r="AC108" i="92"/>
  <c r="AC45" i="92"/>
  <c r="AC44" i="92"/>
  <c r="AC43" i="92"/>
  <c r="AC42" i="92"/>
  <c r="AC41" i="92"/>
  <c r="AC40" i="92"/>
  <c r="AC39" i="92"/>
  <c r="AC107" i="92"/>
  <c r="AC106" i="92"/>
  <c r="AC38" i="92"/>
  <c r="AC37" i="92"/>
  <c r="AC105" i="92"/>
  <c r="AC36" i="92"/>
  <c r="AC35" i="92"/>
  <c r="AC34" i="92"/>
  <c r="AC33" i="92"/>
  <c r="AC32" i="92"/>
  <c r="AC31" i="92"/>
  <c r="AC30" i="92"/>
  <c r="AC104" i="92"/>
  <c r="AC29" i="92"/>
  <c r="AC28" i="92"/>
  <c r="AC27" i="92"/>
  <c r="AC26" i="92"/>
  <c r="AC25" i="92"/>
  <c r="AC103" i="92"/>
  <c r="AC102" i="92"/>
  <c r="AC24" i="92"/>
  <c r="AC23" i="92"/>
  <c r="AC22" i="92"/>
  <c r="AC21" i="92"/>
  <c r="AC20" i="92"/>
  <c r="AC19" i="92"/>
  <c r="AC18" i="92"/>
  <c r="AC17" i="92"/>
  <c r="AC101" i="92"/>
  <c r="AC16" i="92"/>
  <c r="AC15" i="92"/>
  <c r="AC14" i="92"/>
  <c r="AC13" i="92"/>
  <c r="AC12" i="92"/>
  <c r="AC11" i="92"/>
  <c r="AC10" i="92"/>
  <c r="AC9" i="92"/>
  <c r="AC8" i="92"/>
  <c r="AC7" i="92"/>
  <c r="AC100" i="92"/>
  <c r="AC6" i="92"/>
  <c r="AC5" i="92"/>
  <c r="AA4" i="92"/>
  <c r="Z4" i="92"/>
  <c r="Y4" i="92"/>
  <c r="O100" i="6"/>
  <c r="O99" i="6"/>
  <c r="O98" i="6"/>
  <c r="O125" i="6"/>
  <c r="O124" i="6"/>
  <c r="O97" i="6"/>
  <c r="O96" i="6"/>
  <c r="O95" i="6"/>
  <c r="O123" i="6"/>
  <c r="O94" i="6"/>
  <c r="O93" i="6"/>
  <c r="O92" i="6"/>
  <c r="O122" i="6"/>
  <c r="O91" i="6"/>
  <c r="O90" i="6"/>
  <c r="O89" i="6"/>
  <c r="O88" i="6"/>
  <c r="O87" i="6"/>
  <c r="O86" i="6"/>
  <c r="O85" i="6"/>
  <c r="O84" i="6"/>
  <c r="O83" i="6"/>
  <c r="O82" i="6"/>
  <c r="O121" i="6"/>
  <c r="O81" i="6"/>
  <c r="O120" i="6"/>
  <c r="O80" i="6"/>
  <c r="O119" i="6"/>
  <c r="O79" i="6"/>
  <c r="O78" i="6"/>
  <c r="O77" i="6"/>
  <c r="O76" i="6"/>
  <c r="O75" i="6"/>
  <c r="O118" i="6"/>
  <c r="O74" i="6"/>
  <c r="O117" i="6"/>
  <c r="O73" i="6"/>
  <c r="O72" i="6"/>
  <c r="O71" i="6"/>
  <c r="O70" i="6"/>
  <c r="O116" i="6"/>
  <c r="O69" i="6"/>
  <c r="O68" i="6"/>
  <c r="O115" i="6"/>
  <c r="O114" i="6"/>
  <c r="O67" i="6"/>
  <c r="O66" i="6"/>
  <c r="O65" i="6"/>
  <c r="O64" i="6"/>
  <c r="O63" i="6"/>
  <c r="O62" i="6"/>
  <c r="O113" i="6"/>
  <c r="O112" i="6"/>
  <c r="O61" i="6"/>
  <c r="O111" i="6"/>
  <c r="O60" i="6"/>
  <c r="O59" i="6"/>
  <c r="O58" i="6"/>
  <c r="O57" i="6"/>
  <c r="O56" i="6"/>
  <c r="O55" i="6"/>
  <c r="O54" i="6"/>
  <c r="O53" i="6"/>
  <c r="O52" i="6"/>
  <c r="O51" i="6"/>
  <c r="O110" i="6"/>
  <c r="O50" i="6"/>
  <c r="O49" i="6"/>
  <c r="O48" i="6"/>
  <c r="O47" i="6"/>
  <c r="O109" i="6"/>
  <c r="O46" i="6"/>
  <c r="O45" i="6"/>
  <c r="O44" i="6"/>
  <c r="O43" i="6"/>
  <c r="O42" i="6"/>
  <c r="O41" i="6"/>
  <c r="O40" i="6"/>
  <c r="O108" i="6"/>
  <c r="O107" i="6"/>
  <c r="O39" i="6"/>
  <c r="O38" i="6"/>
  <c r="O106" i="6"/>
  <c r="O37" i="6"/>
  <c r="O36" i="6"/>
  <c r="O35" i="6"/>
  <c r="O34" i="6"/>
  <c r="O33" i="6"/>
  <c r="O32" i="6"/>
  <c r="O31" i="6"/>
  <c r="O105" i="6"/>
  <c r="O30" i="6"/>
  <c r="O29" i="6"/>
  <c r="O28" i="6"/>
  <c r="O27" i="6"/>
  <c r="O26" i="6"/>
  <c r="O104" i="6"/>
  <c r="O103" i="6"/>
  <c r="O25" i="6"/>
  <c r="O24" i="6"/>
  <c r="O23" i="6"/>
  <c r="O22" i="6"/>
  <c r="O21" i="6"/>
  <c r="O20" i="6"/>
  <c r="O19" i="6"/>
  <c r="O18" i="6"/>
  <c r="O102" i="6"/>
  <c r="O17" i="6"/>
  <c r="O16" i="6"/>
  <c r="O15" i="6"/>
  <c r="O14" i="6"/>
  <c r="O13" i="6"/>
  <c r="O12" i="6"/>
  <c r="O11" i="6"/>
  <c r="O10" i="6"/>
  <c r="O9" i="6"/>
  <c r="O8" i="6"/>
  <c r="O101" i="6"/>
  <c r="O7" i="6"/>
  <c r="O6" i="6"/>
  <c r="H5" i="6"/>
  <c r="S99" i="92"/>
  <c r="S98" i="92"/>
  <c r="S97" i="92"/>
  <c r="S124" i="92"/>
  <c r="S123" i="92"/>
  <c r="S96" i="92"/>
  <c r="S95" i="92"/>
  <c r="S94" i="92"/>
  <c r="S122" i="92"/>
  <c r="S93" i="92"/>
  <c r="S92" i="92"/>
  <c r="S91" i="92"/>
  <c r="S121" i="92"/>
  <c r="S90" i="92"/>
  <c r="S89" i="92"/>
  <c r="S88" i="92"/>
  <c r="S87" i="92"/>
  <c r="S86" i="92"/>
  <c r="S85" i="92"/>
  <c r="S84" i="92"/>
  <c r="S83" i="92"/>
  <c r="S82" i="92"/>
  <c r="S81" i="92"/>
  <c r="S120" i="92"/>
  <c r="S80" i="92"/>
  <c r="S119" i="92"/>
  <c r="S79" i="92"/>
  <c r="S118" i="92"/>
  <c r="S78" i="92"/>
  <c r="S77" i="92"/>
  <c r="S76" i="92"/>
  <c r="S75" i="92"/>
  <c r="S74" i="92"/>
  <c r="S117" i="92"/>
  <c r="S73" i="92"/>
  <c r="S116" i="92"/>
  <c r="S72" i="92"/>
  <c r="S71" i="92"/>
  <c r="S70" i="92"/>
  <c r="S69" i="92"/>
  <c r="S115" i="92"/>
  <c r="S68" i="92"/>
  <c r="S67" i="92"/>
  <c r="S114" i="92"/>
  <c r="S113" i="92"/>
  <c r="S66" i="92"/>
  <c r="S65" i="92"/>
  <c r="S64" i="92"/>
  <c r="S63" i="92"/>
  <c r="S62" i="92"/>
  <c r="S61" i="92"/>
  <c r="S112" i="92"/>
  <c r="S111" i="92"/>
  <c r="S60" i="92"/>
  <c r="S110" i="92"/>
  <c r="S59" i="92"/>
  <c r="S58" i="92"/>
  <c r="S57" i="92"/>
  <c r="S56" i="92"/>
  <c r="S55" i="92"/>
  <c r="S54" i="92"/>
  <c r="S53" i="92"/>
  <c r="S52" i="92"/>
  <c r="S51" i="92"/>
  <c r="S50" i="92"/>
  <c r="S109" i="92"/>
  <c r="S49" i="92"/>
  <c r="S48" i="92"/>
  <c r="S47" i="92"/>
  <c r="S46" i="92"/>
  <c r="S108" i="92"/>
  <c r="S45" i="92"/>
  <c r="S44" i="92"/>
  <c r="S43" i="92"/>
  <c r="S42" i="92"/>
  <c r="S41" i="92"/>
  <c r="S40" i="92"/>
  <c r="S39" i="92"/>
  <c r="S107" i="92"/>
  <c r="S106" i="92"/>
  <c r="S38" i="92"/>
  <c r="S37" i="92"/>
  <c r="S105" i="92"/>
  <c r="S36" i="92"/>
  <c r="S35" i="92"/>
  <c r="S34" i="92"/>
  <c r="S33" i="92"/>
  <c r="S32" i="92"/>
  <c r="S31" i="92"/>
  <c r="S30" i="92"/>
  <c r="S104" i="92"/>
  <c r="S29" i="92"/>
  <c r="S28" i="92"/>
  <c r="S27" i="92"/>
  <c r="S26" i="92"/>
  <c r="S25" i="92"/>
  <c r="S103" i="92"/>
  <c r="S102" i="92"/>
  <c r="S24" i="92"/>
  <c r="S23" i="92"/>
  <c r="S22" i="92"/>
  <c r="S21" i="92"/>
  <c r="S20" i="92"/>
  <c r="S19" i="92"/>
  <c r="S18" i="92"/>
  <c r="S17" i="92"/>
  <c r="S101" i="92"/>
  <c r="S16" i="92"/>
  <c r="S15" i="92"/>
  <c r="S14" i="92"/>
  <c r="S13" i="92"/>
  <c r="S12" i="92"/>
  <c r="S11" i="92"/>
  <c r="S10" i="92"/>
  <c r="S9" i="92"/>
  <c r="S8" i="92"/>
  <c r="S7" i="92"/>
  <c r="S100" i="92"/>
  <c r="S6" i="92"/>
  <c r="S5" i="92"/>
  <c r="M124" i="122"/>
  <c r="M123" i="122"/>
  <c r="M122" i="122"/>
  <c r="M121" i="122"/>
  <c r="M120" i="122"/>
  <c r="M119" i="122"/>
  <c r="M118" i="122"/>
  <c r="M117" i="122"/>
  <c r="M116" i="122"/>
  <c r="M115" i="122"/>
  <c r="M114" i="122"/>
  <c r="M113" i="122"/>
  <c r="M112" i="122"/>
  <c r="M111" i="122"/>
  <c r="M110" i="122"/>
  <c r="M109" i="122"/>
  <c r="M108" i="122"/>
  <c r="M107" i="122"/>
  <c r="M106" i="122"/>
  <c r="M105" i="122"/>
  <c r="M104" i="122"/>
  <c r="M103" i="122"/>
  <c r="M102" i="122"/>
  <c r="M101" i="122"/>
  <c r="M100" i="122"/>
  <c r="M99" i="122"/>
  <c r="M98" i="122"/>
  <c r="M97" i="122"/>
  <c r="M96" i="122"/>
  <c r="M95" i="122"/>
  <c r="M94" i="122"/>
  <c r="M93" i="122"/>
  <c r="M92" i="122"/>
  <c r="M91" i="122"/>
  <c r="M90" i="122"/>
  <c r="M89" i="122"/>
  <c r="M88" i="122"/>
  <c r="M87" i="122"/>
  <c r="M86" i="122"/>
  <c r="M85" i="122"/>
  <c r="M84" i="122"/>
  <c r="M83" i="122"/>
  <c r="M82" i="122"/>
  <c r="M81" i="122"/>
  <c r="M80" i="122"/>
  <c r="M79" i="122"/>
  <c r="M78" i="122"/>
  <c r="M77" i="122"/>
  <c r="M76" i="122"/>
  <c r="M75" i="122"/>
  <c r="M74" i="122"/>
  <c r="M73" i="122"/>
  <c r="M72" i="122"/>
  <c r="M71" i="122"/>
  <c r="M70" i="122"/>
  <c r="M69" i="122"/>
  <c r="M68" i="122"/>
  <c r="M67" i="122"/>
  <c r="M66" i="122"/>
  <c r="M65" i="122"/>
  <c r="M64" i="122"/>
  <c r="M63" i="122"/>
  <c r="M62" i="122"/>
  <c r="M61" i="122"/>
  <c r="M60" i="122"/>
  <c r="M59" i="122"/>
  <c r="M58" i="122"/>
  <c r="M57" i="122"/>
  <c r="M56" i="122"/>
  <c r="M55" i="122"/>
  <c r="M54" i="122"/>
  <c r="M53" i="122"/>
  <c r="M52" i="122"/>
  <c r="M51" i="122"/>
  <c r="M50" i="122"/>
  <c r="M49" i="122"/>
  <c r="M48" i="122"/>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10" i="122"/>
  <c r="M9" i="122"/>
  <c r="M8" i="122"/>
  <c r="M7" i="122"/>
  <c r="M6" i="122"/>
  <c r="M5" i="122"/>
  <c r="L99" i="96"/>
  <c r="L98" i="96"/>
  <c r="L97" i="96"/>
  <c r="L124" i="96"/>
  <c r="L123" i="96"/>
  <c r="L96" i="96"/>
  <c r="L95" i="96"/>
  <c r="L94" i="96"/>
  <c r="L122" i="96"/>
  <c r="L93" i="96"/>
  <c r="L92" i="96"/>
  <c r="L91" i="96"/>
  <c r="L121" i="96"/>
  <c r="L90" i="96"/>
  <c r="L89" i="96"/>
  <c r="L88" i="96"/>
  <c r="L87" i="96"/>
  <c r="L86" i="96"/>
  <c r="L85" i="96"/>
  <c r="L84" i="96"/>
  <c r="L83" i="96"/>
  <c r="L82" i="96"/>
  <c r="L81" i="96"/>
  <c r="L120" i="96"/>
  <c r="L80" i="96"/>
  <c r="L119" i="96"/>
  <c r="L79" i="96"/>
  <c r="L118" i="96"/>
  <c r="L78" i="96"/>
  <c r="L77" i="96"/>
  <c r="L76" i="96"/>
  <c r="L75" i="96"/>
  <c r="L74" i="96"/>
  <c r="L117" i="96"/>
  <c r="L73" i="96"/>
  <c r="L116" i="96"/>
  <c r="L72" i="96"/>
  <c r="L71" i="96"/>
  <c r="L70" i="96"/>
  <c r="L69" i="96"/>
  <c r="L115" i="96"/>
  <c r="L68" i="96"/>
  <c r="L67" i="96"/>
  <c r="L114" i="96"/>
  <c r="L113" i="96"/>
  <c r="L66" i="96"/>
  <c r="L65" i="96"/>
  <c r="L64" i="96"/>
  <c r="L63" i="96"/>
  <c r="L62" i="96"/>
  <c r="L61" i="96"/>
  <c r="L112" i="96"/>
  <c r="L111" i="96"/>
  <c r="L60" i="96"/>
  <c r="L110" i="96"/>
  <c r="L59" i="96"/>
  <c r="L58" i="96"/>
  <c r="L57" i="96"/>
  <c r="L56" i="96"/>
  <c r="L55" i="96"/>
  <c r="L54" i="96"/>
  <c r="L53" i="96"/>
  <c r="L52" i="96"/>
  <c r="L51" i="96"/>
  <c r="L50" i="96"/>
  <c r="L109" i="96"/>
  <c r="L49" i="96"/>
  <c r="L48" i="96"/>
  <c r="L47" i="96"/>
  <c r="L46" i="96"/>
  <c r="L108" i="96"/>
  <c r="L45" i="96"/>
  <c r="L44" i="96"/>
  <c r="L43" i="96"/>
  <c r="L42" i="96"/>
  <c r="L41" i="96"/>
  <c r="L40" i="96"/>
  <c r="L39" i="96"/>
  <c r="L107" i="96"/>
  <c r="L106" i="96"/>
  <c r="L38" i="96"/>
  <c r="L37" i="96"/>
  <c r="L105" i="96"/>
  <c r="L36" i="96"/>
  <c r="L35" i="96"/>
  <c r="L34" i="96"/>
  <c r="L33" i="96"/>
  <c r="L32" i="96"/>
  <c r="L31" i="96"/>
  <c r="L30" i="96"/>
  <c r="L104" i="96"/>
  <c r="L29" i="96"/>
  <c r="L28" i="96"/>
  <c r="L27" i="96"/>
  <c r="L26" i="96"/>
  <c r="L25" i="96"/>
  <c r="L103" i="96"/>
  <c r="L102" i="96"/>
  <c r="L24" i="96"/>
  <c r="L23" i="96"/>
  <c r="L22" i="96"/>
  <c r="L21" i="96"/>
  <c r="L20" i="96"/>
  <c r="L19" i="96"/>
  <c r="L18" i="96"/>
  <c r="L17" i="96"/>
  <c r="L101" i="96"/>
  <c r="L16" i="96"/>
  <c r="L15" i="96"/>
  <c r="L14" i="96"/>
  <c r="L13" i="96"/>
  <c r="L12" i="96"/>
  <c r="L11" i="96"/>
  <c r="L10" i="96"/>
  <c r="L9" i="96"/>
  <c r="L8" i="96"/>
  <c r="L7" i="96"/>
  <c r="L100" i="96"/>
  <c r="L6" i="96"/>
  <c r="L5" i="96"/>
  <c r="D99" i="96"/>
  <c r="D98" i="96"/>
  <c r="D97" i="96"/>
  <c r="D124" i="96"/>
  <c r="D123" i="96"/>
  <c r="D96" i="96"/>
  <c r="D95" i="96"/>
  <c r="D94" i="96"/>
  <c r="D122" i="96"/>
  <c r="D93" i="96"/>
  <c r="D92" i="96"/>
  <c r="D91" i="96"/>
  <c r="D121" i="96"/>
  <c r="D90" i="96"/>
  <c r="D89" i="96"/>
  <c r="D88" i="96"/>
  <c r="D87" i="96"/>
  <c r="D86" i="96"/>
  <c r="D85" i="96"/>
  <c r="D84" i="96"/>
  <c r="D83" i="96"/>
  <c r="D82" i="96"/>
  <c r="D81" i="96"/>
  <c r="D120" i="96"/>
  <c r="D80" i="96"/>
  <c r="D119" i="96"/>
  <c r="D79" i="96"/>
  <c r="D118" i="96"/>
  <c r="D78" i="96"/>
  <c r="D77" i="96"/>
  <c r="D76" i="96"/>
  <c r="D75" i="96"/>
  <c r="D74" i="96"/>
  <c r="D117" i="96"/>
  <c r="D73" i="96"/>
  <c r="D116" i="96"/>
  <c r="D72" i="96"/>
  <c r="D71" i="96"/>
  <c r="D70" i="96"/>
  <c r="D69" i="96"/>
  <c r="D115" i="96"/>
  <c r="D68" i="96"/>
  <c r="D67" i="96"/>
  <c r="D114" i="96"/>
  <c r="D113" i="96"/>
  <c r="D66" i="96"/>
  <c r="D65" i="96"/>
  <c r="D64" i="96"/>
  <c r="D63" i="96"/>
  <c r="D62" i="96"/>
  <c r="D61" i="96"/>
  <c r="D112" i="96"/>
  <c r="D111" i="96"/>
  <c r="D60" i="96"/>
  <c r="D110" i="96"/>
  <c r="D59" i="96"/>
  <c r="D58" i="96"/>
  <c r="D57" i="96"/>
  <c r="D56" i="96"/>
  <c r="D55" i="96"/>
  <c r="D54" i="96"/>
  <c r="D53" i="96"/>
  <c r="D52" i="96"/>
  <c r="D51" i="96"/>
  <c r="D50" i="96"/>
  <c r="D109" i="96"/>
  <c r="D49" i="96"/>
  <c r="D48" i="96"/>
  <c r="D47" i="96"/>
  <c r="D46" i="96"/>
  <c r="D108" i="96"/>
  <c r="D45" i="96"/>
  <c r="D44" i="96"/>
  <c r="D43" i="96"/>
  <c r="D42" i="96"/>
  <c r="D41" i="96"/>
  <c r="D40" i="96"/>
  <c r="D39" i="96"/>
  <c r="D107" i="96"/>
  <c r="D106" i="96"/>
  <c r="D38" i="96"/>
  <c r="D37" i="96"/>
  <c r="D105" i="96"/>
  <c r="D36" i="96"/>
  <c r="D35" i="96"/>
  <c r="D34" i="96"/>
  <c r="D33" i="96"/>
  <c r="D32" i="96"/>
  <c r="D31" i="96"/>
  <c r="D30" i="96"/>
  <c r="D104" i="96"/>
  <c r="D29" i="96"/>
  <c r="D28" i="96"/>
  <c r="D27" i="96"/>
  <c r="D26" i="96"/>
  <c r="D25" i="96"/>
  <c r="D103" i="96"/>
  <c r="D102" i="96"/>
  <c r="D24" i="96"/>
  <c r="D23" i="96"/>
  <c r="D22" i="96"/>
  <c r="D21" i="96"/>
  <c r="D20" i="96"/>
  <c r="D19" i="96"/>
  <c r="D18" i="96"/>
  <c r="D17" i="96"/>
  <c r="D101" i="96"/>
  <c r="D16" i="96"/>
  <c r="D15" i="96"/>
  <c r="D14" i="96"/>
  <c r="D13" i="96"/>
  <c r="D12" i="96"/>
  <c r="D11" i="96"/>
  <c r="D10" i="96"/>
  <c r="D9" i="96"/>
  <c r="D8" i="96"/>
  <c r="D7" i="96"/>
  <c r="D100" i="96"/>
  <c r="D6" i="96"/>
  <c r="D5" i="96"/>
  <c r="AC4" i="92" l="1"/>
  <c r="F131" i="60" l="1"/>
  <c r="F18" i="123" s="1"/>
  <c r="E131" i="60"/>
  <c r="D131" i="60"/>
  <c r="H130" i="57" l="1"/>
  <c r="H128" i="57"/>
  <c r="H126" i="57"/>
  <c r="F131" i="118"/>
  <c r="I131" i="118" s="1"/>
  <c r="F130" i="118"/>
  <c r="I130" i="118" s="1"/>
  <c r="F129" i="118"/>
  <c r="I129" i="118" s="1"/>
  <c r="F128" i="118"/>
  <c r="I128" i="118" s="1"/>
  <c r="F127" i="118"/>
  <c r="F132" i="118" l="1"/>
  <c r="I127" i="118"/>
  <c r="I132" i="118" s="1"/>
  <c r="H127" i="57"/>
  <c r="H129" i="57"/>
  <c r="D131" i="58"/>
  <c r="G131" i="57"/>
  <c r="F14" i="123" s="1"/>
  <c r="I131" i="61" l="1"/>
  <c r="H131" i="57"/>
  <c r="J131" i="56" l="1"/>
  <c r="G10" i="123" s="1"/>
  <c r="C31" i="108" s="1"/>
  <c r="C33" i="108" s="1"/>
  <c r="K131" i="56"/>
  <c r="F131" i="57" l="1"/>
  <c r="L131" i="57"/>
  <c r="L130" i="57"/>
  <c r="L129" i="57"/>
  <c r="L128" i="57"/>
  <c r="L127" i="57"/>
  <c r="E131" i="57"/>
  <c r="E131" i="118"/>
  <c r="D131" i="118"/>
  <c r="E130" i="118"/>
  <c r="D130" i="118"/>
  <c r="E129" i="118"/>
  <c r="D129" i="118"/>
  <c r="E128" i="118"/>
  <c r="D128" i="118"/>
  <c r="L126" i="57"/>
  <c r="E127" i="118"/>
  <c r="D127" i="118"/>
  <c r="E4" i="120"/>
  <c r="H129" i="118" l="1"/>
  <c r="H131" i="118"/>
  <c r="H128" i="118"/>
  <c r="H130" i="118"/>
  <c r="D132" i="118"/>
  <c r="H127" i="118"/>
  <c r="E132" i="118"/>
  <c r="D126" i="57"/>
  <c r="D131" i="57"/>
  <c r="D130" i="57"/>
  <c r="D129" i="57"/>
  <c r="D128" i="57"/>
  <c r="D127" i="57"/>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N267" i="1" s="1"/>
  <c r="H132" i="118" l="1"/>
  <c r="K131" i="10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I131" i="59"/>
  <c r="H131" i="61"/>
  <c r="H16" i="123" s="1"/>
  <c r="F5" i="106"/>
  <c r="V5" i="106"/>
  <c r="AV131" i="24"/>
  <c r="AV130" i="24"/>
  <c r="AV129" i="24"/>
  <c r="AV128" i="24"/>
  <c r="AV127" i="24"/>
  <c r="AV100" i="24"/>
  <c r="AV99" i="24"/>
  <c r="AV98" i="24"/>
  <c r="AV125" i="24"/>
  <c r="AV124" i="24"/>
  <c r="AV97" i="24"/>
  <c r="AV96" i="24"/>
  <c r="AV95" i="24"/>
  <c r="AV123" i="24"/>
  <c r="AV94" i="24"/>
  <c r="AV93" i="24"/>
  <c r="AV92" i="24"/>
  <c r="AV122" i="24"/>
  <c r="AV91" i="24"/>
  <c r="AV90" i="24"/>
  <c r="AV89" i="24"/>
  <c r="AV88" i="24"/>
  <c r="AV87" i="24"/>
  <c r="AV86" i="24"/>
  <c r="AV85" i="24"/>
  <c r="AV84" i="24"/>
  <c r="AV83" i="24"/>
  <c r="AV82" i="24"/>
  <c r="AV121" i="24"/>
  <c r="AV81" i="24"/>
  <c r="AV120" i="24"/>
  <c r="AV80" i="24"/>
  <c r="AV119" i="24"/>
  <c r="AV79" i="24"/>
  <c r="AV78" i="24"/>
  <c r="AV77" i="24"/>
  <c r="AV76" i="24"/>
  <c r="AV75" i="24"/>
  <c r="AV118" i="24"/>
  <c r="AV74" i="24"/>
  <c r="AV117" i="24"/>
  <c r="AV73" i="24"/>
  <c r="AV72" i="24"/>
  <c r="AV71" i="24"/>
  <c r="AV70" i="24"/>
  <c r="AV116" i="24"/>
  <c r="AV69" i="24"/>
  <c r="AV68" i="24"/>
  <c r="AV115" i="24"/>
  <c r="AV114" i="24"/>
  <c r="AV67" i="24"/>
  <c r="AV66" i="24"/>
  <c r="AV65" i="24"/>
  <c r="AV64" i="24"/>
  <c r="AV63" i="24"/>
  <c r="AV62" i="24"/>
  <c r="AV113" i="24"/>
  <c r="AV112" i="24"/>
  <c r="AV61" i="24"/>
  <c r="AV111" i="24"/>
  <c r="AV60" i="24"/>
  <c r="AV59" i="24"/>
  <c r="AV58" i="24"/>
  <c r="AV57" i="24"/>
  <c r="AV56" i="24"/>
  <c r="AV55" i="24"/>
  <c r="AV54" i="24"/>
  <c r="AV53" i="24"/>
  <c r="AV52" i="24"/>
  <c r="AV51" i="24"/>
  <c r="AV110" i="24"/>
  <c r="AV50" i="24"/>
  <c r="AV49" i="24"/>
  <c r="AV48" i="24"/>
  <c r="AV47" i="24"/>
  <c r="AV109" i="24"/>
  <c r="AV46" i="24"/>
  <c r="AV45" i="24"/>
  <c r="AV44" i="24"/>
  <c r="AV43" i="24"/>
  <c r="AV42" i="24"/>
  <c r="AV41" i="24"/>
  <c r="AV40" i="24"/>
  <c r="AV108" i="24"/>
  <c r="AV107" i="24"/>
  <c r="AV39" i="24"/>
  <c r="AV38" i="24"/>
  <c r="AV106" i="24"/>
  <c r="AV37" i="24"/>
  <c r="AV36" i="24"/>
  <c r="AV35" i="24"/>
  <c r="AV34" i="24"/>
  <c r="AV33" i="24"/>
  <c r="AV32" i="24"/>
  <c r="AV31" i="24"/>
  <c r="AV105" i="24"/>
  <c r="AV30" i="24"/>
  <c r="AV29" i="24"/>
  <c r="AV28" i="24"/>
  <c r="AV27" i="24"/>
  <c r="AV26" i="24"/>
  <c r="AV104" i="24"/>
  <c r="AV103" i="24"/>
  <c r="AV25" i="24"/>
  <c r="AV24" i="24"/>
  <c r="AV23" i="24"/>
  <c r="AV22" i="24"/>
  <c r="AV21" i="24"/>
  <c r="AV20" i="24"/>
  <c r="AV19" i="24"/>
  <c r="AV18" i="24"/>
  <c r="AV102" i="24"/>
  <c r="AV17" i="24"/>
  <c r="AV16" i="24"/>
  <c r="AV15" i="24"/>
  <c r="AV14" i="24"/>
  <c r="AV13" i="24"/>
  <c r="AV12" i="24"/>
  <c r="AV11" i="24"/>
  <c r="AV10" i="24"/>
  <c r="AV9" i="24"/>
  <c r="AV8" i="24"/>
  <c r="AV101" i="24"/>
  <c r="AV7" i="24"/>
  <c r="AV6" i="24"/>
  <c r="AV5" i="24"/>
  <c r="F67" i="1" s="1"/>
  <c r="R131" i="113"/>
  <c r="Q131" i="113"/>
  <c r="P131" i="113"/>
  <c r="O131" i="113"/>
  <c r="N131" i="113"/>
  <c r="M131" i="113"/>
  <c r="L131" i="113"/>
  <c r="K131" i="113"/>
  <c r="J131" i="113"/>
  <c r="I131" i="113"/>
  <c r="H131" i="113"/>
  <c r="G131" i="113"/>
  <c r="F131" i="113"/>
  <c r="E131" i="113"/>
  <c r="D131" i="113"/>
  <c r="R130" i="113"/>
  <c r="Q130" i="113"/>
  <c r="P130" i="113"/>
  <c r="O130" i="113"/>
  <c r="N130" i="113"/>
  <c r="M130" i="113"/>
  <c r="L130" i="113"/>
  <c r="K130" i="113"/>
  <c r="J130" i="113"/>
  <c r="I130" i="113"/>
  <c r="H130" i="113"/>
  <c r="G130" i="113"/>
  <c r="F130" i="113"/>
  <c r="E130" i="113"/>
  <c r="D130" i="113"/>
  <c r="R129" i="113"/>
  <c r="Q129" i="113"/>
  <c r="P129" i="113"/>
  <c r="O129" i="113"/>
  <c r="N129" i="113"/>
  <c r="M129" i="113"/>
  <c r="L129" i="113"/>
  <c r="K129" i="113"/>
  <c r="J129" i="113"/>
  <c r="I129" i="113"/>
  <c r="H129" i="113"/>
  <c r="G129" i="113"/>
  <c r="F129" i="113"/>
  <c r="E129" i="113"/>
  <c r="D129" i="113"/>
  <c r="R128" i="113"/>
  <c r="Q128" i="113"/>
  <c r="P128" i="113"/>
  <c r="O128" i="113"/>
  <c r="N128" i="113"/>
  <c r="M128" i="113"/>
  <c r="L128" i="113"/>
  <c r="K128" i="113"/>
  <c r="J128" i="113"/>
  <c r="I128" i="113"/>
  <c r="H128" i="113"/>
  <c r="G128" i="113"/>
  <c r="F128" i="113"/>
  <c r="E128" i="113"/>
  <c r="D128" i="113"/>
  <c r="R127" i="113"/>
  <c r="Q127" i="113"/>
  <c r="P127" i="113"/>
  <c r="O127" i="113"/>
  <c r="N127" i="113"/>
  <c r="M127" i="113"/>
  <c r="L127" i="113"/>
  <c r="K127" i="113"/>
  <c r="J127" i="113"/>
  <c r="I127" i="113"/>
  <c r="H127" i="113"/>
  <c r="G127" i="113"/>
  <c r="F127" i="113"/>
  <c r="E127" i="113"/>
  <c r="D127" i="113"/>
  <c r="R125" i="113"/>
  <c r="Q125" i="113"/>
  <c r="P125" i="113"/>
  <c r="O125" i="113"/>
  <c r="N125" i="113"/>
  <c r="M125" i="113"/>
  <c r="L125" i="113"/>
  <c r="K125" i="113"/>
  <c r="J125" i="113"/>
  <c r="I125" i="113"/>
  <c r="H125" i="113"/>
  <c r="G125" i="113"/>
  <c r="F125" i="113"/>
  <c r="E125" i="113"/>
  <c r="D125" i="113"/>
  <c r="R124" i="113"/>
  <c r="Q124" i="113"/>
  <c r="P124" i="113"/>
  <c r="O124" i="113"/>
  <c r="N124" i="113"/>
  <c r="M124" i="113"/>
  <c r="L124" i="113"/>
  <c r="K124" i="113"/>
  <c r="J124" i="113"/>
  <c r="I124" i="113"/>
  <c r="H124" i="113"/>
  <c r="G124" i="113"/>
  <c r="F124" i="113"/>
  <c r="E124" i="113"/>
  <c r="D124" i="113"/>
  <c r="R123" i="113"/>
  <c r="Q123" i="113"/>
  <c r="P123" i="113"/>
  <c r="O123" i="113"/>
  <c r="N123" i="113"/>
  <c r="M123" i="113"/>
  <c r="L123" i="113"/>
  <c r="K123" i="113"/>
  <c r="J123" i="113"/>
  <c r="I123" i="113"/>
  <c r="H123" i="113"/>
  <c r="G123" i="113"/>
  <c r="F123" i="113"/>
  <c r="E123" i="113"/>
  <c r="D123" i="113"/>
  <c r="R122" i="113"/>
  <c r="Q122" i="113"/>
  <c r="P122" i="113"/>
  <c r="O122" i="113"/>
  <c r="N122" i="113"/>
  <c r="M122" i="113"/>
  <c r="L122" i="113"/>
  <c r="K122" i="113"/>
  <c r="J122" i="113"/>
  <c r="I122" i="113"/>
  <c r="H122" i="113"/>
  <c r="G122" i="113"/>
  <c r="F122" i="113"/>
  <c r="E122" i="113"/>
  <c r="D122" i="113"/>
  <c r="R121" i="113"/>
  <c r="Q121" i="113"/>
  <c r="P121" i="113"/>
  <c r="O121" i="113"/>
  <c r="N121" i="113"/>
  <c r="M121" i="113"/>
  <c r="L121" i="113"/>
  <c r="K121" i="113"/>
  <c r="J121" i="113"/>
  <c r="I121" i="113"/>
  <c r="H121" i="113"/>
  <c r="G121" i="113"/>
  <c r="F121" i="113"/>
  <c r="E121" i="113"/>
  <c r="D121" i="113"/>
  <c r="R120" i="113"/>
  <c r="Q120" i="113"/>
  <c r="P120" i="113"/>
  <c r="O120" i="113"/>
  <c r="N120" i="113"/>
  <c r="M120" i="113"/>
  <c r="L120" i="113"/>
  <c r="K120" i="113"/>
  <c r="J120" i="113"/>
  <c r="I120" i="113"/>
  <c r="H120" i="113"/>
  <c r="G120" i="113"/>
  <c r="F120" i="113"/>
  <c r="E120" i="113"/>
  <c r="D120" i="113"/>
  <c r="R119" i="113"/>
  <c r="Q119" i="113"/>
  <c r="P119" i="113"/>
  <c r="O119" i="113"/>
  <c r="N119" i="113"/>
  <c r="M119" i="113"/>
  <c r="L119" i="113"/>
  <c r="K119" i="113"/>
  <c r="J119" i="113"/>
  <c r="I119" i="113"/>
  <c r="H119" i="113"/>
  <c r="G119" i="113"/>
  <c r="F119" i="113"/>
  <c r="E119" i="113"/>
  <c r="D119" i="113"/>
  <c r="R118" i="113"/>
  <c r="Q118" i="113"/>
  <c r="P118" i="113"/>
  <c r="O118" i="113"/>
  <c r="N118" i="113"/>
  <c r="M118" i="113"/>
  <c r="L118" i="113"/>
  <c r="K118" i="113"/>
  <c r="J118" i="113"/>
  <c r="I118" i="113"/>
  <c r="H118" i="113"/>
  <c r="G118" i="113"/>
  <c r="F118" i="113"/>
  <c r="E118" i="113"/>
  <c r="D118" i="113"/>
  <c r="R117" i="113"/>
  <c r="Q117" i="113"/>
  <c r="P117" i="113"/>
  <c r="O117" i="113"/>
  <c r="N117" i="113"/>
  <c r="M117" i="113"/>
  <c r="L117" i="113"/>
  <c r="K117" i="113"/>
  <c r="J117" i="113"/>
  <c r="I117" i="113"/>
  <c r="H117" i="113"/>
  <c r="G117" i="113"/>
  <c r="F117" i="113"/>
  <c r="E117" i="113"/>
  <c r="D117" i="113"/>
  <c r="R116" i="113"/>
  <c r="Q116" i="113"/>
  <c r="P116" i="113"/>
  <c r="O116" i="113"/>
  <c r="N116" i="113"/>
  <c r="M116" i="113"/>
  <c r="L116" i="113"/>
  <c r="K116" i="113"/>
  <c r="J116" i="113"/>
  <c r="I116" i="113"/>
  <c r="H116" i="113"/>
  <c r="G116" i="113"/>
  <c r="F116" i="113"/>
  <c r="E116" i="113"/>
  <c r="D116" i="113"/>
  <c r="R115" i="113"/>
  <c r="Q115" i="113"/>
  <c r="P115" i="113"/>
  <c r="O115" i="113"/>
  <c r="N115" i="113"/>
  <c r="M115" i="113"/>
  <c r="L115" i="113"/>
  <c r="K115" i="113"/>
  <c r="J115" i="113"/>
  <c r="I115" i="113"/>
  <c r="H115" i="113"/>
  <c r="G115" i="113"/>
  <c r="F115" i="113"/>
  <c r="E115" i="113"/>
  <c r="D115" i="113"/>
  <c r="R114" i="113"/>
  <c r="Q114" i="113"/>
  <c r="P114" i="113"/>
  <c r="O114" i="113"/>
  <c r="N114" i="113"/>
  <c r="M114" i="113"/>
  <c r="L114" i="113"/>
  <c r="K114" i="113"/>
  <c r="J114" i="113"/>
  <c r="I114" i="113"/>
  <c r="H114" i="113"/>
  <c r="G114" i="113"/>
  <c r="F114" i="113"/>
  <c r="E114" i="113"/>
  <c r="D114" i="113"/>
  <c r="R113" i="113"/>
  <c r="Q113" i="113"/>
  <c r="P113" i="113"/>
  <c r="O113" i="113"/>
  <c r="N113" i="113"/>
  <c r="M113" i="113"/>
  <c r="L113" i="113"/>
  <c r="K113" i="113"/>
  <c r="J113" i="113"/>
  <c r="I113" i="113"/>
  <c r="H113" i="113"/>
  <c r="G113" i="113"/>
  <c r="F113" i="113"/>
  <c r="E113" i="113"/>
  <c r="D113" i="113"/>
  <c r="R112" i="113"/>
  <c r="Q112" i="113"/>
  <c r="P112" i="113"/>
  <c r="O112" i="113"/>
  <c r="N112" i="113"/>
  <c r="M112" i="113"/>
  <c r="L112" i="113"/>
  <c r="K112" i="113"/>
  <c r="J112" i="113"/>
  <c r="I112" i="113"/>
  <c r="H112" i="113"/>
  <c r="G112" i="113"/>
  <c r="F112" i="113"/>
  <c r="E112" i="113"/>
  <c r="D112" i="113"/>
  <c r="R111" i="113"/>
  <c r="Q111" i="113"/>
  <c r="P111" i="113"/>
  <c r="O111" i="113"/>
  <c r="N111" i="113"/>
  <c r="M111" i="113"/>
  <c r="L111" i="113"/>
  <c r="K111" i="113"/>
  <c r="J111" i="113"/>
  <c r="I111" i="113"/>
  <c r="H111" i="113"/>
  <c r="G111" i="113"/>
  <c r="F111" i="113"/>
  <c r="E111" i="113"/>
  <c r="D111" i="113"/>
  <c r="R110" i="113"/>
  <c r="Q110" i="113"/>
  <c r="P110" i="113"/>
  <c r="O110" i="113"/>
  <c r="N110" i="113"/>
  <c r="M110" i="113"/>
  <c r="L110" i="113"/>
  <c r="K110" i="113"/>
  <c r="J110" i="113"/>
  <c r="I110" i="113"/>
  <c r="H110" i="113"/>
  <c r="G110" i="113"/>
  <c r="F110" i="113"/>
  <c r="E110" i="113"/>
  <c r="D110" i="113"/>
  <c r="R109" i="113"/>
  <c r="Q109" i="113"/>
  <c r="P109" i="113"/>
  <c r="O109" i="113"/>
  <c r="N109" i="113"/>
  <c r="M109" i="113"/>
  <c r="L109" i="113"/>
  <c r="K109" i="113"/>
  <c r="J109" i="113"/>
  <c r="I109" i="113"/>
  <c r="H109" i="113"/>
  <c r="G109" i="113"/>
  <c r="F109" i="113"/>
  <c r="E109" i="113"/>
  <c r="D109" i="113"/>
  <c r="R108" i="113"/>
  <c r="Q108" i="113"/>
  <c r="P108" i="113"/>
  <c r="O108" i="113"/>
  <c r="N108" i="113"/>
  <c r="M108" i="113"/>
  <c r="L108" i="113"/>
  <c r="K108" i="113"/>
  <c r="J108" i="113"/>
  <c r="I108" i="113"/>
  <c r="H108" i="113"/>
  <c r="G108" i="113"/>
  <c r="F108" i="113"/>
  <c r="E108" i="113"/>
  <c r="D108" i="113"/>
  <c r="R107" i="113"/>
  <c r="Q107" i="113"/>
  <c r="P107" i="113"/>
  <c r="O107" i="113"/>
  <c r="N107" i="113"/>
  <c r="M107" i="113"/>
  <c r="L107" i="113"/>
  <c r="K107" i="113"/>
  <c r="J107" i="113"/>
  <c r="I107" i="113"/>
  <c r="H107" i="113"/>
  <c r="G107" i="113"/>
  <c r="F107" i="113"/>
  <c r="E107" i="113"/>
  <c r="D107" i="113"/>
  <c r="R106" i="113"/>
  <c r="Q106" i="113"/>
  <c r="P106" i="113"/>
  <c r="O106" i="113"/>
  <c r="N106" i="113"/>
  <c r="M106" i="113"/>
  <c r="L106" i="113"/>
  <c r="K106" i="113"/>
  <c r="J106" i="113"/>
  <c r="I106" i="113"/>
  <c r="H106" i="113"/>
  <c r="G106" i="113"/>
  <c r="F106" i="113"/>
  <c r="E106" i="113"/>
  <c r="D106" i="113"/>
  <c r="R105" i="113"/>
  <c r="Q105" i="113"/>
  <c r="P105" i="113"/>
  <c r="O105" i="113"/>
  <c r="N105" i="113"/>
  <c r="M105" i="113"/>
  <c r="L105" i="113"/>
  <c r="K105" i="113"/>
  <c r="J105" i="113"/>
  <c r="I105" i="113"/>
  <c r="H105" i="113"/>
  <c r="G105" i="113"/>
  <c r="F105" i="113"/>
  <c r="E105" i="113"/>
  <c r="D105" i="113"/>
  <c r="R104" i="113"/>
  <c r="Q104" i="113"/>
  <c r="P104" i="113"/>
  <c r="O104" i="113"/>
  <c r="N104" i="113"/>
  <c r="M104" i="113"/>
  <c r="L104" i="113"/>
  <c r="K104" i="113"/>
  <c r="J104" i="113"/>
  <c r="I104" i="113"/>
  <c r="H104" i="113"/>
  <c r="G104" i="113"/>
  <c r="F104" i="113"/>
  <c r="E104" i="113"/>
  <c r="D104" i="113"/>
  <c r="R103" i="113"/>
  <c r="Q103" i="113"/>
  <c r="P103" i="113"/>
  <c r="O103" i="113"/>
  <c r="N103" i="113"/>
  <c r="M103" i="113"/>
  <c r="L103" i="113"/>
  <c r="K103" i="113"/>
  <c r="J103" i="113"/>
  <c r="I103" i="113"/>
  <c r="H103" i="113"/>
  <c r="G103" i="113"/>
  <c r="F103" i="113"/>
  <c r="E103" i="113"/>
  <c r="D103" i="113"/>
  <c r="R102" i="113"/>
  <c r="Q102" i="113"/>
  <c r="P102" i="113"/>
  <c r="O102" i="113"/>
  <c r="N102" i="113"/>
  <c r="M102" i="113"/>
  <c r="L102" i="113"/>
  <c r="K102" i="113"/>
  <c r="J102" i="113"/>
  <c r="I102" i="113"/>
  <c r="H102" i="113"/>
  <c r="G102" i="113"/>
  <c r="F102" i="113"/>
  <c r="E102" i="113"/>
  <c r="D102" i="113"/>
  <c r="R101" i="113"/>
  <c r="Q101" i="113"/>
  <c r="P101" i="113"/>
  <c r="O101" i="113"/>
  <c r="N101" i="113"/>
  <c r="M101" i="113"/>
  <c r="L101" i="113"/>
  <c r="K101" i="113"/>
  <c r="J101" i="113"/>
  <c r="I101" i="113"/>
  <c r="H101" i="113"/>
  <c r="G101" i="113"/>
  <c r="F101" i="113"/>
  <c r="E101" i="113"/>
  <c r="D101" i="113"/>
  <c r="R100" i="113"/>
  <c r="Q100" i="113"/>
  <c r="P100" i="113"/>
  <c r="O100" i="113"/>
  <c r="N100" i="113"/>
  <c r="M100" i="113"/>
  <c r="L100" i="113"/>
  <c r="K100" i="113"/>
  <c r="J100" i="113"/>
  <c r="I100" i="113"/>
  <c r="H100" i="113"/>
  <c r="G100" i="113"/>
  <c r="F100" i="113"/>
  <c r="E100" i="113"/>
  <c r="D100" i="113"/>
  <c r="R99" i="113"/>
  <c r="Q99" i="113"/>
  <c r="P99" i="113"/>
  <c r="O99" i="113"/>
  <c r="N99" i="113"/>
  <c r="M99" i="113"/>
  <c r="L99" i="113"/>
  <c r="K99" i="113"/>
  <c r="J99" i="113"/>
  <c r="I99" i="113"/>
  <c r="H99" i="113"/>
  <c r="G99" i="113"/>
  <c r="F99" i="113"/>
  <c r="E99" i="113"/>
  <c r="D99" i="113"/>
  <c r="R98" i="113"/>
  <c r="Q98" i="113"/>
  <c r="P98" i="113"/>
  <c r="O98" i="113"/>
  <c r="N98" i="113"/>
  <c r="M98" i="113"/>
  <c r="L98" i="113"/>
  <c r="K98" i="113"/>
  <c r="J98" i="113"/>
  <c r="I98" i="113"/>
  <c r="H98" i="113"/>
  <c r="G98" i="113"/>
  <c r="F98" i="113"/>
  <c r="E98" i="113"/>
  <c r="D98" i="113"/>
  <c r="R97" i="113"/>
  <c r="Q97" i="113"/>
  <c r="P97" i="113"/>
  <c r="O97" i="113"/>
  <c r="N97" i="113"/>
  <c r="M97" i="113"/>
  <c r="L97" i="113"/>
  <c r="K97" i="113"/>
  <c r="J97" i="113"/>
  <c r="I97" i="113"/>
  <c r="H97" i="113"/>
  <c r="G97" i="113"/>
  <c r="F97" i="113"/>
  <c r="E97" i="113"/>
  <c r="D97" i="113"/>
  <c r="R96" i="113"/>
  <c r="Q96" i="113"/>
  <c r="P96" i="113"/>
  <c r="O96" i="113"/>
  <c r="N96" i="113"/>
  <c r="M96" i="113"/>
  <c r="L96" i="113"/>
  <c r="K96" i="113"/>
  <c r="J96" i="113"/>
  <c r="I96" i="113"/>
  <c r="H96" i="113"/>
  <c r="G96" i="113"/>
  <c r="F96" i="113"/>
  <c r="E96" i="113"/>
  <c r="D96" i="113"/>
  <c r="R95" i="113"/>
  <c r="Q95" i="113"/>
  <c r="P95" i="113"/>
  <c r="O95" i="113"/>
  <c r="N95" i="113"/>
  <c r="M95" i="113"/>
  <c r="L95" i="113"/>
  <c r="K95" i="113"/>
  <c r="J95" i="113"/>
  <c r="I95" i="113"/>
  <c r="H95" i="113"/>
  <c r="G95" i="113"/>
  <c r="F95" i="113"/>
  <c r="E95" i="113"/>
  <c r="D95" i="113"/>
  <c r="R94" i="113"/>
  <c r="Q94" i="113"/>
  <c r="P94" i="113"/>
  <c r="O94" i="113"/>
  <c r="N94" i="113"/>
  <c r="M94" i="113"/>
  <c r="L94" i="113"/>
  <c r="K94" i="113"/>
  <c r="J94" i="113"/>
  <c r="I94" i="113"/>
  <c r="H94" i="113"/>
  <c r="G94" i="113"/>
  <c r="F94" i="113"/>
  <c r="E94" i="113"/>
  <c r="D94" i="113"/>
  <c r="R93" i="113"/>
  <c r="Q93" i="113"/>
  <c r="P93" i="113"/>
  <c r="O93" i="113"/>
  <c r="N93" i="113"/>
  <c r="M93" i="113"/>
  <c r="L93" i="113"/>
  <c r="K93" i="113"/>
  <c r="J93" i="113"/>
  <c r="I93" i="113"/>
  <c r="H93" i="113"/>
  <c r="G93" i="113"/>
  <c r="F93" i="113"/>
  <c r="E93" i="113"/>
  <c r="D93" i="113"/>
  <c r="R92" i="113"/>
  <c r="Q92" i="113"/>
  <c r="P92" i="113"/>
  <c r="O92" i="113"/>
  <c r="N92" i="113"/>
  <c r="M92" i="113"/>
  <c r="L92" i="113"/>
  <c r="K92" i="113"/>
  <c r="J92" i="113"/>
  <c r="I92" i="113"/>
  <c r="H92" i="113"/>
  <c r="G92" i="113"/>
  <c r="F92" i="113"/>
  <c r="E92" i="113"/>
  <c r="D92" i="113"/>
  <c r="R91" i="113"/>
  <c r="Q91" i="113"/>
  <c r="P91" i="113"/>
  <c r="O91" i="113"/>
  <c r="N91" i="113"/>
  <c r="M91" i="113"/>
  <c r="L91" i="113"/>
  <c r="K91" i="113"/>
  <c r="J91" i="113"/>
  <c r="I91" i="113"/>
  <c r="H91" i="113"/>
  <c r="G91" i="113"/>
  <c r="F91" i="113"/>
  <c r="E91" i="113"/>
  <c r="D91" i="113"/>
  <c r="R90" i="113"/>
  <c r="Q90" i="113"/>
  <c r="P90" i="113"/>
  <c r="O90" i="113"/>
  <c r="N90" i="113"/>
  <c r="M90" i="113"/>
  <c r="L90" i="113"/>
  <c r="K90" i="113"/>
  <c r="J90" i="113"/>
  <c r="I90" i="113"/>
  <c r="H90" i="113"/>
  <c r="G90" i="113"/>
  <c r="F90" i="113"/>
  <c r="E90" i="113"/>
  <c r="D90" i="113"/>
  <c r="R89" i="113"/>
  <c r="Q89" i="113"/>
  <c r="P89" i="113"/>
  <c r="O89" i="113"/>
  <c r="N89" i="113"/>
  <c r="M89" i="113"/>
  <c r="L89" i="113"/>
  <c r="K89" i="113"/>
  <c r="J89" i="113"/>
  <c r="I89" i="113"/>
  <c r="H89" i="113"/>
  <c r="G89" i="113"/>
  <c r="F89" i="113"/>
  <c r="E89" i="113"/>
  <c r="D89" i="113"/>
  <c r="R88" i="113"/>
  <c r="Q88" i="113"/>
  <c r="P88" i="113"/>
  <c r="O88" i="113"/>
  <c r="N88" i="113"/>
  <c r="M88" i="113"/>
  <c r="L88" i="113"/>
  <c r="K88" i="113"/>
  <c r="J88" i="113"/>
  <c r="I88" i="113"/>
  <c r="H88" i="113"/>
  <c r="G88" i="113"/>
  <c r="F88" i="113"/>
  <c r="E88" i="113"/>
  <c r="D88" i="113"/>
  <c r="R87" i="113"/>
  <c r="Q87" i="113"/>
  <c r="P87" i="113"/>
  <c r="O87" i="113"/>
  <c r="N87" i="113"/>
  <c r="M87" i="113"/>
  <c r="L87" i="113"/>
  <c r="K87" i="113"/>
  <c r="J87" i="113"/>
  <c r="I87" i="113"/>
  <c r="H87" i="113"/>
  <c r="G87" i="113"/>
  <c r="F87" i="113"/>
  <c r="E87" i="113"/>
  <c r="D87" i="113"/>
  <c r="R86" i="113"/>
  <c r="Q86" i="113"/>
  <c r="P86" i="113"/>
  <c r="O86" i="113"/>
  <c r="N86" i="113"/>
  <c r="M86" i="113"/>
  <c r="L86" i="113"/>
  <c r="K86" i="113"/>
  <c r="J86" i="113"/>
  <c r="I86" i="113"/>
  <c r="H86" i="113"/>
  <c r="G86" i="113"/>
  <c r="F86" i="113"/>
  <c r="E86" i="113"/>
  <c r="D86" i="113"/>
  <c r="R85" i="113"/>
  <c r="Q85" i="113"/>
  <c r="P85" i="113"/>
  <c r="O85" i="113"/>
  <c r="N85" i="113"/>
  <c r="M85" i="113"/>
  <c r="L85" i="113"/>
  <c r="K85" i="113"/>
  <c r="J85" i="113"/>
  <c r="I85" i="113"/>
  <c r="H85" i="113"/>
  <c r="G85" i="113"/>
  <c r="F85" i="113"/>
  <c r="E85" i="113"/>
  <c r="D85" i="113"/>
  <c r="R84" i="113"/>
  <c r="Q84" i="113"/>
  <c r="P84" i="113"/>
  <c r="O84" i="113"/>
  <c r="N84" i="113"/>
  <c r="M84" i="113"/>
  <c r="L84" i="113"/>
  <c r="K84" i="113"/>
  <c r="J84" i="113"/>
  <c r="I84" i="113"/>
  <c r="H84" i="113"/>
  <c r="G84" i="113"/>
  <c r="F84" i="113"/>
  <c r="E84" i="113"/>
  <c r="D84" i="113"/>
  <c r="R83" i="113"/>
  <c r="Q83" i="113"/>
  <c r="P83" i="113"/>
  <c r="O83" i="113"/>
  <c r="N83" i="113"/>
  <c r="M83" i="113"/>
  <c r="L83" i="113"/>
  <c r="K83" i="113"/>
  <c r="J83" i="113"/>
  <c r="I83" i="113"/>
  <c r="H83" i="113"/>
  <c r="G83" i="113"/>
  <c r="F83" i="113"/>
  <c r="E83" i="113"/>
  <c r="D83" i="113"/>
  <c r="R82" i="113"/>
  <c r="Q82" i="113"/>
  <c r="P82" i="113"/>
  <c r="O82" i="113"/>
  <c r="N82" i="113"/>
  <c r="M82" i="113"/>
  <c r="L82" i="113"/>
  <c r="K82" i="113"/>
  <c r="J82" i="113"/>
  <c r="I82" i="113"/>
  <c r="H82" i="113"/>
  <c r="G82" i="113"/>
  <c r="F82" i="113"/>
  <c r="E82" i="113"/>
  <c r="D82" i="113"/>
  <c r="R81" i="113"/>
  <c r="Q81" i="113"/>
  <c r="P81" i="113"/>
  <c r="O81" i="113"/>
  <c r="N81" i="113"/>
  <c r="M81" i="113"/>
  <c r="L81" i="113"/>
  <c r="K81" i="113"/>
  <c r="J81" i="113"/>
  <c r="I81" i="113"/>
  <c r="H81" i="113"/>
  <c r="G81" i="113"/>
  <c r="F81" i="113"/>
  <c r="E81" i="113"/>
  <c r="D81" i="113"/>
  <c r="R80" i="113"/>
  <c r="Q80" i="113"/>
  <c r="P80" i="113"/>
  <c r="O80" i="113"/>
  <c r="N80" i="113"/>
  <c r="M80" i="113"/>
  <c r="L80" i="113"/>
  <c r="K80" i="113"/>
  <c r="J80" i="113"/>
  <c r="I80" i="113"/>
  <c r="H80" i="113"/>
  <c r="G80" i="113"/>
  <c r="F80" i="113"/>
  <c r="E80" i="113"/>
  <c r="D80" i="113"/>
  <c r="R79" i="113"/>
  <c r="Q79" i="113"/>
  <c r="P79" i="113"/>
  <c r="O79" i="113"/>
  <c r="N79" i="113"/>
  <c r="M79" i="113"/>
  <c r="L79" i="113"/>
  <c r="K79" i="113"/>
  <c r="J79" i="113"/>
  <c r="I79" i="113"/>
  <c r="H79" i="113"/>
  <c r="G79" i="113"/>
  <c r="F79" i="113"/>
  <c r="E79" i="113"/>
  <c r="D79" i="113"/>
  <c r="R78" i="113"/>
  <c r="Q78" i="113"/>
  <c r="P78" i="113"/>
  <c r="O78" i="113"/>
  <c r="N78" i="113"/>
  <c r="M78" i="113"/>
  <c r="L78" i="113"/>
  <c r="K78" i="113"/>
  <c r="J78" i="113"/>
  <c r="I78" i="113"/>
  <c r="H78" i="113"/>
  <c r="G78" i="113"/>
  <c r="F78" i="113"/>
  <c r="E78" i="113"/>
  <c r="D78" i="113"/>
  <c r="R77" i="113"/>
  <c r="Q77" i="113"/>
  <c r="P77" i="113"/>
  <c r="O77" i="113"/>
  <c r="N77" i="113"/>
  <c r="M77" i="113"/>
  <c r="L77" i="113"/>
  <c r="K77" i="113"/>
  <c r="J77" i="113"/>
  <c r="I77" i="113"/>
  <c r="H77" i="113"/>
  <c r="G77" i="113"/>
  <c r="F77" i="113"/>
  <c r="E77" i="113"/>
  <c r="D77" i="113"/>
  <c r="R76" i="113"/>
  <c r="Q76" i="113"/>
  <c r="P76" i="113"/>
  <c r="O76" i="113"/>
  <c r="N76" i="113"/>
  <c r="M76" i="113"/>
  <c r="L76" i="113"/>
  <c r="K76" i="113"/>
  <c r="J76" i="113"/>
  <c r="I76" i="113"/>
  <c r="H76" i="113"/>
  <c r="G76" i="113"/>
  <c r="F76" i="113"/>
  <c r="E76" i="113"/>
  <c r="D76" i="113"/>
  <c r="R75" i="113"/>
  <c r="Q75" i="113"/>
  <c r="P75" i="113"/>
  <c r="O75" i="113"/>
  <c r="N75" i="113"/>
  <c r="M75" i="113"/>
  <c r="L75" i="113"/>
  <c r="K75" i="113"/>
  <c r="J75" i="113"/>
  <c r="I75" i="113"/>
  <c r="H75" i="113"/>
  <c r="G75" i="113"/>
  <c r="F75" i="113"/>
  <c r="E75" i="113"/>
  <c r="D75" i="113"/>
  <c r="R74" i="113"/>
  <c r="Q74" i="113"/>
  <c r="P74" i="113"/>
  <c r="O74" i="113"/>
  <c r="N74" i="113"/>
  <c r="M74" i="113"/>
  <c r="L74" i="113"/>
  <c r="K74" i="113"/>
  <c r="J74" i="113"/>
  <c r="I74" i="113"/>
  <c r="H74" i="113"/>
  <c r="G74" i="113"/>
  <c r="F74" i="113"/>
  <c r="E74" i="113"/>
  <c r="D74" i="113"/>
  <c r="R73" i="113"/>
  <c r="Q73" i="113"/>
  <c r="P73" i="113"/>
  <c r="O73" i="113"/>
  <c r="N73" i="113"/>
  <c r="M73" i="113"/>
  <c r="L73" i="113"/>
  <c r="K73" i="113"/>
  <c r="J73" i="113"/>
  <c r="I73" i="113"/>
  <c r="H73" i="113"/>
  <c r="G73" i="113"/>
  <c r="F73" i="113"/>
  <c r="E73" i="113"/>
  <c r="D73" i="113"/>
  <c r="R72" i="113"/>
  <c r="Q72" i="113"/>
  <c r="P72" i="113"/>
  <c r="O72" i="113"/>
  <c r="N72" i="113"/>
  <c r="M72" i="113"/>
  <c r="L72" i="113"/>
  <c r="K72" i="113"/>
  <c r="J72" i="113"/>
  <c r="I72" i="113"/>
  <c r="H72" i="113"/>
  <c r="G72" i="113"/>
  <c r="F72" i="113"/>
  <c r="E72" i="113"/>
  <c r="D72" i="113"/>
  <c r="R71" i="113"/>
  <c r="Q71" i="113"/>
  <c r="P71" i="113"/>
  <c r="O71" i="113"/>
  <c r="N71" i="113"/>
  <c r="M71" i="113"/>
  <c r="L71" i="113"/>
  <c r="K71" i="113"/>
  <c r="J71" i="113"/>
  <c r="I71" i="113"/>
  <c r="H71" i="113"/>
  <c r="G71" i="113"/>
  <c r="F71" i="113"/>
  <c r="E71" i="113"/>
  <c r="D71" i="113"/>
  <c r="R70" i="113"/>
  <c r="Q70" i="113"/>
  <c r="P70" i="113"/>
  <c r="O70" i="113"/>
  <c r="N70" i="113"/>
  <c r="M70" i="113"/>
  <c r="L70" i="113"/>
  <c r="K70" i="113"/>
  <c r="J70" i="113"/>
  <c r="I70" i="113"/>
  <c r="H70" i="113"/>
  <c r="G70" i="113"/>
  <c r="F70" i="113"/>
  <c r="E70" i="113"/>
  <c r="D70" i="113"/>
  <c r="R69" i="113"/>
  <c r="Q69" i="113"/>
  <c r="P69" i="113"/>
  <c r="O69" i="113"/>
  <c r="N69" i="113"/>
  <c r="M69" i="113"/>
  <c r="L69" i="113"/>
  <c r="K69" i="113"/>
  <c r="J69" i="113"/>
  <c r="I69" i="113"/>
  <c r="H69" i="113"/>
  <c r="G69" i="113"/>
  <c r="F69" i="113"/>
  <c r="E69" i="113"/>
  <c r="D69" i="113"/>
  <c r="R68" i="113"/>
  <c r="Q68" i="113"/>
  <c r="P68" i="113"/>
  <c r="O68" i="113"/>
  <c r="N68" i="113"/>
  <c r="M68" i="113"/>
  <c r="L68" i="113"/>
  <c r="K68" i="113"/>
  <c r="J68" i="113"/>
  <c r="I68" i="113"/>
  <c r="H68" i="113"/>
  <c r="G68" i="113"/>
  <c r="F68" i="113"/>
  <c r="E68" i="113"/>
  <c r="D68" i="113"/>
  <c r="R67" i="113"/>
  <c r="Q67" i="113"/>
  <c r="P67" i="113"/>
  <c r="O67" i="113"/>
  <c r="N67" i="113"/>
  <c r="M67" i="113"/>
  <c r="L67" i="113"/>
  <c r="K67" i="113"/>
  <c r="J67" i="113"/>
  <c r="I67" i="113"/>
  <c r="H67" i="113"/>
  <c r="G67" i="113"/>
  <c r="F67" i="113"/>
  <c r="E67" i="113"/>
  <c r="D67" i="113"/>
  <c r="R66" i="113"/>
  <c r="Q66" i="113"/>
  <c r="P66" i="113"/>
  <c r="O66" i="113"/>
  <c r="N66" i="113"/>
  <c r="M66" i="113"/>
  <c r="L66" i="113"/>
  <c r="K66" i="113"/>
  <c r="J66" i="113"/>
  <c r="I66" i="113"/>
  <c r="H66" i="113"/>
  <c r="G66" i="113"/>
  <c r="F66" i="113"/>
  <c r="E66" i="113"/>
  <c r="D66" i="113"/>
  <c r="R65" i="113"/>
  <c r="Q65" i="113"/>
  <c r="P65" i="113"/>
  <c r="O65" i="113"/>
  <c r="N65" i="113"/>
  <c r="M65" i="113"/>
  <c r="L65" i="113"/>
  <c r="K65" i="113"/>
  <c r="J65" i="113"/>
  <c r="I65" i="113"/>
  <c r="H65" i="113"/>
  <c r="G65" i="113"/>
  <c r="F65" i="113"/>
  <c r="E65" i="113"/>
  <c r="D65" i="113"/>
  <c r="R64" i="113"/>
  <c r="Q64" i="113"/>
  <c r="P64" i="113"/>
  <c r="O64" i="113"/>
  <c r="N64" i="113"/>
  <c r="M64" i="113"/>
  <c r="L64" i="113"/>
  <c r="K64" i="113"/>
  <c r="J64" i="113"/>
  <c r="I64" i="113"/>
  <c r="H64" i="113"/>
  <c r="G64" i="113"/>
  <c r="F64" i="113"/>
  <c r="E64" i="113"/>
  <c r="D64" i="113"/>
  <c r="R63" i="113"/>
  <c r="Q63" i="113"/>
  <c r="P63" i="113"/>
  <c r="O63" i="113"/>
  <c r="N63" i="113"/>
  <c r="M63" i="113"/>
  <c r="L63" i="113"/>
  <c r="K63" i="113"/>
  <c r="J63" i="113"/>
  <c r="I63" i="113"/>
  <c r="H63" i="113"/>
  <c r="G63" i="113"/>
  <c r="F63" i="113"/>
  <c r="E63" i="113"/>
  <c r="D63" i="113"/>
  <c r="R62" i="113"/>
  <c r="Q62" i="113"/>
  <c r="P62" i="113"/>
  <c r="O62" i="113"/>
  <c r="N62" i="113"/>
  <c r="M62" i="113"/>
  <c r="L62" i="113"/>
  <c r="K62" i="113"/>
  <c r="J62" i="113"/>
  <c r="I62" i="113"/>
  <c r="H62" i="113"/>
  <c r="G62" i="113"/>
  <c r="F62" i="113"/>
  <c r="E62" i="113"/>
  <c r="D62" i="113"/>
  <c r="R61" i="113"/>
  <c r="Q61" i="113"/>
  <c r="P61" i="113"/>
  <c r="O61" i="113"/>
  <c r="N61" i="113"/>
  <c r="M61" i="113"/>
  <c r="L61" i="113"/>
  <c r="K61" i="113"/>
  <c r="J61" i="113"/>
  <c r="I61" i="113"/>
  <c r="H61" i="113"/>
  <c r="G61" i="113"/>
  <c r="F61" i="113"/>
  <c r="E61" i="113"/>
  <c r="D61" i="113"/>
  <c r="R60" i="113"/>
  <c r="Q60" i="113"/>
  <c r="P60" i="113"/>
  <c r="O60" i="113"/>
  <c r="N60" i="113"/>
  <c r="M60" i="113"/>
  <c r="L60" i="113"/>
  <c r="K60" i="113"/>
  <c r="J60" i="113"/>
  <c r="I60" i="113"/>
  <c r="H60" i="113"/>
  <c r="G60" i="113"/>
  <c r="F60" i="113"/>
  <c r="E60" i="113"/>
  <c r="D60" i="113"/>
  <c r="R59" i="113"/>
  <c r="Q59" i="113"/>
  <c r="P59" i="113"/>
  <c r="O59" i="113"/>
  <c r="N59" i="113"/>
  <c r="M59" i="113"/>
  <c r="L59" i="113"/>
  <c r="K59" i="113"/>
  <c r="J59" i="113"/>
  <c r="I59" i="113"/>
  <c r="H59" i="113"/>
  <c r="G59" i="113"/>
  <c r="F59" i="113"/>
  <c r="E59" i="113"/>
  <c r="D59" i="113"/>
  <c r="R58" i="113"/>
  <c r="Q58" i="113"/>
  <c r="P58" i="113"/>
  <c r="O58" i="113"/>
  <c r="N58" i="113"/>
  <c r="M58" i="113"/>
  <c r="L58" i="113"/>
  <c r="K58" i="113"/>
  <c r="J58" i="113"/>
  <c r="I58" i="113"/>
  <c r="H58" i="113"/>
  <c r="G58" i="113"/>
  <c r="F58" i="113"/>
  <c r="E58" i="113"/>
  <c r="D58" i="113"/>
  <c r="R57" i="113"/>
  <c r="Q57" i="113"/>
  <c r="P57" i="113"/>
  <c r="O57" i="113"/>
  <c r="N57" i="113"/>
  <c r="M57" i="113"/>
  <c r="L57" i="113"/>
  <c r="K57" i="113"/>
  <c r="J57" i="113"/>
  <c r="I57" i="113"/>
  <c r="H57" i="113"/>
  <c r="G57" i="113"/>
  <c r="F57" i="113"/>
  <c r="E57" i="113"/>
  <c r="D57" i="113"/>
  <c r="R56" i="113"/>
  <c r="Q56" i="113"/>
  <c r="P56" i="113"/>
  <c r="O56" i="113"/>
  <c r="N56" i="113"/>
  <c r="M56" i="113"/>
  <c r="L56" i="113"/>
  <c r="K56" i="113"/>
  <c r="J56" i="113"/>
  <c r="I56" i="113"/>
  <c r="H56" i="113"/>
  <c r="G56" i="113"/>
  <c r="F56" i="113"/>
  <c r="E56" i="113"/>
  <c r="D56" i="113"/>
  <c r="R55" i="113"/>
  <c r="Q55" i="113"/>
  <c r="P55" i="113"/>
  <c r="O55" i="113"/>
  <c r="N55" i="113"/>
  <c r="M55" i="113"/>
  <c r="L55" i="113"/>
  <c r="K55" i="113"/>
  <c r="J55" i="113"/>
  <c r="I55" i="113"/>
  <c r="H55" i="113"/>
  <c r="G55" i="113"/>
  <c r="F55" i="113"/>
  <c r="E55" i="113"/>
  <c r="D55" i="113"/>
  <c r="R54" i="113"/>
  <c r="Q54" i="113"/>
  <c r="P54" i="113"/>
  <c r="O54" i="113"/>
  <c r="N54" i="113"/>
  <c r="M54" i="113"/>
  <c r="L54" i="113"/>
  <c r="K54" i="113"/>
  <c r="J54" i="113"/>
  <c r="I54" i="113"/>
  <c r="H54" i="113"/>
  <c r="G54" i="113"/>
  <c r="F54" i="113"/>
  <c r="E54" i="113"/>
  <c r="D54" i="113"/>
  <c r="R53" i="113"/>
  <c r="Q53" i="113"/>
  <c r="P53" i="113"/>
  <c r="O53" i="113"/>
  <c r="N53" i="113"/>
  <c r="M53" i="113"/>
  <c r="L53" i="113"/>
  <c r="K53" i="113"/>
  <c r="J53" i="113"/>
  <c r="I53" i="113"/>
  <c r="H53" i="113"/>
  <c r="G53" i="113"/>
  <c r="F53" i="113"/>
  <c r="E53" i="113"/>
  <c r="D53" i="113"/>
  <c r="R52" i="113"/>
  <c r="Q52" i="113"/>
  <c r="P52" i="113"/>
  <c r="O52" i="113"/>
  <c r="N52" i="113"/>
  <c r="M52" i="113"/>
  <c r="L52" i="113"/>
  <c r="K52" i="113"/>
  <c r="J52" i="113"/>
  <c r="I52" i="113"/>
  <c r="H52" i="113"/>
  <c r="G52" i="113"/>
  <c r="F52" i="113"/>
  <c r="E52" i="113"/>
  <c r="D52" i="113"/>
  <c r="R51" i="113"/>
  <c r="Q51" i="113"/>
  <c r="P51" i="113"/>
  <c r="O51" i="113"/>
  <c r="N51" i="113"/>
  <c r="M51" i="113"/>
  <c r="L51" i="113"/>
  <c r="K51" i="113"/>
  <c r="J51" i="113"/>
  <c r="I51" i="113"/>
  <c r="H51" i="113"/>
  <c r="G51" i="113"/>
  <c r="F51" i="113"/>
  <c r="E51" i="113"/>
  <c r="D51" i="113"/>
  <c r="R50" i="113"/>
  <c r="Q50" i="113"/>
  <c r="P50" i="113"/>
  <c r="O50" i="113"/>
  <c r="N50" i="113"/>
  <c r="M50" i="113"/>
  <c r="L50" i="113"/>
  <c r="K50" i="113"/>
  <c r="J50" i="113"/>
  <c r="I50" i="113"/>
  <c r="H50" i="113"/>
  <c r="G50" i="113"/>
  <c r="F50" i="113"/>
  <c r="E50" i="113"/>
  <c r="D50" i="113"/>
  <c r="R49" i="113"/>
  <c r="Q49" i="113"/>
  <c r="P49" i="113"/>
  <c r="O49" i="113"/>
  <c r="N49" i="113"/>
  <c r="M49" i="113"/>
  <c r="L49" i="113"/>
  <c r="K49" i="113"/>
  <c r="J49" i="113"/>
  <c r="I49" i="113"/>
  <c r="H49" i="113"/>
  <c r="G49" i="113"/>
  <c r="F49" i="113"/>
  <c r="E49" i="113"/>
  <c r="D49" i="113"/>
  <c r="R48" i="113"/>
  <c r="Q48" i="113"/>
  <c r="P48" i="113"/>
  <c r="O48" i="113"/>
  <c r="N48" i="113"/>
  <c r="M48" i="113"/>
  <c r="L48" i="113"/>
  <c r="K48" i="113"/>
  <c r="J48" i="113"/>
  <c r="I48" i="113"/>
  <c r="H48" i="113"/>
  <c r="G48" i="113"/>
  <c r="F48" i="113"/>
  <c r="E48" i="113"/>
  <c r="D48" i="113"/>
  <c r="R47" i="113"/>
  <c r="Q47" i="113"/>
  <c r="P47" i="113"/>
  <c r="O47" i="113"/>
  <c r="N47" i="113"/>
  <c r="M47" i="113"/>
  <c r="L47" i="113"/>
  <c r="K47" i="113"/>
  <c r="J47" i="113"/>
  <c r="I47" i="113"/>
  <c r="H47" i="113"/>
  <c r="G47" i="113"/>
  <c r="F47" i="113"/>
  <c r="E47" i="113"/>
  <c r="D47" i="113"/>
  <c r="R46" i="113"/>
  <c r="Q46" i="113"/>
  <c r="P46" i="113"/>
  <c r="O46" i="113"/>
  <c r="N46" i="113"/>
  <c r="M46" i="113"/>
  <c r="L46" i="113"/>
  <c r="K46" i="113"/>
  <c r="J46" i="113"/>
  <c r="I46" i="113"/>
  <c r="H46" i="113"/>
  <c r="G46" i="113"/>
  <c r="F46" i="113"/>
  <c r="E46" i="113"/>
  <c r="D46" i="113"/>
  <c r="R45" i="113"/>
  <c r="Q45" i="113"/>
  <c r="P45" i="113"/>
  <c r="O45" i="113"/>
  <c r="N45" i="113"/>
  <c r="M45" i="113"/>
  <c r="L45" i="113"/>
  <c r="K45" i="113"/>
  <c r="J45" i="113"/>
  <c r="I45" i="113"/>
  <c r="H45" i="113"/>
  <c r="G45" i="113"/>
  <c r="F45" i="113"/>
  <c r="E45" i="113"/>
  <c r="D45" i="113"/>
  <c r="R44" i="113"/>
  <c r="Q44" i="113"/>
  <c r="P44" i="113"/>
  <c r="O44" i="113"/>
  <c r="N44" i="113"/>
  <c r="M44" i="113"/>
  <c r="L44" i="113"/>
  <c r="K44" i="113"/>
  <c r="J44" i="113"/>
  <c r="I44" i="113"/>
  <c r="H44" i="113"/>
  <c r="G44" i="113"/>
  <c r="F44" i="113"/>
  <c r="E44" i="113"/>
  <c r="D44" i="113"/>
  <c r="R43" i="113"/>
  <c r="Q43" i="113"/>
  <c r="P43" i="113"/>
  <c r="O43" i="113"/>
  <c r="N43" i="113"/>
  <c r="M43" i="113"/>
  <c r="L43" i="113"/>
  <c r="K43" i="113"/>
  <c r="J43" i="113"/>
  <c r="I43" i="113"/>
  <c r="H43" i="113"/>
  <c r="G43" i="113"/>
  <c r="F43" i="113"/>
  <c r="E43" i="113"/>
  <c r="D43" i="113"/>
  <c r="R42" i="113"/>
  <c r="Q42" i="113"/>
  <c r="P42" i="113"/>
  <c r="O42" i="113"/>
  <c r="N42" i="113"/>
  <c r="M42" i="113"/>
  <c r="L42" i="113"/>
  <c r="K42" i="113"/>
  <c r="J42" i="113"/>
  <c r="I42" i="113"/>
  <c r="H42" i="113"/>
  <c r="G42" i="113"/>
  <c r="F42" i="113"/>
  <c r="E42" i="113"/>
  <c r="D42" i="113"/>
  <c r="R41" i="113"/>
  <c r="Q41" i="113"/>
  <c r="P41" i="113"/>
  <c r="O41" i="113"/>
  <c r="N41" i="113"/>
  <c r="M41" i="113"/>
  <c r="L41" i="113"/>
  <c r="K41" i="113"/>
  <c r="J41" i="113"/>
  <c r="I41" i="113"/>
  <c r="H41" i="113"/>
  <c r="G41" i="113"/>
  <c r="F41" i="113"/>
  <c r="E41" i="113"/>
  <c r="D41" i="113"/>
  <c r="R40" i="113"/>
  <c r="Q40" i="113"/>
  <c r="P40" i="113"/>
  <c r="O40" i="113"/>
  <c r="N40" i="113"/>
  <c r="M40" i="113"/>
  <c r="L40" i="113"/>
  <c r="K40" i="113"/>
  <c r="J40" i="113"/>
  <c r="I40" i="113"/>
  <c r="H40" i="113"/>
  <c r="G40" i="113"/>
  <c r="F40" i="113"/>
  <c r="E40" i="113"/>
  <c r="D40" i="113"/>
  <c r="R39" i="113"/>
  <c r="Q39" i="113"/>
  <c r="P39" i="113"/>
  <c r="O39" i="113"/>
  <c r="N39" i="113"/>
  <c r="M39" i="113"/>
  <c r="L39" i="113"/>
  <c r="K39" i="113"/>
  <c r="J39" i="113"/>
  <c r="I39" i="113"/>
  <c r="H39" i="113"/>
  <c r="G39" i="113"/>
  <c r="F39" i="113"/>
  <c r="E39" i="113"/>
  <c r="D39" i="113"/>
  <c r="R38" i="113"/>
  <c r="Q38" i="113"/>
  <c r="P38" i="113"/>
  <c r="O38" i="113"/>
  <c r="N38" i="113"/>
  <c r="M38" i="113"/>
  <c r="L38" i="113"/>
  <c r="K38" i="113"/>
  <c r="J38" i="113"/>
  <c r="I38" i="113"/>
  <c r="H38" i="113"/>
  <c r="G38" i="113"/>
  <c r="F38" i="113"/>
  <c r="E38" i="113"/>
  <c r="D38" i="113"/>
  <c r="R37" i="113"/>
  <c r="Q37" i="113"/>
  <c r="P37" i="113"/>
  <c r="O37" i="113"/>
  <c r="N37" i="113"/>
  <c r="M37" i="113"/>
  <c r="L37" i="113"/>
  <c r="K37" i="113"/>
  <c r="J37" i="113"/>
  <c r="I37" i="113"/>
  <c r="H37" i="113"/>
  <c r="G37" i="113"/>
  <c r="F37" i="113"/>
  <c r="E37" i="113"/>
  <c r="D37" i="113"/>
  <c r="R36" i="113"/>
  <c r="Q36" i="113"/>
  <c r="P36" i="113"/>
  <c r="O36" i="113"/>
  <c r="N36" i="113"/>
  <c r="M36" i="113"/>
  <c r="L36" i="113"/>
  <c r="K36" i="113"/>
  <c r="J36" i="113"/>
  <c r="I36" i="113"/>
  <c r="H36" i="113"/>
  <c r="G36" i="113"/>
  <c r="F36" i="113"/>
  <c r="E36" i="113"/>
  <c r="D36" i="113"/>
  <c r="R35" i="113"/>
  <c r="Q35" i="113"/>
  <c r="P35" i="113"/>
  <c r="O35" i="113"/>
  <c r="N35" i="113"/>
  <c r="M35" i="113"/>
  <c r="L35" i="113"/>
  <c r="K35" i="113"/>
  <c r="J35" i="113"/>
  <c r="I35" i="113"/>
  <c r="H35" i="113"/>
  <c r="G35" i="113"/>
  <c r="F35" i="113"/>
  <c r="E35" i="113"/>
  <c r="D35" i="113"/>
  <c r="R34" i="113"/>
  <c r="Q34" i="113"/>
  <c r="P34" i="113"/>
  <c r="O34" i="113"/>
  <c r="N34" i="113"/>
  <c r="M34" i="113"/>
  <c r="L34" i="113"/>
  <c r="K34" i="113"/>
  <c r="J34" i="113"/>
  <c r="I34" i="113"/>
  <c r="H34" i="113"/>
  <c r="G34" i="113"/>
  <c r="F34" i="113"/>
  <c r="E34" i="113"/>
  <c r="D34" i="113"/>
  <c r="R33" i="113"/>
  <c r="Q33" i="113"/>
  <c r="P33" i="113"/>
  <c r="O33" i="113"/>
  <c r="N33" i="113"/>
  <c r="M33" i="113"/>
  <c r="L33" i="113"/>
  <c r="K33" i="113"/>
  <c r="J33" i="113"/>
  <c r="I33" i="113"/>
  <c r="H33" i="113"/>
  <c r="G33" i="113"/>
  <c r="F33" i="113"/>
  <c r="E33" i="113"/>
  <c r="D33" i="113"/>
  <c r="R32" i="113"/>
  <c r="Q32" i="113"/>
  <c r="P32" i="113"/>
  <c r="O32" i="113"/>
  <c r="N32" i="113"/>
  <c r="M32" i="113"/>
  <c r="L32" i="113"/>
  <c r="K32" i="113"/>
  <c r="J32" i="113"/>
  <c r="I32" i="113"/>
  <c r="H32" i="113"/>
  <c r="G32" i="113"/>
  <c r="F32" i="113"/>
  <c r="E32" i="113"/>
  <c r="D32" i="113"/>
  <c r="R31" i="113"/>
  <c r="Q31" i="113"/>
  <c r="P31" i="113"/>
  <c r="O31" i="113"/>
  <c r="N31" i="113"/>
  <c r="M31" i="113"/>
  <c r="L31" i="113"/>
  <c r="K31" i="113"/>
  <c r="J31" i="113"/>
  <c r="I31" i="113"/>
  <c r="H31" i="113"/>
  <c r="G31" i="113"/>
  <c r="F31" i="113"/>
  <c r="E31" i="113"/>
  <c r="D31" i="113"/>
  <c r="R30" i="113"/>
  <c r="Q30" i="113"/>
  <c r="P30" i="113"/>
  <c r="O30" i="113"/>
  <c r="N30" i="113"/>
  <c r="M30" i="113"/>
  <c r="L30" i="113"/>
  <c r="K30" i="113"/>
  <c r="J30" i="113"/>
  <c r="I30" i="113"/>
  <c r="H30" i="113"/>
  <c r="G30" i="113"/>
  <c r="F30" i="113"/>
  <c r="E30" i="113"/>
  <c r="D30" i="113"/>
  <c r="R29" i="113"/>
  <c r="Q29" i="113"/>
  <c r="P29" i="113"/>
  <c r="O29" i="113"/>
  <c r="N29" i="113"/>
  <c r="M29" i="113"/>
  <c r="L29" i="113"/>
  <c r="K29" i="113"/>
  <c r="J29" i="113"/>
  <c r="I29" i="113"/>
  <c r="H29" i="113"/>
  <c r="G29" i="113"/>
  <c r="F29" i="113"/>
  <c r="E29" i="113"/>
  <c r="D29" i="113"/>
  <c r="R28" i="113"/>
  <c r="Q28" i="113"/>
  <c r="P28" i="113"/>
  <c r="O28" i="113"/>
  <c r="N28" i="113"/>
  <c r="M28" i="113"/>
  <c r="L28" i="113"/>
  <c r="K28" i="113"/>
  <c r="J28" i="113"/>
  <c r="I28" i="113"/>
  <c r="H28" i="113"/>
  <c r="G28" i="113"/>
  <c r="F28" i="113"/>
  <c r="E28" i="113"/>
  <c r="D28" i="113"/>
  <c r="R27" i="113"/>
  <c r="Q27" i="113"/>
  <c r="P27" i="113"/>
  <c r="O27" i="113"/>
  <c r="N27" i="113"/>
  <c r="M27" i="113"/>
  <c r="L27" i="113"/>
  <c r="K27" i="113"/>
  <c r="J27" i="113"/>
  <c r="I27" i="113"/>
  <c r="H27" i="113"/>
  <c r="G27" i="113"/>
  <c r="F27" i="113"/>
  <c r="E27" i="113"/>
  <c r="D27" i="113"/>
  <c r="R26" i="113"/>
  <c r="Q26" i="113"/>
  <c r="P26" i="113"/>
  <c r="O26" i="113"/>
  <c r="N26" i="113"/>
  <c r="M26" i="113"/>
  <c r="L26" i="113"/>
  <c r="K26" i="113"/>
  <c r="J26" i="113"/>
  <c r="I26" i="113"/>
  <c r="H26" i="113"/>
  <c r="G26" i="113"/>
  <c r="F26" i="113"/>
  <c r="E26" i="113"/>
  <c r="D26" i="113"/>
  <c r="R25" i="113"/>
  <c r="Q25" i="113"/>
  <c r="P25" i="113"/>
  <c r="O25" i="113"/>
  <c r="N25" i="113"/>
  <c r="M25" i="113"/>
  <c r="L25" i="113"/>
  <c r="K25" i="113"/>
  <c r="J25" i="113"/>
  <c r="I25" i="113"/>
  <c r="H25" i="113"/>
  <c r="G25" i="113"/>
  <c r="F25" i="113"/>
  <c r="E25" i="113"/>
  <c r="D25" i="113"/>
  <c r="R24" i="113"/>
  <c r="Q24" i="113"/>
  <c r="P24" i="113"/>
  <c r="O24" i="113"/>
  <c r="N24" i="113"/>
  <c r="M24" i="113"/>
  <c r="L24" i="113"/>
  <c r="K24" i="113"/>
  <c r="J24" i="113"/>
  <c r="I24" i="113"/>
  <c r="H24" i="113"/>
  <c r="G24" i="113"/>
  <c r="F24" i="113"/>
  <c r="E24" i="113"/>
  <c r="D24" i="113"/>
  <c r="R23" i="113"/>
  <c r="Q23" i="113"/>
  <c r="P23" i="113"/>
  <c r="O23" i="113"/>
  <c r="N23" i="113"/>
  <c r="M23" i="113"/>
  <c r="L23" i="113"/>
  <c r="K23" i="113"/>
  <c r="J23" i="113"/>
  <c r="I23" i="113"/>
  <c r="H23" i="113"/>
  <c r="G23" i="113"/>
  <c r="F23" i="113"/>
  <c r="E23" i="113"/>
  <c r="D23" i="113"/>
  <c r="R22" i="113"/>
  <c r="Q22" i="113"/>
  <c r="P22" i="113"/>
  <c r="O22" i="113"/>
  <c r="N22" i="113"/>
  <c r="M22" i="113"/>
  <c r="L22" i="113"/>
  <c r="K22" i="113"/>
  <c r="J22" i="113"/>
  <c r="I22" i="113"/>
  <c r="H22" i="113"/>
  <c r="G22" i="113"/>
  <c r="F22" i="113"/>
  <c r="E22" i="113"/>
  <c r="D22" i="113"/>
  <c r="R21" i="113"/>
  <c r="Q21" i="113"/>
  <c r="P21" i="113"/>
  <c r="O21" i="113"/>
  <c r="N21" i="113"/>
  <c r="M21" i="113"/>
  <c r="L21" i="113"/>
  <c r="K21" i="113"/>
  <c r="J21" i="113"/>
  <c r="I21" i="113"/>
  <c r="H21" i="113"/>
  <c r="G21" i="113"/>
  <c r="F21" i="113"/>
  <c r="E21" i="113"/>
  <c r="D21" i="113"/>
  <c r="R20" i="113"/>
  <c r="Q20" i="113"/>
  <c r="P20" i="113"/>
  <c r="O20" i="113"/>
  <c r="N20" i="113"/>
  <c r="M20" i="113"/>
  <c r="L20" i="113"/>
  <c r="K20" i="113"/>
  <c r="J20" i="113"/>
  <c r="I20" i="113"/>
  <c r="H20" i="113"/>
  <c r="G20" i="113"/>
  <c r="F20" i="113"/>
  <c r="E20" i="113"/>
  <c r="D20" i="113"/>
  <c r="R19" i="113"/>
  <c r="Q19" i="113"/>
  <c r="P19" i="113"/>
  <c r="O19" i="113"/>
  <c r="N19" i="113"/>
  <c r="M19" i="113"/>
  <c r="L19" i="113"/>
  <c r="K19" i="113"/>
  <c r="J19" i="113"/>
  <c r="I19" i="113"/>
  <c r="H19" i="113"/>
  <c r="G19" i="113"/>
  <c r="F19" i="113"/>
  <c r="E19" i="113"/>
  <c r="D19" i="113"/>
  <c r="R18" i="113"/>
  <c r="Q18" i="113"/>
  <c r="P18" i="113"/>
  <c r="O18" i="113"/>
  <c r="N18" i="113"/>
  <c r="M18" i="113"/>
  <c r="L18" i="113"/>
  <c r="K18" i="113"/>
  <c r="J18" i="113"/>
  <c r="I18" i="113"/>
  <c r="H18" i="113"/>
  <c r="G18" i="113"/>
  <c r="F18" i="113"/>
  <c r="E18" i="113"/>
  <c r="D18" i="113"/>
  <c r="R17" i="113"/>
  <c r="Q17" i="113"/>
  <c r="P17" i="113"/>
  <c r="O17" i="113"/>
  <c r="N17" i="113"/>
  <c r="M17" i="113"/>
  <c r="L17" i="113"/>
  <c r="K17" i="113"/>
  <c r="J17" i="113"/>
  <c r="I17" i="113"/>
  <c r="H17" i="113"/>
  <c r="G17" i="113"/>
  <c r="F17" i="113"/>
  <c r="E17" i="113"/>
  <c r="D17" i="113"/>
  <c r="R16" i="113"/>
  <c r="Q16" i="113"/>
  <c r="P16" i="113"/>
  <c r="O16" i="113"/>
  <c r="N16" i="113"/>
  <c r="M16" i="113"/>
  <c r="L16" i="113"/>
  <c r="K16" i="113"/>
  <c r="J16" i="113"/>
  <c r="I16" i="113"/>
  <c r="H16" i="113"/>
  <c r="G16" i="113"/>
  <c r="F16" i="113"/>
  <c r="E16" i="113"/>
  <c r="D16" i="113"/>
  <c r="R15" i="113"/>
  <c r="Q15" i="113"/>
  <c r="P15" i="113"/>
  <c r="O15" i="113"/>
  <c r="N15" i="113"/>
  <c r="M15" i="113"/>
  <c r="L15" i="113"/>
  <c r="K15" i="113"/>
  <c r="J15" i="113"/>
  <c r="I15" i="113"/>
  <c r="H15" i="113"/>
  <c r="G15" i="113"/>
  <c r="F15" i="113"/>
  <c r="E15" i="113"/>
  <c r="D15" i="113"/>
  <c r="R14" i="113"/>
  <c r="Q14" i="113"/>
  <c r="P14" i="113"/>
  <c r="O14" i="113"/>
  <c r="N14" i="113"/>
  <c r="M14" i="113"/>
  <c r="L14" i="113"/>
  <c r="K14" i="113"/>
  <c r="J14" i="113"/>
  <c r="I14" i="113"/>
  <c r="H14" i="113"/>
  <c r="G14" i="113"/>
  <c r="F14" i="113"/>
  <c r="E14" i="113"/>
  <c r="D14" i="113"/>
  <c r="R13" i="113"/>
  <c r="Q13" i="113"/>
  <c r="P13" i="113"/>
  <c r="O13" i="113"/>
  <c r="N13" i="113"/>
  <c r="M13" i="113"/>
  <c r="L13" i="113"/>
  <c r="K13" i="113"/>
  <c r="J13" i="113"/>
  <c r="I13" i="113"/>
  <c r="H13" i="113"/>
  <c r="G13" i="113"/>
  <c r="F13" i="113"/>
  <c r="E13" i="113"/>
  <c r="D13" i="113"/>
  <c r="R12" i="113"/>
  <c r="Q12" i="113"/>
  <c r="P12" i="113"/>
  <c r="O12" i="113"/>
  <c r="N12" i="113"/>
  <c r="M12" i="113"/>
  <c r="L12" i="113"/>
  <c r="K12" i="113"/>
  <c r="J12" i="113"/>
  <c r="I12" i="113"/>
  <c r="H12" i="113"/>
  <c r="G12" i="113"/>
  <c r="F12" i="113"/>
  <c r="E12" i="113"/>
  <c r="D12" i="113"/>
  <c r="R11" i="113"/>
  <c r="Q11" i="113"/>
  <c r="P11" i="113"/>
  <c r="O11" i="113"/>
  <c r="N11" i="113"/>
  <c r="M11" i="113"/>
  <c r="L11" i="113"/>
  <c r="K11" i="113"/>
  <c r="J11" i="113"/>
  <c r="I11" i="113"/>
  <c r="H11" i="113"/>
  <c r="G11" i="113"/>
  <c r="F11" i="113"/>
  <c r="E11" i="113"/>
  <c r="D11" i="113"/>
  <c r="R10" i="113"/>
  <c r="Q10" i="113"/>
  <c r="P10" i="113"/>
  <c r="O10" i="113"/>
  <c r="N10" i="113"/>
  <c r="M10" i="113"/>
  <c r="L10" i="113"/>
  <c r="K10" i="113"/>
  <c r="J10" i="113"/>
  <c r="I10" i="113"/>
  <c r="H10" i="113"/>
  <c r="G10" i="113"/>
  <c r="F10" i="113"/>
  <c r="E10" i="113"/>
  <c r="D10" i="113"/>
  <c r="R9" i="113"/>
  <c r="Q9" i="113"/>
  <c r="P9" i="113"/>
  <c r="O9" i="113"/>
  <c r="N9" i="113"/>
  <c r="M9" i="113"/>
  <c r="L9" i="113"/>
  <c r="K9" i="113"/>
  <c r="J9" i="113"/>
  <c r="I9" i="113"/>
  <c r="H9" i="113"/>
  <c r="G9" i="113"/>
  <c r="F9" i="113"/>
  <c r="E9" i="113"/>
  <c r="D9" i="113"/>
  <c r="R8" i="113"/>
  <c r="Q8" i="113"/>
  <c r="P8" i="113"/>
  <c r="O8" i="113"/>
  <c r="N8" i="113"/>
  <c r="M8" i="113"/>
  <c r="L8" i="113"/>
  <c r="K8" i="113"/>
  <c r="J8" i="113"/>
  <c r="I8" i="113"/>
  <c r="H8" i="113"/>
  <c r="G8" i="113"/>
  <c r="F8" i="113"/>
  <c r="E8" i="113"/>
  <c r="D8" i="113"/>
  <c r="R7" i="113"/>
  <c r="Q7" i="113"/>
  <c r="P7" i="113"/>
  <c r="O7" i="113"/>
  <c r="N7" i="113"/>
  <c r="M7" i="113"/>
  <c r="L7" i="113"/>
  <c r="K7" i="113"/>
  <c r="J7" i="113"/>
  <c r="I7" i="113"/>
  <c r="H7" i="113"/>
  <c r="G7" i="113"/>
  <c r="F7" i="113"/>
  <c r="E7" i="113"/>
  <c r="D7" i="113"/>
  <c r="R6" i="113"/>
  <c r="Q6" i="113"/>
  <c r="P6" i="113"/>
  <c r="O6" i="113"/>
  <c r="N6" i="113"/>
  <c r="M6" i="113"/>
  <c r="L6" i="113"/>
  <c r="K6" i="113"/>
  <c r="J6" i="113"/>
  <c r="I6" i="113"/>
  <c r="H6" i="113"/>
  <c r="G6" i="113"/>
  <c r="F6" i="113"/>
  <c r="E6" i="113"/>
  <c r="D6" i="113"/>
  <c r="R5" i="113"/>
  <c r="Q5" i="113"/>
  <c r="P5" i="113"/>
  <c r="O5" i="113"/>
  <c r="N5" i="113"/>
  <c r="M5" i="113"/>
  <c r="L5" i="113"/>
  <c r="K5" i="113"/>
  <c r="J5" i="113"/>
  <c r="I5" i="113"/>
  <c r="H5" i="113"/>
  <c r="G5" i="113"/>
  <c r="F5" i="113"/>
  <c r="E5" i="113"/>
  <c r="D5" i="113"/>
  <c r="BM131" i="113"/>
  <c r="BM130" i="113"/>
  <c r="BM129" i="113"/>
  <c r="BM128" i="113"/>
  <c r="BM127"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O99" i="114"/>
  <c r="N99" i="114"/>
  <c r="M99" i="114"/>
  <c r="O98" i="114"/>
  <c r="N98" i="114"/>
  <c r="M98" i="114"/>
  <c r="O125" i="114"/>
  <c r="N125" i="114"/>
  <c r="M125" i="114"/>
  <c r="O124" i="114"/>
  <c r="N124" i="114"/>
  <c r="M124" i="114"/>
  <c r="O97" i="114"/>
  <c r="N97" i="114"/>
  <c r="M97" i="114"/>
  <c r="O96" i="114"/>
  <c r="N96" i="114"/>
  <c r="M96" i="114"/>
  <c r="O95" i="114"/>
  <c r="N95" i="114"/>
  <c r="M95" i="114"/>
  <c r="O123" i="114"/>
  <c r="N123" i="114"/>
  <c r="M123" i="114"/>
  <c r="O94" i="114"/>
  <c r="N94" i="114"/>
  <c r="M94" i="114"/>
  <c r="O93" i="114"/>
  <c r="N93" i="114"/>
  <c r="M93" i="114"/>
  <c r="O92" i="114"/>
  <c r="N92" i="114"/>
  <c r="M92" i="114"/>
  <c r="O122" i="114"/>
  <c r="N122" i="114"/>
  <c r="M122" i="114"/>
  <c r="O91" i="114"/>
  <c r="N91" i="114"/>
  <c r="M91" i="114"/>
  <c r="O90" i="114"/>
  <c r="N90" i="114"/>
  <c r="M90" i="114"/>
  <c r="O89" i="114"/>
  <c r="N89" i="114"/>
  <c r="M89" i="114"/>
  <c r="O88" i="114"/>
  <c r="N88" i="114"/>
  <c r="M88" i="114"/>
  <c r="O87" i="114"/>
  <c r="N87" i="114"/>
  <c r="M87" i="114"/>
  <c r="O86" i="114"/>
  <c r="N86" i="114"/>
  <c r="M86" i="114"/>
  <c r="O85" i="114"/>
  <c r="N85" i="114"/>
  <c r="M85" i="114"/>
  <c r="O84" i="114"/>
  <c r="N84" i="114"/>
  <c r="M84" i="114"/>
  <c r="O83" i="114"/>
  <c r="N83" i="114"/>
  <c r="M83" i="114"/>
  <c r="O82" i="114"/>
  <c r="N82" i="114"/>
  <c r="M82" i="114"/>
  <c r="O121" i="114"/>
  <c r="N121" i="114"/>
  <c r="M121" i="114"/>
  <c r="O81" i="114"/>
  <c r="N81" i="114"/>
  <c r="M81" i="114"/>
  <c r="O120" i="114"/>
  <c r="N120" i="114"/>
  <c r="M120" i="114"/>
  <c r="O80" i="114"/>
  <c r="N80" i="114"/>
  <c r="M80" i="114"/>
  <c r="O119" i="114"/>
  <c r="N119" i="114"/>
  <c r="M119" i="114"/>
  <c r="O79" i="114"/>
  <c r="N79" i="114"/>
  <c r="M79" i="114"/>
  <c r="O78" i="114"/>
  <c r="N78" i="114"/>
  <c r="M78" i="114"/>
  <c r="O77" i="114"/>
  <c r="N77" i="114"/>
  <c r="M77" i="114"/>
  <c r="O76" i="114"/>
  <c r="N76" i="114"/>
  <c r="M76" i="114"/>
  <c r="O75" i="114"/>
  <c r="N75" i="114"/>
  <c r="M75" i="114"/>
  <c r="O118" i="114"/>
  <c r="N118" i="114"/>
  <c r="M118" i="114"/>
  <c r="O74" i="114"/>
  <c r="N74" i="114"/>
  <c r="M74" i="114"/>
  <c r="O117" i="114"/>
  <c r="N117" i="114"/>
  <c r="M117" i="114"/>
  <c r="O73" i="114"/>
  <c r="N73" i="114"/>
  <c r="M73" i="114"/>
  <c r="O72" i="114"/>
  <c r="N72" i="114"/>
  <c r="M72" i="114"/>
  <c r="O71" i="114"/>
  <c r="N71" i="114"/>
  <c r="M71" i="114"/>
  <c r="O70" i="114"/>
  <c r="N70" i="114"/>
  <c r="M70" i="114"/>
  <c r="O116" i="114"/>
  <c r="N116" i="114"/>
  <c r="M116" i="114"/>
  <c r="O69" i="114"/>
  <c r="N69" i="114"/>
  <c r="M69" i="114"/>
  <c r="O68" i="114"/>
  <c r="N68" i="114"/>
  <c r="M68" i="114"/>
  <c r="O115" i="114"/>
  <c r="N115" i="114"/>
  <c r="M115" i="114"/>
  <c r="O114" i="114"/>
  <c r="N114" i="114"/>
  <c r="M114" i="114"/>
  <c r="O67" i="114"/>
  <c r="N67" i="114"/>
  <c r="M67" i="114"/>
  <c r="O66" i="114"/>
  <c r="N66" i="114"/>
  <c r="M66" i="114"/>
  <c r="O65" i="114"/>
  <c r="N65" i="114"/>
  <c r="M65" i="114"/>
  <c r="O64" i="114"/>
  <c r="N64" i="114"/>
  <c r="M64" i="114"/>
  <c r="O63" i="114"/>
  <c r="N63" i="114"/>
  <c r="M63" i="114"/>
  <c r="O62" i="114"/>
  <c r="N62" i="114"/>
  <c r="M62" i="114"/>
  <c r="O113" i="114"/>
  <c r="N113" i="114"/>
  <c r="M113" i="114"/>
  <c r="O112" i="114"/>
  <c r="N112" i="114"/>
  <c r="M112" i="114"/>
  <c r="O61" i="114"/>
  <c r="N61" i="114"/>
  <c r="M61" i="114"/>
  <c r="O111" i="114"/>
  <c r="N111" i="114"/>
  <c r="M111" i="114"/>
  <c r="O60" i="114"/>
  <c r="N60" i="114"/>
  <c r="M60" i="114"/>
  <c r="O59" i="114"/>
  <c r="N59" i="114"/>
  <c r="M59" i="114"/>
  <c r="O58" i="114"/>
  <c r="N58" i="114"/>
  <c r="M58" i="114"/>
  <c r="O57" i="114"/>
  <c r="N57" i="114"/>
  <c r="M57" i="114"/>
  <c r="O56" i="114"/>
  <c r="N56" i="114"/>
  <c r="M56" i="114"/>
  <c r="O55" i="114"/>
  <c r="N55" i="114"/>
  <c r="M55" i="114"/>
  <c r="O54" i="114"/>
  <c r="N54" i="114"/>
  <c r="M54" i="114"/>
  <c r="O53" i="114"/>
  <c r="N53" i="114"/>
  <c r="M53" i="114"/>
  <c r="O52" i="114"/>
  <c r="N52" i="114"/>
  <c r="M52" i="114"/>
  <c r="O51" i="114"/>
  <c r="N51" i="114"/>
  <c r="M51" i="114"/>
  <c r="O110" i="114"/>
  <c r="N110" i="114"/>
  <c r="M110" i="114"/>
  <c r="O50" i="114"/>
  <c r="N50" i="114"/>
  <c r="M50" i="114"/>
  <c r="O49" i="114"/>
  <c r="N49" i="114"/>
  <c r="M49" i="114"/>
  <c r="O48" i="114"/>
  <c r="N48" i="114"/>
  <c r="M48" i="114"/>
  <c r="O47" i="114"/>
  <c r="N47" i="114"/>
  <c r="M47" i="114"/>
  <c r="O109" i="114"/>
  <c r="N109" i="114"/>
  <c r="M109" i="114"/>
  <c r="O46" i="114"/>
  <c r="N46" i="114"/>
  <c r="M46" i="114"/>
  <c r="O45" i="114"/>
  <c r="N45" i="114"/>
  <c r="M45" i="114"/>
  <c r="O44" i="114"/>
  <c r="N44" i="114"/>
  <c r="M44" i="114"/>
  <c r="O43" i="114"/>
  <c r="N43" i="114"/>
  <c r="M43" i="114"/>
  <c r="O42" i="114"/>
  <c r="N42" i="114"/>
  <c r="M42" i="114"/>
  <c r="O41" i="114"/>
  <c r="N41" i="114"/>
  <c r="M41" i="114"/>
  <c r="O40" i="114"/>
  <c r="N40" i="114"/>
  <c r="M40" i="114"/>
  <c r="O108" i="114"/>
  <c r="N108" i="114"/>
  <c r="M108" i="114"/>
  <c r="O107" i="114"/>
  <c r="N107" i="114"/>
  <c r="M107" i="114"/>
  <c r="O39" i="114"/>
  <c r="N39" i="114"/>
  <c r="M39" i="114"/>
  <c r="O38" i="114"/>
  <c r="N38" i="114"/>
  <c r="M38" i="114"/>
  <c r="O106" i="114"/>
  <c r="N106" i="114"/>
  <c r="M106" i="114"/>
  <c r="O37" i="114"/>
  <c r="N37" i="114"/>
  <c r="M37" i="114"/>
  <c r="O36" i="114"/>
  <c r="N36" i="114"/>
  <c r="M36" i="114"/>
  <c r="O35" i="114"/>
  <c r="N35" i="114"/>
  <c r="M35" i="114"/>
  <c r="O34" i="114"/>
  <c r="N34" i="114"/>
  <c r="M34" i="114"/>
  <c r="O33" i="114"/>
  <c r="N33" i="114"/>
  <c r="M33" i="114"/>
  <c r="O32" i="114"/>
  <c r="N32" i="114"/>
  <c r="M32" i="114"/>
  <c r="O31" i="114"/>
  <c r="N31" i="114"/>
  <c r="M31" i="114"/>
  <c r="O105" i="114"/>
  <c r="N105" i="114"/>
  <c r="M105" i="114"/>
  <c r="O30" i="114"/>
  <c r="N30" i="114"/>
  <c r="M30" i="114"/>
  <c r="O29" i="114"/>
  <c r="N29" i="114"/>
  <c r="M29" i="114"/>
  <c r="O28" i="114"/>
  <c r="N28" i="114"/>
  <c r="M28" i="114"/>
  <c r="O27" i="114"/>
  <c r="N27" i="114"/>
  <c r="M27" i="114"/>
  <c r="O26" i="114"/>
  <c r="N26" i="114"/>
  <c r="M26" i="114"/>
  <c r="O104" i="114"/>
  <c r="N104" i="114"/>
  <c r="M104" i="114"/>
  <c r="O103" i="114"/>
  <c r="N103" i="114"/>
  <c r="M103" i="114"/>
  <c r="O25" i="114"/>
  <c r="N25" i="114"/>
  <c r="M25" i="114"/>
  <c r="O24" i="114"/>
  <c r="N24" i="114"/>
  <c r="M24" i="114"/>
  <c r="O23" i="114"/>
  <c r="N23" i="114"/>
  <c r="M23" i="114"/>
  <c r="O22" i="114"/>
  <c r="N22" i="114"/>
  <c r="M22" i="114"/>
  <c r="O21" i="114"/>
  <c r="N21" i="114"/>
  <c r="M21" i="114"/>
  <c r="O20" i="114"/>
  <c r="N20" i="114"/>
  <c r="M20" i="114"/>
  <c r="O19" i="114"/>
  <c r="N19" i="114"/>
  <c r="M19" i="114"/>
  <c r="O18" i="114"/>
  <c r="N18" i="114"/>
  <c r="M18" i="114"/>
  <c r="O102" i="114"/>
  <c r="N102" i="114"/>
  <c r="M102" i="114"/>
  <c r="O17" i="114"/>
  <c r="N17" i="114"/>
  <c r="M17" i="114"/>
  <c r="O16" i="114"/>
  <c r="N16" i="114"/>
  <c r="M16" i="114"/>
  <c r="O15" i="114"/>
  <c r="N15" i="114"/>
  <c r="M15" i="114"/>
  <c r="O14" i="114"/>
  <c r="N14" i="114"/>
  <c r="M14" i="114"/>
  <c r="O13" i="114"/>
  <c r="N13" i="114"/>
  <c r="M13" i="114"/>
  <c r="O12" i="114"/>
  <c r="N12" i="114"/>
  <c r="M12" i="114"/>
  <c r="O11" i="114"/>
  <c r="N11" i="114"/>
  <c r="M11" i="114"/>
  <c r="O10" i="114"/>
  <c r="N10" i="114"/>
  <c r="M10" i="114"/>
  <c r="O9" i="114"/>
  <c r="N9" i="114"/>
  <c r="M9" i="114"/>
  <c r="O8" i="114"/>
  <c r="N8" i="114"/>
  <c r="M8" i="114"/>
  <c r="O101" i="114"/>
  <c r="N101" i="114"/>
  <c r="M101" i="114"/>
  <c r="O7" i="114"/>
  <c r="N7" i="114"/>
  <c r="M7" i="114"/>
  <c r="O6" i="114"/>
  <c r="N6" i="114"/>
  <c r="M6" i="114"/>
  <c r="L6" i="114"/>
  <c r="O5" i="114"/>
  <c r="N5" i="114"/>
  <c r="M5" i="114"/>
  <c r="L5" i="114"/>
  <c r="BM129" i="109"/>
  <c r="S7" i="113" l="1"/>
  <c r="S11" i="113"/>
  <c r="S15" i="113"/>
  <c r="S19" i="113"/>
  <c r="S23" i="113"/>
  <c r="S27" i="113"/>
  <c r="S31" i="113"/>
  <c r="S35" i="113"/>
  <c r="S39" i="113"/>
  <c r="S43" i="113"/>
  <c r="S47" i="113"/>
  <c r="S6" i="113"/>
  <c r="S10" i="113"/>
  <c r="S14" i="113"/>
  <c r="S18" i="113"/>
  <c r="S22" i="113"/>
  <c r="S26" i="113"/>
  <c r="S30" i="113"/>
  <c r="S34" i="113"/>
  <c r="S38" i="113"/>
  <c r="S42" i="113"/>
  <c r="S46" i="113"/>
  <c r="S8" i="113"/>
  <c r="S12" i="113"/>
  <c r="S16" i="113"/>
  <c r="S20" i="113"/>
  <c r="S24" i="113"/>
  <c r="S28" i="113"/>
  <c r="S32" i="113"/>
  <c r="S36" i="113"/>
  <c r="S40" i="113"/>
  <c r="S44" i="113"/>
  <c r="S48" i="113"/>
  <c r="S52" i="113"/>
  <c r="S56" i="113"/>
  <c r="S60" i="113"/>
  <c r="S64" i="113"/>
  <c r="S68" i="113"/>
  <c r="S72" i="113"/>
  <c r="S76" i="113"/>
  <c r="S80" i="113"/>
  <c r="S84" i="113"/>
  <c r="S88" i="113"/>
  <c r="S5" i="113"/>
  <c r="I18" i="108" s="1"/>
  <c r="S9" i="113"/>
  <c r="S13" i="113"/>
  <c r="S17" i="113"/>
  <c r="S21" i="113"/>
  <c r="S25" i="113"/>
  <c r="S29" i="113"/>
  <c r="S33" i="113"/>
  <c r="S37" i="113"/>
  <c r="S41" i="113"/>
  <c r="S45" i="113"/>
  <c r="S49" i="113"/>
  <c r="S53" i="113"/>
  <c r="S57" i="113"/>
  <c r="S61" i="113"/>
  <c r="S65" i="113"/>
  <c r="S69" i="113"/>
  <c r="S73" i="113"/>
  <c r="S77" i="113"/>
  <c r="S81" i="113"/>
  <c r="S85" i="113"/>
  <c r="S89" i="113"/>
  <c r="D131" i="59"/>
  <c r="I131" i="117"/>
  <c r="H131" i="117"/>
  <c r="S50" i="113"/>
  <c r="S54" i="113"/>
  <c r="S58" i="113"/>
  <c r="S62" i="113"/>
  <c r="S66" i="113"/>
  <c r="S70" i="113"/>
  <c r="S74" i="113"/>
  <c r="S78" i="113"/>
  <c r="S82" i="113"/>
  <c r="S86" i="113"/>
  <c r="S90" i="113"/>
  <c r="S94" i="113"/>
  <c r="S98" i="113"/>
  <c r="S102" i="113"/>
  <c r="S106" i="113"/>
  <c r="S110" i="113"/>
  <c r="S114" i="113"/>
  <c r="S118" i="113"/>
  <c r="S122" i="113"/>
  <c r="S127" i="113"/>
  <c r="S131" i="113"/>
  <c r="S51" i="113"/>
  <c r="S55" i="113"/>
  <c r="S59" i="113"/>
  <c r="S63" i="113"/>
  <c r="S67" i="113"/>
  <c r="S71" i="113"/>
  <c r="S75" i="113"/>
  <c r="S79" i="113"/>
  <c r="S83" i="113"/>
  <c r="S87" i="113"/>
  <c r="S91" i="113"/>
  <c r="S95" i="113"/>
  <c r="S99" i="113"/>
  <c r="S103" i="113"/>
  <c r="S107" i="113"/>
  <c r="S111" i="113"/>
  <c r="S115" i="113"/>
  <c r="S119" i="113"/>
  <c r="S123" i="113"/>
  <c r="S128" i="113"/>
  <c r="S92" i="113"/>
  <c r="S96" i="113"/>
  <c r="S100" i="113"/>
  <c r="S104" i="113"/>
  <c r="S108" i="113"/>
  <c r="S112" i="113"/>
  <c r="S116" i="113"/>
  <c r="S120" i="113"/>
  <c r="S124" i="113"/>
  <c r="S129" i="113"/>
  <c r="S93" i="113"/>
  <c r="S97" i="113"/>
  <c r="S101" i="113"/>
  <c r="S105" i="113"/>
  <c r="S109" i="113"/>
  <c r="S113" i="113"/>
  <c r="S117" i="113"/>
  <c r="S121" i="113"/>
  <c r="S125" i="113"/>
  <c r="S130" i="113"/>
  <c r="H17" i="123" l="1"/>
  <c r="D17" i="123"/>
  <c r="D16" i="123"/>
  <c r="D15" i="123"/>
  <c r="H14" i="123"/>
  <c r="E14" i="123"/>
  <c r="D14" i="123"/>
  <c r="E10" i="123"/>
  <c r="C29" i="108" s="1"/>
  <c r="D10" i="123"/>
  <c r="C28" i="108" s="1"/>
  <c r="M4" i="122"/>
  <c r="K4" i="122"/>
  <c r="T4" i="122"/>
  <c r="S4" i="122"/>
  <c r="R4" i="122"/>
  <c r="Q4" i="122"/>
  <c r="O4" i="122"/>
  <c r="L4" i="122"/>
  <c r="J4" i="122"/>
  <c r="I4" i="122"/>
  <c r="H4" i="122"/>
  <c r="G4" i="122"/>
  <c r="F4" i="122"/>
  <c r="E4" i="122"/>
  <c r="D4" i="122"/>
  <c r="R4" i="96"/>
  <c r="Q4" i="96"/>
  <c r="P4" i="96"/>
  <c r="O4" i="96"/>
  <c r="N4" i="96"/>
  <c r="Y5" i="6"/>
  <c r="X5" i="6"/>
  <c r="W5" i="6"/>
  <c r="U5" i="6"/>
  <c r="E19" i="123" l="1"/>
  <c r="D19" i="123"/>
  <c r="D4" i="120"/>
  <c r="X4" i="92" l="1"/>
  <c r="W4" i="92"/>
  <c r="V4" i="92"/>
  <c r="U4" i="92"/>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G4" i="57" l="1"/>
  <c r="D21" i="123" l="1"/>
  <c r="E21" i="123"/>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K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14" i="56"/>
  <c r="J13" i="56"/>
  <c r="J12" i="56"/>
  <c r="J11" i="56"/>
  <c r="J10" i="56"/>
  <c r="J9" i="56"/>
  <c r="J8" i="56"/>
  <c r="J7" i="56"/>
  <c r="J6" i="56"/>
  <c r="L7" i="79" s="1"/>
  <c r="J5" i="56"/>
  <c r="I120" i="56"/>
  <c r="I104" i="56"/>
  <c r="I72" i="56"/>
  <c r="I56" i="56"/>
  <c r="I40" i="56"/>
  <c r="I8" i="56"/>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N266" i="1" s="1"/>
  <c r="G4" i="117"/>
  <c r="F4" i="117"/>
  <c r="E4" i="117"/>
  <c r="D4" i="117"/>
  <c r="L11" i="79" l="1"/>
  <c r="L15" i="79"/>
  <c r="L19" i="79"/>
  <c r="L8" i="79"/>
  <c r="L24" i="79"/>
  <c r="L64" i="79"/>
  <c r="L72" i="79"/>
  <c r="L10" i="79"/>
  <c r="L14" i="79"/>
  <c r="L18" i="79"/>
  <c r="L32" i="79"/>
  <c r="L40" i="79"/>
  <c r="L48" i="79"/>
  <c r="L56" i="79"/>
  <c r="L80" i="79"/>
  <c r="L88" i="79"/>
  <c r="L96" i="79"/>
  <c r="L104" i="79"/>
  <c r="L112" i="79"/>
  <c r="L120" i="79"/>
  <c r="L100" i="79"/>
  <c r="L9" i="79"/>
  <c r="L13" i="79"/>
  <c r="L17" i="79"/>
  <c r="L21" i="79"/>
  <c r="L22" i="79"/>
  <c r="L26" i="79"/>
  <c r="L58" i="79"/>
  <c r="K22" i="56"/>
  <c r="L23" i="79"/>
  <c r="K26" i="56"/>
  <c r="L27" i="79"/>
  <c r="K30" i="56"/>
  <c r="L31" i="79"/>
  <c r="K34" i="56"/>
  <c r="L35" i="79"/>
  <c r="K38" i="56"/>
  <c r="L39" i="79"/>
  <c r="K42" i="56"/>
  <c r="L43" i="79"/>
  <c r="K46" i="56"/>
  <c r="L47" i="79"/>
  <c r="K50" i="56"/>
  <c r="L51" i="79"/>
  <c r="K54" i="56"/>
  <c r="L55" i="79"/>
  <c r="K58" i="56"/>
  <c r="L59" i="79"/>
  <c r="K62" i="56"/>
  <c r="L63" i="79"/>
  <c r="K66" i="56"/>
  <c r="L67" i="79"/>
  <c r="K70" i="56"/>
  <c r="L71" i="79"/>
  <c r="K74" i="56"/>
  <c r="L75" i="79"/>
  <c r="K78" i="56"/>
  <c r="L79" i="79"/>
  <c r="K82" i="56"/>
  <c r="L83" i="79"/>
  <c r="K86" i="56"/>
  <c r="L87" i="79"/>
  <c r="K90" i="56"/>
  <c r="L91" i="79"/>
  <c r="K94" i="56"/>
  <c r="L95" i="79"/>
  <c r="K98" i="56"/>
  <c r="L99" i="79"/>
  <c r="K102" i="56"/>
  <c r="L103" i="79"/>
  <c r="K106" i="56"/>
  <c r="L107" i="79"/>
  <c r="K110" i="56"/>
  <c r="L111" i="79"/>
  <c r="K114" i="56"/>
  <c r="L115" i="79"/>
  <c r="K118" i="56"/>
  <c r="L119" i="79"/>
  <c r="K122" i="56"/>
  <c r="L123" i="79"/>
  <c r="K11" i="56"/>
  <c r="L12" i="79"/>
  <c r="K15" i="56"/>
  <c r="L16" i="79"/>
  <c r="K19" i="56"/>
  <c r="L20" i="79"/>
  <c r="K27" i="56"/>
  <c r="L28" i="79"/>
  <c r="K35" i="56"/>
  <c r="L36" i="79"/>
  <c r="K43" i="56"/>
  <c r="L44" i="79"/>
  <c r="K51" i="56"/>
  <c r="L52" i="79"/>
  <c r="K59" i="56"/>
  <c r="L60" i="79"/>
  <c r="K67" i="56"/>
  <c r="L68" i="79"/>
  <c r="K75" i="56"/>
  <c r="L76" i="79"/>
  <c r="K83" i="56"/>
  <c r="L84" i="79"/>
  <c r="K91" i="56"/>
  <c r="L92" i="79"/>
  <c r="K107" i="56"/>
  <c r="L108" i="79"/>
  <c r="K115" i="56"/>
  <c r="L116" i="79"/>
  <c r="K123" i="56"/>
  <c r="L124" i="79"/>
  <c r="K24" i="56"/>
  <c r="L25" i="79"/>
  <c r="K28" i="56"/>
  <c r="L29" i="79"/>
  <c r="K32" i="56"/>
  <c r="L33" i="79"/>
  <c r="K36" i="56"/>
  <c r="L37" i="79"/>
  <c r="K40" i="56"/>
  <c r="L41" i="79"/>
  <c r="K44" i="56"/>
  <c r="L45" i="79"/>
  <c r="K48" i="56"/>
  <c r="L49" i="79"/>
  <c r="K52" i="56"/>
  <c r="L53" i="79"/>
  <c r="K56" i="56"/>
  <c r="L57" i="79"/>
  <c r="K60" i="56"/>
  <c r="L61" i="79"/>
  <c r="K64" i="56"/>
  <c r="L65" i="79"/>
  <c r="K68" i="56"/>
  <c r="L69" i="79"/>
  <c r="K72" i="56"/>
  <c r="L73" i="79"/>
  <c r="K76" i="56"/>
  <c r="L77" i="79"/>
  <c r="K80" i="56"/>
  <c r="L81" i="79"/>
  <c r="K84" i="56"/>
  <c r="L85" i="79"/>
  <c r="K88" i="56"/>
  <c r="L89" i="79"/>
  <c r="K92" i="56"/>
  <c r="L93" i="79"/>
  <c r="K96" i="56"/>
  <c r="L97" i="79"/>
  <c r="K100" i="56"/>
  <c r="L101" i="79"/>
  <c r="K104" i="56"/>
  <c r="L105" i="79"/>
  <c r="K108" i="56"/>
  <c r="L109" i="79"/>
  <c r="K112" i="56"/>
  <c r="L113" i="79"/>
  <c r="K116" i="56"/>
  <c r="L117" i="79"/>
  <c r="K120" i="56"/>
  <c r="L121" i="79"/>
  <c r="L6" i="79"/>
  <c r="M257" i="1"/>
  <c r="K29" i="56"/>
  <c r="L30" i="79"/>
  <c r="K33" i="56"/>
  <c r="L34" i="79"/>
  <c r="K37" i="56"/>
  <c r="L38" i="79"/>
  <c r="K41" i="56"/>
  <c r="L42" i="79"/>
  <c r="K45" i="56"/>
  <c r="L46" i="79"/>
  <c r="K49" i="56"/>
  <c r="L50" i="79"/>
  <c r="K53" i="56"/>
  <c r="L54" i="79"/>
  <c r="K61" i="56"/>
  <c r="L62" i="79"/>
  <c r="K65" i="56"/>
  <c r="L66" i="79"/>
  <c r="K69" i="56"/>
  <c r="L70" i="79"/>
  <c r="K73" i="56"/>
  <c r="L74" i="79"/>
  <c r="K77" i="56"/>
  <c r="L78" i="79"/>
  <c r="K81" i="56"/>
  <c r="L82" i="79"/>
  <c r="K85" i="56"/>
  <c r="L86" i="79"/>
  <c r="K89" i="56"/>
  <c r="L90" i="79"/>
  <c r="K93" i="56"/>
  <c r="L94" i="79"/>
  <c r="K97" i="56"/>
  <c r="L98" i="79"/>
  <c r="K101" i="56"/>
  <c r="L102" i="79"/>
  <c r="K105" i="56"/>
  <c r="L106" i="79"/>
  <c r="K109" i="56"/>
  <c r="L110" i="79"/>
  <c r="K113" i="56"/>
  <c r="L114" i="79"/>
  <c r="K117" i="56"/>
  <c r="L118" i="79"/>
  <c r="K121" i="56"/>
  <c r="J124" i="56"/>
  <c r="L122" i="79" s="1"/>
  <c r="K57" i="56"/>
  <c r="K31" i="56"/>
  <c r="K47" i="56"/>
  <c r="K63" i="56"/>
  <c r="K79" i="56"/>
  <c r="K95" i="56"/>
  <c r="K111" i="56"/>
  <c r="K7" i="56"/>
  <c r="K23" i="56"/>
  <c r="K39" i="56"/>
  <c r="K55" i="56"/>
  <c r="K71" i="56"/>
  <c r="K87" i="56"/>
  <c r="K103" i="56"/>
  <c r="K119" i="56"/>
  <c r="K9" i="56"/>
  <c r="K13" i="56"/>
  <c r="K21" i="56"/>
  <c r="I5" i="56"/>
  <c r="M6" i="79" s="1"/>
  <c r="I9" i="56"/>
  <c r="M10" i="79" s="1"/>
  <c r="I13" i="56"/>
  <c r="I17" i="56"/>
  <c r="I21" i="56"/>
  <c r="I25" i="56"/>
  <c r="I29" i="56"/>
  <c r="I33" i="56"/>
  <c r="I37" i="56"/>
  <c r="I41" i="56"/>
  <c r="I45" i="56"/>
  <c r="I49" i="56"/>
  <c r="I53" i="56"/>
  <c r="I57" i="56"/>
  <c r="I61" i="56"/>
  <c r="I65" i="56"/>
  <c r="I69" i="56"/>
  <c r="I73" i="56"/>
  <c r="I77" i="56"/>
  <c r="I81" i="56"/>
  <c r="I85" i="56"/>
  <c r="M86" i="79" s="1"/>
  <c r="I89" i="56"/>
  <c r="I93" i="56"/>
  <c r="I97" i="56"/>
  <c r="I101" i="56"/>
  <c r="M102" i="79" s="1"/>
  <c r="I105" i="56"/>
  <c r="I109" i="56"/>
  <c r="I113" i="56"/>
  <c r="I117" i="56"/>
  <c r="I121" i="56"/>
  <c r="F5" i="118"/>
  <c r="P5" i="79" s="1"/>
  <c r="K6" i="56"/>
  <c r="K10" i="56"/>
  <c r="K14" i="56"/>
  <c r="K18" i="56"/>
  <c r="I6" i="56"/>
  <c r="M7" i="79" s="1"/>
  <c r="I10" i="56"/>
  <c r="I14" i="56"/>
  <c r="I18" i="56"/>
  <c r="I22" i="56"/>
  <c r="I26" i="56"/>
  <c r="I30" i="56"/>
  <c r="I34" i="56"/>
  <c r="M35" i="79" s="1"/>
  <c r="I38" i="56"/>
  <c r="I42" i="56"/>
  <c r="I46" i="56"/>
  <c r="I50" i="56"/>
  <c r="I54" i="56"/>
  <c r="I58" i="56"/>
  <c r="I62" i="56"/>
  <c r="I66" i="56"/>
  <c r="M67" i="79" s="1"/>
  <c r="I70" i="56"/>
  <c r="I74" i="56"/>
  <c r="I78" i="56"/>
  <c r="I82" i="56"/>
  <c r="I86" i="56"/>
  <c r="M87" i="79" s="1"/>
  <c r="I90" i="56"/>
  <c r="I94" i="56"/>
  <c r="I98" i="56"/>
  <c r="I102" i="56"/>
  <c r="I106" i="56"/>
  <c r="I110" i="56"/>
  <c r="I114" i="56"/>
  <c r="I118" i="56"/>
  <c r="I122" i="56"/>
  <c r="K5" i="56"/>
  <c r="K17" i="56"/>
  <c r="K25" i="56"/>
  <c r="I7" i="56"/>
  <c r="I11" i="56"/>
  <c r="I15" i="56"/>
  <c r="I19" i="56"/>
  <c r="M20" i="79" s="1"/>
  <c r="I23" i="56"/>
  <c r="M24" i="79" s="1"/>
  <c r="I27" i="56"/>
  <c r="I31" i="56"/>
  <c r="I35" i="56"/>
  <c r="I39" i="56"/>
  <c r="I43" i="56"/>
  <c r="I47" i="56"/>
  <c r="M57" i="79" s="1"/>
  <c r="I51" i="56"/>
  <c r="I55" i="56"/>
  <c r="I59" i="56"/>
  <c r="I63" i="56"/>
  <c r="I67" i="56"/>
  <c r="I71" i="56"/>
  <c r="I75" i="56"/>
  <c r="I79" i="56"/>
  <c r="I83" i="56"/>
  <c r="M105" i="79" s="1"/>
  <c r="I87" i="56"/>
  <c r="I91" i="56"/>
  <c r="I95" i="56"/>
  <c r="I99" i="56"/>
  <c r="I103" i="56"/>
  <c r="I107" i="56"/>
  <c r="I111" i="56"/>
  <c r="M73" i="79" s="1"/>
  <c r="I115" i="56"/>
  <c r="I119" i="56"/>
  <c r="I123" i="56"/>
  <c r="K8" i="56"/>
  <c r="K12" i="56"/>
  <c r="K16" i="56"/>
  <c r="K20" i="56"/>
  <c r="I12" i="56"/>
  <c r="I16" i="56"/>
  <c r="I20" i="56"/>
  <c r="I24" i="56"/>
  <c r="I28" i="56"/>
  <c r="I32" i="56"/>
  <c r="I36" i="56"/>
  <c r="I44" i="56"/>
  <c r="I48" i="56"/>
  <c r="M49" i="79" s="1"/>
  <c r="I52" i="56"/>
  <c r="I60" i="56"/>
  <c r="I64" i="56"/>
  <c r="I68" i="56"/>
  <c r="I76" i="56"/>
  <c r="I80" i="56"/>
  <c r="I84" i="56"/>
  <c r="I88" i="56"/>
  <c r="M89" i="79" s="1"/>
  <c r="I92" i="56"/>
  <c r="I96" i="56"/>
  <c r="I100" i="56"/>
  <c r="I108" i="56"/>
  <c r="I112" i="56"/>
  <c r="I116" i="56"/>
  <c r="I124" i="56"/>
  <c r="G4" i="56"/>
  <c r="E4" i="62"/>
  <c r="J4" i="62"/>
  <c r="F4" i="62"/>
  <c r="I4" i="62"/>
  <c r="I4" i="117"/>
  <c r="H4" i="117"/>
  <c r="K124" i="56" l="1"/>
  <c r="K4" i="56" s="1"/>
  <c r="L125" i="79"/>
  <c r="M12" i="79"/>
  <c r="M15" i="79"/>
  <c r="M11" i="79"/>
  <c r="M96" i="79"/>
  <c r="M88" i="79"/>
  <c r="M16" i="79"/>
  <c r="M97" i="79"/>
  <c r="M81" i="79"/>
  <c r="M61" i="79"/>
  <c r="M37" i="79"/>
  <c r="M21" i="79"/>
  <c r="M104" i="79"/>
  <c r="M56" i="79"/>
  <c r="M40" i="79"/>
  <c r="M103" i="79"/>
  <c r="M71" i="79"/>
  <c r="M55" i="79"/>
  <c r="M39" i="79"/>
  <c r="M118" i="79"/>
  <c r="M54" i="79"/>
  <c r="M38" i="79"/>
  <c r="M22" i="79"/>
  <c r="M119" i="79"/>
  <c r="M91" i="79"/>
  <c r="M43" i="79"/>
  <c r="M80" i="79"/>
  <c r="M95" i="79"/>
  <c r="M63" i="79"/>
  <c r="M125" i="79"/>
  <c r="M101" i="79"/>
  <c r="M85" i="79"/>
  <c r="M65" i="79"/>
  <c r="M45" i="79"/>
  <c r="M25" i="79"/>
  <c r="M124" i="79"/>
  <c r="M108" i="79"/>
  <c r="M92" i="79"/>
  <c r="M76" i="79"/>
  <c r="M60" i="79"/>
  <c r="M44" i="79"/>
  <c r="M28" i="79"/>
  <c r="M123" i="79"/>
  <c r="M107" i="79"/>
  <c r="M75" i="79"/>
  <c r="M59" i="79"/>
  <c r="M90" i="79"/>
  <c r="M74" i="79"/>
  <c r="M58" i="79"/>
  <c r="M42" i="79"/>
  <c r="M26" i="79"/>
  <c r="M79" i="79"/>
  <c r="M62" i="79"/>
  <c r="M122" i="79"/>
  <c r="M117" i="79"/>
  <c r="M8" i="79"/>
  <c r="M23" i="79"/>
  <c r="M70" i="79"/>
  <c r="M9" i="79"/>
  <c r="M113" i="79"/>
  <c r="M93" i="79"/>
  <c r="M77" i="79"/>
  <c r="M53" i="79"/>
  <c r="M33" i="79"/>
  <c r="M17" i="79"/>
  <c r="M116" i="79"/>
  <c r="M100" i="79"/>
  <c r="M84" i="79"/>
  <c r="M68" i="79"/>
  <c r="M52" i="79"/>
  <c r="M36" i="79"/>
  <c r="M115" i="79"/>
  <c r="M99" i="79"/>
  <c r="M83" i="79"/>
  <c r="M51" i="79"/>
  <c r="M19" i="79"/>
  <c r="M114" i="79"/>
  <c r="M98" i="79"/>
  <c r="M82" i="79"/>
  <c r="M66" i="79"/>
  <c r="M50" i="79"/>
  <c r="M34" i="79"/>
  <c r="M18" i="79"/>
  <c r="M27" i="79"/>
  <c r="M106" i="79"/>
  <c r="M120" i="79"/>
  <c r="M72" i="79"/>
  <c r="M109" i="79"/>
  <c r="M69" i="79"/>
  <c r="M29" i="79"/>
  <c r="M13" i="79"/>
  <c r="M112" i="79"/>
  <c r="M64" i="79"/>
  <c r="M48" i="79"/>
  <c r="M32" i="79"/>
  <c r="M111" i="79"/>
  <c r="M47" i="79"/>
  <c r="M31" i="79"/>
  <c r="M110" i="79"/>
  <c r="M94" i="79"/>
  <c r="M78" i="79"/>
  <c r="M46" i="79"/>
  <c r="M30" i="79"/>
  <c r="M14" i="79"/>
  <c r="M41" i="79"/>
  <c r="M121" i="79"/>
  <c r="K128" i="55"/>
  <c r="I127" i="55"/>
  <c r="J127" i="55"/>
  <c r="J126" i="55"/>
  <c r="K130" i="55"/>
  <c r="J130" i="55"/>
  <c r="K127" i="55"/>
  <c r="J128" i="55"/>
  <c r="I130" i="55"/>
  <c r="I128" i="55"/>
  <c r="I129" i="55"/>
  <c r="K126" i="55"/>
  <c r="I126" i="55"/>
  <c r="J129" i="55"/>
  <c r="K129" i="55"/>
  <c r="J131" i="62"/>
  <c r="G21" i="123" s="1"/>
  <c r="H19" i="123"/>
  <c r="I131" i="62"/>
  <c r="H21" i="123" s="1"/>
  <c r="I4" i="56"/>
  <c r="M5" i="79" s="1"/>
  <c r="G7" i="123" l="1"/>
  <c r="I4" i="60"/>
  <c r="W5" i="79" s="1"/>
  <c r="H131" i="60"/>
  <c r="I131" i="56"/>
  <c r="H10" i="123" s="1"/>
  <c r="J131" i="55"/>
  <c r="I131" i="55"/>
  <c r="H7" i="123" s="1"/>
  <c r="K131" i="55"/>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N264" i="1"/>
  <c r="H4" i="59"/>
  <c r="G4" i="59"/>
  <c r="F4" i="59"/>
  <c r="C32" i="108" l="1"/>
  <c r="G11" i="123"/>
  <c r="I131" i="60"/>
  <c r="J131" i="60"/>
  <c r="G18" i="123" s="1"/>
  <c r="G13" i="123" s="1"/>
  <c r="D31" i="108" s="1"/>
  <c r="D11" i="123"/>
  <c r="H11" i="123"/>
  <c r="E11" i="123"/>
  <c r="F11" i="123"/>
  <c r="I4" i="59"/>
  <c r="N263" i="1"/>
  <c r="G4" i="61"/>
  <c r="F4" i="61"/>
  <c r="E4" i="61"/>
  <c r="D4" i="61"/>
  <c r="L124" i="57"/>
  <c r="L123" i="57"/>
  <c r="L122" i="57"/>
  <c r="L121" i="57"/>
  <c r="L120" i="57"/>
  <c r="L119" i="57"/>
  <c r="L118" i="57"/>
  <c r="L117" i="57"/>
  <c r="L116" i="57"/>
  <c r="L115" i="57"/>
  <c r="L114" i="57"/>
  <c r="L113" i="57"/>
  <c r="D113" i="57" s="1"/>
  <c r="L112" i="57"/>
  <c r="L111" i="57"/>
  <c r="D111" i="57" s="1"/>
  <c r="L110" i="57"/>
  <c r="L109" i="57"/>
  <c r="D109" i="57" s="1"/>
  <c r="L108" i="57"/>
  <c r="D108" i="57" s="1"/>
  <c r="L107" i="57"/>
  <c r="D107" i="57" s="1"/>
  <c r="L106" i="57"/>
  <c r="L105" i="57"/>
  <c r="L104" i="57"/>
  <c r="L103" i="57"/>
  <c r="D103" i="57" s="1"/>
  <c r="L102" i="57"/>
  <c r="L101" i="57"/>
  <c r="D101" i="57" s="1"/>
  <c r="L100" i="57"/>
  <c r="D100" i="57" s="1"/>
  <c r="L99" i="57"/>
  <c r="D99" i="57" s="1"/>
  <c r="L98" i="57"/>
  <c r="L97" i="57"/>
  <c r="D97" i="57" s="1"/>
  <c r="L96" i="57"/>
  <c r="D96" i="57" s="1"/>
  <c r="L95" i="57"/>
  <c r="D95" i="57" s="1"/>
  <c r="L94" i="57"/>
  <c r="D94" i="57" s="1"/>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D82" i="57" s="1"/>
  <c r="L81" i="57"/>
  <c r="D81" i="57" s="1"/>
  <c r="L80" i="57"/>
  <c r="D80" i="57" s="1"/>
  <c r="L79" i="57"/>
  <c r="D79" i="57" s="1"/>
  <c r="L78" i="57"/>
  <c r="D78" i="57" s="1"/>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D66" i="57" s="1"/>
  <c r="L65" i="57"/>
  <c r="D65" i="57" s="1"/>
  <c r="L64" i="57"/>
  <c r="D64" i="57" s="1"/>
  <c r="L63" i="57"/>
  <c r="D63" i="57" s="1"/>
  <c r="L62" i="57"/>
  <c r="D62" i="57" s="1"/>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D50" i="57" s="1"/>
  <c r="L49" i="57"/>
  <c r="D49" i="57" s="1"/>
  <c r="L48" i="57"/>
  <c r="D48" i="57" s="1"/>
  <c r="L47" i="57"/>
  <c r="D47" i="57" s="1"/>
  <c r="L46" i="57"/>
  <c r="D46" i="57" s="1"/>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D34" i="57" s="1"/>
  <c r="L33" i="57"/>
  <c r="D33" i="57" s="1"/>
  <c r="L32" i="57"/>
  <c r="D32" i="57" s="1"/>
  <c r="L31" i="57"/>
  <c r="D31" i="57" s="1"/>
  <c r="L30" i="57"/>
  <c r="D30" i="57" s="1"/>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D18" i="57" s="1"/>
  <c r="L17" i="57"/>
  <c r="D17" i="57" s="1"/>
  <c r="L16" i="57"/>
  <c r="D16" i="57" s="1"/>
  <c r="L15" i="57"/>
  <c r="D15" i="57" s="1"/>
  <c r="L14" i="57"/>
  <c r="D14" i="57" s="1"/>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2" i="57"/>
  <c r="D110" i="57"/>
  <c r="D106" i="57"/>
  <c r="D105" i="57"/>
  <c r="D104" i="57"/>
  <c r="D98"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N254" i="1" s="1"/>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J124" i="53"/>
  <c r="J123" i="53"/>
  <c r="J122" i="53"/>
  <c r="J121" i="53"/>
  <c r="J120" i="53"/>
  <c r="J119" i="53"/>
  <c r="J118" i="53"/>
  <c r="J117" i="53"/>
  <c r="J116" i="53"/>
  <c r="J115" i="53"/>
  <c r="J113" i="53"/>
  <c r="J112" i="53"/>
  <c r="J111" i="53"/>
  <c r="J110" i="53"/>
  <c r="J109" i="53"/>
  <c r="J108" i="53"/>
  <c r="J107" i="53"/>
  <c r="J106" i="53"/>
  <c r="J105" i="53"/>
  <c r="J104" i="53"/>
  <c r="J103" i="53"/>
  <c r="J102" i="53"/>
  <c r="K102" i="53" s="1"/>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5" i="53"/>
  <c r="J44" i="53"/>
  <c r="J43" i="53"/>
  <c r="J42" i="53"/>
  <c r="J41" i="53"/>
  <c r="J40" i="53"/>
  <c r="J39" i="53"/>
  <c r="J38" i="53"/>
  <c r="J37" i="53"/>
  <c r="J36" i="53"/>
  <c r="J35" i="53"/>
  <c r="J34" i="53"/>
  <c r="J33" i="53"/>
  <c r="J32" i="53"/>
  <c r="J31" i="53"/>
  <c r="J30" i="53"/>
  <c r="J29" i="53"/>
  <c r="J28" i="53"/>
  <c r="J27" i="53"/>
  <c r="J26" i="53"/>
  <c r="J25" i="53"/>
  <c r="J24" i="53"/>
  <c r="J23" i="53"/>
  <c r="J21" i="53"/>
  <c r="J20" i="53"/>
  <c r="J19" i="53"/>
  <c r="J18" i="53"/>
  <c r="J17" i="53"/>
  <c r="J16" i="53"/>
  <c r="J14" i="53"/>
  <c r="J13" i="53"/>
  <c r="J12" i="53"/>
  <c r="J10" i="53"/>
  <c r="J9" i="53"/>
  <c r="J7" i="53"/>
  <c r="K124"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G8" i="79" l="1"/>
  <c r="AA8" i="79" s="1"/>
  <c r="K5" i="55"/>
  <c r="M254" i="1"/>
  <c r="G48" i="79"/>
  <c r="AA48" i="79" s="1"/>
  <c r="G52" i="79"/>
  <c r="AA52" i="79" s="1"/>
  <c r="G60" i="79"/>
  <c r="AA60" i="79" s="1"/>
  <c r="G64" i="79"/>
  <c r="AA64" i="79" s="1"/>
  <c r="G68" i="79"/>
  <c r="AA68" i="79" s="1"/>
  <c r="G72" i="79"/>
  <c r="AA72" i="79" s="1"/>
  <c r="G84" i="79"/>
  <c r="AA84" i="79" s="1"/>
  <c r="G92" i="79"/>
  <c r="AA92" i="79" s="1"/>
  <c r="G96" i="79"/>
  <c r="AA96" i="79" s="1"/>
  <c r="G103" i="79"/>
  <c r="AA103" i="79" s="1"/>
  <c r="G116" i="79"/>
  <c r="AA116" i="79" s="1"/>
  <c r="G120" i="79"/>
  <c r="AA120" i="79" s="1"/>
  <c r="G124" i="79"/>
  <c r="AA124" i="79" s="1"/>
  <c r="G76" i="79"/>
  <c r="AA76" i="79" s="1"/>
  <c r="G80" i="79"/>
  <c r="AA80" i="79" s="1"/>
  <c r="G88" i="79"/>
  <c r="AA88" i="79" s="1"/>
  <c r="G100" i="79"/>
  <c r="AA100" i="79" s="1"/>
  <c r="G104" i="79"/>
  <c r="AA104" i="79" s="1"/>
  <c r="G108" i="79"/>
  <c r="AA108" i="79" s="1"/>
  <c r="G112" i="79"/>
  <c r="AA112" i="79" s="1"/>
  <c r="G125" i="79"/>
  <c r="AA125" i="79" s="1"/>
  <c r="G24" i="79"/>
  <c r="AA24" i="79" s="1"/>
  <c r="G28" i="79"/>
  <c r="AA28" i="79" s="1"/>
  <c r="G32" i="79"/>
  <c r="AA32" i="79" s="1"/>
  <c r="G36" i="79"/>
  <c r="AA36" i="79" s="1"/>
  <c r="G40" i="79"/>
  <c r="AA40" i="79" s="1"/>
  <c r="G44" i="79"/>
  <c r="AA44" i="79" s="1"/>
  <c r="G101" i="79"/>
  <c r="AA101" i="79" s="1"/>
  <c r="G20" i="79"/>
  <c r="AA20" i="79" s="1"/>
  <c r="K10" i="53"/>
  <c r="G11" i="79"/>
  <c r="AA11" i="79" s="1"/>
  <c r="K16" i="53"/>
  <c r="K20" i="53"/>
  <c r="G21" i="79"/>
  <c r="AA21" i="79" s="1"/>
  <c r="K25" i="53"/>
  <c r="G26" i="79"/>
  <c r="AA26" i="79" s="1"/>
  <c r="K29" i="53"/>
  <c r="G30" i="79"/>
  <c r="AA30" i="79" s="1"/>
  <c r="K33" i="53"/>
  <c r="G34" i="79"/>
  <c r="AA34" i="79" s="1"/>
  <c r="K37" i="53"/>
  <c r="G38" i="79"/>
  <c r="AA38" i="79" s="1"/>
  <c r="K41" i="53"/>
  <c r="G42" i="79"/>
  <c r="AA42" i="79" s="1"/>
  <c r="K45" i="53"/>
  <c r="G46" i="79"/>
  <c r="AA46" i="79" s="1"/>
  <c r="K50" i="53"/>
  <c r="G51" i="79"/>
  <c r="AA51" i="79" s="1"/>
  <c r="K54" i="53"/>
  <c r="G55" i="79"/>
  <c r="AA55" i="79" s="1"/>
  <c r="K58" i="53"/>
  <c r="G59" i="79"/>
  <c r="AA59" i="79" s="1"/>
  <c r="K62" i="53"/>
  <c r="G63" i="79"/>
  <c r="AA63" i="79" s="1"/>
  <c r="K66" i="53"/>
  <c r="G67" i="79"/>
  <c r="AA67" i="79" s="1"/>
  <c r="K70" i="53"/>
  <c r="G71" i="79"/>
  <c r="AA71" i="79" s="1"/>
  <c r="K74" i="53"/>
  <c r="G75" i="79"/>
  <c r="AA75" i="79" s="1"/>
  <c r="K78" i="53"/>
  <c r="G79" i="79"/>
  <c r="AA79" i="79" s="1"/>
  <c r="K82" i="53"/>
  <c r="G83" i="79"/>
  <c r="AA83" i="79" s="1"/>
  <c r="K86" i="53"/>
  <c r="G87" i="79"/>
  <c r="AA87" i="79" s="1"/>
  <c r="K90" i="53"/>
  <c r="G91" i="79"/>
  <c r="AA91" i="79" s="1"/>
  <c r="K94" i="53"/>
  <c r="G95" i="79"/>
  <c r="AA95" i="79" s="1"/>
  <c r="K98" i="53"/>
  <c r="G99" i="79"/>
  <c r="AA99" i="79" s="1"/>
  <c r="K106" i="53"/>
  <c r="G107" i="79"/>
  <c r="AA107" i="79" s="1"/>
  <c r="K110" i="53"/>
  <c r="G111" i="79"/>
  <c r="AA111" i="79" s="1"/>
  <c r="K12" i="53"/>
  <c r="K17" i="53"/>
  <c r="G18" i="79"/>
  <c r="AA18" i="79" s="1"/>
  <c r="K21" i="53"/>
  <c r="G22" i="79"/>
  <c r="AA22" i="79" s="1"/>
  <c r="K26" i="53"/>
  <c r="G27" i="79"/>
  <c r="AA27" i="79" s="1"/>
  <c r="K30" i="53"/>
  <c r="G31" i="79"/>
  <c r="AA31" i="79" s="1"/>
  <c r="K34" i="53"/>
  <c r="G35" i="79"/>
  <c r="AA35" i="79" s="1"/>
  <c r="K38" i="53"/>
  <c r="G39" i="79"/>
  <c r="AA39" i="79" s="1"/>
  <c r="K42" i="53"/>
  <c r="G43" i="79"/>
  <c r="AA43" i="79" s="1"/>
  <c r="K116" i="53"/>
  <c r="G117" i="79"/>
  <c r="AA117" i="79" s="1"/>
  <c r="K120" i="53"/>
  <c r="G121" i="79"/>
  <c r="AA121" i="79" s="1"/>
  <c r="K13" i="53"/>
  <c r="G14" i="79"/>
  <c r="AA14" i="79" s="1"/>
  <c r="K18" i="53"/>
  <c r="G19" i="79"/>
  <c r="AA19" i="79" s="1"/>
  <c r="K48" i="53"/>
  <c r="G49" i="79"/>
  <c r="AA49" i="79" s="1"/>
  <c r="K52" i="53"/>
  <c r="G53" i="79"/>
  <c r="AA53" i="79" s="1"/>
  <c r="K56" i="53"/>
  <c r="G57" i="79"/>
  <c r="AA57" i="79" s="1"/>
  <c r="K60" i="53"/>
  <c r="G61" i="79"/>
  <c r="AA61" i="79" s="1"/>
  <c r="K64" i="53"/>
  <c r="G65" i="79"/>
  <c r="AA65" i="79" s="1"/>
  <c r="K68" i="53"/>
  <c r="G69" i="79"/>
  <c r="AA69" i="79" s="1"/>
  <c r="K72" i="53"/>
  <c r="G73" i="79"/>
  <c r="AA73" i="79" s="1"/>
  <c r="K76" i="53"/>
  <c r="G77" i="79"/>
  <c r="AA77" i="79" s="1"/>
  <c r="K80" i="53"/>
  <c r="G81" i="79"/>
  <c r="AA81" i="79" s="1"/>
  <c r="K84" i="53"/>
  <c r="G85" i="79"/>
  <c r="AA85" i="79" s="1"/>
  <c r="K88" i="53"/>
  <c r="G89" i="79"/>
  <c r="AA89" i="79" s="1"/>
  <c r="K92" i="53"/>
  <c r="G93" i="79"/>
  <c r="AA93" i="79" s="1"/>
  <c r="K96" i="53"/>
  <c r="G97" i="79"/>
  <c r="AA97" i="79" s="1"/>
  <c r="K104" i="53"/>
  <c r="G105" i="79"/>
  <c r="AA105" i="79" s="1"/>
  <c r="K108" i="53"/>
  <c r="G109" i="79"/>
  <c r="AA109" i="79" s="1"/>
  <c r="K112" i="53"/>
  <c r="G113" i="79"/>
  <c r="AA113" i="79" s="1"/>
  <c r="K117" i="53"/>
  <c r="G118" i="79"/>
  <c r="AA118" i="79" s="1"/>
  <c r="K121" i="53"/>
  <c r="G122" i="79"/>
  <c r="AA122" i="79" s="1"/>
  <c r="K9" i="53"/>
  <c r="K14" i="53"/>
  <c r="G15" i="79"/>
  <c r="AA15" i="79" s="1"/>
  <c r="K24" i="53"/>
  <c r="K28" i="53"/>
  <c r="G29" i="79"/>
  <c r="AA29" i="79" s="1"/>
  <c r="K32" i="53"/>
  <c r="G33" i="79"/>
  <c r="AA33" i="79" s="1"/>
  <c r="K36" i="53"/>
  <c r="G37" i="79"/>
  <c r="AA37" i="79" s="1"/>
  <c r="K40" i="53"/>
  <c r="G41" i="79"/>
  <c r="AA41" i="79" s="1"/>
  <c r="K44" i="53"/>
  <c r="G45" i="79"/>
  <c r="AA45" i="79" s="1"/>
  <c r="K49" i="53"/>
  <c r="G50" i="79"/>
  <c r="AA50" i="79" s="1"/>
  <c r="K53" i="53"/>
  <c r="G54" i="79"/>
  <c r="AA54" i="79" s="1"/>
  <c r="K57" i="53"/>
  <c r="G58" i="79"/>
  <c r="AA58" i="79" s="1"/>
  <c r="K61" i="53"/>
  <c r="G62" i="79"/>
  <c r="AA62" i="79" s="1"/>
  <c r="K65" i="53"/>
  <c r="G66" i="79"/>
  <c r="AA66" i="79" s="1"/>
  <c r="K69" i="53"/>
  <c r="G70" i="79"/>
  <c r="AA70" i="79" s="1"/>
  <c r="K73" i="53"/>
  <c r="G74" i="79"/>
  <c r="AA74" i="79" s="1"/>
  <c r="K77" i="53"/>
  <c r="G78" i="79"/>
  <c r="AA78" i="79" s="1"/>
  <c r="K81" i="53"/>
  <c r="K85" i="53"/>
  <c r="G86" i="79"/>
  <c r="AA86" i="79" s="1"/>
  <c r="K89" i="53"/>
  <c r="G90" i="79"/>
  <c r="AA90" i="79" s="1"/>
  <c r="K93" i="53"/>
  <c r="G94" i="79"/>
  <c r="AA94" i="79" s="1"/>
  <c r="K97" i="53"/>
  <c r="G98" i="79"/>
  <c r="AA98" i="79" s="1"/>
  <c r="K101" i="53"/>
  <c r="G102" i="79"/>
  <c r="AA102" i="79" s="1"/>
  <c r="K105" i="53"/>
  <c r="G106" i="79"/>
  <c r="AA106" i="79" s="1"/>
  <c r="K109" i="53"/>
  <c r="G110" i="79"/>
  <c r="AA110" i="79" s="1"/>
  <c r="K113" i="53"/>
  <c r="G114" i="79"/>
  <c r="AA114" i="79" s="1"/>
  <c r="K118" i="53"/>
  <c r="G119" i="79"/>
  <c r="AA119" i="79" s="1"/>
  <c r="K122" i="53"/>
  <c r="G123" i="79"/>
  <c r="AA123" i="79" s="1"/>
  <c r="D11" i="79"/>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Q5" i="79" s="1"/>
  <c r="E23" i="79"/>
  <c r="D23" i="79"/>
  <c r="J22" i="53"/>
  <c r="G25" i="79" s="1"/>
  <c r="AA25" i="79" s="1"/>
  <c r="D115" i="79"/>
  <c r="E115" i="79"/>
  <c r="J114" i="53"/>
  <c r="G82" i="79" s="1"/>
  <c r="AA82" i="79" s="1"/>
  <c r="D47" i="79"/>
  <c r="E47" i="79"/>
  <c r="J46" i="53"/>
  <c r="G56" i="79" s="1"/>
  <c r="AA56" i="79" s="1"/>
  <c r="D102" i="57"/>
  <c r="D5" i="57"/>
  <c r="N261" i="1" s="1"/>
  <c r="I4" i="61"/>
  <c r="E7" i="79"/>
  <c r="J6" i="53"/>
  <c r="D16" i="79"/>
  <c r="E12" i="79"/>
  <c r="E16" i="79"/>
  <c r="J11" i="53"/>
  <c r="G12" i="79" s="1"/>
  <c r="AA12" i="79" s="1"/>
  <c r="J15" i="53"/>
  <c r="G17" i="79" s="1"/>
  <c r="AA17" i="79" s="1"/>
  <c r="E9" i="79"/>
  <c r="J8" i="53"/>
  <c r="G10" i="79" s="1"/>
  <c r="AA10" i="79" s="1"/>
  <c r="E6" i="79"/>
  <c r="J5" i="53"/>
  <c r="D7" i="79"/>
  <c r="D12" i="79"/>
  <c r="D6" i="79"/>
  <c r="D9" i="79"/>
  <c r="K19" i="53"/>
  <c r="K27" i="53"/>
  <c r="K35" i="53"/>
  <c r="K43" i="53"/>
  <c r="K51" i="53"/>
  <c r="K59" i="53"/>
  <c r="K67" i="53"/>
  <c r="K75" i="53"/>
  <c r="K83" i="53"/>
  <c r="K91" i="53"/>
  <c r="K99" i="53"/>
  <c r="K107" i="53"/>
  <c r="K115" i="53"/>
  <c r="K123" i="53"/>
  <c r="K7" i="53"/>
  <c r="K23" i="53"/>
  <c r="K31" i="53"/>
  <c r="K39" i="53"/>
  <c r="K47" i="53"/>
  <c r="K55" i="53"/>
  <c r="K63" i="53"/>
  <c r="K71" i="53"/>
  <c r="K79" i="53"/>
  <c r="K87" i="53"/>
  <c r="K95" i="53"/>
  <c r="K103" i="53"/>
  <c r="K111" i="53"/>
  <c r="K119" i="53"/>
  <c r="I6" i="118"/>
  <c r="I10" i="118"/>
  <c r="I14" i="118"/>
  <c r="I18" i="118"/>
  <c r="I22" i="118"/>
  <c r="I26" i="118"/>
  <c r="I30" i="118"/>
  <c r="I34" i="118"/>
  <c r="I38" i="118"/>
  <c r="I42" i="118"/>
  <c r="I46" i="118"/>
  <c r="I50" i="118"/>
  <c r="I54" i="118"/>
  <c r="I58" i="118"/>
  <c r="I62" i="118"/>
  <c r="I66" i="118"/>
  <c r="I70" i="118"/>
  <c r="I74" i="118"/>
  <c r="I78" i="118"/>
  <c r="I82" i="118"/>
  <c r="I86" i="118"/>
  <c r="I90" i="118"/>
  <c r="I94" i="118"/>
  <c r="I98" i="118"/>
  <c r="I102" i="118"/>
  <c r="I106" i="118"/>
  <c r="I110" i="118"/>
  <c r="I114" i="118"/>
  <c r="I118" i="118"/>
  <c r="I122" i="118"/>
  <c r="I9" i="118"/>
  <c r="I13" i="118"/>
  <c r="I17" i="118"/>
  <c r="I21" i="118"/>
  <c r="I25" i="118"/>
  <c r="I29" i="118"/>
  <c r="I33" i="118"/>
  <c r="I37" i="118"/>
  <c r="I41" i="118"/>
  <c r="I45" i="118"/>
  <c r="I49" i="118"/>
  <c r="I53" i="118"/>
  <c r="I57" i="118"/>
  <c r="I61" i="118"/>
  <c r="I65" i="118"/>
  <c r="I69" i="118"/>
  <c r="I73" i="118"/>
  <c r="I77" i="118"/>
  <c r="I81" i="118"/>
  <c r="I85" i="118"/>
  <c r="I89" i="118"/>
  <c r="I93" i="118"/>
  <c r="I97" i="118"/>
  <c r="I101" i="118"/>
  <c r="I105" i="118"/>
  <c r="I109" i="118"/>
  <c r="I113" i="118"/>
  <c r="I117" i="118"/>
  <c r="I121" i="118"/>
  <c r="I125" i="118"/>
  <c r="I8" i="118"/>
  <c r="I12" i="118"/>
  <c r="I16" i="118"/>
  <c r="I20" i="118"/>
  <c r="I24" i="118"/>
  <c r="I28" i="118"/>
  <c r="I32" i="118"/>
  <c r="I36" i="118"/>
  <c r="I40" i="118"/>
  <c r="I44" i="118"/>
  <c r="I48" i="118"/>
  <c r="I52" i="118"/>
  <c r="I56" i="118"/>
  <c r="I60" i="118"/>
  <c r="I64" i="118"/>
  <c r="I68" i="118"/>
  <c r="I72" i="118"/>
  <c r="I76" i="118"/>
  <c r="I80" i="118"/>
  <c r="I84" i="118"/>
  <c r="I88" i="118"/>
  <c r="I92" i="118"/>
  <c r="I96" i="118"/>
  <c r="I100" i="118"/>
  <c r="I104" i="118"/>
  <c r="I108" i="118"/>
  <c r="I112" i="118"/>
  <c r="I116" i="118"/>
  <c r="I120" i="118"/>
  <c r="I124" i="118"/>
  <c r="I7" i="118"/>
  <c r="I11" i="118"/>
  <c r="I15" i="118"/>
  <c r="I19" i="118"/>
  <c r="I23" i="118"/>
  <c r="I27" i="118"/>
  <c r="I31" i="118"/>
  <c r="I35" i="118"/>
  <c r="I39" i="118"/>
  <c r="I43" i="118"/>
  <c r="I47" i="118"/>
  <c r="I51" i="118"/>
  <c r="I55" i="118"/>
  <c r="I59" i="118"/>
  <c r="I63" i="118"/>
  <c r="I67" i="118"/>
  <c r="I71" i="118"/>
  <c r="I75" i="118"/>
  <c r="I79" i="118"/>
  <c r="I83" i="118"/>
  <c r="I87" i="118"/>
  <c r="I91" i="118"/>
  <c r="I95" i="118"/>
  <c r="I99" i="118"/>
  <c r="I103" i="118"/>
  <c r="I107" i="118"/>
  <c r="I111" i="118"/>
  <c r="I115" i="118"/>
  <c r="I119" i="118"/>
  <c r="I123" i="118"/>
  <c r="H4" i="61"/>
  <c r="I25" i="55"/>
  <c r="I4" i="55" s="1"/>
  <c r="H4" i="55"/>
  <c r="K4" i="55"/>
  <c r="H4" i="53"/>
  <c r="G13" i="79" l="1"/>
  <c r="AA13" i="79" s="1"/>
  <c r="K5" i="53"/>
  <c r="G6" i="79"/>
  <c r="AA6" i="79" s="1"/>
  <c r="M253" i="1"/>
  <c r="M252" i="1" s="1"/>
  <c r="M271" i="1" s="1"/>
  <c r="K15" i="53"/>
  <c r="G16" i="79"/>
  <c r="AA16" i="79" s="1"/>
  <c r="K22" i="53"/>
  <c r="G23" i="79"/>
  <c r="AA23" i="79" s="1"/>
  <c r="K6" i="53"/>
  <c r="G7" i="79"/>
  <c r="AA7" i="79" s="1"/>
  <c r="K114" i="53"/>
  <c r="G115" i="79"/>
  <c r="AA115" i="79" s="1"/>
  <c r="K8" i="53"/>
  <c r="G9" i="79"/>
  <c r="AA9" i="79" s="1"/>
  <c r="K46" i="53"/>
  <c r="G47" i="79"/>
  <c r="AA47" i="79" s="1"/>
  <c r="AP96" i="79"/>
  <c r="AO64" i="79"/>
  <c r="AO42" i="79"/>
  <c r="AP103" i="79"/>
  <c r="AP10" i="79"/>
  <c r="AP123" i="79"/>
  <c r="AP11" i="79"/>
  <c r="AP78" i="79"/>
  <c r="AP34" i="79"/>
  <c r="AP39" i="79"/>
  <c r="AP30" i="79"/>
  <c r="AP124" i="79"/>
  <c r="AO92" i="79"/>
  <c r="AP28" i="79"/>
  <c r="AP81" i="79"/>
  <c r="AP79" i="79"/>
  <c r="AP115" i="79"/>
  <c r="AP37" i="79"/>
  <c r="AP60" i="79"/>
  <c r="AP19" i="79"/>
  <c r="AP63" i="79"/>
  <c r="AP21" i="79"/>
  <c r="AP102" i="79"/>
  <c r="AP101" i="79"/>
  <c r="AO120" i="79"/>
  <c r="AP66" i="79"/>
  <c r="AO116" i="79"/>
  <c r="AP20" i="79"/>
  <c r="AP38" i="79"/>
  <c r="AP15" i="79"/>
  <c r="AP95" i="79"/>
  <c r="AP75" i="79"/>
  <c r="AP90" i="79"/>
  <c r="AP98" i="79"/>
  <c r="AP18" i="79"/>
  <c r="AP112" i="79"/>
  <c r="AP80" i="79"/>
  <c r="AP53" i="79"/>
  <c r="AP108" i="79"/>
  <c r="AP76" i="79"/>
  <c r="AP44" i="79"/>
  <c r="AP111" i="79"/>
  <c r="AP55" i="79"/>
  <c r="AP109" i="79"/>
  <c r="AP24" i="79"/>
  <c r="AP61" i="79"/>
  <c r="AP84" i="79"/>
  <c r="AP59" i="79"/>
  <c r="AP69" i="79"/>
  <c r="AO51" i="79"/>
  <c r="AO117" i="79"/>
  <c r="AP49" i="79"/>
  <c r="AP104" i="79"/>
  <c r="AP72" i="79"/>
  <c r="AP40" i="79"/>
  <c r="AP113" i="79"/>
  <c r="AP33" i="79"/>
  <c r="AP125" i="79"/>
  <c r="AP68" i="79"/>
  <c r="AP36" i="79"/>
  <c r="AP46" i="79"/>
  <c r="AP107" i="79"/>
  <c r="AP35" i="79"/>
  <c r="AP89" i="79"/>
  <c r="AP87" i="79"/>
  <c r="AP67" i="79"/>
  <c r="AP27" i="79"/>
  <c r="AP45" i="79"/>
  <c r="AO106" i="79"/>
  <c r="AP54" i="79"/>
  <c r="AP43" i="79"/>
  <c r="AP23" i="79"/>
  <c r="AP50" i="79"/>
  <c r="AP93" i="79"/>
  <c r="AP17" i="79"/>
  <c r="AP91" i="79"/>
  <c r="AP71" i="79"/>
  <c r="AP31" i="79"/>
  <c r="AP65" i="79"/>
  <c r="AP74" i="79"/>
  <c r="AP110" i="79"/>
  <c r="AP58" i="79"/>
  <c r="AP14" i="79"/>
  <c r="AP122" i="79"/>
  <c r="AP25" i="79"/>
  <c r="AP26" i="79"/>
  <c r="AP119" i="79"/>
  <c r="AP41" i="79"/>
  <c r="AP70" i="79"/>
  <c r="AP73" i="79"/>
  <c r="AP100" i="79"/>
  <c r="AP82" i="79"/>
  <c r="AP62" i="79"/>
  <c r="AP114" i="79"/>
  <c r="AP94" i="79"/>
  <c r="K130" i="53"/>
  <c r="J130" i="53"/>
  <c r="I130" i="53"/>
  <c r="J127" i="53"/>
  <c r="K127" i="53"/>
  <c r="J126" i="53"/>
  <c r="J129" i="53"/>
  <c r="D131" i="53"/>
  <c r="D6" i="123" s="1"/>
  <c r="K126" i="53"/>
  <c r="I127" i="53"/>
  <c r="J128" i="53"/>
  <c r="H131" i="53"/>
  <c r="K128" i="53"/>
  <c r="E131" i="53"/>
  <c r="E6" i="123" s="1"/>
  <c r="G131" i="53"/>
  <c r="I126" i="53"/>
  <c r="F131" i="53"/>
  <c r="F6" i="123" s="1"/>
  <c r="I128" i="53"/>
  <c r="I129" i="53"/>
  <c r="K129" i="53"/>
  <c r="AP6" i="79"/>
  <c r="AP9" i="79"/>
  <c r="K11" i="53"/>
  <c r="AP13" i="79" s="1"/>
  <c r="AP7" i="79"/>
  <c r="I5" i="118"/>
  <c r="M256" i="1" l="1"/>
  <c r="U264" i="1" s="1"/>
  <c r="M259" i="1"/>
  <c r="V264" i="1" s="1"/>
  <c r="M270" i="1"/>
  <c r="W264" i="1" s="1"/>
  <c r="AO96" i="79"/>
  <c r="AO115" i="79"/>
  <c r="AO41" i="79"/>
  <c r="AO21" i="79"/>
  <c r="AP42" i="79"/>
  <c r="AO28" i="79"/>
  <c r="AP92" i="79"/>
  <c r="AO14" i="79"/>
  <c r="AP64" i="79"/>
  <c r="AO84" i="79"/>
  <c r="AP116" i="79"/>
  <c r="AO91" i="79"/>
  <c r="AO74" i="79"/>
  <c r="AO43" i="79"/>
  <c r="AO90" i="79"/>
  <c r="AO40" i="79"/>
  <c r="AO72" i="79"/>
  <c r="AO55" i="79"/>
  <c r="AO19" i="79"/>
  <c r="AO101" i="79"/>
  <c r="AO35" i="79"/>
  <c r="AO26" i="79"/>
  <c r="AP86" i="79"/>
  <c r="AO24" i="79"/>
  <c r="AO37" i="79"/>
  <c r="AO44" i="79"/>
  <c r="AO110" i="79"/>
  <c r="AO20" i="79"/>
  <c r="AO59" i="79"/>
  <c r="AP97" i="79"/>
  <c r="AP29" i="79"/>
  <c r="AP120" i="79"/>
  <c r="AP117" i="79"/>
  <c r="AO104" i="79"/>
  <c r="AO60" i="79"/>
  <c r="AP16" i="79"/>
  <c r="AP121" i="79"/>
  <c r="AP48" i="79"/>
  <c r="AP118" i="79"/>
  <c r="AP51" i="79"/>
  <c r="AP57" i="79"/>
  <c r="AP99" i="79"/>
  <c r="AP106" i="79"/>
  <c r="AP105" i="79"/>
  <c r="AP22" i="79"/>
  <c r="AP77" i="79"/>
  <c r="AP8" i="79"/>
  <c r="AP56" i="79"/>
  <c r="AP52" i="79"/>
  <c r="AO17" i="79"/>
  <c r="AP88" i="79"/>
  <c r="AP85" i="79"/>
  <c r="AP32" i="79"/>
  <c r="AP83" i="79"/>
  <c r="AP47" i="79"/>
  <c r="AO10" i="79"/>
  <c r="AO58" i="79"/>
  <c r="AO87" i="79"/>
  <c r="J131" i="53"/>
  <c r="G6" i="123" s="1"/>
  <c r="G5" i="123" s="1"/>
  <c r="K131" i="53"/>
  <c r="I131" i="53"/>
  <c r="H6" i="123" s="1"/>
  <c r="AO23" i="79"/>
  <c r="AO102" i="79"/>
  <c r="AO111" i="79"/>
  <c r="AO119" i="79"/>
  <c r="AO86" i="79"/>
  <c r="AO67" i="79"/>
  <c r="AO118" i="79"/>
  <c r="AO97" i="79"/>
  <c r="AP12" i="79"/>
  <c r="AO108" i="79"/>
  <c r="AO124" i="79"/>
  <c r="AO69" i="79"/>
  <c r="AO25" i="79"/>
  <c r="AO46" i="79"/>
  <c r="AO76" i="79"/>
  <c r="AO6" i="79"/>
  <c r="AO100" i="79"/>
  <c r="AO53" i="79"/>
  <c r="AO33" i="79"/>
  <c r="AO70" i="79"/>
  <c r="AO7" i="79"/>
  <c r="AO107" i="79"/>
  <c r="AO98" i="79"/>
  <c r="AO27" i="79"/>
  <c r="AO34" i="79"/>
  <c r="AO68" i="79"/>
  <c r="AO15" i="79"/>
  <c r="AO80" i="79"/>
  <c r="AO122" i="79"/>
  <c r="AO9" i="79"/>
  <c r="AO103" i="79"/>
  <c r="AO11" i="79"/>
  <c r="AO113" i="79"/>
  <c r="AO82" i="79"/>
  <c r="AO62" i="79"/>
  <c r="AO31" i="79"/>
  <c r="AO81" i="79"/>
  <c r="AO94" i="79"/>
  <c r="AO63" i="79"/>
  <c r="AO49" i="79"/>
  <c r="AO39" i="79"/>
  <c r="AO30" i="79"/>
  <c r="AO114" i="79"/>
  <c r="AO75" i="79"/>
  <c r="AO45" i="79"/>
  <c r="AO36" i="79"/>
  <c r="AO54" i="79"/>
  <c r="AO18" i="79"/>
  <c r="AO79" i="79"/>
  <c r="AO50" i="79"/>
  <c r="AO89" i="79"/>
  <c r="AO78" i="79"/>
  <c r="AO125" i="79"/>
  <c r="AO109" i="79"/>
  <c r="AO95" i="79"/>
  <c r="AO65" i="79"/>
  <c r="AO71" i="79"/>
  <c r="AO66" i="79"/>
  <c r="AO93" i="79"/>
  <c r="AO123" i="79"/>
  <c r="AO73" i="79"/>
  <c r="AO38" i="79"/>
  <c r="AO61" i="79"/>
  <c r="AO13" i="79"/>
  <c r="AO112" i="79"/>
  <c r="B31" i="108" l="1"/>
  <c r="G24" i="123"/>
  <c r="G9" i="123" s="1"/>
  <c r="AO32" i="79"/>
  <c r="AO99" i="79"/>
  <c r="AO47" i="79"/>
  <c r="AO77" i="79"/>
  <c r="AO121" i="79"/>
  <c r="AO105" i="79"/>
  <c r="AO29" i="79"/>
  <c r="AO88" i="79"/>
  <c r="AO56" i="79"/>
  <c r="AO57" i="79"/>
  <c r="AO48" i="79"/>
  <c r="AO52" i="79"/>
  <c r="AO8" i="79"/>
  <c r="AO22" i="79"/>
  <c r="AO83" i="79"/>
  <c r="AO85" i="79"/>
  <c r="AO16" i="79"/>
  <c r="AO12" i="79"/>
  <c r="AP127" i="79"/>
  <c r="AP128" i="79"/>
  <c r="M130" i="115"/>
  <c r="L130" i="115"/>
  <c r="K130" i="115"/>
  <c r="J130" i="115"/>
  <c r="M129" i="115"/>
  <c r="L129" i="115"/>
  <c r="K129" i="115"/>
  <c r="J129" i="115"/>
  <c r="M128" i="115"/>
  <c r="L128" i="115"/>
  <c r="K128" i="115"/>
  <c r="J128" i="115"/>
  <c r="M127" i="115"/>
  <c r="L127" i="115"/>
  <c r="K127" i="115"/>
  <c r="J127" i="115"/>
  <c r="M126" i="115"/>
  <c r="L126" i="115"/>
  <c r="K126" i="115"/>
  <c r="J126"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G12" i="123" l="1"/>
  <c r="E31" i="108"/>
  <c r="G23" i="123"/>
  <c r="AO128" i="79"/>
  <c r="AN128" i="79"/>
  <c r="AN127" i="79"/>
  <c r="AO127" i="79"/>
  <c r="G119" i="1"/>
  <c r="G2" i="108" l="1"/>
  <c r="I17" i="108"/>
  <c r="I16" i="108"/>
  <c r="I15" i="108"/>
  <c r="I14" i="108"/>
  <c r="I13" i="108"/>
  <c r="I12" i="108"/>
  <c r="I11" i="108"/>
  <c r="I10" i="108"/>
  <c r="I9" i="108"/>
  <c r="I8" i="108"/>
  <c r="I7" i="108"/>
  <c r="I6" i="108"/>
  <c r="I5" i="108"/>
  <c r="I4" i="108"/>
  <c r="I3" i="108"/>
  <c r="B2" i="108" l="1"/>
  <c r="R131" i="109"/>
  <c r="Q131" i="109"/>
  <c r="P131" i="109"/>
  <c r="O131" i="109"/>
  <c r="N131" i="109"/>
  <c r="M131" i="109"/>
  <c r="L131" i="109"/>
  <c r="K131" i="109"/>
  <c r="J131" i="109"/>
  <c r="I131" i="109"/>
  <c r="H131" i="109"/>
  <c r="G131" i="109"/>
  <c r="F131" i="109"/>
  <c r="E131" i="109"/>
  <c r="D131" i="109"/>
  <c r="R130" i="109"/>
  <c r="Q130" i="109"/>
  <c r="P130" i="109"/>
  <c r="O130" i="109"/>
  <c r="N130" i="109"/>
  <c r="M130" i="109"/>
  <c r="L130" i="109"/>
  <c r="K130" i="109"/>
  <c r="J130" i="109"/>
  <c r="I130" i="109"/>
  <c r="H130" i="109"/>
  <c r="G130" i="109"/>
  <c r="F130" i="109"/>
  <c r="E130" i="109"/>
  <c r="D130" i="109"/>
  <c r="R129" i="109"/>
  <c r="Q129" i="109"/>
  <c r="P129" i="109"/>
  <c r="O129" i="109"/>
  <c r="N129" i="109"/>
  <c r="M129" i="109"/>
  <c r="L129" i="109"/>
  <c r="K129" i="109"/>
  <c r="J129" i="109"/>
  <c r="I129" i="109"/>
  <c r="H129" i="109"/>
  <c r="G129" i="109"/>
  <c r="F129" i="109"/>
  <c r="E129" i="109"/>
  <c r="D129" i="109"/>
  <c r="R128" i="109"/>
  <c r="Q128" i="109"/>
  <c r="P128" i="109"/>
  <c r="O128" i="109"/>
  <c r="N128" i="109"/>
  <c r="M128" i="109"/>
  <c r="L128" i="109"/>
  <c r="K128" i="109"/>
  <c r="J128" i="109"/>
  <c r="I128" i="109"/>
  <c r="H128" i="109"/>
  <c r="G128" i="109"/>
  <c r="F128" i="109"/>
  <c r="E128" i="109"/>
  <c r="D128" i="109"/>
  <c r="R127" i="109"/>
  <c r="Q127" i="109"/>
  <c r="P127" i="109"/>
  <c r="O127" i="109"/>
  <c r="N127" i="109"/>
  <c r="M127" i="109"/>
  <c r="L127" i="109"/>
  <c r="K127" i="109"/>
  <c r="J127" i="109"/>
  <c r="I127" i="109"/>
  <c r="H127" i="109"/>
  <c r="G127" i="109"/>
  <c r="F127" i="109"/>
  <c r="E127" i="109"/>
  <c r="D127" i="109"/>
  <c r="R100" i="109"/>
  <c r="Q100" i="109"/>
  <c r="P100" i="109"/>
  <c r="O100" i="109"/>
  <c r="N100" i="109"/>
  <c r="M100" i="109"/>
  <c r="L100" i="109"/>
  <c r="K100" i="109"/>
  <c r="J100" i="109"/>
  <c r="I100" i="109"/>
  <c r="H100" i="109"/>
  <c r="G100" i="109"/>
  <c r="F100" i="109"/>
  <c r="E100" i="109"/>
  <c r="D100" i="109"/>
  <c r="R99" i="109"/>
  <c r="Q99" i="109"/>
  <c r="P99" i="109"/>
  <c r="O99" i="109"/>
  <c r="N99" i="109"/>
  <c r="M99" i="109"/>
  <c r="L99" i="109"/>
  <c r="K99" i="109"/>
  <c r="J99" i="109"/>
  <c r="I99" i="109"/>
  <c r="H99" i="109"/>
  <c r="G99" i="109"/>
  <c r="F99" i="109"/>
  <c r="E99" i="109"/>
  <c r="D99" i="109"/>
  <c r="R98" i="109"/>
  <c r="Q98" i="109"/>
  <c r="P98" i="109"/>
  <c r="O98" i="109"/>
  <c r="N98" i="109"/>
  <c r="M98" i="109"/>
  <c r="L98" i="109"/>
  <c r="K98" i="109"/>
  <c r="J98" i="109"/>
  <c r="I98" i="109"/>
  <c r="H98" i="109"/>
  <c r="G98" i="109"/>
  <c r="F98" i="109"/>
  <c r="E98" i="109"/>
  <c r="D98" i="109"/>
  <c r="R125" i="109"/>
  <c r="Q125" i="109"/>
  <c r="P125" i="109"/>
  <c r="O125" i="109"/>
  <c r="N125" i="109"/>
  <c r="M125" i="109"/>
  <c r="L125" i="109"/>
  <c r="K125" i="109"/>
  <c r="J125" i="109"/>
  <c r="I125" i="109"/>
  <c r="H125" i="109"/>
  <c r="G125" i="109"/>
  <c r="F125" i="109"/>
  <c r="E125" i="109"/>
  <c r="D125" i="109"/>
  <c r="R124" i="109"/>
  <c r="Q124" i="109"/>
  <c r="P124" i="109"/>
  <c r="O124" i="109"/>
  <c r="N124" i="109"/>
  <c r="M124" i="109"/>
  <c r="L124" i="109"/>
  <c r="K124" i="109"/>
  <c r="J124" i="109"/>
  <c r="I124" i="109"/>
  <c r="H124" i="109"/>
  <c r="G124" i="109"/>
  <c r="F124" i="109"/>
  <c r="E124" i="109"/>
  <c r="D124" i="109"/>
  <c r="R97" i="109"/>
  <c r="Q97" i="109"/>
  <c r="P97" i="109"/>
  <c r="O97" i="109"/>
  <c r="N97" i="109"/>
  <c r="M97" i="109"/>
  <c r="L97" i="109"/>
  <c r="K97" i="109"/>
  <c r="J97" i="109"/>
  <c r="I97" i="109"/>
  <c r="H97" i="109"/>
  <c r="G97" i="109"/>
  <c r="F97" i="109"/>
  <c r="E97" i="109"/>
  <c r="D97" i="109"/>
  <c r="R96" i="109"/>
  <c r="Q96" i="109"/>
  <c r="P96" i="109"/>
  <c r="O96" i="109"/>
  <c r="N96" i="109"/>
  <c r="M96" i="109"/>
  <c r="L96" i="109"/>
  <c r="K96" i="109"/>
  <c r="J96" i="109"/>
  <c r="I96" i="109"/>
  <c r="H96" i="109"/>
  <c r="G96" i="109"/>
  <c r="F96" i="109"/>
  <c r="E96" i="109"/>
  <c r="D96" i="109"/>
  <c r="R95" i="109"/>
  <c r="Q95" i="109"/>
  <c r="P95" i="109"/>
  <c r="O95" i="109"/>
  <c r="N95" i="109"/>
  <c r="M95" i="109"/>
  <c r="L95" i="109"/>
  <c r="K95" i="109"/>
  <c r="J95" i="109"/>
  <c r="I95" i="109"/>
  <c r="H95" i="109"/>
  <c r="G95" i="109"/>
  <c r="F95" i="109"/>
  <c r="E95" i="109"/>
  <c r="D95" i="109"/>
  <c r="R123" i="109"/>
  <c r="Q123" i="109"/>
  <c r="P123" i="109"/>
  <c r="O123" i="109"/>
  <c r="N123" i="109"/>
  <c r="M123" i="109"/>
  <c r="L123" i="109"/>
  <c r="K123" i="109"/>
  <c r="J123" i="109"/>
  <c r="I123" i="109"/>
  <c r="H123" i="109"/>
  <c r="G123" i="109"/>
  <c r="F123" i="109"/>
  <c r="E123" i="109"/>
  <c r="D123" i="109"/>
  <c r="R94" i="109"/>
  <c r="Q94" i="109"/>
  <c r="P94" i="109"/>
  <c r="O94" i="109"/>
  <c r="N94" i="109"/>
  <c r="M94" i="109"/>
  <c r="L94" i="109"/>
  <c r="K94" i="109"/>
  <c r="J94" i="109"/>
  <c r="I94" i="109"/>
  <c r="H94" i="109"/>
  <c r="G94" i="109"/>
  <c r="F94" i="109"/>
  <c r="E94" i="109"/>
  <c r="D94" i="109"/>
  <c r="R93" i="109"/>
  <c r="Q93" i="109"/>
  <c r="P93" i="109"/>
  <c r="O93" i="109"/>
  <c r="N93" i="109"/>
  <c r="M93" i="109"/>
  <c r="L93" i="109"/>
  <c r="K93" i="109"/>
  <c r="J93" i="109"/>
  <c r="I93" i="109"/>
  <c r="H93" i="109"/>
  <c r="G93" i="109"/>
  <c r="F93" i="109"/>
  <c r="E93" i="109"/>
  <c r="D93" i="109"/>
  <c r="R92" i="109"/>
  <c r="Q92" i="109"/>
  <c r="P92" i="109"/>
  <c r="O92" i="109"/>
  <c r="N92" i="109"/>
  <c r="M92" i="109"/>
  <c r="L92" i="109"/>
  <c r="K92" i="109"/>
  <c r="J92" i="109"/>
  <c r="I92" i="109"/>
  <c r="H92" i="109"/>
  <c r="G92" i="109"/>
  <c r="F92" i="109"/>
  <c r="E92" i="109"/>
  <c r="D92" i="109"/>
  <c r="R122" i="109"/>
  <c r="Q122" i="109"/>
  <c r="P122" i="109"/>
  <c r="O122" i="109"/>
  <c r="N122" i="109"/>
  <c r="M122" i="109"/>
  <c r="L122" i="109"/>
  <c r="K122" i="109"/>
  <c r="J122" i="109"/>
  <c r="I122" i="109"/>
  <c r="H122" i="109"/>
  <c r="G122" i="109"/>
  <c r="F122" i="109"/>
  <c r="E122" i="109"/>
  <c r="D122" i="109"/>
  <c r="R91" i="109"/>
  <c r="Q91" i="109"/>
  <c r="P91" i="109"/>
  <c r="O91" i="109"/>
  <c r="N91" i="109"/>
  <c r="M91" i="109"/>
  <c r="L91" i="109"/>
  <c r="K91" i="109"/>
  <c r="J91" i="109"/>
  <c r="I91" i="109"/>
  <c r="H91" i="109"/>
  <c r="G91" i="109"/>
  <c r="F91" i="109"/>
  <c r="E91" i="109"/>
  <c r="D91" i="109"/>
  <c r="R90" i="109"/>
  <c r="Q90" i="109"/>
  <c r="P90" i="109"/>
  <c r="O90" i="109"/>
  <c r="N90" i="109"/>
  <c r="M90" i="109"/>
  <c r="L90" i="109"/>
  <c r="K90" i="109"/>
  <c r="J90" i="109"/>
  <c r="I90" i="109"/>
  <c r="H90" i="109"/>
  <c r="G90" i="109"/>
  <c r="F90" i="109"/>
  <c r="E90" i="109"/>
  <c r="D90" i="109"/>
  <c r="R89" i="109"/>
  <c r="Q89" i="109"/>
  <c r="P89" i="109"/>
  <c r="O89" i="109"/>
  <c r="N89" i="109"/>
  <c r="M89" i="109"/>
  <c r="L89" i="109"/>
  <c r="K89" i="109"/>
  <c r="J89" i="109"/>
  <c r="I89" i="109"/>
  <c r="H89" i="109"/>
  <c r="G89" i="109"/>
  <c r="F89" i="109"/>
  <c r="E89" i="109"/>
  <c r="D89" i="109"/>
  <c r="R88" i="109"/>
  <c r="Q88" i="109"/>
  <c r="P88" i="109"/>
  <c r="O88" i="109"/>
  <c r="N88" i="109"/>
  <c r="M88" i="109"/>
  <c r="L88" i="109"/>
  <c r="K88" i="109"/>
  <c r="J88" i="109"/>
  <c r="I88" i="109"/>
  <c r="H88" i="109"/>
  <c r="G88" i="109"/>
  <c r="F88" i="109"/>
  <c r="E88" i="109"/>
  <c r="D88" i="109"/>
  <c r="R87" i="109"/>
  <c r="Q87" i="109"/>
  <c r="P87" i="109"/>
  <c r="O87" i="109"/>
  <c r="N87" i="109"/>
  <c r="M87" i="109"/>
  <c r="L87" i="109"/>
  <c r="K87" i="109"/>
  <c r="J87" i="109"/>
  <c r="I87" i="109"/>
  <c r="H87" i="109"/>
  <c r="G87" i="109"/>
  <c r="F87" i="109"/>
  <c r="E87" i="109"/>
  <c r="D87" i="109"/>
  <c r="R86" i="109"/>
  <c r="Q86" i="109"/>
  <c r="P86" i="109"/>
  <c r="O86" i="109"/>
  <c r="N86" i="109"/>
  <c r="M86" i="109"/>
  <c r="L86" i="109"/>
  <c r="K86" i="109"/>
  <c r="J86" i="109"/>
  <c r="I86" i="109"/>
  <c r="H86" i="109"/>
  <c r="G86" i="109"/>
  <c r="F86" i="109"/>
  <c r="E86" i="109"/>
  <c r="D86" i="109"/>
  <c r="R85" i="109"/>
  <c r="Q85" i="109"/>
  <c r="P85" i="109"/>
  <c r="O85" i="109"/>
  <c r="N85" i="109"/>
  <c r="M85" i="109"/>
  <c r="L85" i="109"/>
  <c r="K85" i="109"/>
  <c r="J85" i="109"/>
  <c r="I85" i="109"/>
  <c r="H85" i="109"/>
  <c r="G85" i="109"/>
  <c r="F85" i="109"/>
  <c r="E85" i="109"/>
  <c r="D85" i="109"/>
  <c r="R84" i="109"/>
  <c r="Q84" i="109"/>
  <c r="P84" i="109"/>
  <c r="O84" i="109"/>
  <c r="N84" i="109"/>
  <c r="M84" i="109"/>
  <c r="L84" i="109"/>
  <c r="K84" i="109"/>
  <c r="J84" i="109"/>
  <c r="I84" i="109"/>
  <c r="H84" i="109"/>
  <c r="G84" i="109"/>
  <c r="F84" i="109"/>
  <c r="E84" i="109"/>
  <c r="D84" i="109"/>
  <c r="R83" i="109"/>
  <c r="Q83" i="109"/>
  <c r="P83" i="109"/>
  <c r="O83" i="109"/>
  <c r="N83" i="109"/>
  <c r="M83" i="109"/>
  <c r="L83" i="109"/>
  <c r="K83" i="109"/>
  <c r="J83" i="109"/>
  <c r="I83" i="109"/>
  <c r="H83" i="109"/>
  <c r="G83" i="109"/>
  <c r="F83" i="109"/>
  <c r="E83" i="109"/>
  <c r="D83" i="109"/>
  <c r="R82" i="109"/>
  <c r="Q82" i="109"/>
  <c r="P82" i="109"/>
  <c r="O82" i="109"/>
  <c r="N82" i="109"/>
  <c r="M82" i="109"/>
  <c r="L82" i="109"/>
  <c r="K82" i="109"/>
  <c r="J82" i="109"/>
  <c r="I82" i="109"/>
  <c r="H82" i="109"/>
  <c r="G82" i="109"/>
  <c r="F82" i="109"/>
  <c r="E82" i="109"/>
  <c r="D82" i="109"/>
  <c r="R121" i="109"/>
  <c r="Q121" i="109"/>
  <c r="P121" i="109"/>
  <c r="O121" i="109"/>
  <c r="N121" i="109"/>
  <c r="M121" i="109"/>
  <c r="L121" i="109"/>
  <c r="K121" i="109"/>
  <c r="J121" i="109"/>
  <c r="I121" i="109"/>
  <c r="H121" i="109"/>
  <c r="G121" i="109"/>
  <c r="F121" i="109"/>
  <c r="E121" i="109"/>
  <c r="D121" i="109"/>
  <c r="R81" i="109"/>
  <c r="Q81" i="109"/>
  <c r="P81" i="109"/>
  <c r="O81" i="109"/>
  <c r="N81" i="109"/>
  <c r="M81" i="109"/>
  <c r="L81" i="109"/>
  <c r="K81" i="109"/>
  <c r="J81" i="109"/>
  <c r="I81" i="109"/>
  <c r="H81" i="109"/>
  <c r="G81" i="109"/>
  <c r="F81" i="109"/>
  <c r="E81" i="109"/>
  <c r="D81" i="109"/>
  <c r="R120" i="109"/>
  <c r="Q120" i="109"/>
  <c r="P120" i="109"/>
  <c r="O120" i="109"/>
  <c r="N120" i="109"/>
  <c r="M120" i="109"/>
  <c r="L120" i="109"/>
  <c r="K120" i="109"/>
  <c r="J120" i="109"/>
  <c r="I120" i="109"/>
  <c r="H120" i="109"/>
  <c r="G120" i="109"/>
  <c r="F120" i="109"/>
  <c r="E120" i="109"/>
  <c r="D120" i="109"/>
  <c r="R80" i="109"/>
  <c r="Q80" i="109"/>
  <c r="P80" i="109"/>
  <c r="O80" i="109"/>
  <c r="N80" i="109"/>
  <c r="M80" i="109"/>
  <c r="L80" i="109"/>
  <c r="K80" i="109"/>
  <c r="J80" i="109"/>
  <c r="I80" i="109"/>
  <c r="H80" i="109"/>
  <c r="G80" i="109"/>
  <c r="F80" i="109"/>
  <c r="E80" i="109"/>
  <c r="D80" i="109"/>
  <c r="R119" i="109"/>
  <c r="Q119" i="109"/>
  <c r="P119" i="109"/>
  <c r="O119" i="109"/>
  <c r="N119" i="109"/>
  <c r="M119" i="109"/>
  <c r="L119" i="109"/>
  <c r="K119" i="109"/>
  <c r="J119" i="109"/>
  <c r="I119" i="109"/>
  <c r="H119" i="109"/>
  <c r="G119" i="109"/>
  <c r="F119" i="109"/>
  <c r="E119" i="109"/>
  <c r="D119" i="109"/>
  <c r="R79" i="109"/>
  <c r="Q79" i="109"/>
  <c r="P79" i="109"/>
  <c r="O79" i="109"/>
  <c r="N79" i="109"/>
  <c r="M79" i="109"/>
  <c r="L79" i="109"/>
  <c r="K79" i="109"/>
  <c r="J79" i="109"/>
  <c r="I79" i="109"/>
  <c r="H79" i="109"/>
  <c r="G79" i="109"/>
  <c r="F79" i="109"/>
  <c r="E79" i="109"/>
  <c r="D79" i="109"/>
  <c r="R78" i="109"/>
  <c r="Q78" i="109"/>
  <c r="P78" i="109"/>
  <c r="O78" i="109"/>
  <c r="N78" i="109"/>
  <c r="M78" i="109"/>
  <c r="L78" i="109"/>
  <c r="K78" i="109"/>
  <c r="J78" i="109"/>
  <c r="I78" i="109"/>
  <c r="H78" i="109"/>
  <c r="G78" i="109"/>
  <c r="F78" i="109"/>
  <c r="E78" i="109"/>
  <c r="D78" i="109"/>
  <c r="R77" i="109"/>
  <c r="Q77" i="109"/>
  <c r="P77" i="109"/>
  <c r="O77" i="109"/>
  <c r="N77" i="109"/>
  <c r="M77" i="109"/>
  <c r="L77" i="109"/>
  <c r="K77" i="109"/>
  <c r="J77" i="109"/>
  <c r="I77" i="109"/>
  <c r="H77" i="109"/>
  <c r="G77" i="109"/>
  <c r="F77" i="109"/>
  <c r="E77" i="109"/>
  <c r="D77" i="109"/>
  <c r="R76" i="109"/>
  <c r="Q76" i="109"/>
  <c r="P76" i="109"/>
  <c r="O76" i="109"/>
  <c r="N76" i="109"/>
  <c r="M76" i="109"/>
  <c r="L76" i="109"/>
  <c r="K76" i="109"/>
  <c r="J76" i="109"/>
  <c r="I76" i="109"/>
  <c r="H76" i="109"/>
  <c r="G76" i="109"/>
  <c r="F76" i="109"/>
  <c r="E76" i="109"/>
  <c r="D76" i="109"/>
  <c r="R75" i="109"/>
  <c r="Q75" i="109"/>
  <c r="P75" i="109"/>
  <c r="O75" i="109"/>
  <c r="N75" i="109"/>
  <c r="M75" i="109"/>
  <c r="L75" i="109"/>
  <c r="K75" i="109"/>
  <c r="J75" i="109"/>
  <c r="I75" i="109"/>
  <c r="H75" i="109"/>
  <c r="G75" i="109"/>
  <c r="F75" i="109"/>
  <c r="E75" i="109"/>
  <c r="D75" i="109"/>
  <c r="R118" i="109"/>
  <c r="Q118" i="109"/>
  <c r="P118" i="109"/>
  <c r="O118" i="109"/>
  <c r="N118" i="109"/>
  <c r="M118" i="109"/>
  <c r="L118" i="109"/>
  <c r="K118" i="109"/>
  <c r="J118" i="109"/>
  <c r="I118" i="109"/>
  <c r="H118" i="109"/>
  <c r="G118" i="109"/>
  <c r="F118" i="109"/>
  <c r="E118" i="109"/>
  <c r="D118" i="109"/>
  <c r="R74" i="109"/>
  <c r="Q74" i="109"/>
  <c r="P74" i="109"/>
  <c r="O74" i="109"/>
  <c r="N74" i="109"/>
  <c r="M74" i="109"/>
  <c r="L74" i="109"/>
  <c r="K74" i="109"/>
  <c r="J74" i="109"/>
  <c r="I74" i="109"/>
  <c r="H74" i="109"/>
  <c r="G74" i="109"/>
  <c r="F74" i="109"/>
  <c r="E74" i="109"/>
  <c r="D74" i="109"/>
  <c r="R117" i="109"/>
  <c r="Q117" i="109"/>
  <c r="P117" i="109"/>
  <c r="O117" i="109"/>
  <c r="N117" i="109"/>
  <c r="M117" i="109"/>
  <c r="L117" i="109"/>
  <c r="K117" i="109"/>
  <c r="J117" i="109"/>
  <c r="I117" i="109"/>
  <c r="H117" i="109"/>
  <c r="G117" i="109"/>
  <c r="F117" i="109"/>
  <c r="E117" i="109"/>
  <c r="D117" i="109"/>
  <c r="R73" i="109"/>
  <c r="Q73" i="109"/>
  <c r="P73" i="109"/>
  <c r="O73" i="109"/>
  <c r="N73" i="109"/>
  <c r="M73" i="109"/>
  <c r="L73" i="109"/>
  <c r="K73" i="109"/>
  <c r="J73" i="109"/>
  <c r="I73" i="109"/>
  <c r="H73" i="109"/>
  <c r="G73" i="109"/>
  <c r="F73" i="109"/>
  <c r="E73" i="109"/>
  <c r="D73" i="109"/>
  <c r="R72" i="109"/>
  <c r="Q72" i="109"/>
  <c r="P72" i="109"/>
  <c r="O72" i="109"/>
  <c r="N72" i="109"/>
  <c r="M72" i="109"/>
  <c r="L72" i="109"/>
  <c r="K72" i="109"/>
  <c r="J72" i="109"/>
  <c r="I72" i="109"/>
  <c r="H72" i="109"/>
  <c r="G72" i="109"/>
  <c r="F72" i="109"/>
  <c r="E72" i="109"/>
  <c r="D72" i="109"/>
  <c r="R71" i="109"/>
  <c r="Q71" i="109"/>
  <c r="P71" i="109"/>
  <c r="O71" i="109"/>
  <c r="N71" i="109"/>
  <c r="M71" i="109"/>
  <c r="L71" i="109"/>
  <c r="K71" i="109"/>
  <c r="J71" i="109"/>
  <c r="I71" i="109"/>
  <c r="H71" i="109"/>
  <c r="G71" i="109"/>
  <c r="F71" i="109"/>
  <c r="E71" i="109"/>
  <c r="D71" i="109"/>
  <c r="R70" i="109"/>
  <c r="Q70" i="109"/>
  <c r="P70" i="109"/>
  <c r="O70" i="109"/>
  <c r="N70" i="109"/>
  <c r="M70" i="109"/>
  <c r="L70" i="109"/>
  <c r="K70" i="109"/>
  <c r="J70" i="109"/>
  <c r="I70" i="109"/>
  <c r="H70" i="109"/>
  <c r="G70" i="109"/>
  <c r="F70" i="109"/>
  <c r="E70" i="109"/>
  <c r="D70" i="109"/>
  <c r="R116" i="109"/>
  <c r="Q116" i="109"/>
  <c r="P116" i="109"/>
  <c r="O116" i="109"/>
  <c r="N116" i="109"/>
  <c r="M116" i="109"/>
  <c r="L116" i="109"/>
  <c r="K116" i="109"/>
  <c r="J116" i="109"/>
  <c r="I116" i="109"/>
  <c r="H116" i="109"/>
  <c r="G116" i="109"/>
  <c r="F116" i="109"/>
  <c r="E116" i="109"/>
  <c r="D116" i="109"/>
  <c r="R69" i="109"/>
  <c r="Q69" i="109"/>
  <c r="P69" i="109"/>
  <c r="O69" i="109"/>
  <c r="N69" i="109"/>
  <c r="M69" i="109"/>
  <c r="L69" i="109"/>
  <c r="K69" i="109"/>
  <c r="J69" i="109"/>
  <c r="I69" i="109"/>
  <c r="H69" i="109"/>
  <c r="G69" i="109"/>
  <c r="F69" i="109"/>
  <c r="E69" i="109"/>
  <c r="D69" i="109"/>
  <c r="R68" i="109"/>
  <c r="Q68" i="109"/>
  <c r="P68" i="109"/>
  <c r="O68" i="109"/>
  <c r="N68" i="109"/>
  <c r="M68" i="109"/>
  <c r="L68" i="109"/>
  <c r="K68" i="109"/>
  <c r="J68" i="109"/>
  <c r="I68" i="109"/>
  <c r="H68" i="109"/>
  <c r="G68" i="109"/>
  <c r="F68" i="109"/>
  <c r="E68" i="109"/>
  <c r="D68" i="109"/>
  <c r="R115" i="109"/>
  <c r="Q115" i="109"/>
  <c r="P115" i="109"/>
  <c r="O115" i="109"/>
  <c r="N115" i="109"/>
  <c r="M115" i="109"/>
  <c r="L115" i="109"/>
  <c r="K115" i="109"/>
  <c r="J115" i="109"/>
  <c r="I115" i="109"/>
  <c r="H115" i="109"/>
  <c r="G115" i="109"/>
  <c r="F115" i="109"/>
  <c r="E115" i="109"/>
  <c r="D115" i="109"/>
  <c r="R114" i="109"/>
  <c r="Q114" i="109"/>
  <c r="P114" i="109"/>
  <c r="O114" i="109"/>
  <c r="N114" i="109"/>
  <c r="M114" i="109"/>
  <c r="L114" i="109"/>
  <c r="K114" i="109"/>
  <c r="J114" i="109"/>
  <c r="I114" i="109"/>
  <c r="H114" i="109"/>
  <c r="G114" i="109"/>
  <c r="F114" i="109"/>
  <c r="E114" i="109"/>
  <c r="D114" i="109"/>
  <c r="R67" i="109"/>
  <c r="Q67" i="109"/>
  <c r="P67" i="109"/>
  <c r="O67" i="109"/>
  <c r="N67" i="109"/>
  <c r="M67" i="109"/>
  <c r="L67" i="109"/>
  <c r="K67" i="109"/>
  <c r="J67" i="109"/>
  <c r="I67" i="109"/>
  <c r="H67" i="109"/>
  <c r="G67" i="109"/>
  <c r="F67" i="109"/>
  <c r="E67" i="109"/>
  <c r="D67" i="109"/>
  <c r="R66" i="109"/>
  <c r="Q66" i="109"/>
  <c r="P66" i="109"/>
  <c r="O66" i="109"/>
  <c r="N66" i="109"/>
  <c r="M66" i="109"/>
  <c r="L66" i="109"/>
  <c r="K66" i="109"/>
  <c r="J66" i="109"/>
  <c r="I66" i="109"/>
  <c r="H66" i="109"/>
  <c r="G66" i="109"/>
  <c r="F66" i="109"/>
  <c r="E66" i="109"/>
  <c r="D66" i="109"/>
  <c r="R65" i="109"/>
  <c r="Q65" i="109"/>
  <c r="P65" i="109"/>
  <c r="O65" i="109"/>
  <c r="N65" i="109"/>
  <c r="M65" i="109"/>
  <c r="L65" i="109"/>
  <c r="K65" i="109"/>
  <c r="J65" i="109"/>
  <c r="I65" i="109"/>
  <c r="H65" i="109"/>
  <c r="G65" i="109"/>
  <c r="F65" i="109"/>
  <c r="E65" i="109"/>
  <c r="D65" i="109"/>
  <c r="R64" i="109"/>
  <c r="Q64" i="109"/>
  <c r="P64" i="109"/>
  <c r="O64" i="109"/>
  <c r="N64" i="109"/>
  <c r="M64" i="109"/>
  <c r="L64" i="109"/>
  <c r="K64" i="109"/>
  <c r="J64" i="109"/>
  <c r="I64" i="109"/>
  <c r="H64" i="109"/>
  <c r="G64" i="109"/>
  <c r="F64" i="109"/>
  <c r="E64" i="109"/>
  <c r="D64" i="109"/>
  <c r="R63" i="109"/>
  <c r="Q63" i="109"/>
  <c r="P63" i="109"/>
  <c r="O63" i="109"/>
  <c r="N63" i="109"/>
  <c r="M63" i="109"/>
  <c r="L63" i="109"/>
  <c r="K63" i="109"/>
  <c r="J63" i="109"/>
  <c r="I63" i="109"/>
  <c r="H63" i="109"/>
  <c r="G63" i="109"/>
  <c r="F63" i="109"/>
  <c r="E63" i="109"/>
  <c r="D63" i="109"/>
  <c r="R62" i="109"/>
  <c r="Q62" i="109"/>
  <c r="P62" i="109"/>
  <c r="O62" i="109"/>
  <c r="N62" i="109"/>
  <c r="M62" i="109"/>
  <c r="L62" i="109"/>
  <c r="K62" i="109"/>
  <c r="J62" i="109"/>
  <c r="I62" i="109"/>
  <c r="H62" i="109"/>
  <c r="G62" i="109"/>
  <c r="F62" i="109"/>
  <c r="E62" i="109"/>
  <c r="D62" i="109"/>
  <c r="R113" i="109"/>
  <c r="Q113" i="109"/>
  <c r="P113" i="109"/>
  <c r="O113" i="109"/>
  <c r="N113" i="109"/>
  <c r="M113" i="109"/>
  <c r="L113" i="109"/>
  <c r="K113" i="109"/>
  <c r="J113" i="109"/>
  <c r="I113" i="109"/>
  <c r="H113" i="109"/>
  <c r="G113" i="109"/>
  <c r="F113" i="109"/>
  <c r="E113" i="109"/>
  <c r="D113" i="109"/>
  <c r="R112" i="109"/>
  <c r="Q112" i="109"/>
  <c r="P112" i="109"/>
  <c r="O112" i="109"/>
  <c r="N112" i="109"/>
  <c r="M112" i="109"/>
  <c r="L112" i="109"/>
  <c r="K112" i="109"/>
  <c r="J112" i="109"/>
  <c r="I112" i="109"/>
  <c r="H112" i="109"/>
  <c r="G112" i="109"/>
  <c r="F112" i="109"/>
  <c r="E112" i="109"/>
  <c r="D112" i="109"/>
  <c r="R61" i="109"/>
  <c r="Q61" i="109"/>
  <c r="P61" i="109"/>
  <c r="O61" i="109"/>
  <c r="N61" i="109"/>
  <c r="M61" i="109"/>
  <c r="L61" i="109"/>
  <c r="K61" i="109"/>
  <c r="J61" i="109"/>
  <c r="I61" i="109"/>
  <c r="H61" i="109"/>
  <c r="G61" i="109"/>
  <c r="F61" i="109"/>
  <c r="E61" i="109"/>
  <c r="D61" i="109"/>
  <c r="R111" i="109"/>
  <c r="Q111" i="109"/>
  <c r="P111" i="109"/>
  <c r="O111" i="109"/>
  <c r="N111" i="109"/>
  <c r="M111" i="109"/>
  <c r="L111" i="109"/>
  <c r="K111" i="109"/>
  <c r="J111" i="109"/>
  <c r="I111" i="109"/>
  <c r="H111" i="109"/>
  <c r="G111" i="109"/>
  <c r="F111" i="109"/>
  <c r="E111" i="109"/>
  <c r="D111" i="109"/>
  <c r="R60" i="109"/>
  <c r="Q60" i="109"/>
  <c r="P60" i="109"/>
  <c r="O60" i="109"/>
  <c r="N60" i="109"/>
  <c r="M60" i="109"/>
  <c r="L60" i="109"/>
  <c r="K60" i="109"/>
  <c r="J60" i="109"/>
  <c r="I60" i="109"/>
  <c r="H60" i="109"/>
  <c r="G60" i="109"/>
  <c r="F60" i="109"/>
  <c r="E60" i="109"/>
  <c r="D60" i="109"/>
  <c r="R59" i="109"/>
  <c r="Q59" i="109"/>
  <c r="P59" i="109"/>
  <c r="O59" i="109"/>
  <c r="N59" i="109"/>
  <c r="M59" i="109"/>
  <c r="L59" i="109"/>
  <c r="K59" i="109"/>
  <c r="J59" i="109"/>
  <c r="I59" i="109"/>
  <c r="H59" i="109"/>
  <c r="G59" i="109"/>
  <c r="F59" i="109"/>
  <c r="E59" i="109"/>
  <c r="D59" i="109"/>
  <c r="R58" i="109"/>
  <c r="Q58" i="109"/>
  <c r="P58" i="109"/>
  <c r="O58" i="109"/>
  <c r="N58" i="109"/>
  <c r="M58" i="109"/>
  <c r="L58" i="109"/>
  <c r="K58" i="109"/>
  <c r="J58" i="109"/>
  <c r="I58" i="109"/>
  <c r="H58" i="109"/>
  <c r="G58" i="109"/>
  <c r="F58" i="109"/>
  <c r="E58" i="109"/>
  <c r="D58" i="109"/>
  <c r="R57" i="109"/>
  <c r="Q57" i="109"/>
  <c r="P57" i="109"/>
  <c r="O57" i="109"/>
  <c r="N57" i="109"/>
  <c r="M57" i="109"/>
  <c r="L57" i="109"/>
  <c r="K57" i="109"/>
  <c r="J57" i="109"/>
  <c r="I57" i="109"/>
  <c r="H57" i="109"/>
  <c r="G57" i="109"/>
  <c r="F57" i="109"/>
  <c r="E57" i="109"/>
  <c r="D57" i="109"/>
  <c r="R56" i="109"/>
  <c r="Q56" i="109"/>
  <c r="P56" i="109"/>
  <c r="O56" i="109"/>
  <c r="N56" i="109"/>
  <c r="M56" i="109"/>
  <c r="L56" i="109"/>
  <c r="K56" i="109"/>
  <c r="J56" i="109"/>
  <c r="I56" i="109"/>
  <c r="H56" i="109"/>
  <c r="G56" i="109"/>
  <c r="F56" i="109"/>
  <c r="E56" i="109"/>
  <c r="D56" i="109"/>
  <c r="R55" i="109"/>
  <c r="Q55" i="109"/>
  <c r="P55" i="109"/>
  <c r="O55" i="109"/>
  <c r="N55" i="109"/>
  <c r="M55" i="109"/>
  <c r="L55" i="109"/>
  <c r="K55" i="109"/>
  <c r="J55" i="109"/>
  <c r="I55" i="109"/>
  <c r="H55" i="109"/>
  <c r="G55" i="109"/>
  <c r="F55" i="109"/>
  <c r="E55" i="109"/>
  <c r="D55" i="109"/>
  <c r="R54" i="109"/>
  <c r="Q54" i="109"/>
  <c r="P54" i="109"/>
  <c r="O54" i="109"/>
  <c r="N54" i="109"/>
  <c r="M54" i="109"/>
  <c r="L54" i="109"/>
  <c r="K54" i="109"/>
  <c r="J54" i="109"/>
  <c r="I54" i="109"/>
  <c r="H54" i="109"/>
  <c r="G54" i="109"/>
  <c r="F54" i="109"/>
  <c r="E54" i="109"/>
  <c r="D54" i="109"/>
  <c r="R53" i="109"/>
  <c r="Q53" i="109"/>
  <c r="P53" i="109"/>
  <c r="O53" i="109"/>
  <c r="N53" i="109"/>
  <c r="M53" i="109"/>
  <c r="L53" i="109"/>
  <c r="K53" i="109"/>
  <c r="J53" i="109"/>
  <c r="I53" i="109"/>
  <c r="H53" i="109"/>
  <c r="G53" i="109"/>
  <c r="F53" i="109"/>
  <c r="E53" i="109"/>
  <c r="D53" i="109"/>
  <c r="R52" i="109"/>
  <c r="Q52" i="109"/>
  <c r="P52" i="109"/>
  <c r="O52" i="109"/>
  <c r="N52" i="109"/>
  <c r="M52" i="109"/>
  <c r="L52" i="109"/>
  <c r="K52" i="109"/>
  <c r="J52" i="109"/>
  <c r="I52" i="109"/>
  <c r="H52" i="109"/>
  <c r="G52" i="109"/>
  <c r="F52" i="109"/>
  <c r="E52" i="109"/>
  <c r="D52" i="109"/>
  <c r="R51" i="109"/>
  <c r="Q51" i="109"/>
  <c r="P51" i="109"/>
  <c r="O51" i="109"/>
  <c r="N51" i="109"/>
  <c r="M51" i="109"/>
  <c r="L51" i="109"/>
  <c r="K51" i="109"/>
  <c r="J51" i="109"/>
  <c r="I51" i="109"/>
  <c r="H51" i="109"/>
  <c r="G51" i="109"/>
  <c r="F51" i="109"/>
  <c r="E51" i="109"/>
  <c r="D51" i="109"/>
  <c r="R110" i="109"/>
  <c r="Q110" i="109"/>
  <c r="P110" i="109"/>
  <c r="O110" i="109"/>
  <c r="N110" i="109"/>
  <c r="M110" i="109"/>
  <c r="L110" i="109"/>
  <c r="K110" i="109"/>
  <c r="J110" i="109"/>
  <c r="I110" i="109"/>
  <c r="H110" i="109"/>
  <c r="G110" i="109"/>
  <c r="F110" i="109"/>
  <c r="E110" i="109"/>
  <c r="D110" i="109"/>
  <c r="R50" i="109"/>
  <c r="Q50" i="109"/>
  <c r="P50" i="109"/>
  <c r="O50" i="109"/>
  <c r="N50" i="109"/>
  <c r="M50" i="109"/>
  <c r="L50" i="109"/>
  <c r="K50" i="109"/>
  <c r="J50" i="109"/>
  <c r="I50" i="109"/>
  <c r="H50" i="109"/>
  <c r="G50" i="109"/>
  <c r="F50" i="109"/>
  <c r="E50" i="109"/>
  <c r="D50" i="109"/>
  <c r="R49" i="109"/>
  <c r="Q49" i="109"/>
  <c r="P49" i="109"/>
  <c r="O49" i="109"/>
  <c r="N49" i="109"/>
  <c r="M49" i="109"/>
  <c r="L49" i="109"/>
  <c r="K49" i="109"/>
  <c r="J49" i="109"/>
  <c r="I49" i="109"/>
  <c r="H49" i="109"/>
  <c r="G49" i="109"/>
  <c r="F49" i="109"/>
  <c r="E49" i="109"/>
  <c r="D49" i="109"/>
  <c r="R48" i="109"/>
  <c r="Q48" i="109"/>
  <c r="P48" i="109"/>
  <c r="O48" i="109"/>
  <c r="N48" i="109"/>
  <c r="M48" i="109"/>
  <c r="L48" i="109"/>
  <c r="K48" i="109"/>
  <c r="J48" i="109"/>
  <c r="I48" i="109"/>
  <c r="H48" i="109"/>
  <c r="G48" i="109"/>
  <c r="F48" i="109"/>
  <c r="E48" i="109"/>
  <c r="D48" i="109"/>
  <c r="R47" i="109"/>
  <c r="Q47" i="109"/>
  <c r="P47" i="109"/>
  <c r="O47" i="109"/>
  <c r="N47" i="109"/>
  <c r="M47" i="109"/>
  <c r="L47" i="109"/>
  <c r="K47" i="109"/>
  <c r="J47" i="109"/>
  <c r="I47" i="109"/>
  <c r="H47" i="109"/>
  <c r="G47" i="109"/>
  <c r="F47" i="109"/>
  <c r="E47" i="109"/>
  <c r="D47" i="109"/>
  <c r="R109" i="109"/>
  <c r="Q109" i="109"/>
  <c r="P109" i="109"/>
  <c r="O109" i="109"/>
  <c r="N109" i="109"/>
  <c r="M109" i="109"/>
  <c r="L109" i="109"/>
  <c r="K109" i="109"/>
  <c r="J109" i="109"/>
  <c r="I109" i="109"/>
  <c r="H109" i="109"/>
  <c r="G109" i="109"/>
  <c r="F109" i="109"/>
  <c r="E109" i="109"/>
  <c r="D109" i="109"/>
  <c r="R46" i="109"/>
  <c r="Q46" i="109"/>
  <c r="P46" i="109"/>
  <c r="O46" i="109"/>
  <c r="N46" i="109"/>
  <c r="M46" i="109"/>
  <c r="L46" i="109"/>
  <c r="K46" i="109"/>
  <c r="J46" i="109"/>
  <c r="I46" i="109"/>
  <c r="H46" i="109"/>
  <c r="G46" i="109"/>
  <c r="F46" i="109"/>
  <c r="E46" i="109"/>
  <c r="D46" i="109"/>
  <c r="R45" i="109"/>
  <c r="Q45" i="109"/>
  <c r="P45" i="109"/>
  <c r="O45" i="109"/>
  <c r="N45" i="109"/>
  <c r="M45" i="109"/>
  <c r="L45" i="109"/>
  <c r="K45" i="109"/>
  <c r="J45" i="109"/>
  <c r="I45" i="109"/>
  <c r="H45" i="109"/>
  <c r="G45" i="109"/>
  <c r="F45" i="109"/>
  <c r="E45" i="109"/>
  <c r="D45" i="109"/>
  <c r="R44" i="109"/>
  <c r="Q44" i="109"/>
  <c r="P44" i="109"/>
  <c r="O44" i="109"/>
  <c r="N44" i="109"/>
  <c r="M44" i="109"/>
  <c r="L44" i="109"/>
  <c r="K44" i="109"/>
  <c r="J44" i="109"/>
  <c r="I44" i="109"/>
  <c r="H44" i="109"/>
  <c r="G44" i="109"/>
  <c r="F44" i="109"/>
  <c r="E44" i="109"/>
  <c r="D44" i="109"/>
  <c r="R43" i="109"/>
  <c r="Q43" i="109"/>
  <c r="P43" i="109"/>
  <c r="O43" i="109"/>
  <c r="N43" i="109"/>
  <c r="M43" i="109"/>
  <c r="L43" i="109"/>
  <c r="K43" i="109"/>
  <c r="J43" i="109"/>
  <c r="I43" i="109"/>
  <c r="H43" i="109"/>
  <c r="G43" i="109"/>
  <c r="F43" i="109"/>
  <c r="E43" i="109"/>
  <c r="D43" i="109"/>
  <c r="R42" i="109"/>
  <c r="Q42" i="109"/>
  <c r="P42" i="109"/>
  <c r="O42" i="109"/>
  <c r="N42" i="109"/>
  <c r="M42" i="109"/>
  <c r="L42" i="109"/>
  <c r="K42" i="109"/>
  <c r="J42" i="109"/>
  <c r="I42" i="109"/>
  <c r="H42" i="109"/>
  <c r="G42" i="109"/>
  <c r="F42" i="109"/>
  <c r="E42" i="109"/>
  <c r="D42" i="109"/>
  <c r="R41" i="109"/>
  <c r="Q41" i="109"/>
  <c r="P41" i="109"/>
  <c r="O41" i="109"/>
  <c r="N41" i="109"/>
  <c r="M41" i="109"/>
  <c r="L41" i="109"/>
  <c r="K41" i="109"/>
  <c r="J41" i="109"/>
  <c r="I41" i="109"/>
  <c r="H41" i="109"/>
  <c r="G41" i="109"/>
  <c r="F41" i="109"/>
  <c r="E41" i="109"/>
  <c r="D41" i="109"/>
  <c r="R40" i="109"/>
  <c r="Q40" i="109"/>
  <c r="P40" i="109"/>
  <c r="O40" i="109"/>
  <c r="N40" i="109"/>
  <c r="M40" i="109"/>
  <c r="L40" i="109"/>
  <c r="K40" i="109"/>
  <c r="J40" i="109"/>
  <c r="I40" i="109"/>
  <c r="H40" i="109"/>
  <c r="G40" i="109"/>
  <c r="F40" i="109"/>
  <c r="E40" i="109"/>
  <c r="D40" i="109"/>
  <c r="R108" i="109"/>
  <c r="Q108" i="109"/>
  <c r="P108" i="109"/>
  <c r="O108" i="109"/>
  <c r="N108" i="109"/>
  <c r="M108" i="109"/>
  <c r="L108" i="109"/>
  <c r="K108" i="109"/>
  <c r="J108" i="109"/>
  <c r="I108" i="109"/>
  <c r="H108" i="109"/>
  <c r="G108" i="109"/>
  <c r="F108" i="109"/>
  <c r="E108" i="109"/>
  <c r="D108" i="109"/>
  <c r="R107" i="109"/>
  <c r="Q107" i="109"/>
  <c r="P107" i="109"/>
  <c r="O107" i="109"/>
  <c r="N107" i="109"/>
  <c r="M107" i="109"/>
  <c r="L107" i="109"/>
  <c r="K107" i="109"/>
  <c r="J107" i="109"/>
  <c r="I107" i="109"/>
  <c r="H107" i="109"/>
  <c r="G107" i="109"/>
  <c r="F107" i="109"/>
  <c r="E107" i="109"/>
  <c r="D107" i="109"/>
  <c r="R39" i="109"/>
  <c r="Q39" i="109"/>
  <c r="P39" i="109"/>
  <c r="O39" i="109"/>
  <c r="N39" i="109"/>
  <c r="M39" i="109"/>
  <c r="L39" i="109"/>
  <c r="K39" i="109"/>
  <c r="J39" i="109"/>
  <c r="I39" i="109"/>
  <c r="H39" i="109"/>
  <c r="G39" i="109"/>
  <c r="F39" i="109"/>
  <c r="E39" i="109"/>
  <c r="D39" i="109"/>
  <c r="R38" i="109"/>
  <c r="Q38" i="109"/>
  <c r="P38" i="109"/>
  <c r="O38" i="109"/>
  <c r="N38" i="109"/>
  <c r="M38" i="109"/>
  <c r="L38" i="109"/>
  <c r="K38" i="109"/>
  <c r="J38" i="109"/>
  <c r="I38" i="109"/>
  <c r="H38" i="109"/>
  <c r="G38" i="109"/>
  <c r="F38" i="109"/>
  <c r="E38" i="109"/>
  <c r="D38" i="109"/>
  <c r="R106" i="109"/>
  <c r="Q106" i="109"/>
  <c r="P106" i="109"/>
  <c r="O106" i="109"/>
  <c r="N106" i="109"/>
  <c r="M106" i="109"/>
  <c r="L106" i="109"/>
  <c r="K106" i="109"/>
  <c r="J106" i="109"/>
  <c r="I106" i="109"/>
  <c r="H106" i="109"/>
  <c r="G106" i="109"/>
  <c r="F106" i="109"/>
  <c r="E106" i="109"/>
  <c r="D106" i="109"/>
  <c r="R37" i="109"/>
  <c r="Q37" i="109"/>
  <c r="P37" i="109"/>
  <c r="O37" i="109"/>
  <c r="N37" i="109"/>
  <c r="M37" i="109"/>
  <c r="L37" i="109"/>
  <c r="K37" i="109"/>
  <c r="J37" i="109"/>
  <c r="I37" i="109"/>
  <c r="H37" i="109"/>
  <c r="G37" i="109"/>
  <c r="F37" i="109"/>
  <c r="E37" i="109"/>
  <c r="D37" i="109"/>
  <c r="R36" i="109"/>
  <c r="Q36" i="109"/>
  <c r="P36" i="109"/>
  <c r="O36" i="109"/>
  <c r="N36" i="109"/>
  <c r="M36" i="109"/>
  <c r="L36" i="109"/>
  <c r="K36" i="109"/>
  <c r="J36" i="109"/>
  <c r="I36" i="109"/>
  <c r="H36" i="109"/>
  <c r="G36" i="109"/>
  <c r="F36" i="109"/>
  <c r="E36" i="109"/>
  <c r="D36" i="109"/>
  <c r="R35" i="109"/>
  <c r="Q35" i="109"/>
  <c r="P35" i="109"/>
  <c r="O35" i="109"/>
  <c r="N35" i="109"/>
  <c r="M35" i="109"/>
  <c r="L35" i="109"/>
  <c r="K35" i="109"/>
  <c r="J35" i="109"/>
  <c r="I35" i="109"/>
  <c r="H35" i="109"/>
  <c r="G35" i="109"/>
  <c r="F35" i="109"/>
  <c r="E35" i="109"/>
  <c r="D35" i="109"/>
  <c r="R34" i="109"/>
  <c r="Q34" i="109"/>
  <c r="P34" i="109"/>
  <c r="O34" i="109"/>
  <c r="N34" i="109"/>
  <c r="M34" i="109"/>
  <c r="L34" i="109"/>
  <c r="K34" i="109"/>
  <c r="J34" i="109"/>
  <c r="I34" i="109"/>
  <c r="H34" i="109"/>
  <c r="G34" i="109"/>
  <c r="F34" i="109"/>
  <c r="E34" i="109"/>
  <c r="D34" i="109"/>
  <c r="R33" i="109"/>
  <c r="Q33" i="109"/>
  <c r="P33" i="109"/>
  <c r="O33" i="109"/>
  <c r="N33" i="109"/>
  <c r="M33" i="109"/>
  <c r="L33" i="109"/>
  <c r="K33" i="109"/>
  <c r="J33" i="109"/>
  <c r="I33" i="109"/>
  <c r="H33" i="109"/>
  <c r="G33" i="109"/>
  <c r="F33" i="109"/>
  <c r="E33" i="109"/>
  <c r="D33" i="109"/>
  <c r="R32" i="109"/>
  <c r="Q32" i="109"/>
  <c r="P32" i="109"/>
  <c r="O32" i="109"/>
  <c r="N32" i="109"/>
  <c r="M32" i="109"/>
  <c r="L32" i="109"/>
  <c r="K32" i="109"/>
  <c r="J32" i="109"/>
  <c r="I32" i="109"/>
  <c r="H32" i="109"/>
  <c r="G32" i="109"/>
  <c r="F32" i="109"/>
  <c r="E32" i="109"/>
  <c r="D32" i="109"/>
  <c r="R31" i="109"/>
  <c r="Q31" i="109"/>
  <c r="P31" i="109"/>
  <c r="O31" i="109"/>
  <c r="N31" i="109"/>
  <c r="M31" i="109"/>
  <c r="L31" i="109"/>
  <c r="K31" i="109"/>
  <c r="J31" i="109"/>
  <c r="I31" i="109"/>
  <c r="H31" i="109"/>
  <c r="G31" i="109"/>
  <c r="F31" i="109"/>
  <c r="E31" i="109"/>
  <c r="D31" i="109"/>
  <c r="R105" i="109"/>
  <c r="Q105" i="109"/>
  <c r="P105" i="109"/>
  <c r="O105" i="109"/>
  <c r="N105" i="109"/>
  <c r="M105" i="109"/>
  <c r="L105" i="109"/>
  <c r="K105" i="109"/>
  <c r="J105" i="109"/>
  <c r="I105" i="109"/>
  <c r="H105" i="109"/>
  <c r="G105" i="109"/>
  <c r="F105" i="109"/>
  <c r="E105" i="109"/>
  <c r="D105" i="109"/>
  <c r="R30" i="109"/>
  <c r="Q30" i="109"/>
  <c r="P30" i="109"/>
  <c r="O30" i="109"/>
  <c r="N30" i="109"/>
  <c r="M30" i="109"/>
  <c r="L30" i="109"/>
  <c r="K30" i="109"/>
  <c r="J30" i="109"/>
  <c r="I30" i="109"/>
  <c r="H30" i="109"/>
  <c r="G30" i="109"/>
  <c r="F30" i="109"/>
  <c r="E30" i="109"/>
  <c r="D30" i="109"/>
  <c r="R29" i="109"/>
  <c r="Q29" i="109"/>
  <c r="P29" i="109"/>
  <c r="O29" i="109"/>
  <c r="N29" i="109"/>
  <c r="M29" i="109"/>
  <c r="L29" i="109"/>
  <c r="K29" i="109"/>
  <c r="J29" i="109"/>
  <c r="I29" i="109"/>
  <c r="H29" i="109"/>
  <c r="G29" i="109"/>
  <c r="F29" i="109"/>
  <c r="E29" i="109"/>
  <c r="D29" i="109"/>
  <c r="R28" i="109"/>
  <c r="Q28" i="109"/>
  <c r="P28" i="109"/>
  <c r="O28" i="109"/>
  <c r="N28" i="109"/>
  <c r="M28" i="109"/>
  <c r="L28" i="109"/>
  <c r="K28" i="109"/>
  <c r="J28" i="109"/>
  <c r="I28" i="109"/>
  <c r="H28" i="109"/>
  <c r="G28" i="109"/>
  <c r="F28" i="109"/>
  <c r="E28" i="109"/>
  <c r="D28" i="109"/>
  <c r="R27" i="109"/>
  <c r="Q27" i="109"/>
  <c r="P27" i="109"/>
  <c r="O27" i="109"/>
  <c r="N27" i="109"/>
  <c r="M27" i="109"/>
  <c r="L27" i="109"/>
  <c r="K27" i="109"/>
  <c r="J27" i="109"/>
  <c r="I27" i="109"/>
  <c r="H27" i="109"/>
  <c r="G27" i="109"/>
  <c r="F27" i="109"/>
  <c r="E27" i="109"/>
  <c r="D27" i="109"/>
  <c r="R26" i="109"/>
  <c r="Q26" i="109"/>
  <c r="P26" i="109"/>
  <c r="O26" i="109"/>
  <c r="N26" i="109"/>
  <c r="M26" i="109"/>
  <c r="L26" i="109"/>
  <c r="K26" i="109"/>
  <c r="J26" i="109"/>
  <c r="I26" i="109"/>
  <c r="H26" i="109"/>
  <c r="G26" i="109"/>
  <c r="F26" i="109"/>
  <c r="E26" i="109"/>
  <c r="D26" i="109"/>
  <c r="R104" i="109"/>
  <c r="Q104" i="109"/>
  <c r="P104" i="109"/>
  <c r="O104" i="109"/>
  <c r="N104" i="109"/>
  <c r="M104" i="109"/>
  <c r="L104" i="109"/>
  <c r="K104" i="109"/>
  <c r="J104" i="109"/>
  <c r="I104" i="109"/>
  <c r="H104" i="109"/>
  <c r="G104" i="109"/>
  <c r="F104" i="109"/>
  <c r="E104" i="109"/>
  <c r="D104" i="109"/>
  <c r="R103" i="109"/>
  <c r="Q103" i="109"/>
  <c r="P103" i="109"/>
  <c r="O103" i="109"/>
  <c r="N103" i="109"/>
  <c r="M103" i="109"/>
  <c r="L103" i="109"/>
  <c r="K103" i="109"/>
  <c r="J103" i="109"/>
  <c r="I103" i="109"/>
  <c r="H103" i="109"/>
  <c r="G103" i="109"/>
  <c r="F103" i="109"/>
  <c r="E103" i="109"/>
  <c r="D103" i="109"/>
  <c r="R25" i="109"/>
  <c r="Q25" i="109"/>
  <c r="P25" i="109"/>
  <c r="O25" i="109"/>
  <c r="N25" i="109"/>
  <c r="M25" i="109"/>
  <c r="L25" i="109"/>
  <c r="K25" i="109"/>
  <c r="J25" i="109"/>
  <c r="I25" i="109"/>
  <c r="H25" i="109"/>
  <c r="G25" i="109"/>
  <c r="F25" i="109"/>
  <c r="E25" i="109"/>
  <c r="D25" i="109"/>
  <c r="R24" i="109"/>
  <c r="Q24" i="109"/>
  <c r="P24" i="109"/>
  <c r="O24" i="109"/>
  <c r="N24" i="109"/>
  <c r="M24" i="109"/>
  <c r="L24" i="109"/>
  <c r="K24" i="109"/>
  <c r="J24" i="109"/>
  <c r="I24" i="109"/>
  <c r="H24" i="109"/>
  <c r="G24" i="109"/>
  <c r="F24" i="109"/>
  <c r="E24" i="109"/>
  <c r="D24" i="109"/>
  <c r="R23" i="109"/>
  <c r="Q23" i="109"/>
  <c r="P23" i="109"/>
  <c r="O23" i="109"/>
  <c r="N23" i="109"/>
  <c r="M23" i="109"/>
  <c r="L23" i="109"/>
  <c r="K23" i="109"/>
  <c r="J23" i="109"/>
  <c r="I23" i="109"/>
  <c r="H23" i="109"/>
  <c r="G23" i="109"/>
  <c r="F23" i="109"/>
  <c r="E23" i="109"/>
  <c r="D23" i="109"/>
  <c r="R22" i="109"/>
  <c r="Q22" i="109"/>
  <c r="P22" i="109"/>
  <c r="O22" i="109"/>
  <c r="N22" i="109"/>
  <c r="M22" i="109"/>
  <c r="L22" i="109"/>
  <c r="K22" i="109"/>
  <c r="J22" i="109"/>
  <c r="I22" i="109"/>
  <c r="H22" i="109"/>
  <c r="G22" i="109"/>
  <c r="F22" i="109"/>
  <c r="E22" i="109"/>
  <c r="D22" i="109"/>
  <c r="R21" i="109"/>
  <c r="Q21" i="109"/>
  <c r="P21" i="109"/>
  <c r="O21" i="109"/>
  <c r="N21" i="109"/>
  <c r="M21" i="109"/>
  <c r="L21" i="109"/>
  <c r="K21" i="109"/>
  <c r="J21" i="109"/>
  <c r="I21" i="109"/>
  <c r="H21" i="109"/>
  <c r="G21" i="109"/>
  <c r="F21" i="109"/>
  <c r="E21" i="109"/>
  <c r="D21" i="109"/>
  <c r="R20" i="109"/>
  <c r="Q20" i="109"/>
  <c r="P20" i="109"/>
  <c r="O20" i="109"/>
  <c r="N20" i="109"/>
  <c r="M20" i="109"/>
  <c r="L20" i="109"/>
  <c r="K20" i="109"/>
  <c r="J20" i="109"/>
  <c r="I20" i="109"/>
  <c r="H20" i="109"/>
  <c r="G20" i="109"/>
  <c r="F20" i="109"/>
  <c r="E20" i="109"/>
  <c r="D20" i="109"/>
  <c r="R19" i="109"/>
  <c r="Q19" i="109"/>
  <c r="P19" i="109"/>
  <c r="O19" i="109"/>
  <c r="N19" i="109"/>
  <c r="M19" i="109"/>
  <c r="L19" i="109"/>
  <c r="K19" i="109"/>
  <c r="J19" i="109"/>
  <c r="I19" i="109"/>
  <c r="H19" i="109"/>
  <c r="G19" i="109"/>
  <c r="F19" i="109"/>
  <c r="E19" i="109"/>
  <c r="D19" i="109"/>
  <c r="R18" i="109"/>
  <c r="Q18" i="109"/>
  <c r="P18" i="109"/>
  <c r="O18" i="109"/>
  <c r="N18" i="109"/>
  <c r="M18" i="109"/>
  <c r="L18" i="109"/>
  <c r="K18" i="109"/>
  <c r="J18" i="109"/>
  <c r="I18" i="109"/>
  <c r="H18" i="109"/>
  <c r="G18" i="109"/>
  <c r="F18" i="109"/>
  <c r="E18" i="109"/>
  <c r="D18" i="109"/>
  <c r="R102" i="109"/>
  <c r="Q102" i="109"/>
  <c r="P102" i="109"/>
  <c r="O102" i="109"/>
  <c r="N102" i="109"/>
  <c r="M102" i="109"/>
  <c r="L102" i="109"/>
  <c r="K102" i="109"/>
  <c r="J102" i="109"/>
  <c r="I102" i="109"/>
  <c r="H102" i="109"/>
  <c r="G102" i="109"/>
  <c r="F102" i="109"/>
  <c r="E102" i="109"/>
  <c r="D102" i="109"/>
  <c r="R17" i="109"/>
  <c r="Q17" i="109"/>
  <c r="P17" i="109"/>
  <c r="O17" i="109"/>
  <c r="N17" i="109"/>
  <c r="M17" i="109"/>
  <c r="L17" i="109"/>
  <c r="K17" i="109"/>
  <c r="J17" i="109"/>
  <c r="I17" i="109"/>
  <c r="H17" i="109"/>
  <c r="G17" i="109"/>
  <c r="F17" i="109"/>
  <c r="E17" i="109"/>
  <c r="D17" i="109"/>
  <c r="R16" i="109"/>
  <c r="Q16" i="109"/>
  <c r="P16" i="109"/>
  <c r="O16" i="109"/>
  <c r="N16" i="109"/>
  <c r="M16" i="109"/>
  <c r="L16" i="109"/>
  <c r="K16" i="109"/>
  <c r="J16" i="109"/>
  <c r="I16" i="109"/>
  <c r="H16" i="109"/>
  <c r="G16" i="109"/>
  <c r="F16" i="109"/>
  <c r="E16" i="109"/>
  <c r="D16" i="109"/>
  <c r="R15" i="109"/>
  <c r="Q15" i="109"/>
  <c r="P15" i="109"/>
  <c r="O15" i="109"/>
  <c r="N15" i="109"/>
  <c r="M15" i="109"/>
  <c r="L15" i="109"/>
  <c r="K15" i="109"/>
  <c r="J15" i="109"/>
  <c r="I15" i="109"/>
  <c r="H15" i="109"/>
  <c r="G15" i="109"/>
  <c r="F15" i="109"/>
  <c r="E15" i="109"/>
  <c r="D15" i="109"/>
  <c r="R14" i="109"/>
  <c r="Q14" i="109"/>
  <c r="P14" i="109"/>
  <c r="O14" i="109"/>
  <c r="N14" i="109"/>
  <c r="M14" i="109"/>
  <c r="L14" i="109"/>
  <c r="K14" i="109"/>
  <c r="J14" i="109"/>
  <c r="I14" i="109"/>
  <c r="H14" i="109"/>
  <c r="G14" i="109"/>
  <c r="F14" i="109"/>
  <c r="E14" i="109"/>
  <c r="D14" i="109"/>
  <c r="R13" i="109"/>
  <c r="Q13" i="109"/>
  <c r="P13" i="109"/>
  <c r="O13" i="109"/>
  <c r="N13" i="109"/>
  <c r="M13" i="109"/>
  <c r="L13" i="109"/>
  <c r="K13" i="109"/>
  <c r="J13" i="109"/>
  <c r="I13" i="109"/>
  <c r="H13" i="109"/>
  <c r="G13" i="109"/>
  <c r="F13" i="109"/>
  <c r="E13" i="109"/>
  <c r="D13" i="109"/>
  <c r="R12" i="109"/>
  <c r="Q12" i="109"/>
  <c r="P12" i="109"/>
  <c r="O12" i="109"/>
  <c r="N12" i="109"/>
  <c r="M12" i="109"/>
  <c r="L12" i="109"/>
  <c r="K12" i="109"/>
  <c r="J12" i="109"/>
  <c r="I12" i="109"/>
  <c r="H12" i="109"/>
  <c r="G12" i="109"/>
  <c r="F12" i="109"/>
  <c r="E12" i="109"/>
  <c r="D12" i="109"/>
  <c r="R11" i="109"/>
  <c r="Q11" i="109"/>
  <c r="P11" i="109"/>
  <c r="O11" i="109"/>
  <c r="N11" i="109"/>
  <c r="M11" i="109"/>
  <c r="L11" i="109"/>
  <c r="K11" i="109"/>
  <c r="J11" i="109"/>
  <c r="I11" i="109"/>
  <c r="H11" i="109"/>
  <c r="G11" i="109"/>
  <c r="F11" i="109"/>
  <c r="E11" i="109"/>
  <c r="D11" i="109"/>
  <c r="R10" i="109"/>
  <c r="Q10" i="109"/>
  <c r="P10" i="109"/>
  <c r="O10" i="109"/>
  <c r="N10" i="109"/>
  <c r="M10" i="109"/>
  <c r="L10" i="109"/>
  <c r="K10" i="109"/>
  <c r="J10" i="109"/>
  <c r="I10" i="109"/>
  <c r="H10" i="109"/>
  <c r="G10" i="109"/>
  <c r="F10" i="109"/>
  <c r="E10" i="109"/>
  <c r="D10" i="109"/>
  <c r="R9" i="109"/>
  <c r="Q9" i="109"/>
  <c r="P9" i="109"/>
  <c r="O9" i="109"/>
  <c r="N9" i="109"/>
  <c r="M9" i="109"/>
  <c r="L9" i="109"/>
  <c r="K9" i="109"/>
  <c r="J9" i="109"/>
  <c r="I9" i="109"/>
  <c r="H9" i="109"/>
  <c r="G9" i="109"/>
  <c r="F9" i="109"/>
  <c r="E9" i="109"/>
  <c r="D9" i="109"/>
  <c r="R8" i="109"/>
  <c r="Q8" i="109"/>
  <c r="P8" i="109"/>
  <c r="O8" i="109"/>
  <c r="N8" i="109"/>
  <c r="M8" i="109"/>
  <c r="L8" i="109"/>
  <c r="K8" i="109"/>
  <c r="J8" i="109"/>
  <c r="I8" i="109"/>
  <c r="H8" i="109"/>
  <c r="G8" i="109"/>
  <c r="F8" i="109"/>
  <c r="E8" i="109"/>
  <c r="D8" i="109"/>
  <c r="R101" i="109"/>
  <c r="Q101" i="109"/>
  <c r="P101" i="109"/>
  <c r="O101" i="109"/>
  <c r="N101" i="109"/>
  <c r="M101" i="109"/>
  <c r="L101" i="109"/>
  <c r="K101" i="109"/>
  <c r="J101" i="109"/>
  <c r="I101" i="109"/>
  <c r="H101" i="109"/>
  <c r="G101" i="109"/>
  <c r="F101" i="109"/>
  <c r="E101" i="109"/>
  <c r="D101" i="109"/>
  <c r="R7" i="109"/>
  <c r="Q7" i="109"/>
  <c r="P7" i="109"/>
  <c r="O7" i="109"/>
  <c r="N7" i="109"/>
  <c r="M7" i="109"/>
  <c r="L7" i="109"/>
  <c r="K7" i="109"/>
  <c r="J7" i="109"/>
  <c r="I7" i="109"/>
  <c r="H7" i="109"/>
  <c r="G7" i="109"/>
  <c r="F7" i="109"/>
  <c r="E7" i="109"/>
  <c r="D7" i="109"/>
  <c r="R6" i="109"/>
  <c r="Q6" i="109"/>
  <c r="P6" i="109"/>
  <c r="O6" i="109"/>
  <c r="N6" i="109"/>
  <c r="M6" i="109"/>
  <c r="L6" i="109"/>
  <c r="K6" i="109"/>
  <c r="J6" i="109"/>
  <c r="I6" i="109"/>
  <c r="H6" i="109"/>
  <c r="G6" i="109"/>
  <c r="F6" i="109"/>
  <c r="E6" i="109"/>
  <c r="D6" i="109"/>
  <c r="R5" i="109"/>
  <c r="D17" i="108" s="1"/>
  <c r="Q5" i="109"/>
  <c r="D16" i="108" s="1"/>
  <c r="P5" i="109"/>
  <c r="D15" i="108" s="1"/>
  <c r="O5" i="109"/>
  <c r="D14" i="108" s="1"/>
  <c r="N5" i="109"/>
  <c r="D13" i="108" s="1"/>
  <c r="M5" i="109"/>
  <c r="D12" i="108" s="1"/>
  <c r="L5" i="109"/>
  <c r="D11" i="108" s="1"/>
  <c r="K5" i="109"/>
  <c r="D10" i="108" s="1"/>
  <c r="J5" i="109"/>
  <c r="D9" i="108" s="1"/>
  <c r="I5" i="109"/>
  <c r="D8" i="108" s="1"/>
  <c r="H5" i="109"/>
  <c r="D7" i="108" s="1"/>
  <c r="G5" i="109"/>
  <c r="D6" i="108" s="1"/>
  <c r="F5" i="109"/>
  <c r="D5" i="108" s="1"/>
  <c r="E5" i="109"/>
  <c r="D4" i="108" s="1"/>
  <c r="D5" i="109"/>
  <c r="D3" i="108" s="1"/>
  <c r="C119" i="1" l="1"/>
  <c r="U5" i="106"/>
  <c r="T5" i="106"/>
  <c r="M5" i="106"/>
  <c r="L5" i="106"/>
  <c r="D5" i="106"/>
  <c r="AS131" i="24" l="1"/>
  <c r="AP131" i="24"/>
  <c r="AM131" i="24"/>
  <c r="AJ131" i="24"/>
  <c r="AG131" i="24"/>
  <c r="AD131" i="24"/>
  <c r="AA131" i="24"/>
  <c r="X131" i="24"/>
  <c r="U131" i="24"/>
  <c r="R131" i="24"/>
  <c r="O131" i="24"/>
  <c r="I131" i="24"/>
  <c r="F131" i="24"/>
  <c r="AS130" i="24"/>
  <c r="AP130" i="24"/>
  <c r="AM130" i="24"/>
  <c r="AJ130" i="24"/>
  <c r="AG130" i="24"/>
  <c r="AD130" i="24"/>
  <c r="AA130" i="24"/>
  <c r="X130" i="24"/>
  <c r="U130" i="24"/>
  <c r="R130" i="24"/>
  <c r="O130" i="24"/>
  <c r="I130" i="24"/>
  <c r="F130" i="24"/>
  <c r="AS129" i="24"/>
  <c r="AP129" i="24"/>
  <c r="AM129" i="24"/>
  <c r="AJ129" i="24"/>
  <c r="AG129" i="24"/>
  <c r="AD129" i="24"/>
  <c r="AA129" i="24"/>
  <c r="X129" i="24"/>
  <c r="U129" i="24"/>
  <c r="R129" i="24"/>
  <c r="O129" i="24"/>
  <c r="I129" i="24"/>
  <c r="F129" i="24"/>
  <c r="AS128" i="24"/>
  <c r="AP128" i="24"/>
  <c r="AM128" i="24"/>
  <c r="AJ128" i="24"/>
  <c r="AG128" i="24"/>
  <c r="AD128" i="24"/>
  <c r="AA128" i="24"/>
  <c r="E60" i="1" s="1"/>
  <c r="X128" i="24"/>
  <c r="U128" i="24"/>
  <c r="R128" i="24"/>
  <c r="O128" i="24"/>
  <c r="I128" i="24"/>
  <c r="F128" i="24"/>
  <c r="AS127" i="24"/>
  <c r="AP127" i="24"/>
  <c r="AM127" i="24"/>
  <c r="AJ127" i="24"/>
  <c r="AG127" i="24"/>
  <c r="AD127" i="24"/>
  <c r="AA127" i="24"/>
  <c r="X127" i="24"/>
  <c r="U127" i="24"/>
  <c r="R127" i="24"/>
  <c r="O127" i="24"/>
  <c r="I127" i="24"/>
  <c r="F127" i="24"/>
  <c r="AS125" i="24"/>
  <c r="AP125" i="24"/>
  <c r="AM125" i="24"/>
  <c r="AJ125" i="24"/>
  <c r="AG125" i="24"/>
  <c r="AD125" i="24"/>
  <c r="AA125" i="24"/>
  <c r="X125" i="24"/>
  <c r="U125" i="24"/>
  <c r="R125" i="24"/>
  <c r="O125" i="24"/>
  <c r="I125" i="24"/>
  <c r="F125" i="24"/>
  <c r="AS124" i="24"/>
  <c r="AP124" i="24"/>
  <c r="AM124" i="24"/>
  <c r="AJ124" i="24"/>
  <c r="AG124" i="24"/>
  <c r="AD124" i="24"/>
  <c r="AA124" i="24"/>
  <c r="X124" i="24"/>
  <c r="U124" i="24"/>
  <c r="R124" i="24"/>
  <c r="O124" i="24"/>
  <c r="I124" i="24"/>
  <c r="F124" i="24"/>
  <c r="AS123" i="24"/>
  <c r="AP123" i="24"/>
  <c r="AM123" i="24"/>
  <c r="AJ123" i="24"/>
  <c r="AG123" i="24"/>
  <c r="AD123" i="24"/>
  <c r="AA123" i="24"/>
  <c r="X123" i="24"/>
  <c r="U123" i="24"/>
  <c r="R123" i="24"/>
  <c r="O123" i="24"/>
  <c r="I123" i="24"/>
  <c r="F123" i="24"/>
  <c r="AS122" i="24"/>
  <c r="AP122" i="24"/>
  <c r="AM122" i="24"/>
  <c r="AJ122" i="24"/>
  <c r="AG122" i="24"/>
  <c r="AD122" i="24"/>
  <c r="AA122" i="24"/>
  <c r="X122" i="24"/>
  <c r="U122" i="24"/>
  <c r="R122" i="24"/>
  <c r="O122" i="24"/>
  <c r="I122" i="24"/>
  <c r="F122" i="24"/>
  <c r="AS121" i="24"/>
  <c r="AP121" i="24"/>
  <c r="AM121" i="24"/>
  <c r="AJ121" i="24"/>
  <c r="AG121" i="24"/>
  <c r="AD121" i="24"/>
  <c r="AA121" i="24"/>
  <c r="X121" i="24"/>
  <c r="U121" i="24"/>
  <c r="R121" i="24"/>
  <c r="O121" i="24"/>
  <c r="I121" i="24"/>
  <c r="F121" i="24"/>
  <c r="AS120" i="24"/>
  <c r="AP120" i="24"/>
  <c r="AM120" i="24"/>
  <c r="AJ120" i="24"/>
  <c r="AG120" i="24"/>
  <c r="AD120" i="24"/>
  <c r="AA120" i="24"/>
  <c r="X120" i="24"/>
  <c r="U120" i="24"/>
  <c r="R120" i="24"/>
  <c r="O120" i="24"/>
  <c r="I120" i="24"/>
  <c r="F120" i="24"/>
  <c r="AS119" i="24"/>
  <c r="AP119" i="24"/>
  <c r="AM119" i="24"/>
  <c r="AJ119" i="24"/>
  <c r="AG119" i="24"/>
  <c r="AD119" i="24"/>
  <c r="AA119" i="24"/>
  <c r="X119" i="24"/>
  <c r="U119" i="24"/>
  <c r="R119" i="24"/>
  <c r="O119" i="24"/>
  <c r="I119" i="24"/>
  <c r="F119" i="24"/>
  <c r="AS118" i="24"/>
  <c r="AP118" i="24"/>
  <c r="AM118" i="24"/>
  <c r="AJ118" i="24"/>
  <c r="AG118" i="24"/>
  <c r="AD118" i="24"/>
  <c r="AA118" i="24"/>
  <c r="X118" i="24"/>
  <c r="U118" i="24"/>
  <c r="R118" i="24"/>
  <c r="O118" i="24"/>
  <c r="I118" i="24"/>
  <c r="F118" i="24"/>
  <c r="AS117" i="24"/>
  <c r="AP117" i="24"/>
  <c r="AM117" i="24"/>
  <c r="AJ117" i="24"/>
  <c r="AG117" i="24"/>
  <c r="AD117" i="24"/>
  <c r="AA117" i="24"/>
  <c r="X117" i="24"/>
  <c r="U117" i="24"/>
  <c r="R117" i="24"/>
  <c r="O117" i="24"/>
  <c r="I117" i="24"/>
  <c r="F117" i="24"/>
  <c r="AS116" i="24"/>
  <c r="AP116" i="24"/>
  <c r="AM116" i="24"/>
  <c r="AJ116" i="24"/>
  <c r="AG116" i="24"/>
  <c r="AD116" i="24"/>
  <c r="AA116" i="24"/>
  <c r="X116" i="24"/>
  <c r="U116" i="24"/>
  <c r="R116" i="24"/>
  <c r="O116" i="24"/>
  <c r="I116" i="24"/>
  <c r="F116" i="24"/>
  <c r="AS115" i="24"/>
  <c r="AP115" i="24"/>
  <c r="AM115" i="24"/>
  <c r="AJ115" i="24"/>
  <c r="AG115" i="24"/>
  <c r="AD115" i="24"/>
  <c r="AA115" i="24"/>
  <c r="X115" i="24"/>
  <c r="U115" i="24"/>
  <c r="R115" i="24"/>
  <c r="O115" i="24"/>
  <c r="I115" i="24"/>
  <c r="F115" i="24"/>
  <c r="AS114" i="24"/>
  <c r="AP114" i="24"/>
  <c r="AM114" i="24"/>
  <c r="AJ114" i="24"/>
  <c r="AG114" i="24"/>
  <c r="AD114" i="24"/>
  <c r="AA114" i="24"/>
  <c r="X114" i="24"/>
  <c r="U114" i="24"/>
  <c r="R114" i="24"/>
  <c r="O114" i="24"/>
  <c r="I114" i="24"/>
  <c r="F114" i="24"/>
  <c r="AS113" i="24"/>
  <c r="AP113" i="24"/>
  <c r="AM113" i="24"/>
  <c r="AJ113" i="24"/>
  <c r="AG113" i="24"/>
  <c r="AD113" i="24"/>
  <c r="AA113" i="24"/>
  <c r="X113" i="24"/>
  <c r="U113" i="24"/>
  <c r="R113" i="24"/>
  <c r="O113" i="24"/>
  <c r="I113" i="24"/>
  <c r="F113" i="24"/>
  <c r="AS112" i="24"/>
  <c r="AP112" i="24"/>
  <c r="AM112" i="24"/>
  <c r="AJ112" i="24"/>
  <c r="AG112" i="24"/>
  <c r="AD112" i="24"/>
  <c r="AA112" i="24"/>
  <c r="X112" i="24"/>
  <c r="U112" i="24"/>
  <c r="R112" i="24"/>
  <c r="O112" i="24"/>
  <c r="I112" i="24"/>
  <c r="F112" i="24"/>
  <c r="AS111" i="24"/>
  <c r="AP111" i="24"/>
  <c r="AM111" i="24"/>
  <c r="AJ111" i="24"/>
  <c r="AG111" i="24"/>
  <c r="AD111" i="24"/>
  <c r="AA111" i="24"/>
  <c r="X111" i="24"/>
  <c r="U111" i="24"/>
  <c r="R111" i="24"/>
  <c r="O111" i="24"/>
  <c r="I111" i="24"/>
  <c r="F111" i="24"/>
  <c r="AS110" i="24"/>
  <c r="AP110" i="24"/>
  <c r="AM110" i="24"/>
  <c r="AJ110" i="24"/>
  <c r="AG110" i="24"/>
  <c r="AD110" i="24"/>
  <c r="AA110" i="24"/>
  <c r="X110" i="24"/>
  <c r="U110" i="24"/>
  <c r="R110" i="24"/>
  <c r="O110" i="24"/>
  <c r="I110" i="24"/>
  <c r="F110" i="24"/>
  <c r="AS109" i="24"/>
  <c r="AP109" i="24"/>
  <c r="AM109" i="24"/>
  <c r="AJ109" i="24"/>
  <c r="AG109" i="24"/>
  <c r="AD109" i="24"/>
  <c r="AA109" i="24"/>
  <c r="X109" i="24"/>
  <c r="U109" i="24"/>
  <c r="R109" i="24"/>
  <c r="O109" i="24"/>
  <c r="I109" i="24"/>
  <c r="F109" i="24"/>
  <c r="AS108" i="24"/>
  <c r="AP108" i="24"/>
  <c r="AM108" i="24"/>
  <c r="AJ108" i="24"/>
  <c r="AG108" i="24"/>
  <c r="AD108" i="24"/>
  <c r="AA108" i="24"/>
  <c r="X108" i="24"/>
  <c r="U108" i="24"/>
  <c r="R108" i="24"/>
  <c r="O108" i="24"/>
  <c r="I108" i="24"/>
  <c r="F108" i="24"/>
  <c r="AS107" i="24"/>
  <c r="AP107" i="24"/>
  <c r="AM107" i="24"/>
  <c r="AJ107" i="24"/>
  <c r="AG107" i="24"/>
  <c r="AD107" i="24"/>
  <c r="AA107" i="24"/>
  <c r="X107" i="24"/>
  <c r="U107" i="24"/>
  <c r="R107" i="24"/>
  <c r="O107" i="24"/>
  <c r="I107" i="24"/>
  <c r="F107" i="24"/>
  <c r="AS106" i="24"/>
  <c r="AP106" i="24"/>
  <c r="AM106" i="24"/>
  <c r="AJ106" i="24"/>
  <c r="AG106" i="24"/>
  <c r="AD106" i="24"/>
  <c r="AA106" i="24"/>
  <c r="X106" i="24"/>
  <c r="U106" i="24"/>
  <c r="R106" i="24"/>
  <c r="O106" i="24"/>
  <c r="I106" i="24"/>
  <c r="F106" i="24"/>
  <c r="AS105" i="24"/>
  <c r="AP105" i="24"/>
  <c r="AM105" i="24"/>
  <c r="AJ105" i="24"/>
  <c r="AG105" i="24"/>
  <c r="AD105" i="24"/>
  <c r="AA105" i="24"/>
  <c r="X105" i="24"/>
  <c r="U105" i="24"/>
  <c r="R105" i="24"/>
  <c r="O105" i="24"/>
  <c r="I105" i="24"/>
  <c r="F105" i="24"/>
  <c r="AS104" i="24"/>
  <c r="AP104" i="24"/>
  <c r="AM104" i="24"/>
  <c r="AJ104" i="24"/>
  <c r="AG104" i="24"/>
  <c r="AD104" i="24"/>
  <c r="AA104" i="24"/>
  <c r="X104" i="24"/>
  <c r="U104" i="24"/>
  <c r="R104" i="24"/>
  <c r="O104" i="24"/>
  <c r="I104" i="24"/>
  <c r="F104" i="24"/>
  <c r="AS103" i="24"/>
  <c r="AP103" i="24"/>
  <c r="AM103" i="24"/>
  <c r="AJ103" i="24"/>
  <c r="AG103" i="24"/>
  <c r="AD103" i="24"/>
  <c r="AA103" i="24"/>
  <c r="X103" i="24"/>
  <c r="U103" i="24"/>
  <c r="R103" i="24"/>
  <c r="O103" i="24"/>
  <c r="I103" i="24"/>
  <c r="F103" i="24"/>
  <c r="AS102" i="24"/>
  <c r="AP102" i="24"/>
  <c r="AM102" i="24"/>
  <c r="AJ102" i="24"/>
  <c r="AG102" i="24"/>
  <c r="AD102" i="24"/>
  <c r="AA102" i="24"/>
  <c r="X102" i="24"/>
  <c r="U102" i="24"/>
  <c r="R102" i="24"/>
  <c r="O102" i="24"/>
  <c r="I102" i="24"/>
  <c r="F102" i="24"/>
  <c r="AS101" i="24"/>
  <c r="AP101" i="24"/>
  <c r="AM101" i="24"/>
  <c r="AJ101" i="24"/>
  <c r="AG101" i="24"/>
  <c r="AD101" i="24"/>
  <c r="AA101" i="24"/>
  <c r="X101" i="24"/>
  <c r="U101" i="24"/>
  <c r="R101" i="24"/>
  <c r="O101" i="24"/>
  <c r="I101" i="24"/>
  <c r="F101" i="24"/>
  <c r="AS100" i="24"/>
  <c r="AP100" i="24"/>
  <c r="AM100" i="24"/>
  <c r="AJ100" i="24"/>
  <c r="AG100" i="24"/>
  <c r="AD100" i="24"/>
  <c r="AA100" i="24"/>
  <c r="X100" i="24"/>
  <c r="U100" i="24"/>
  <c r="R100" i="24"/>
  <c r="O100" i="24"/>
  <c r="I100" i="24"/>
  <c r="F100" i="24"/>
  <c r="AS99" i="24"/>
  <c r="AP99" i="24"/>
  <c r="AM99" i="24"/>
  <c r="AJ99" i="24"/>
  <c r="AG99" i="24"/>
  <c r="AD99" i="24"/>
  <c r="AA99" i="24"/>
  <c r="X99" i="24"/>
  <c r="U99" i="24"/>
  <c r="R99" i="24"/>
  <c r="O99" i="24"/>
  <c r="I99" i="24"/>
  <c r="F99" i="24"/>
  <c r="AS98" i="24"/>
  <c r="AP98" i="24"/>
  <c r="AM98" i="24"/>
  <c r="AJ98" i="24"/>
  <c r="AG98" i="24"/>
  <c r="AD98" i="24"/>
  <c r="AA98" i="24"/>
  <c r="X98" i="24"/>
  <c r="U98" i="24"/>
  <c r="R98" i="24"/>
  <c r="O98" i="24"/>
  <c r="I98" i="24"/>
  <c r="F98" i="24"/>
  <c r="AS97" i="24"/>
  <c r="AP97" i="24"/>
  <c r="AM97" i="24"/>
  <c r="AJ97" i="24"/>
  <c r="AG97" i="24"/>
  <c r="AD97" i="24"/>
  <c r="AA97" i="24"/>
  <c r="X97" i="24"/>
  <c r="U97" i="24"/>
  <c r="R97" i="24"/>
  <c r="O97" i="24"/>
  <c r="I97" i="24"/>
  <c r="F97" i="24"/>
  <c r="AS96" i="24"/>
  <c r="AP96" i="24"/>
  <c r="AM96" i="24"/>
  <c r="AJ96" i="24"/>
  <c r="AG96" i="24"/>
  <c r="AD96" i="24"/>
  <c r="AA96" i="24"/>
  <c r="X96" i="24"/>
  <c r="U96" i="24"/>
  <c r="R96" i="24"/>
  <c r="O96" i="24"/>
  <c r="I96" i="24"/>
  <c r="F96" i="24"/>
  <c r="AS95" i="24"/>
  <c r="AP95" i="24"/>
  <c r="AM95" i="24"/>
  <c r="AJ95" i="24"/>
  <c r="AG95" i="24"/>
  <c r="AD95" i="24"/>
  <c r="AA95" i="24"/>
  <c r="X95" i="24"/>
  <c r="U95" i="24"/>
  <c r="R95" i="24"/>
  <c r="O95" i="24"/>
  <c r="I95" i="24"/>
  <c r="F95" i="24"/>
  <c r="AS94" i="24"/>
  <c r="AP94" i="24"/>
  <c r="AM94" i="24"/>
  <c r="AJ94" i="24"/>
  <c r="AG94" i="24"/>
  <c r="AD94" i="24"/>
  <c r="AA94" i="24"/>
  <c r="X94" i="24"/>
  <c r="U94" i="24"/>
  <c r="R94" i="24"/>
  <c r="O94" i="24"/>
  <c r="I94" i="24"/>
  <c r="F94" i="24"/>
  <c r="AS93" i="24"/>
  <c r="AP93" i="24"/>
  <c r="AM93" i="24"/>
  <c r="AJ93" i="24"/>
  <c r="AG93" i="24"/>
  <c r="AD93" i="24"/>
  <c r="AA93" i="24"/>
  <c r="X93" i="24"/>
  <c r="U93" i="24"/>
  <c r="R93" i="24"/>
  <c r="O93" i="24"/>
  <c r="I93" i="24"/>
  <c r="F93" i="24"/>
  <c r="AS92" i="24"/>
  <c r="AP92" i="24"/>
  <c r="AM92" i="24"/>
  <c r="AJ92" i="24"/>
  <c r="AG92" i="24"/>
  <c r="AD92" i="24"/>
  <c r="AA92" i="24"/>
  <c r="X92" i="24"/>
  <c r="U92" i="24"/>
  <c r="R92" i="24"/>
  <c r="O92" i="24"/>
  <c r="I92" i="24"/>
  <c r="F92" i="24"/>
  <c r="AS91" i="24"/>
  <c r="AP91" i="24"/>
  <c r="AM91" i="24"/>
  <c r="AJ91" i="24"/>
  <c r="AG91" i="24"/>
  <c r="AD91" i="24"/>
  <c r="AA91" i="24"/>
  <c r="X91" i="24"/>
  <c r="U91" i="24"/>
  <c r="R91" i="24"/>
  <c r="O91" i="24"/>
  <c r="I91" i="24"/>
  <c r="F91" i="24"/>
  <c r="AS90" i="24"/>
  <c r="AP90" i="24"/>
  <c r="AM90" i="24"/>
  <c r="AJ90" i="24"/>
  <c r="AG90" i="24"/>
  <c r="AD90" i="24"/>
  <c r="AA90" i="24"/>
  <c r="X90" i="24"/>
  <c r="U90" i="24"/>
  <c r="R90" i="24"/>
  <c r="O90" i="24"/>
  <c r="I90" i="24"/>
  <c r="F90" i="24"/>
  <c r="AS89" i="24"/>
  <c r="AP89" i="24"/>
  <c r="AM89" i="24"/>
  <c r="AJ89" i="24"/>
  <c r="AG89" i="24"/>
  <c r="AD89" i="24"/>
  <c r="AA89" i="24"/>
  <c r="X89" i="24"/>
  <c r="U89" i="24"/>
  <c r="R89" i="24"/>
  <c r="O89" i="24"/>
  <c r="I89" i="24"/>
  <c r="F89" i="24"/>
  <c r="AS88" i="24"/>
  <c r="AP88" i="24"/>
  <c r="AM88" i="24"/>
  <c r="AJ88" i="24"/>
  <c r="AG88" i="24"/>
  <c r="AD88" i="24"/>
  <c r="AA88" i="24"/>
  <c r="X88" i="24"/>
  <c r="U88" i="24"/>
  <c r="R88" i="24"/>
  <c r="O88" i="24"/>
  <c r="I88" i="24"/>
  <c r="F88" i="24"/>
  <c r="AS87" i="24"/>
  <c r="AP87" i="24"/>
  <c r="AM87" i="24"/>
  <c r="AJ87" i="24"/>
  <c r="AG87" i="24"/>
  <c r="AD87" i="24"/>
  <c r="AA87" i="24"/>
  <c r="X87" i="24"/>
  <c r="U87" i="24"/>
  <c r="R87" i="24"/>
  <c r="O87" i="24"/>
  <c r="I87" i="24"/>
  <c r="F87" i="24"/>
  <c r="AS86" i="24"/>
  <c r="AP86" i="24"/>
  <c r="AM86" i="24"/>
  <c r="AJ86" i="24"/>
  <c r="AG86" i="24"/>
  <c r="AD86" i="24"/>
  <c r="AA86" i="24"/>
  <c r="X86" i="24"/>
  <c r="U86" i="24"/>
  <c r="R86" i="24"/>
  <c r="O86" i="24"/>
  <c r="I86" i="24"/>
  <c r="F86" i="24"/>
  <c r="AS85" i="24"/>
  <c r="AP85" i="24"/>
  <c r="AM85" i="24"/>
  <c r="AJ85" i="24"/>
  <c r="AG85" i="24"/>
  <c r="AD85" i="24"/>
  <c r="AA85" i="24"/>
  <c r="X85" i="24"/>
  <c r="U85" i="24"/>
  <c r="R85" i="24"/>
  <c r="O85" i="24"/>
  <c r="I85" i="24"/>
  <c r="F85" i="24"/>
  <c r="AS84" i="24"/>
  <c r="AP84" i="24"/>
  <c r="AM84" i="24"/>
  <c r="AJ84" i="24"/>
  <c r="AG84" i="24"/>
  <c r="AD84" i="24"/>
  <c r="AA84" i="24"/>
  <c r="X84" i="24"/>
  <c r="U84" i="24"/>
  <c r="R84" i="24"/>
  <c r="O84" i="24"/>
  <c r="I84" i="24"/>
  <c r="F84" i="24"/>
  <c r="AS83" i="24"/>
  <c r="AP83" i="24"/>
  <c r="AM83" i="24"/>
  <c r="AJ83" i="24"/>
  <c r="AG83" i="24"/>
  <c r="AD83" i="24"/>
  <c r="AA83" i="24"/>
  <c r="X83" i="24"/>
  <c r="U83" i="24"/>
  <c r="R83" i="24"/>
  <c r="O83" i="24"/>
  <c r="I83" i="24"/>
  <c r="F83" i="24"/>
  <c r="AS82" i="24"/>
  <c r="AP82" i="24"/>
  <c r="AM82" i="24"/>
  <c r="AJ82" i="24"/>
  <c r="AG82" i="24"/>
  <c r="AD82" i="24"/>
  <c r="AA82" i="24"/>
  <c r="X82" i="24"/>
  <c r="U82" i="24"/>
  <c r="R82" i="24"/>
  <c r="O82" i="24"/>
  <c r="I82" i="24"/>
  <c r="F82" i="24"/>
  <c r="AS81" i="24"/>
  <c r="AP81" i="24"/>
  <c r="AM81" i="24"/>
  <c r="AJ81" i="24"/>
  <c r="AG81" i="24"/>
  <c r="AD81" i="24"/>
  <c r="AA81" i="24"/>
  <c r="X81" i="24"/>
  <c r="U81" i="24"/>
  <c r="R81" i="24"/>
  <c r="O81" i="24"/>
  <c r="I81" i="24"/>
  <c r="F81" i="24"/>
  <c r="AS80" i="24"/>
  <c r="AP80" i="24"/>
  <c r="AM80" i="24"/>
  <c r="AJ80" i="24"/>
  <c r="AG80" i="24"/>
  <c r="AD80" i="24"/>
  <c r="AA80" i="24"/>
  <c r="X80" i="24"/>
  <c r="U80" i="24"/>
  <c r="R80" i="24"/>
  <c r="O80" i="24"/>
  <c r="I80" i="24"/>
  <c r="F80" i="24"/>
  <c r="AS79" i="24"/>
  <c r="AP79" i="24"/>
  <c r="AM79" i="24"/>
  <c r="AJ79" i="24"/>
  <c r="AG79" i="24"/>
  <c r="AD79" i="24"/>
  <c r="AA79" i="24"/>
  <c r="X79" i="24"/>
  <c r="U79" i="24"/>
  <c r="R79" i="24"/>
  <c r="O79" i="24"/>
  <c r="I79" i="24"/>
  <c r="F79" i="24"/>
  <c r="AS78" i="24"/>
  <c r="AP78" i="24"/>
  <c r="AM78" i="24"/>
  <c r="AJ78" i="24"/>
  <c r="AG78" i="24"/>
  <c r="AD78" i="24"/>
  <c r="AA78" i="24"/>
  <c r="X78" i="24"/>
  <c r="U78" i="24"/>
  <c r="R78" i="24"/>
  <c r="O78" i="24"/>
  <c r="I78" i="24"/>
  <c r="F78" i="24"/>
  <c r="AS77" i="24"/>
  <c r="AP77" i="24"/>
  <c r="AM77" i="24"/>
  <c r="AJ77" i="24"/>
  <c r="AG77" i="24"/>
  <c r="AD77" i="24"/>
  <c r="AA77" i="24"/>
  <c r="X77" i="24"/>
  <c r="U77" i="24"/>
  <c r="R77" i="24"/>
  <c r="O77" i="24"/>
  <c r="I77" i="24"/>
  <c r="F77" i="24"/>
  <c r="AS76" i="24"/>
  <c r="AP76" i="24"/>
  <c r="AM76" i="24"/>
  <c r="AJ76" i="24"/>
  <c r="AG76" i="24"/>
  <c r="AD76" i="24"/>
  <c r="AA76" i="24"/>
  <c r="X76" i="24"/>
  <c r="U76" i="24"/>
  <c r="R76" i="24"/>
  <c r="O76" i="24"/>
  <c r="I76" i="24"/>
  <c r="F76" i="24"/>
  <c r="AS75" i="24"/>
  <c r="AP75" i="24"/>
  <c r="AM75" i="24"/>
  <c r="AJ75" i="24"/>
  <c r="AG75" i="24"/>
  <c r="AD75" i="24"/>
  <c r="AA75" i="24"/>
  <c r="X75" i="24"/>
  <c r="U75" i="24"/>
  <c r="R75" i="24"/>
  <c r="O75" i="24"/>
  <c r="I75" i="24"/>
  <c r="F75" i="24"/>
  <c r="AS74" i="24"/>
  <c r="AP74" i="24"/>
  <c r="AM74" i="24"/>
  <c r="AJ74" i="24"/>
  <c r="AG74" i="24"/>
  <c r="AD74" i="24"/>
  <c r="AA74" i="24"/>
  <c r="X74" i="24"/>
  <c r="U74" i="24"/>
  <c r="R74" i="24"/>
  <c r="O74" i="24"/>
  <c r="I74" i="24"/>
  <c r="F74" i="24"/>
  <c r="AS73" i="24"/>
  <c r="AP73" i="24"/>
  <c r="AM73" i="24"/>
  <c r="AJ73" i="24"/>
  <c r="AG73" i="24"/>
  <c r="AD73" i="24"/>
  <c r="AA73" i="24"/>
  <c r="X73" i="24"/>
  <c r="U73" i="24"/>
  <c r="R73" i="24"/>
  <c r="O73" i="24"/>
  <c r="I73" i="24"/>
  <c r="F73" i="24"/>
  <c r="AS72" i="24"/>
  <c r="AP72" i="24"/>
  <c r="AM72" i="24"/>
  <c r="AJ72" i="24"/>
  <c r="AG72" i="24"/>
  <c r="AD72" i="24"/>
  <c r="AA72" i="24"/>
  <c r="X72" i="24"/>
  <c r="U72" i="24"/>
  <c r="R72" i="24"/>
  <c r="O72" i="24"/>
  <c r="I72" i="24"/>
  <c r="F72" i="24"/>
  <c r="AS71" i="24"/>
  <c r="AP71" i="24"/>
  <c r="AM71" i="24"/>
  <c r="AJ71" i="24"/>
  <c r="AG71" i="24"/>
  <c r="AD71" i="24"/>
  <c r="AA71" i="24"/>
  <c r="X71" i="24"/>
  <c r="U71" i="24"/>
  <c r="R71" i="24"/>
  <c r="O71" i="24"/>
  <c r="I71" i="24"/>
  <c r="F71" i="24"/>
  <c r="AS70" i="24"/>
  <c r="AP70" i="24"/>
  <c r="AM70" i="24"/>
  <c r="AJ70" i="24"/>
  <c r="AG70" i="24"/>
  <c r="AD70" i="24"/>
  <c r="AA70" i="24"/>
  <c r="X70" i="24"/>
  <c r="U70" i="24"/>
  <c r="R70" i="24"/>
  <c r="O70" i="24"/>
  <c r="I70" i="24"/>
  <c r="F70" i="24"/>
  <c r="AS69" i="24"/>
  <c r="AP69" i="24"/>
  <c r="AM69" i="24"/>
  <c r="AJ69" i="24"/>
  <c r="AG69" i="24"/>
  <c r="AD69" i="24"/>
  <c r="AA69" i="24"/>
  <c r="X69" i="24"/>
  <c r="U69" i="24"/>
  <c r="R69" i="24"/>
  <c r="O69" i="24"/>
  <c r="I69" i="24"/>
  <c r="F69" i="24"/>
  <c r="AS68" i="24"/>
  <c r="AP68" i="24"/>
  <c r="AM68" i="24"/>
  <c r="AJ68" i="24"/>
  <c r="AG68" i="24"/>
  <c r="AD68" i="24"/>
  <c r="AA68" i="24"/>
  <c r="X68" i="24"/>
  <c r="U68" i="24"/>
  <c r="R68" i="24"/>
  <c r="O68" i="24"/>
  <c r="I68" i="24"/>
  <c r="F68" i="24"/>
  <c r="AS67" i="24"/>
  <c r="AP67" i="24"/>
  <c r="AM67" i="24"/>
  <c r="AJ67" i="24"/>
  <c r="AG67" i="24"/>
  <c r="AD67" i="24"/>
  <c r="AA67" i="24"/>
  <c r="X67" i="24"/>
  <c r="U67" i="24"/>
  <c r="R67" i="24"/>
  <c r="O67" i="24"/>
  <c r="I67" i="24"/>
  <c r="F67" i="24"/>
  <c r="AS66" i="24"/>
  <c r="AP66" i="24"/>
  <c r="AM66" i="24"/>
  <c r="AJ66" i="24"/>
  <c r="AG66" i="24"/>
  <c r="AD66" i="24"/>
  <c r="AA66" i="24"/>
  <c r="X66" i="24"/>
  <c r="U66" i="24"/>
  <c r="R66" i="24"/>
  <c r="O66" i="24"/>
  <c r="I66" i="24"/>
  <c r="F66" i="24"/>
  <c r="AS65" i="24"/>
  <c r="AP65" i="24"/>
  <c r="AM65" i="24"/>
  <c r="AJ65" i="24"/>
  <c r="AG65" i="24"/>
  <c r="AD65" i="24"/>
  <c r="AA65" i="24"/>
  <c r="X65" i="24"/>
  <c r="U65" i="24"/>
  <c r="R65" i="24"/>
  <c r="O65" i="24"/>
  <c r="I65" i="24"/>
  <c r="F65" i="24"/>
  <c r="AS64" i="24"/>
  <c r="AP64" i="24"/>
  <c r="AM64" i="24"/>
  <c r="AJ64" i="24"/>
  <c r="AG64" i="24"/>
  <c r="AD64" i="24"/>
  <c r="AA64" i="24"/>
  <c r="X64" i="24"/>
  <c r="U64" i="24"/>
  <c r="R64" i="24"/>
  <c r="O64" i="24"/>
  <c r="I64" i="24"/>
  <c r="F64" i="24"/>
  <c r="AS63" i="24"/>
  <c r="AP63" i="24"/>
  <c r="AM63" i="24"/>
  <c r="AJ63" i="24"/>
  <c r="AG63" i="24"/>
  <c r="AD63" i="24"/>
  <c r="AA63" i="24"/>
  <c r="X63" i="24"/>
  <c r="U63" i="24"/>
  <c r="R63" i="24"/>
  <c r="O63" i="24"/>
  <c r="I63" i="24"/>
  <c r="F63" i="24"/>
  <c r="AS62" i="24"/>
  <c r="AP62" i="24"/>
  <c r="AM62" i="24"/>
  <c r="AJ62" i="24"/>
  <c r="AG62" i="24"/>
  <c r="AD62" i="24"/>
  <c r="AA62" i="24"/>
  <c r="X62" i="24"/>
  <c r="U62" i="24"/>
  <c r="R62" i="24"/>
  <c r="O62" i="24"/>
  <c r="I62" i="24"/>
  <c r="F62" i="24"/>
  <c r="AS61" i="24"/>
  <c r="AP61" i="24"/>
  <c r="AM61" i="24"/>
  <c r="AJ61" i="24"/>
  <c r="AG61" i="24"/>
  <c r="AD61" i="24"/>
  <c r="AA61" i="24"/>
  <c r="X61" i="24"/>
  <c r="U61" i="24"/>
  <c r="R61" i="24"/>
  <c r="O61" i="24"/>
  <c r="I61" i="24"/>
  <c r="F61" i="24"/>
  <c r="AS60" i="24"/>
  <c r="AP60" i="24"/>
  <c r="AM60" i="24"/>
  <c r="AJ60" i="24"/>
  <c r="AG60" i="24"/>
  <c r="AD60" i="24"/>
  <c r="AA60" i="24"/>
  <c r="X60" i="24"/>
  <c r="U60" i="24"/>
  <c r="R60" i="24"/>
  <c r="O60" i="24"/>
  <c r="I60" i="24"/>
  <c r="F60" i="24"/>
  <c r="AS59" i="24"/>
  <c r="AP59" i="24"/>
  <c r="AM59" i="24"/>
  <c r="AJ59" i="24"/>
  <c r="AG59" i="24"/>
  <c r="AD59" i="24"/>
  <c r="AA59" i="24"/>
  <c r="X59" i="24"/>
  <c r="U59" i="24"/>
  <c r="R59" i="24"/>
  <c r="O59" i="24"/>
  <c r="I59" i="24"/>
  <c r="F59" i="24"/>
  <c r="AS58" i="24"/>
  <c r="AP58" i="24"/>
  <c r="AM58" i="24"/>
  <c r="AJ58" i="24"/>
  <c r="AG58" i="24"/>
  <c r="AD58" i="24"/>
  <c r="AA58" i="24"/>
  <c r="X58" i="24"/>
  <c r="U58" i="24"/>
  <c r="R58" i="24"/>
  <c r="O58" i="24"/>
  <c r="I58" i="24"/>
  <c r="F58" i="24"/>
  <c r="AS57" i="24"/>
  <c r="AP57" i="24"/>
  <c r="AM57" i="24"/>
  <c r="AJ57" i="24"/>
  <c r="AG57" i="24"/>
  <c r="AD57" i="24"/>
  <c r="AA57" i="24"/>
  <c r="X57" i="24"/>
  <c r="U57" i="24"/>
  <c r="R57" i="24"/>
  <c r="O57" i="24"/>
  <c r="I57" i="24"/>
  <c r="F57" i="24"/>
  <c r="AS56" i="24"/>
  <c r="AP56" i="24"/>
  <c r="AM56" i="24"/>
  <c r="AJ56" i="24"/>
  <c r="AG56" i="24"/>
  <c r="AD56" i="24"/>
  <c r="AA56" i="24"/>
  <c r="X56" i="24"/>
  <c r="U56" i="24"/>
  <c r="R56" i="24"/>
  <c r="O56" i="24"/>
  <c r="I56" i="24"/>
  <c r="F56" i="24"/>
  <c r="AS55" i="24"/>
  <c r="AP55" i="24"/>
  <c r="AM55" i="24"/>
  <c r="AJ55" i="24"/>
  <c r="AG55" i="24"/>
  <c r="AD55" i="24"/>
  <c r="AA55" i="24"/>
  <c r="X55" i="24"/>
  <c r="U55" i="24"/>
  <c r="R55" i="24"/>
  <c r="O55" i="24"/>
  <c r="I55" i="24"/>
  <c r="F55" i="24"/>
  <c r="AS54" i="24"/>
  <c r="AP54" i="24"/>
  <c r="AM54" i="24"/>
  <c r="AJ54" i="24"/>
  <c r="AG54" i="24"/>
  <c r="AD54" i="24"/>
  <c r="AA54" i="24"/>
  <c r="X54" i="24"/>
  <c r="U54" i="24"/>
  <c r="R54" i="24"/>
  <c r="O54" i="24"/>
  <c r="I54" i="24"/>
  <c r="F54" i="24"/>
  <c r="AS53" i="24"/>
  <c r="AP53" i="24"/>
  <c r="AM53" i="24"/>
  <c r="AJ53" i="24"/>
  <c r="AG53" i="24"/>
  <c r="AD53" i="24"/>
  <c r="AA53" i="24"/>
  <c r="X53" i="24"/>
  <c r="U53" i="24"/>
  <c r="R53" i="24"/>
  <c r="O53" i="24"/>
  <c r="I53" i="24"/>
  <c r="F53" i="24"/>
  <c r="AS52" i="24"/>
  <c r="AP52" i="24"/>
  <c r="AM52" i="24"/>
  <c r="AJ52" i="24"/>
  <c r="AG52" i="24"/>
  <c r="AD52" i="24"/>
  <c r="AA52" i="24"/>
  <c r="X52" i="24"/>
  <c r="U52" i="24"/>
  <c r="R52" i="24"/>
  <c r="O52" i="24"/>
  <c r="I52" i="24"/>
  <c r="F52" i="24"/>
  <c r="AS51" i="24"/>
  <c r="AP51" i="24"/>
  <c r="AM51" i="24"/>
  <c r="AJ51" i="24"/>
  <c r="AG51" i="24"/>
  <c r="AD51" i="24"/>
  <c r="AA51" i="24"/>
  <c r="X51" i="24"/>
  <c r="U51" i="24"/>
  <c r="R51" i="24"/>
  <c r="O51" i="24"/>
  <c r="I51" i="24"/>
  <c r="F51" i="24"/>
  <c r="AS50" i="24"/>
  <c r="AP50" i="24"/>
  <c r="AM50" i="24"/>
  <c r="AJ50" i="24"/>
  <c r="AG50" i="24"/>
  <c r="AD50" i="24"/>
  <c r="AA50" i="24"/>
  <c r="X50" i="24"/>
  <c r="U50" i="24"/>
  <c r="R50" i="24"/>
  <c r="O50" i="24"/>
  <c r="I50" i="24"/>
  <c r="F50" i="24"/>
  <c r="AS49" i="24"/>
  <c r="AP49" i="24"/>
  <c r="AM49" i="24"/>
  <c r="AJ49" i="24"/>
  <c r="AG49" i="24"/>
  <c r="AD49" i="24"/>
  <c r="AA49" i="24"/>
  <c r="X49" i="24"/>
  <c r="U49" i="24"/>
  <c r="R49" i="24"/>
  <c r="O49" i="24"/>
  <c r="I49" i="24"/>
  <c r="F49" i="24"/>
  <c r="AS48" i="24"/>
  <c r="AP48" i="24"/>
  <c r="AM48" i="24"/>
  <c r="AJ48" i="24"/>
  <c r="AG48" i="24"/>
  <c r="AD48" i="24"/>
  <c r="AA48" i="24"/>
  <c r="X48" i="24"/>
  <c r="U48" i="24"/>
  <c r="R48" i="24"/>
  <c r="O48" i="24"/>
  <c r="I48" i="24"/>
  <c r="F48" i="24"/>
  <c r="AS47" i="24"/>
  <c r="AP47" i="24"/>
  <c r="AM47" i="24"/>
  <c r="AJ47" i="24"/>
  <c r="AG47" i="24"/>
  <c r="AD47" i="24"/>
  <c r="AA47" i="24"/>
  <c r="X47" i="24"/>
  <c r="U47" i="24"/>
  <c r="R47" i="24"/>
  <c r="O47" i="24"/>
  <c r="I47" i="24"/>
  <c r="F47" i="24"/>
  <c r="AS46" i="24"/>
  <c r="AP46" i="24"/>
  <c r="AM46" i="24"/>
  <c r="AJ46" i="24"/>
  <c r="AG46" i="24"/>
  <c r="AD46" i="24"/>
  <c r="AA46" i="24"/>
  <c r="X46" i="24"/>
  <c r="U46" i="24"/>
  <c r="R46" i="24"/>
  <c r="O46" i="24"/>
  <c r="I46" i="24"/>
  <c r="F46" i="24"/>
  <c r="AS45" i="24"/>
  <c r="AP45" i="24"/>
  <c r="AM45" i="24"/>
  <c r="AJ45" i="24"/>
  <c r="AG45" i="24"/>
  <c r="AD45" i="24"/>
  <c r="AA45" i="24"/>
  <c r="X45" i="24"/>
  <c r="U45" i="24"/>
  <c r="R45" i="24"/>
  <c r="O45" i="24"/>
  <c r="I45" i="24"/>
  <c r="F45" i="24"/>
  <c r="AS44" i="24"/>
  <c r="AP44" i="24"/>
  <c r="AM44" i="24"/>
  <c r="AJ44" i="24"/>
  <c r="AG44" i="24"/>
  <c r="AD44" i="24"/>
  <c r="AA44" i="24"/>
  <c r="X44" i="24"/>
  <c r="U44" i="24"/>
  <c r="R44" i="24"/>
  <c r="O44" i="24"/>
  <c r="I44" i="24"/>
  <c r="F44" i="24"/>
  <c r="AS43" i="24"/>
  <c r="AP43" i="24"/>
  <c r="AM43" i="24"/>
  <c r="AJ43" i="24"/>
  <c r="AG43" i="24"/>
  <c r="AD43" i="24"/>
  <c r="AA43" i="24"/>
  <c r="X43" i="24"/>
  <c r="U43" i="24"/>
  <c r="R43" i="24"/>
  <c r="O43" i="24"/>
  <c r="I43" i="24"/>
  <c r="F43" i="24"/>
  <c r="AS42" i="24"/>
  <c r="AP42" i="24"/>
  <c r="AM42" i="24"/>
  <c r="AJ42" i="24"/>
  <c r="AG42" i="24"/>
  <c r="AD42" i="24"/>
  <c r="AA42" i="24"/>
  <c r="X42" i="24"/>
  <c r="U42" i="24"/>
  <c r="R42" i="24"/>
  <c r="O42" i="24"/>
  <c r="I42" i="24"/>
  <c r="F42" i="24"/>
  <c r="AS41" i="24"/>
  <c r="AP41" i="24"/>
  <c r="AM41" i="24"/>
  <c r="AJ41" i="24"/>
  <c r="AG41" i="24"/>
  <c r="AD41" i="24"/>
  <c r="AA41" i="24"/>
  <c r="X41" i="24"/>
  <c r="U41" i="24"/>
  <c r="R41" i="24"/>
  <c r="O41" i="24"/>
  <c r="I41" i="24"/>
  <c r="F41" i="24"/>
  <c r="AS40" i="24"/>
  <c r="AP40" i="24"/>
  <c r="AM40" i="24"/>
  <c r="AJ40" i="24"/>
  <c r="AG40" i="24"/>
  <c r="AD40" i="24"/>
  <c r="AA40" i="24"/>
  <c r="X40" i="24"/>
  <c r="U40" i="24"/>
  <c r="R40" i="24"/>
  <c r="O40" i="24"/>
  <c r="I40" i="24"/>
  <c r="F40" i="24"/>
  <c r="AS39" i="24"/>
  <c r="AP39" i="24"/>
  <c r="AM39" i="24"/>
  <c r="AJ39" i="24"/>
  <c r="AG39" i="24"/>
  <c r="AD39" i="24"/>
  <c r="AA39" i="24"/>
  <c r="X39" i="24"/>
  <c r="U39" i="24"/>
  <c r="R39" i="24"/>
  <c r="O39" i="24"/>
  <c r="I39" i="24"/>
  <c r="F39" i="24"/>
  <c r="AS38" i="24"/>
  <c r="AP38" i="24"/>
  <c r="AM38" i="24"/>
  <c r="AJ38" i="24"/>
  <c r="AG38" i="24"/>
  <c r="AD38" i="24"/>
  <c r="AA38" i="24"/>
  <c r="X38" i="24"/>
  <c r="U38" i="24"/>
  <c r="R38" i="24"/>
  <c r="O38" i="24"/>
  <c r="I38" i="24"/>
  <c r="F38" i="24"/>
  <c r="AS37" i="24"/>
  <c r="AP37" i="24"/>
  <c r="AM37" i="24"/>
  <c r="AJ37" i="24"/>
  <c r="AG37" i="24"/>
  <c r="AD37" i="24"/>
  <c r="AA37" i="24"/>
  <c r="X37" i="24"/>
  <c r="U37" i="24"/>
  <c r="R37" i="24"/>
  <c r="O37" i="24"/>
  <c r="I37" i="24"/>
  <c r="F37" i="24"/>
  <c r="AS36" i="24"/>
  <c r="AP36" i="24"/>
  <c r="AM36" i="24"/>
  <c r="AJ36" i="24"/>
  <c r="AG36" i="24"/>
  <c r="AD36" i="24"/>
  <c r="AA36" i="24"/>
  <c r="X36" i="24"/>
  <c r="U36" i="24"/>
  <c r="R36" i="24"/>
  <c r="O36" i="24"/>
  <c r="I36" i="24"/>
  <c r="F36" i="24"/>
  <c r="AS35" i="24"/>
  <c r="AP35" i="24"/>
  <c r="AM35" i="24"/>
  <c r="AJ35" i="24"/>
  <c r="AG35" i="24"/>
  <c r="AD35" i="24"/>
  <c r="AA35" i="24"/>
  <c r="X35" i="24"/>
  <c r="U35" i="24"/>
  <c r="R35" i="24"/>
  <c r="O35" i="24"/>
  <c r="I35" i="24"/>
  <c r="F35" i="24"/>
  <c r="AS34" i="24"/>
  <c r="AP34" i="24"/>
  <c r="AM34" i="24"/>
  <c r="AJ34" i="24"/>
  <c r="AG34" i="24"/>
  <c r="AD34" i="24"/>
  <c r="AA34" i="24"/>
  <c r="X34" i="24"/>
  <c r="U34" i="24"/>
  <c r="R34" i="24"/>
  <c r="O34" i="24"/>
  <c r="I34" i="24"/>
  <c r="F34" i="24"/>
  <c r="AS33" i="24"/>
  <c r="AP33" i="24"/>
  <c r="AM33" i="24"/>
  <c r="AJ33" i="24"/>
  <c r="AG33" i="24"/>
  <c r="AD33" i="24"/>
  <c r="AA33" i="24"/>
  <c r="X33" i="24"/>
  <c r="U33" i="24"/>
  <c r="R33" i="24"/>
  <c r="O33" i="24"/>
  <c r="I33" i="24"/>
  <c r="F33" i="24"/>
  <c r="AS32" i="24"/>
  <c r="AP32" i="24"/>
  <c r="AM32" i="24"/>
  <c r="AJ32" i="24"/>
  <c r="AG32" i="24"/>
  <c r="AD32" i="24"/>
  <c r="AA32" i="24"/>
  <c r="X32" i="24"/>
  <c r="U32" i="24"/>
  <c r="R32" i="24"/>
  <c r="O32" i="24"/>
  <c r="I32" i="24"/>
  <c r="F32" i="24"/>
  <c r="AS31" i="24"/>
  <c r="AP31" i="24"/>
  <c r="AM31" i="24"/>
  <c r="AJ31" i="24"/>
  <c r="AG31" i="24"/>
  <c r="AD31" i="24"/>
  <c r="AA31" i="24"/>
  <c r="X31" i="24"/>
  <c r="U31" i="24"/>
  <c r="R31" i="24"/>
  <c r="O31" i="24"/>
  <c r="I31" i="24"/>
  <c r="F31" i="24"/>
  <c r="AS30" i="24"/>
  <c r="AP30" i="24"/>
  <c r="AM30" i="24"/>
  <c r="AJ30" i="24"/>
  <c r="AG30" i="24"/>
  <c r="AD30" i="24"/>
  <c r="AA30" i="24"/>
  <c r="X30" i="24"/>
  <c r="U30" i="24"/>
  <c r="R30" i="24"/>
  <c r="O30" i="24"/>
  <c r="I30" i="24"/>
  <c r="F30" i="24"/>
  <c r="AS29" i="24"/>
  <c r="AP29" i="24"/>
  <c r="AM29" i="24"/>
  <c r="AJ29" i="24"/>
  <c r="AG29" i="24"/>
  <c r="AD29" i="24"/>
  <c r="AA29" i="24"/>
  <c r="X29" i="24"/>
  <c r="U29" i="24"/>
  <c r="R29" i="24"/>
  <c r="O29" i="24"/>
  <c r="I29" i="24"/>
  <c r="F29" i="24"/>
  <c r="AS28" i="24"/>
  <c r="AP28" i="24"/>
  <c r="AM28" i="24"/>
  <c r="AJ28" i="24"/>
  <c r="AG28" i="24"/>
  <c r="AD28" i="24"/>
  <c r="AA28" i="24"/>
  <c r="X28" i="24"/>
  <c r="U28" i="24"/>
  <c r="R28" i="24"/>
  <c r="O28" i="24"/>
  <c r="I28" i="24"/>
  <c r="F28" i="24"/>
  <c r="AS27" i="24"/>
  <c r="AP27" i="24"/>
  <c r="AM27" i="24"/>
  <c r="AJ27" i="24"/>
  <c r="AG27" i="24"/>
  <c r="AD27" i="24"/>
  <c r="AA27" i="24"/>
  <c r="X27" i="24"/>
  <c r="U27" i="24"/>
  <c r="R27" i="24"/>
  <c r="O27" i="24"/>
  <c r="I27" i="24"/>
  <c r="F27" i="24"/>
  <c r="AS26" i="24"/>
  <c r="AP26" i="24"/>
  <c r="AM26" i="24"/>
  <c r="AJ26" i="24"/>
  <c r="AG26" i="24"/>
  <c r="AD26" i="24"/>
  <c r="AA26" i="24"/>
  <c r="X26" i="24"/>
  <c r="U26" i="24"/>
  <c r="R26" i="24"/>
  <c r="O26" i="24"/>
  <c r="I26" i="24"/>
  <c r="F26" i="24"/>
  <c r="AS25" i="24"/>
  <c r="AP25" i="24"/>
  <c r="AM25" i="24"/>
  <c r="AJ25" i="24"/>
  <c r="AG25" i="24"/>
  <c r="AD25" i="24"/>
  <c r="AA25" i="24"/>
  <c r="X25" i="24"/>
  <c r="U25" i="24"/>
  <c r="R25" i="24"/>
  <c r="O25" i="24"/>
  <c r="I25" i="24"/>
  <c r="F25" i="24"/>
  <c r="AS24" i="24"/>
  <c r="AP24" i="24"/>
  <c r="AM24" i="24"/>
  <c r="AJ24" i="24"/>
  <c r="AG24" i="24"/>
  <c r="AD24" i="24"/>
  <c r="AA24" i="24"/>
  <c r="X24" i="24"/>
  <c r="U24" i="24"/>
  <c r="R24" i="24"/>
  <c r="O24" i="24"/>
  <c r="I24" i="24"/>
  <c r="F24" i="24"/>
  <c r="AS23" i="24"/>
  <c r="AP23" i="24"/>
  <c r="AM23" i="24"/>
  <c r="AJ23" i="24"/>
  <c r="AG23" i="24"/>
  <c r="AD23" i="24"/>
  <c r="AA23" i="24"/>
  <c r="X23" i="24"/>
  <c r="U23" i="24"/>
  <c r="R23" i="24"/>
  <c r="O23" i="24"/>
  <c r="I23" i="24"/>
  <c r="F23" i="24"/>
  <c r="AS22" i="24"/>
  <c r="AP22" i="24"/>
  <c r="AM22" i="24"/>
  <c r="AJ22" i="24"/>
  <c r="AG22" i="24"/>
  <c r="AD22" i="24"/>
  <c r="AA22" i="24"/>
  <c r="X22" i="24"/>
  <c r="U22" i="24"/>
  <c r="R22" i="24"/>
  <c r="O22" i="24"/>
  <c r="I22" i="24"/>
  <c r="F22" i="24"/>
  <c r="AS21" i="24"/>
  <c r="AP21" i="24"/>
  <c r="AM21" i="24"/>
  <c r="AJ21" i="24"/>
  <c r="AG21" i="24"/>
  <c r="AD21" i="24"/>
  <c r="AA21" i="24"/>
  <c r="X21" i="24"/>
  <c r="U21" i="24"/>
  <c r="R21" i="24"/>
  <c r="O21" i="24"/>
  <c r="I21" i="24"/>
  <c r="F21" i="24"/>
  <c r="AS20" i="24"/>
  <c r="AP20" i="24"/>
  <c r="AM20" i="24"/>
  <c r="AJ20" i="24"/>
  <c r="AG20" i="24"/>
  <c r="AD20" i="24"/>
  <c r="AA20" i="24"/>
  <c r="X20" i="24"/>
  <c r="U20" i="24"/>
  <c r="R20" i="24"/>
  <c r="O20" i="24"/>
  <c r="I20" i="24"/>
  <c r="F20" i="24"/>
  <c r="AS19" i="24"/>
  <c r="AP19" i="24"/>
  <c r="AM19" i="24"/>
  <c r="AJ19" i="24"/>
  <c r="AG19" i="24"/>
  <c r="AD19" i="24"/>
  <c r="AA19" i="24"/>
  <c r="X19" i="24"/>
  <c r="U19" i="24"/>
  <c r="R19" i="24"/>
  <c r="O19" i="24"/>
  <c r="I19" i="24"/>
  <c r="F19" i="24"/>
  <c r="AS18" i="24"/>
  <c r="AP18" i="24"/>
  <c r="AM18" i="24"/>
  <c r="AJ18" i="24"/>
  <c r="AG18" i="24"/>
  <c r="AD18" i="24"/>
  <c r="AA18" i="24"/>
  <c r="X18" i="24"/>
  <c r="U18" i="24"/>
  <c r="R18" i="24"/>
  <c r="O18" i="24"/>
  <c r="I18" i="24"/>
  <c r="F18" i="24"/>
  <c r="AS17" i="24"/>
  <c r="AP17" i="24"/>
  <c r="AM17" i="24"/>
  <c r="AJ17" i="24"/>
  <c r="AG17" i="24"/>
  <c r="AD17" i="24"/>
  <c r="AA17" i="24"/>
  <c r="X17" i="24"/>
  <c r="U17" i="24"/>
  <c r="R17" i="24"/>
  <c r="O17" i="24"/>
  <c r="I17" i="24"/>
  <c r="F17" i="24"/>
  <c r="AS16" i="24"/>
  <c r="AP16" i="24"/>
  <c r="AM16" i="24"/>
  <c r="AJ16" i="24"/>
  <c r="AG16" i="24"/>
  <c r="AD16" i="24"/>
  <c r="AA16" i="24"/>
  <c r="X16" i="24"/>
  <c r="U16" i="24"/>
  <c r="R16" i="24"/>
  <c r="O16" i="24"/>
  <c r="I16" i="24"/>
  <c r="F16" i="24"/>
  <c r="AS15" i="24"/>
  <c r="AP15" i="24"/>
  <c r="AM15" i="24"/>
  <c r="AJ15" i="24"/>
  <c r="AG15" i="24"/>
  <c r="AD15" i="24"/>
  <c r="AA15" i="24"/>
  <c r="X15" i="24"/>
  <c r="U15" i="24"/>
  <c r="R15" i="24"/>
  <c r="O15" i="24"/>
  <c r="I15" i="24"/>
  <c r="F15" i="24"/>
  <c r="AS14" i="24"/>
  <c r="AP14" i="24"/>
  <c r="AM14" i="24"/>
  <c r="AJ14" i="24"/>
  <c r="AG14" i="24"/>
  <c r="AD14" i="24"/>
  <c r="AA14" i="24"/>
  <c r="X14" i="24"/>
  <c r="U14" i="24"/>
  <c r="R14" i="24"/>
  <c r="O14" i="24"/>
  <c r="I14" i="24"/>
  <c r="F14" i="24"/>
  <c r="AS13" i="24"/>
  <c r="AP13" i="24"/>
  <c r="AM13" i="24"/>
  <c r="AJ13" i="24"/>
  <c r="AG13" i="24"/>
  <c r="AD13" i="24"/>
  <c r="AA13" i="24"/>
  <c r="X13" i="24"/>
  <c r="U13" i="24"/>
  <c r="R13" i="24"/>
  <c r="O13" i="24"/>
  <c r="I13" i="24"/>
  <c r="F13" i="24"/>
  <c r="AS12" i="24"/>
  <c r="AP12" i="24"/>
  <c r="AM12" i="24"/>
  <c r="AJ12" i="24"/>
  <c r="AG12" i="24"/>
  <c r="AD12" i="24"/>
  <c r="AA12" i="24"/>
  <c r="X12" i="24"/>
  <c r="U12" i="24"/>
  <c r="R12" i="24"/>
  <c r="O12" i="24"/>
  <c r="I12" i="24"/>
  <c r="F12" i="24"/>
  <c r="AS11" i="24"/>
  <c r="AP11" i="24"/>
  <c r="AM11" i="24"/>
  <c r="AJ11" i="24"/>
  <c r="AG11" i="24"/>
  <c r="AD11" i="24"/>
  <c r="AA11" i="24"/>
  <c r="X11" i="24"/>
  <c r="U11" i="24"/>
  <c r="R11" i="24"/>
  <c r="O11" i="24"/>
  <c r="I11" i="24"/>
  <c r="F11" i="24"/>
  <c r="AS10" i="24"/>
  <c r="AP10" i="24"/>
  <c r="AM10" i="24"/>
  <c r="AJ10" i="24"/>
  <c r="AG10" i="24"/>
  <c r="AD10" i="24"/>
  <c r="AA10" i="24"/>
  <c r="X10" i="24"/>
  <c r="U10" i="24"/>
  <c r="R10" i="24"/>
  <c r="O10" i="24"/>
  <c r="I10" i="24"/>
  <c r="F10" i="24"/>
  <c r="AS9" i="24"/>
  <c r="AP9" i="24"/>
  <c r="AM9" i="24"/>
  <c r="AJ9" i="24"/>
  <c r="AG9" i="24"/>
  <c r="AD9" i="24"/>
  <c r="AA9" i="24"/>
  <c r="X9" i="24"/>
  <c r="U9" i="24"/>
  <c r="R9" i="24"/>
  <c r="O9" i="24"/>
  <c r="I9" i="24"/>
  <c r="F9" i="24"/>
  <c r="AS8" i="24"/>
  <c r="AP8" i="24"/>
  <c r="AM8" i="24"/>
  <c r="AJ8" i="24"/>
  <c r="AG8" i="24"/>
  <c r="AD8" i="24"/>
  <c r="AA8" i="24"/>
  <c r="X8" i="24"/>
  <c r="U8" i="24"/>
  <c r="R8" i="24"/>
  <c r="O8" i="24"/>
  <c r="I8" i="24"/>
  <c r="F8" i="24"/>
  <c r="AS7" i="24"/>
  <c r="AP7" i="24"/>
  <c r="AM7" i="24"/>
  <c r="AJ7" i="24"/>
  <c r="AG7" i="24"/>
  <c r="AD7" i="24"/>
  <c r="AA7" i="24"/>
  <c r="X7" i="24"/>
  <c r="U7" i="24"/>
  <c r="R7" i="24"/>
  <c r="O7" i="24"/>
  <c r="I7" i="24"/>
  <c r="F7" i="24"/>
  <c r="AS6" i="24"/>
  <c r="AP6" i="24"/>
  <c r="AM6" i="24"/>
  <c r="AJ6" i="24"/>
  <c r="AG6" i="24"/>
  <c r="AD6" i="24"/>
  <c r="AA6" i="24"/>
  <c r="X6" i="24"/>
  <c r="U6" i="24"/>
  <c r="R6" i="24"/>
  <c r="O6" i="24"/>
  <c r="I6" i="24"/>
  <c r="F6" i="24"/>
  <c r="AS5" i="24"/>
  <c r="F66" i="1" s="1"/>
  <c r="AP5" i="24"/>
  <c r="F65" i="1" s="1"/>
  <c r="F5" i="24"/>
  <c r="K4" i="96" l="1"/>
  <c r="J4" i="96"/>
  <c r="I4" i="96"/>
  <c r="H4" i="96"/>
  <c r="G4" i="96"/>
  <c r="D4" i="96"/>
  <c r="R99" i="92"/>
  <c r="Q99" i="92"/>
  <c r="R98" i="92"/>
  <c r="Q98" i="92"/>
  <c r="R97" i="92"/>
  <c r="Q97" i="92"/>
  <c r="R124" i="92"/>
  <c r="Q124" i="92"/>
  <c r="R123" i="92"/>
  <c r="Q123" i="92"/>
  <c r="R96" i="92"/>
  <c r="Q96" i="92"/>
  <c r="R95" i="92"/>
  <c r="Q95" i="92"/>
  <c r="R94" i="92"/>
  <c r="Q94" i="92"/>
  <c r="R122" i="92"/>
  <c r="Q122" i="92"/>
  <c r="R93" i="92"/>
  <c r="Q93" i="92"/>
  <c r="R92" i="92"/>
  <c r="Q92" i="92"/>
  <c r="R91" i="92"/>
  <c r="Q91" i="92"/>
  <c r="R121" i="92"/>
  <c r="Q121" i="92"/>
  <c r="R90" i="92"/>
  <c r="Q90" i="92"/>
  <c r="R89" i="92"/>
  <c r="Q89" i="92"/>
  <c r="R88" i="92"/>
  <c r="Q88" i="92"/>
  <c r="R87" i="92"/>
  <c r="Q87" i="92"/>
  <c r="R86" i="92"/>
  <c r="Q86" i="92"/>
  <c r="R85" i="92"/>
  <c r="Q85" i="92"/>
  <c r="R84" i="92"/>
  <c r="Q84" i="92"/>
  <c r="R83" i="92"/>
  <c r="Q83" i="92"/>
  <c r="R82" i="92"/>
  <c r="Q82" i="92"/>
  <c r="R81" i="92"/>
  <c r="Q81" i="92"/>
  <c r="R120" i="92"/>
  <c r="Q120" i="92"/>
  <c r="R80" i="92"/>
  <c r="Q80" i="92"/>
  <c r="R119" i="92"/>
  <c r="Q119" i="92"/>
  <c r="R79" i="92"/>
  <c r="Q79" i="92"/>
  <c r="R118" i="92"/>
  <c r="Q118" i="92"/>
  <c r="R78" i="92"/>
  <c r="Q78" i="92"/>
  <c r="R77" i="92"/>
  <c r="Q77" i="92"/>
  <c r="R76" i="92"/>
  <c r="Q76" i="92"/>
  <c r="R75" i="92"/>
  <c r="Q75" i="92"/>
  <c r="R74" i="92"/>
  <c r="Q74" i="92"/>
  <c r="R117" i="92"/>
  <c r="Q117" i="92"/>
  <c r="R73" i="92"/>
  <c r="Q73" i="92"/>
  <c r="R116" i="92"/>
  <c r="Q116" i="92"/>
  <c r="R72" i="92"/>
  <c r="Q72" i="92"/>
  <c r="R71" i="92"/>
  <c r="Q71" i="92"/>
  <c r="R70" i="92"/>
  <c r="Q70" i="92"/>
  <c r="R69" i="92"/>
  <c r="Q69" i="92"/>
  <c r="R115" i="92"/>
  <c r="Q115" i="92"/>
  <c r="R68" i="92"/>
  <c r="Q68" i="92"/>
  <c r="R67" i="92"/>
  <c r="Q67" i="92"/>
  <c r="R114" i="92"/>
  <c r="Q114" i="92"/>
  <c r="R113" i="92"/>
  <c r="Q113" i="92"/>
  <c r="R66" i="92"/>
  <c r="Q66" i="92"/>
  <c r="R65" i="92"/>
  <c r="Q65" i="92"/>
  <c r="R64" i="92"/>
  <c r="Q64" i="92"/>
  <c r="R63" i="92"/>
  <c r="Q63" i="92"/>
  <c r="R62" i="92"/>
  <c r="Q62" i="92"/>
  <c r="R61" i="92"/>
  <c r="Q61" i="92"/>
  <c r="R112" i="92"/>
  <c r="Q112" i="92"/>
  <c r="R111" i="92"/>
  <c r="Q111" i="92"/>
  <c r="R60" i="92"/>
  <c r="Q60" i="92"/>
  <c r="R110" i="92"/>
  <c r="Q110" i="92"/>
  <c r="R59" i="92"/>
  <c r="Q59" i="92"/>
  <c r="R58" i="92"/>
  <c r="Q58" i="92"/>
  <c r="R57" i="92"/>
  <c r="Q57" i="92"/>
  <c r="R56" i="92"/>
  <c r="Q56" i="92"/>
  <c r="R55" i="92"/>
  <c r="Q55" i="92"/>
  <c r="R54" i="92"/>
  <c r="Q54" i="92"/>
  <c r="R53" i="92"/>
  <c r="Q53" i="92"/>
  <c r="R52" i="92"/>
  <c r="Q52" i="92"/>
  <c r="R51" i="92"/>
  <c r="Q51" i="92"/>
  <c r="R50" i="92"/>
  <c r="Q50" i="92"/>
  <c r="R109" i="92"/>
  <c r="Q109" i="92"/>
  <c r="R49" i="92"/>
  <c r="Q49" i="92"/>
  <c r="R48" i="92"/>
  <c r="Q48" i="92"/>
  <c r="R47" i="92"/>
  <c r="Q47" i="92"/>
  <c r="R46" i="92"/>
  <c r="Q46" i="92"/>
  <c r="R108" i="92"/>
  <c r="Q108" i="92"/>
  <c r="R45" i="92"/>
  <c r="Q45" i="92"/>
  <c r="R44" i="92"/>
  <c r="Q44" i="92"/>
  <c r="R43" i="92"/>
  <c r="Q43" i="92"/>
  <c r="R42" i="92"/>
  <c r="Q42" i="92"/>
  <c r="R41" i="92"/>
  <c r="Q41" i="92"/>
  <c r="R40" i="92"/>
  <c r="Q40" i="92"/>
  <c r="R39" i="92"/>
  <c r="Q39" i="92"/>
  <c r="R107" i="92"/>
  <c r="Q107" i="92"/>
  <c r="R106" i="92"/>
  <c r="Q106" i="92"/>
  <c r="R38" i="92"/>
  <c r="Q38" i="92"/>
  <c r="R37" i="92"/>
  <c r="Q37" i="92"/>
  <c r="R105" i="92"/>
  <c r="Q105" i="92"/>
  <c r="R36" i="92"/>
  <c r="Q36" i="92"/>
  <c r="R35" i="92"/>
  <c r="Q35" i="92"/>
  <c r="R34" i="92"/>
  <c r="Q34" i="92"/>
  <c r="R33" i="92"/>
  <c r="Q33" i="92"/>
  <c r="R32" i="92"/>
  <c r="Q32" i="92"/>
  <c r="R31" i="92"/>
  <c r="Q31" i="92"/>
  <c r="R30" i="92"/>
  <c r="Q30" i="92"/>
  <c r="R104" i="92"/>
  <c r="Q104" i="92"/>
  <c r="R29" i="92"/>
  <c r="Q29" i="92"/>
  <c r="R28" i="92"/>
  <c r="Q28" i="92"/>
  <c r="R27" i="92"/>
  <c r="Q27" i="92"/>
  <c r="R26" i="92"/>
  <c r="Q26" i="92"/>
  <c r="R25" i="92"/>
  <c r="Q25" i="92"/>
  <c r="R103" i="92"/>
  <c r="Q103" i="92"/>
  <c r="R102" i="92"/>
  <c r="Q102" i="92"/>
  <c r="R24" i="92"/>
  <c r="Q24" i="92"/>
  <c r="R23" i="92"/>
  <c r="Q23" i="92"/>
  <c r="R22" i="92"/>
  <c r="Q22" i="92"/>
  <c r="R21" i="92"/>
  <c r="Q21" i="92"/>
  <c r="R20" i="92"/>
  <c r="Q20" i="92"/>
  <c r="R19" i="92"/>
  <c r="Q19" i="92"/>
  <c r="R18" i="92"/>
  <c r="Q18" i="92"/>
  <c r="R17" i="92"/>
  <c r="Q17" i="92"/>
  <c r="R101" i="92"/>
  <c r="Q101" i="92"/>
  <c r="R16" i="92"/>
  <c r="Q16" i="92"/>
  <c r="R15" i="92"/>
  <c r="Q15" i="92"/>
  <c r="R14" i="92"/>
  <c r="Q14" i="92"/>
  <c r="R13" i="92"/>
  <c r="Q13" i="92"/>
  <c r="R12" i="92"/>
  <c r="Q12" i="92"/>
  <c r="R11" i="92"/>
  <c r="Q11" i="92"/>
  <c r="R10" i="92"/>
  <c r="Q10" i="92"/>
  <c r="R9" i="92"/>
  <c r="Q9" i="92"/>
  <c r="R8" i="92"/>
  <c r="Q8" i="92"/>
  <c r="R7" i="92"/>
  <c r="Q7" i="92"/>
  <c r="R100" i="92"/>
  <c r="Q100" i="92"/>
  <c r="R6" i="92"/>
  <c r="Q6" i="92"/>
  <c r="R5" i="92"/>
  <c r="Q5" i="92"/>
  <c r="J4" i="92"/>
  <c r="I4" i="92"/>
  <c r="O4" i="92"/>
  <c r="K5" i="6"/>
  <c r="J5" i="6"/>
  <c r="L5" i="6"/>
  <c r="I5" i="6"/>
  <c r="G5" i="6"/>
  <c r="N4" i="92"/>
  <c r="M4" i="92"/>
  <c r="L4" i="92"/>
  <c r="K4" i="92"/>
  <c r="D4" i="92"/>
  <c r="S100" i="6"/>
  <c r="S99" i="6"/>
  <c r="S98" i="6"/>
  <c r="S125" i="6"/>
  <c r="S124" i="6"/>
  <c r="S97" i="6"/>
  <c r="S96" i="6"/>
  <c r="S95" i="6"/>
  <c r="S123" i="6"/>
  <c r="S94" i="6"/>
  <c r="S93" i="6"/>
  <c r="S92" i="6"/>
  <c r="S122" i="6"/>
  <c r="S91" i="6"/>
  <c r="S90" i="6"/>
  <c r="S89" i="6"/>
  <c r="S88" i="6"/>
  <c r="S87" i="6"/>
  <c r="S86" i="6"/>
  <c r="S85" i="6"/>
  <c r="S84" i="6"/>
  <c r="S83" i="6"/>
  <c r="S82" i="6"/>
  <c r="S121" i="6"/>
  <c r="S81" i="6"/>
  <c r="S120" i="6"/>
  <c r="S80" i="6"/>
  <c r="S119" i="6"/>
  <c r="S79" i="6"/>
  <c r="S78" i="6"/>
  <c r="S77" i="6"/>
  <c r="S76" i="6"/>
  <c r="S75" i="6"/>
  <c r="S118" i="6"/>
  <c r="S74" i="6"/>
  <c r="S117" i="6"/>
  <c r="S73" i="6"/>
  <c r="S72" i="6"/>
  <c r="S71" i="6"/>
  <c r="S70" i="6"/>
  <c r="S116" i="6"/>
  <c r="S69" i="6"/>
  <c r="S68" i="6"/>
  <c r="S115" i="6"/>
  <c r="S114" i="6"/>
  <c r="S67" i="6"/>
  <c r="S66" i="6"/>
  <c r="S65" i="6"/>
  <c r="S64" i="6"/>
  <c r="S63" i="6"/>
  <c r="S62" i="6"/>
  <c r="S113" i="6"/>
  <c r="S112" i="6"/>
  <c r="S61" i="6"/>
  <c r="S111" i="6"/>
  <c r="S60" i="6"/>
  <c r="S59" i="6"/>
  <c r="S58" i="6"/>
  <c r="S57" i="6"/>
  <c r="S56" i="6"/>
  <c r="S55" i="6"/>
  <c r="S54" i="6"/>
  <c r="S53" i="6"/>
  <c r="S52" i="6"/>
  <c r="S51" i="6"/>
  <c r="S110" i="6"/>
  <c r="S50" i="6"/>
  <c r="S49" i="6"/>
  <c r="S48" i="6"/>
  <c r="S47" i="6"/>
  <c r="S109" i="6"/>
  <c r="S46" i="6"/>
  <c r="S45" i="6"/>
  <c r="S44" i="6"/>
  <c r="S43" i="6"/>
  <c r="S42" i="6"/>
  <c r="S41" i="6"/>
  <c r="S40" i="6"/>
  <c r="S108" i="6"/>
  <c r="S107" i="6"/>
  <c r="S39" i="6"/>
  <c r="S38" i="6"/>
  <c r="S106" i="6"/>
  <c r="S37" i="6"/>
  <c r="S36" i="6"/>
  <c r="S35" i="6"/>
  <c r="S34" i="6"/>
  <c r="S33" i="6"/>
  <c r="S32" i="6"/>
  <c r="S31" i="6"/>
  <c r="S105" i="6"/>
  <c r="S30" i="6"/>
  <c r="S29" i="6"/>
  <c r="S28" i="6"/>
  <c r="S27" i="6"/>
  <c r="S26" i="6"/>
  <c r="S104" i="6"/>
  <c r="S103" i="6"/>
  <c r="S25" i="6"/>
  <c r="S24" i="6"/>
  <c r="S23" i="6"/>
  <c r="S22" i="6"/>
  <c r="S21" i="6"/>
  <c r="S20" i="6"/>
  <c r="S19" i="6"/>
  <c r="S18" i="6"/>
  <c r="S102" i="6"/>
  <c r="S17" i="6"/>
  <c r="S16" i="6"/>
  <c r="S15" i="6"/>
  <c r="S14" i="6"/>
  <c r="S13" i="6"/>
  <c r="S12" i="6"/>
  <c r="S11" i="6"/>
  <c r="S10" i="6"/>
  <c r="S9" i="6"/>
  <c r="S8" i="6"/>
  <c r="S101" i="6"/>
  <c r="S7" i="6"/>
  <c r="S6" i="6"/>
  <c r="R100" i="6"/>
  <c r="R99" i="6"/>
  <c r="R98" i="6"/>
  <c r="R125" i="6"/>
  <c r="R124" i="6"/>
  <c r="R97" i="6"/>
  <c r="R96" i="6"/>
  <c r="R95" i="6"/>
  <c r="R123" i="6"/>
  <c r="R94" i="6"/>
  <c r="R93" i="6"/>
  <c r="R92" i="6"/>
  <c r="R122" i="6"/>
  <c r="R91" i="6"/>
  <c r="R90" i="6"/>
  <c r="R89" i="6"/>
  <c r="R88" i="6"/>
  <c r="R87" i="6"/>
  <c r="R86" i="6"/>
  <c r="R85" i="6"/>
  <c r="R84" i="6"/>
  <c r="R83" i="6"/>
  <c r="R82" i="6"/>
  <c r="R121" i="6"/>
  <c r="R81" i="6"/>
  <c r="R120" i="6"/>
  <c r="R80" i="6"/>
  <c r="R119" i="6"/>
  <c r="R79" i="6"/>
  <c r="R78" i="6"/>
  <c r="R77" i="6"/>
  <c r="R76" i="6"/>
  <c r="R75" i="6"/>
  <c r="R118" i="6"/>
  <c r="R74" i="6"/>
  <c r="R117" i="6"/>
  <c r="R73" i="6"/>
  <c r="R72" i="6"/>
  <c r="R71" i="6"/>
  <c r="R70" i="6"/>
  <c r="R116" i="6"/>
  <c r="R69" i="6"/>
  <c r="R68" i="6"/>
  <c r="R115" i="6"/>
  <c r="R114" i="6"/>
  <c r="R67" i="6"/>
  <c r="R66" i="6"/>
  <c r="R65" i="6"/>
  <c r="R64" i="6"/>
  <c r="R63" i="6"/>
  <c r="R62" i="6"/>
  <c r="R113" i="6"/>
  <c r="R112" i="6"/>
  <c r="R61" i="6"/>
  <c r="R111" i="6"/>
  <c r="R60" i="6"/>
  <c r="R59" i="6"/>
  <c r="R58" i="6"/>
  <c r="R57" i="6"/>
  <c r="R56" i="6"/>
  <c r="R55" i="6"/>
  <c r="R54" i="6"/>
  <c r="R53" i="6"/>
  <c r="R52" i="6"/>
  <c r="R51" i="6"/>
  <c r="R110" i="6"/>
  <c r="R50" i="6"/>
  <c r="R49" i="6"/>
  <c r="R48" i="6"/>
  <c r="R47" i="6"/>
  <c r="R109" i="6"/>
  <c r="R46" i="6"/>
  <c r="R45" i="6"/>
  <c r="R44" i="6"/>
  <c r="R43" i="6"/>
  <c r="R42" i="6"/>
  <c r="R41" i="6"/>
  <c r="R40" i="6"/>
  <c r="R108" i="6"/>
  <c r="R107" i="6"/>
  <c r="R39" i="6"/>
  <c r="R38" i="6"/>
  <c r="R106" i="6"/>
  <c r="R37" i="6"/>
  <c r="R36" i="6"/>
  <c r="R35" i="6"/>
  <c r="R34" i="6"/>
  <c r="R33" i="6"/>
  <c r="R32" i="6"/>
  <c r="R31" i="6"/>
  <c r="R105" i="6"/>
  <c r="R30" i="6"/>
  <c r="R29" i="6"/>
  <c r="R28" i="6"/>
  <c r="R27" i="6"/>
  <c r="R26" i="6"/>
  <c r="R104" i="6"/>
  <c r="R103" i="6"/>
  <c r="R25" i="6"/>
  <c r="R24" i="6"/>
  <c r="R23" i="6"/>
  <c r="R22" i="6"/>
  <c r="R21" i="6"/>
  <c r="R20" i="6"/>
  <c r="R19" i="6"/>
  <c r="R18" i="6"/>
  <c r="R102" i="6"/>
  <c r="R17" i="6"/>
  <c r="R16" i="6"/>
  <c r="R15" i="6"/>
  <c r="R14" i="6"/>
  <c r="R13" i="6"/>
  <c r="R12" i="6"/>
  <c r="R11" i="6"/>
  <c r="R10" i="6"/>
  <c r="R9" i="6"/>
  <c r="R8" i="6"/>
  <c r="R101" i="6"/>
  <c r="R7" i="6"/>
  <c r="R6" i="6"/>
  <c r="F5" i="6"/>
  <c r="E5" i="6"/>
  <c r="D5" i="6"/>
  <c r="G4" i="55"/>
  <c r="G4" i="101"/>
  <c r="I2" i="101" s="1"/>
  <c r="F4" i="101"/>
  <c r="E4" i="101"/>
  <c r="D4" i="101"/>
  <c r="H4" i="62"/>
  <c r="J4" i="56"/>
  <c r="D4" i="60"/>
  <c r="E4" i="60"/>
  <c r="T5" i="79" s="1"/>
  <c r="J4" i="60"/>
  <c r="V5" i="79" s="1"/>
  <c r="O4" i="57"/>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W126" i="85"/>
  <c r="V126" i="85"/>
  <c r="U126" i="85"/>
  <c r="W125" i="85"/>
  <c r="V125" i="85"/>
  <c r="U125" i="85"/>
  <c r="W124" i="85"/>
  <c r="V124" i="85"/>
  <c r="U124" i="85"/>
  <c r="W123" i="85"/>
  <c r="V123" i="85"/>
  <c r="U123" i="85"/>
  <c r="W122" i="85"/>
  <c r="V122" i="85"/>
  <c r="U122" i="85"/>
  <c r="W121" i="85"/>
  <c r="V121" i="85"/>
  <c r="U121" i="85"/>
  <c r="W120" i="85"/>
  <c r="V120" i="85"/>
  <c r="U120" i="85"/>
  <c r="W119" i="85"/>
  <c r="V119" i="85"/>
  <c r="U119" i="85"/>
  <c r="W118" i="85"/>
  <c r="V118" i="85"/>
  <c r="U118" i="85"/>
  <c r="W117" i="85"/>
  <c r="V117" i="85"/>
  <c r="U117" i="85"/>
  <c r="W116" i="85"/>
  <c r="V116" i="85"/>
  <c r="U116" i="85"/>
  <c r="W115" i="85"/>
  <c r="V115" i="85"/>
  <c r="U115" i="85"/>
  <c r="W114" i="85"/>
  <c r="V114" i="85"/>
  <c r="U114" i="85"/>
  <c r="W113" i="85"/>
  <c r="V113" i="85"/>
  <c r="U113" i="85"/>
  <c r="W112" i="85"/>
  <c r="V112" i="85"/>
  <c r="U112" i="85"/>
  <c r="W111" i="85"/>
  <c r="V111" i="85"/>
  <c r="U111" i="85"/>
  <c r="W110" i="85"/>
  <c r="V110" i="85"/>
  <c r="U110" i="85"/>
  <c r="W109" i="85"/>
  <c r="V109" i="85"/>
  <c r="U109" i="85"/>
  <c r="W108" i="85"/>
  <c r="V108" i="85"/>
  <c r="U108" i="85"/>
  <c r="W107" i="85"/>
  <c r="V107" i="85"/>
  <c r="U107" i="85"/>
  <c r="W106" i="85"/>
  <c r="V106" i="85"/>
  <c r="U106" i="85"/>
  <c r="W105" i="85"/>
  <c r="V105" i="85"/>
  <c r="U105" i="85"/>
  <c r="W104" i="85"/>
  <c r="V104" i="85"/>
  <c r="U104" i="85"/>
  <c r="W103" i="85"/>
  <c r="V103" i="85"/>
  <c r="U103" i="85"/>
  <c r="W102" i="85"/>
  <c r="V102" i="85"/>
  <c r="U102" i="85"/>
  <c r="W101" i="85"/>
  <c r="V101" i="85"/>
  <c r="U101" i="85"/>
  <c r="W100" i="85"/>
  <c r="V100" i="85"/>
  <c r="U100" i="85"/>
  <c r="W99" i="85"/>
  <c r="V99" i="85"/>
  <c r="U99" i="85"/>
  <c r="W98" i="85"/>
  <c r="V98" i="85"/>
  <c r="U98" i="85"/>
  <c r="W97" i="85"/>
  <c r="V97" i="85"/>
  <c r="U97" i="85"/>
  <c r="W96" i="85"/>
  <c r="V96" i="85"/>
  <c r="U96" i="85"/>
  <c r="W95" i="85"/>
  <c r="V95" i="85"/>
  <c r="U95" i="85"/>
  <c r="W94" i="85"/>
  <c r="V94" i="85"/>
  <c r="U94" i="85"/>
  <c r="W93" i="85"/>
  <c r="V93" i="85"/>
  <c r="U93" i="85"/>
  <c r="W92" i="85"/>
  <c r="V92" i="85"/>
  <c r="U92" i="85"/>
  <c r="W91" i="85"/>
  <c r="V91" i="85"/>
  <c r="U91" i="85"/>
  <c r="W90" i="85"/>
  <c r="V90" i="85"/>
  <c r="U90" i="85"/>
  <c r="W89" i="85"/>
  <c r="V89" i="85"/>
  <c r="U89" i="85"/>
  <c r="W88" i="85"/>
  <c r="V88" i="85"/>
  <c r="U88" i="85"/>
  <c r="W87" i="85"/>
  <c r="V87" i="85"/>
  <c r="U87" i="85"/>
  <c r="W86" i="85"/>
  <c r="V86" i="85"/>
  <c r="U86" i="85"/>
  <c r="W85" i="85"/>
  <c r="V85" i="85"/>
  <c r="U85" i="85"/>
  <c r="W84" i="85"/>
  <c r="V84" i="85"/>
  <c r="U84" i="85"/>
  <c r="W83" i="85"/>
  <c r="V83" i="85"/>
  <c r="U83" i="85"/>
  <c r="W82" i="85"/>
  <c r="V82" i="85"/>
  <c r="U82" i="85"/>
  <c r="W81" i="85"/>
  <c r="V81" i="85"/>
  <c r="U81" i="85"/>
  <c r="W80" i="85"/>
  <c r="V80" i="85"/>
  <c r="U80" i="85"/>
  <c r="W79" i="85"/>
  <c r="V79" i="85"/>
  <c r="U79" i="85"/>
  <c r="W78" i="85"/>
  <c r="V78" i="85"/>
  <c r="U78" i="85"/>
  <c r="W77" i="85"/>
  <c r="V77" i="85"/>
  <c r="U77" i="85"/>
  <c r="W76" i="85"/>
  <c r="V76" i="85"/>
  <c r="U76" i="85"/>
  <c r="W75" i="85"/>
  <c r="V75" i="85"/>
  <c r="U75" i="85"/>
  <c r="W74" i="85"/>
  <c r="V74" i="85"/>
  <c r="U74" i="85"/>
  <c r="W73" i="85"/>
  <c r="V73" i="85"/>
  <c r="U73" i="85"/>
  <c r="W72" i="85"/>
  <c r="V72" i="85"/>
  <c r="U72" i="85"/>
  <c r="W71" i="85"/>
  <c r="V71" i="85"/>
  <c r="U71" i="85"/>
  <c r="W70" i="85"/>
  <c r="V70" i="85"/>
  <c r="U70" i="85"/>
  <c r="W69" i="85"/>
  <c r="V69" i="85"/>
  <c r="U69" i="85"/>
  <c r="W68" i="85"/>
  <c r="V68" i="85"/>
  <c r="U68" i="85"/>
  <c r="W67" i="85"/>
  <c r="V67" i="85"/>
  <c r="U67" i="85"/>
  <c r="W66" i="85"/>
  <c r="V66" i="85"/>
  <c r="U66" i="85"/>
  <c r="W65" i="85"/>
  <c r="V65" i="85"/>
  <c r="U65" i="85"/>
  <c r="W64" i="85"/>
  <c r="V64" i="85"/>
  <c r="U64" i="85"/>
  <c r="W63" i="85"/>
  <c r="V63" i="85"/>
  <c r="U63" i="85"/>
  <c r="W62" i="85"/>
  <c r="V62" i="85"/>
  <c r="U62" i="85"/>
  <c r="W61" i="85"/>
  <c r="V61" i="85"/>
  <c r="U61" i="85"/>
  <c r="W60" i="85"/>
  <c r="V60" i="85"/>
  <c r="U60" i="85"/>
  <c r="W59" i="85"/>
  <c r="V59" i="85"/>
  <c r="U59" i="85"/>
  <c r="W58" i="85"/>
  <c r="V58" i="85"/>
  <c r="U58" i="85"/>
  <c r="W57" i="85"/>
  <c r="V57" i="85"/>
  <c r="U57" i="85"/>
  <c r="W56" i="85"/>
  <c r="V56" i="85"/>
  <c r="U56" i="85"/>
  <c r="W55" i="85"/>
  <c r="V55" i="85"/>
  <c r="U55" i="85"/>
  <c r="W54" i="85"/>
  <c r="V54" i="85"/>
  <c r="U54" i="85"/>
  <c r="W53" i="85"/>
  <c r="V53" i="85"/>
  <c r="U53" i="85"/>
  <c r="W52" i="85"/>
  <c r="V52" i="85"/>
  <c r="U52" i="85"/>
  <c r="W51" i="85"/>
  <c r="V51" i="85"/>
  <c r="U51" i="85"/>
  <c r="W50" i="85"/>
  <c r="V50" i="85"/>
  <c r="U50" i="85"/>
  <c r="W49" i="85"/>
  <c r="V49" i="85"/>
  <c r="U49" i="85"/>
  <c r="W48" i="85"/>
  <c r="V48" i="85"/>
  <c r="U48" i="85"/>
  <c r="W47" i="85"/>
  <c r="V47" i="85"/>
  <c r="U47" i="85"/>
  <c r="W46" i="85"/>
  <c r="V46" i="85"/>
  <c r="U46" i="85"/>
  <c r="W45" i="85"/>
  <c r="V45" i="85"/>
  <c r="U45" i="85"/>
  <c r="W44" i="85"/>
  <c r="V44" i="85"/>
  <c r="U44" i="85"/>
  <c r="W43" i="85"/>
  <c r="V43" i="85"/>
  <c r="U43" i="85"/>
  <c r="W42" i="85"/>
  <c r="V42" i="85"/>
  <c r="U42" i="85"/>
  <c r="W41" i="85"/>
  <c r="V41" i="85"/>
  <c r="U41" i="85"/>
  <c r="W40" i="85"/>
  <c r="V40" i="85"/>
  <c r="U40" i="85"/>
  <c r="W39" i="85"/>
  <c r="V39" i="85"/>
  <c r="U39" i="85"/>
  <c r="W38" i="85"/>
  <c r="V38" i="85"/>
  <c r="U38" i="85"/>
  <c r="W37" i="85"/>
  <c r="V37" i="85"/>
  <c r="U37" i="85"/>
  <c r="W36" i="85"/>
  <c r="V36" i="85"/>
  <c r="U36" i="85"/>
  <c r="W35" i="85"/>
  <c r="V35" i="85"/>
  <c r="U35" i="85"/>
  <c r="W34" i="85"/>
  <c r="V34" i="85"/>
  <c r="U34" i="85"/>
  <c r="W33" i="85"/>
  <c r="V33" i="85"/>
  <c r="U33" i="85"/>
  <c r="W32" i="85"/>
  <c r="V32" i="85"/>
  <c r="U32" i="85"/>
  <c r="W31" i="85"/>
  <c r="V31" i="85"/>
  <c r="U31" i="85"/>
  <c r="W30" i="85"/>
  <c r="V30" i="85"/>
  <c r="U30" i="85"/>
  <c r="W29" i="85"/>
  <c r="V29" i="85"/>
  <c r="U29" i="85"/>
  <c r="W28" i="85"/>
  <c r="V28" i="85"/>
  <c r="U28" i="85"/>
  <c r="W27" i="85"/>
  <c r="V27" i="85"/>
  <c r="U27" i="85"/>
  <c r="W26" i="85"/>
  <c r="V26" i="85"/>
  <c r="U26" i="85"/>
  <c r="W25" i="85"/>
  <c r="V25" i="85"/>
  <c r="U25" i="85"/>
  <c r="W24" i="85"/>
  <c r="V24" i="85"/>
  <c r="U24" i="85"/>
  <c r="W23" i="85"/>
  <c r="V23" i="85"/>
  <c r="U23" i="85"/>
  <c r="W22" i="85"/>
  <c r="V22" i="85"/>
  <c r="U22" i="85"/>
  <c r="W21" i="85"/>
  <c r="V21" i="85"/>
  <c r="U21" i="85"/>
  <c r="W20" i="85"/>
  <c r="V20" i="85"/>
  <c r="U20" i="85"/>
  <c r="W19" i="85"/>
  <c r="V19" i="85"/>
  <c r="U19" i="85"/>
  <c r="W18" i="85"/>
  <c r="V18" i="85"/>
  <c r="U18" i="85"/>
  <c r="W17" i="85"/>
  <c r="V17" i="85"/>
  <c r="U17" i="85"/>
  <c r="W16" i="85"/>
  <c r="V16" i="85"/>
  <c r="U16" i="85"/>
  <c r="W15" i="85"/>
  <c r="V15" i="85"/>
  <c r="U15" i="85"/>
  <c r="W14" i="85"/>
  <c r="V14" i="85"/>
  <c r="U14" i="85"/>
  <c r="W13" i="85"/>
  <c r="V13" i="85"/>
  <c r="U13" i="85"/>
  <c r="W12" i="85"/>
  <c r="V12" i="85"/>
  <c r="U12" i="85"/>
  <c r="W11" i="85"/>
  <c r="V11" i="85"/>
  <c r="U11" i="85"/>
  <c r="W10" i="85"/>
  <c r="V10" i="85"/>
  <c r="U10" i="85"/>
  <c r="W9" i="85"/>
  <c r="V9" i="85"/>
  <c r="U9" i="85"/>
  <c r="W8" i="85"/>
  <c r="V8" i="85"/>
  <c r="U8" i="85"/>
  <c r="W7" i="85"/>
  <c r="V7" i="85"/>
  <c r="U7" i="85"/>
  <c r="F4" i="96"/>
  <c r="E4" i="96"/>
  <c r="J5" i="91"/>
  <c r="I5" i="91"/>
  <c r="F5" i="91"/>
  <c r="E5" i="91"/>
  <c r="D5" i="91"/>
  <c r="F124" i="57"/>
  <c r="E124" i="57"/>
  <c r="F123" i="57"/>
  <c r="E123" i="57"/>
  <c r="F122" i="57"/>
  <c r="E122" i="57"/>
  <c r="F121" i="57"/>
  <c r="E121" i="57"/>
  <c r="F120" i="57"/>
  <c r="E120" i="57"/>
  <c r="F119" i="57"/>
  <c r="E119" i="57"/>
  <c r="F118" i="57"/>
  <c r="E118" i="57"/>
  <c r="F117" i="57"/>
  <c r="E117" i="57"/>
  <c r="F116" i="57"/>
  <c r="E117" i="118" s="1"/>
  <c r="E116" i="57"/>
  <c r="D117" i="118" s="1"/>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100" i="118" s="1"/>
  <c r="E99" i="57"/>
  <c r="F98" i="57"/>
  <c r="E98" i="57"/>
  <c r="F97" i="57"/>
  <c r="E97" i="57"/>
  <c r="F96" i="57"/>
  <c r="E96" i="57"/>
  <c r="F95" i="57"/>
  <c r="E95" i="57"/>
  <c r="F94" i="57"/>
  <c r="E94" i="57"/>
  <c r="F93" i="57"/>
  <c r="E93" i="57"/>
  <c r="F92" i="57"/>
  <c r="E92" i="57"/>
  <c r="F91" i="57"/>
  <c r="E92" i="118" s="1"/>
  <c r="E91" i="57"/>
  <c r="D92" i="118" s="1"/>
  <c r="F90" i="57"/>
  <c r="E90" i="57"/>
  <c r="F89" i="57"/>
  <c r="E89" i="57"/>
  <c r="F88" i="57"/>
  <c r="E88" i="57"/>
  <c r="F87" i="57"/>
  <c r="E87" i="57"/>
  <c r="F86" i="57"/>
  <c r="E86" i="57"/>
  <c r="F85" i="57"/>
  <c r="E85" i="57"/>
  <c r="F84" i="57"/>
  <c r="E84" i="57"/>
  <c r="F83" i="57"/>
  <c r="E83" i="57"/>
  <c r="F82" i="57"/>
  <c r="E82" i="57"/>
  <c r="F81" i="57"/>
  <c r="E81" i="57"/>
  <c r="F80" i="57"/>
  <c r="E80" i="57"/>
  <c r="F79" i="57"/>
  <c r="E79" i="57"/>
  <c r="F78" i="57"/>
  <c r="E78" i="57"/>
  <c r="F77" i="57"/>
  <c r="E77" i="57"/>
  <c r="F76" i="57"/>
  <c r="E76" i="57"/>
  <c r="F75" i="57"/>
  <c r="E75" i="57"/>
  <c r="F74" i="57"/>
  <c r="E74" i="57"/>
  <c r="F73" i="57"/>
  <c r="E73" i="57"/>
  <c r="F72" i="57"/>
  <c r="E72" i="57"/>
  <c r="F71" i="57"/>
  <c r="E71" i="57"/>
  <c r="F70" i="57"/>
  <c r="E71" i="118" s="1"/>
  <c r="E70" i="57"/>
  <c r="D71" i="118" s="1"/>
  <c r="F69" i="57"/>
  <c r="E69" i="57"/>
  <c r="F68" i="57"/>
  <c r="E68" i="57"/>
  <c r="F67" i="57"/>
  <c r="E67" i="57"/>
  <c r="F66" i="57"/>
  <c r="E66" i="57"/>
  <c r="F65" i="57"/>
  <c r="E65" i="57"/>
  <c r="F64" i="57"/>
  <c r="E64" i="57"/>
  <c r="F63" i="57"/>
  <c r="E63" i="57"/>
  <c r="F62" i="57"/>
  <c r="E62" i="57"/>
  <c r="F61" i="57"/>
  <c r="E61" i="57"/>
  <c r="F60" i="57"/>
  <c r="E60" i="57"/>
  <c r="F59" i="57"/>
  <c r="E60" i="118" s="1"/>
  <c r="E59" i="57"/>
  <c r="D60" i="118" s="1"/>
  <c r="F58" i="57"/>
  <c r="E58" i="57"/>
  <c r="F57" i="57"/>
  <c r="E57" i="57"/>
  <c r="F56" i="57"/>
  <c r="E56" i="57"/>
  <c r="F55" i="57"/>
  <c r="E55" i="57"/>
  <c r="F54" i="57"/>
  <c r="E55" i="118" s="1"/>
  <c r="E54" i="57"/>
  <c r="D55" i="118" s="1"/>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38" i="57"/>
  <c r="E38" i="57"/>
  <c r="F37" i="57"/>
  <c r="E37" i="57"/>
  <c r="F36" i="57"/>
  <c r="E36" i="57"/>
  <c r="F35" i="57"/>
  <c r="E35" i="57"/>
  <c r="F34" i="57"/>
  <c r="E35" i="118" s="1"/>
  <c r="E34" i="57"/>
  <c r="D35" i="118" s="1"/>
  <c r="F33" i="57"/>
  <c r="E33" i="57"/>
  <c r="F32" i="57"/>
  <c r="E32" i="57"/>
  <c r="F31" i="57"/>
  <c r="E31" i="57"/>
  <c r="F30" i="57"/>
  <c r="E30" i="57"/>
  <c r="F29" i="57"/>
  <c r="E29" i="57"/>
  <c r="F28" i="57"/>
  <c r="E28" i="57"/>
  <c r="F27" i="57"/>
  <c r="E27" i="57"/>
  <c r="F26" i="57"/>
  <c r="E26" i="57"/>
  <c r="F25" i="57"/>
  <c r="E25" i="57"/>
  <c r="F24" i="57"/>
  <c r="E24" i="57"/>
  <c r="F23" i="57"/>
  <c r="E23" i="57"/>
  <c r="F22" i="57"/>
  <c r="E22" i="57"/>
  <c r="F21" i="57"/>
  <c r="E21" i="57"/>
  <c r="F20" i="57"/>
  <c r="E20" i="57"/>
  <c r="F19" i="57"/>
  <c r="E19" i="57"/>
  <c r="F18" i="57"/>
  <c r="E18" i="57"/>
  <c r="F17" i="57"/>
  <c r="E17" i="57"/>
  <c r="F16" i="57"/>
  <c r="E16" i="57"/>
  <c r="F15" i="57"/>
  <c r="E15" i="57"/>
  <c r="F14" i="57"/>
  <c r="E14" i="57"/>
  <c r="F13" i="57"/>
  <c r="E13" i="57"/>
  <c r="F12" i="57"/>
  <c r="E12" i="57"/>
  <c r="F11" i="57"/>
  <c r="E11" i="57"/>
  <c r="F10" i="57"/>
  <c r="E10" i="57"/>
  <c r="F9" i="57"/>
  <c r="E9" i="57"/>
  <c r="F8" i="57"/>
  <c r="E8" i="57"/>
  <c r="F7" i="57"/>
  <c r="E7" i="57"/>
  <c r="F6" i="57"/>
  <c r="E7" i="118" s="1"/>
  <c r="E6" i="57"/>
  <c r="D7" i="118" s="1"/>
  <c r="F5" i="57"/>
  <c r="E5" i="57"/>
  <c r="D2" i="4"/>
  <c r="E2" i="4" s="1"/>
  <c r="L132" i="73"/>
  <c r="S131" i="109" s="1"/>
  <c r="M131" i="73"/>
  <c r="L131" i="73"/>
  <c r="S130" i="109" s="1"/>
  <c r="M130" i="73"/>
  <c r="L130" i="73"/>
  <c r="S129" i="109" s="1"/>
  <c r="M129" i="73"/>
  <c r="L129" i="73"/>
  <c r="S128" i="109" s="1"/>
  <c r="M128" i="73"/>
  <c r="L128" i="73"/>
  <c r="S127" i="109" s="1"/>
  <c r="O126" i="73"/>
  <c r="N126" i="73"/>
  <c r="M126" i="73"/>
  <c r="L126" i="73"/>
  <c r="O125" i="73"/>
  <c r="N125" i="73"/>
  <c r="M125" i="73"/>
  <c r="L125" i="73"/>
  <c r="O124" i="73"/>
  <c r="N124" i="73"/>
  <c r="M124" i="73"/>
  <c r="L124" i="73"/>
  <c r="O123" i="73"/>
  <c r="N123" i="73"/>
  <c r="M123" i="73"/>
  <c r="L123" i="73"/>
  <c r="S122" i="109" s="1"/>
  <c r="O122" i="73"/>
  <c r="N122" i="73"/>
  <c r="M122" i="73"/>
  <c r="L122" i="73"/>
  <c r="S121" i="109" s="1"/>
  <c r="O121" i="73"/>
  <c r="N121" i="73"/>
  <c r="M121" i="73"/>
  <c r="L121" i="73"/>
  <c r="O120" i="73"/>
  <c r="N120" i="73"/>
  <c r="M120" i="73"/>
  <c r="L120" i="73"/>
  <c r="O119" i="73"/>
  <c r="N119" i="73"/>
  <c r="M119" i="73"/>
  <c r="L119" i="73"/>
  <c r="O118" i="73"/>
  <c r="N118" i="73"/>
  <c r="M118" i="73"/>
  <c r="L118" i="73"/>
  <c r="S117" i="109" s="1"/>
  <c r="O117" i="73"/>
  <c r="N117" i="73"/>
  <c r="M117" i="73"/>
  <c r="L117" i="73"/>
  <c r="O116" i="73"/>
  <c r="N116" i="73"/>
  <c r="M116" i="73"/>
  <c r="L116" i="73"/>
  <c r="O115" i="73"/>
  <c r="N115" i="73"/>
  <c r="M115" i="73"/>
  <c r="L115" i="73"/>
  <c r="O114" i="73"/>
  <c r="N114" i="73"/>
  <c r="M114" i="73"/>
  <c r="L114" i="73"/>
  <c r="S113" i="109" s="1"/>
  <c r="O113" i="73"/>
  <c r="N113" i="73"/>
  <c r="M113" i="73"/>
  <c r="L113" i="73"/>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S102" i="109" s="1"/>
  <c r="O102" i="73"/>
  <c r="N102" i="73"/>
  <c r="M102" i="73"/>
  <c r="L102" i="73"/>
  <c r="O101" i="73"/>
  <c r="N101" i="73"/>
  <c r="M101" i="73"/>
  <c r="L101" i="73"/>
  <c r="S100" i="109" s="1"/>
  <c r="O100" i="73"/>
  <c r="N100" i="73"/>
  <c r="M100" i="73"/>
  <c r="L100" i="73"/>
  <c r="O99" i="73"/>
  <c r="N99" i="73"/>
  <c r="M99" i="73"/>
  <c r="L99" i="73"/>
  <c r="S98" i="109" s="1"/>
  <c r="O98" i="73"/>
  <c r="N98" i="73"/>
  <c r="M98" i="73"/>
  <c r="L98" i="73"/>
  <c r="O97" i="73"/>
  <c r="N97" i="73"/>
  <c r="M97" i="73"/>
  <c r="L97" i="73"/>
  <c r="O96" i="73"/>
  <c r="N96" i="73"/>
  <c r="M96" i="73"/>
  <c r="L96" i="73"/>
  <c r="O95" i="73"/>
  <c r="N95" i="73"/>
  <c r="M95" i="73"/>
  <c r="L95" i="73"/>
  <c r="O94" i="73"/>
  <c r="N94" i="73"/>
  <c r="M94" i="73"/>
  <c r="L94" i="73"/>
  <c r="O93" i="73"/>
  <c r="N93" i="73"/>
  <c r="M93" i="73"/>
  <c r="L93" i="73"/>
  <c r="S92" i="109" s="1"/>
  <c r="O92" i="73"/>
  <c r="N92" i="73"/>
  <c r="M92" i="73"/>
  <c r="L92" i="73"/>
  <c r="O91" i="73"/>
  <c r="N91" i="73"/>
  <c r="M91" i="73"/>
  <c r="L91" i="73"/>
  <c r="S90" i="109" s="1"/>
  <c r="O90" i="73"/>
  <c r="N90" i="73"/>
  <c r="M90" i="73"/>
  <c r="L90" i="73"/>
  <c r="O89" i="73"/>
  <c r="N89" i="73"/>
  <c r="M89" i="73"/>
  <c r="L89" i="73"/>
  <c r="O88" i="73"/>
  <c r="N88" i="73"/>
  <c r="M88" i="73"/>
  <c r="L88" i="73"/>
  <c r="O87" i="73"/>
  <c r="N87" i="73"/>
  <c r="M87" i="73"/>
  <c r="L87" i="73"/>
  <c r="O86" i="73"/>
  <c r="N86" i="73"/>
  <c r="M86" i="73"/>
  <c r="L86" i="73"/>
  <c r="S85" i="109" s="1"/>
  <c r="O85" i="73"/>
  <c r="N85" i="73"/>
  <c r="M85" i="73"/>
  <c r="L85" i="73"/>
  <c r="O84" i="73"/>
  <c r="N84" i="73"/>
  <c r="M84" i="73"/>
  <c r="L84" i="73"/>
  <c r="O83" i="73"/>
  <c r="N83" i="73"/>
  <c r="M83" i="73"/>
  <c r="L83" i="73"/>
  <c r="S82" i="109" s="1"/>
  <c r="O82" i="73"/>
  <c r="N82" i="73"/>
  <c r="M82" i="73"/>
  <c r="L82" i="73"/>
  <c r="S8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S74" i="109" s="1"/>
  <c r="O74" i="73"/>
  <c r="N74" i="73"/>
  <c r="M74" i="73"/>
  <c r="L74" i="73"/>
  <c r="S73" i="109" s="1"/>
  <c r="O73" i="73"/>
  <c r="N73" i="73"/>
  <c r="M73" i="73"/>
  <c r="L73" i="73"/>
  <c r="O72" i="73"/>
  <c r="N72" i="73"/>
  <c r="M72" i="73"/>
  <c r="L72" i="73"/>
  <c r="S71"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S60" i="109" s="1"/>
  <c r="O60" i="73"/>
  <c r="N60" i="73"/>
  <c r="M60" i="73"/>
  <c r="L60" i="73"/>
  <c r="O59" i="73"/>
  <c r="N59" i="73"/>
  <c r="M59" i="73"/>
  <c r="L59" i="73"/>
  <c r="O58" i="73"/>
  <c r="N58" i="73"/>
  <c r="M58" i="73"/>
  <c r="L58" i="73"/>
  <c r="O57" i="73"/>
  <c r="N57" i="73"/>
  <c r="M57" i="73"/>
  <c r="L57" i="73"/>
  <c r="O56" i="73"/>
  <c r="N56" i="73"/>
  <c r="M56" i="73"/>
  <c r="L56" i="73"/>
  <c r="S5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S47" i="109" s="1"/>
  <c r="O47" i="73"/>
  <c r="N47" i="73"/>
  <c r="M47" i="73"/>
  <c r="L47" i="73"/>
  <c r="S46" i="109" s="1"/>
  <c r="O46" i="73"/>
  <c r="N46" i="73"/>
  <c r="M46" i="73"/>
  <c r="L46" i="73"/>
  <c r="O45" i="73"/>
  <c r="N45" i="73"/>
  <c r="M45" i="73"/>
  <c r="L45" i="73"/>
  <c r="O44" i="73"/>
  <c r="N44" i="73"/>
  <c r="M44" i="73"/>
  <c r="L44" i="73"/>
  <c r="S43"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S35" i="109" s="1"/>
  <c r="O35" i="73"/>
  <c r="N35" i="73"/>
  <c r="M35" i="73"/>
  <c r="L35" i="73"/>
  <c r="O34" i="73"/>
  <c r="N34" i="73"/>
  <c r="M34" i="73"/>
  <c r="L34" i="73"/>
  <c r="O33" i="73"/>
  <c r="N33" i="73"/>
  <c r="M33" i="73"/>
  <c r="L33" i="73"/>
  <c r="O32" i="73"/>
  <c r="N32" i="73"/>
  <c r="M32" i="73"/>
  <c r="L32" i="73"/>
  <c r="O31" i="73"/>
  <c r="N31" i="73"/>
  <c r="M31" i="73"/>
  <c r="L31" i="73"/>
  <c r="O30" i="73"/>
  <c r="N30" i="73"/>
  <c r="M30" i="73"/>
  <c r="L30" i="73"/>
  <c r="S29" i="109" s="1"/>
  <c r="O29" i="73"/>
  <c r="N29" i="73"/>
  <c r="M29" i="73"/>
  <c r="L29" i="73"/>
  <c r="S28"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S19"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S8" i="109" s="1"/>
  <c r="O8" i="73"/>
  <c r="N8" i="73"/>
  <c r="M8" i="73"/>
  <c r="L8" i="73"/>
  <c r="S7" i="109" s="1"/>
  <c r="O7" i="73"/>
  <c r="N7" i="73"/>
  <c r="M7" i="73"/>
  <c r="L7" i="73"/>
  <c r="S6" i="109" s="1"/>
  <c r="B18" i="108" s="1"/>
  <c r="O6" i="73"/>
  <c r="N6" i="73"/>
  <c r="M6" i="73"/>
  <c r="L6" i="73"/>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E4" i="59"/>
  <c r="D4" i="59"/>
  <c r="D18" i="123"/>
  <c r="E4" i="58"/>
  <c r="D4" i="58"/>
  <c r="H15" i="123" s="1"/>
  <c r="N4" i="57"/>
  <c r="M4" i="57"/>
  <c r="L4" i="57"/>
  <c r="J4" i="57"/>
  <c r="I4" i="57"/>
  <c r="H4" i="57"/>
  <c r="AI4" i="86"/>
  <c r="D126" i="68"/>
  <c r="D125" i="68"/>
  <c r="C57" i="1"/>
  <c r="C25" i="1"/>
  <c r="D7" i="1"/>
  <c r="H4" i="60"/>
  <c r="J4" i="55"/>
  <c r="D8" i="118" l="1"/>
  <c r="N8" i="79" s="1"/>
  <c r="X8" i="79" s="1"/>
  <c r="D10" i="118"/>
  <c r="D12" i="118"/>
  <c r="N12" i="79" s="1"/>
  <c r="X12" i="79" s="1"/>
  <c r="D14" i="118"/>
  <c r="D16" i="118"/>
  <c r="N16" i="79" s="1"/>
  <c r="X16" i="79" s="1"/>
  <c r="D18" i="118"/>
  <c r="N18" i="79" s="1"/>
  <c r="X18" i="79" s="1"/>
  <c r="D28" i="118"/>
  <c r="D36" i="118"/>
  <c r="N36" i="79" s="1"/>
  <c r="X36" i="79" s="1"/>
  <c r="D38" i="118"/>
  <c r="N38" i="79" s="1"/>
  <c r="X38" i="79" s="1"/>
  <c r="D40" i="118"/>
  <c r="D42" i="118"/>
  <c r="D46" i="118"/>
  <c r="N46" i="79" s="1"/>
  <c r="X46" i="79" s="1"/>
  <c r="D56" i="118"/>
  <c r="N56" i="79" s="1"/>
  <c r="X56" i="79" s="1"/>
  <c r="D58" i="118"/>
  <c r="N58" i="79" s="1"/>
  <c r="X58" i="79" s="1"/>
  <c r="D72" i="118"/>
  <c r="D74" i="118"/>
  <c r="N74" i="79" s="1"/>
  <c r="X74" i="79" s="1"/>
  <c r="D76" i="118"/>
  <c r="D78" i="118"/>
  <c r="D80" i="118"/>
  <c r="D82" i="118"/>
  <c r="D84" i="118"/>
  <c r="D90" i="118"/>
  <c r="N90" i="79" s="1"/>
  <c r="X90" i="79" s="1"/>
  <c r="D98" i="118"/>
  <c r="N98" i="79" s="1"/>
  <c r="X98" i="79" s="1"/>
  <c r="D102" i="118"/>
  <c r="N102" i="79" s="1"/>
  <c r="X102" i="79" s="1"/>
  <c r="D122" i="118"/>
  <c r="D6" i="118"/>
  <c r="J261" i="1"/>
  <c r="J260" i="1" s="1"/>
  <c r="E6" i="118"/>
  <c r="O6" i="79" s="1"/>
  <c r="Y6" i="79" s="1"/>
  <c r="K261" i="1"/>
  <c r="E8" i="118"/>
  <c r="E28" i="118"/>
  <c r="E46" i="118"/>
  <c r="E74" i="118"/>
  <c r="E82" i="118"/>
  <c r="E90" i="118"/>
  <c r="O90" i="79" s="1"/>
  <c r="Y90" i="79" s="1"/>
  <c r="E98" i="118"/>
  <c r="O98" i="79" s="1"/>
  <c r="Y98" i="79" s="1"/>
  <c r="E102" i="118"/>
  <c r="O102" i="79" s="1"/>
  <c r="Y102" i="79" s="1"/>
  <c r="E122" i="118"/>
  <c r="O122" i="79" s="1"/>
  <c r="Y122" i="79" s="1"/>
  <c r="E9" i="118"/>
  <c r="O9" i="79" s="1"/>
  <c r="Y9" i="79" s="1"/>
  <c r="E11" i="118"/>
  <c r="O11" i="79" s="1"/>
  <c r="Y11" i="79" s="1"/>
  <c r="E13" i="118"/>
  <c r="O13" i="79" s="1"/>
  <c r="Y13" i="79" s="1"/>
  <c r="E15" i="118"/>
  <c r="O15" i="79" s="1"/>
  <c r="Y15" i="79" s="1"/>
  <c r="E17" i="118"/>
  <c r="O17" i="79" s="1"/>
  <c r="Y17" i="79" s="1"/>
  <c r="E19" i="118"/>
  <c r="O19" i="79" s="1"/>
  <c r="Y19" i="79" s="1"/>
  <c r="E29" i="118"/>
  <c r="O29" i="79" s="1"/>
  <c r="Y29" i="79" s="1"/>
  <c r="E43" i="118"/>
  <c r="O43" i="79" s="1"/>
  <c r="Y43" i="79" s="1"/>
  <c r="E47" i="118"/>
  <c r="O47" i="79" s="1"/>
  <c r="Y47" i="79" s="1"/>
  <c r="E73" i="118"/>
  <c r="O73" i="79" s="1"/>
  <c r="Y73" i="79" s="1"/>
  <c r="E81" i="118"/>
  <c r="O81" i="79" s="1"/>
  <c r="Y81" i="79" s="1"/>
  <c r="E85" i="118"/>
  <c r="O85" i="79" s="1"/>
  <c r="Y85" i="79" s="1"/>
  <c r="E113" i="118"/>
  <c r="O113" i="79" s="1"/>
  <c r="Y113" i="79" s="1"/>
  <c r="E121" i="118"/>
  <c r="O121" i="79" s="1"/>
  <c r="Y121" i="79" s="1"/>
  <c r="D30" i="118"/>
  <c r="N30" i="79" s="1"/>
  <c r="X30" i="79" s="1"/>
  <c r="D104" i="118"/>
  <c r="D106" i="118"/>
  <c r="D108" i="118"/>
  <c r="D110" i="118"/>
  <c r="D112" i="118"/>
  <c r="D118" i="118"/>
  <c r="N118" i="79" s="1"/>
  <c r="X118" i="79" s="1"/>
  <c r="D120" i="118"/>
  <c r="N120" i="79" s="1"/>
  <c r="X120" i="79" s="1"/>
  <c r="D124" i="118"/>
  <c r="D100" i="118"/>
  <c r="H100" i="118" s="1"/>
  <c r="D48" i="118"/>
  <c r="N48" i="79" s="1"/>
  <c r="X48" i="79" s="1"/>
  <c r="D54" i="118"/>
  <c r="D68" i="118"/>
  <c r="N68" i="79" s="1"/>
  <c r="X68" i="79" s="1"/>
  <c r="D86" i="118"/>
  <c r="D114" i="118"/>
  <c r="N114" i="79" s="1"/>
  <c r="X114" i="79" s="1"/>
  <c r="E21" i="118"/>
  <c r="O21" i="79" s="1"/>
  <c r="Y21" i="79" s="1"/>
  <c r="E23" i="118"/>
  <c r="O23" i="79" s="1"/>
  <c r="Y23" i="79" s="1"/>
  <c r="E25" i="118"/>
  <c r="O25" i="79" s="1"/>
  <c r="Y25" i="79" s="1"/>
  <c r="E27" i="118"/>
  <c r="O27" i="79" s="1"/>
  <c r="Y27" i="79" s="1"/>
  <c r="E31" i="118"/>
  <c r="O31" i="79" s="1"/>
  <c r="Y31" i="79" s="1"/>
  <c r="E33" i="118"/>
  <c r="O33" i="79" s="1"/>
  <c r="Y33" i="79" s="1"/>
  <c r="E37" i="118"/>
  <c r="O37" i="79" s="1"/>
  <c r="Y37" i="79" s="1"/>
  <c r="E39" i="118"/>
  <c r="O39" i="79" s="1"/>
  <c r="Y39" i="79" s="1"/>
  <c r="E41" i="118"/>
  <c r="O41" i="79" s="1"/>
  <c r="Y41" i="79" s="1"/>
  <c r="E45" i="118"/>
  <c r="O45" i="79" s="1"/>
  <c r="Y45" i="79" s="1"/>
  <c r="E49" i="118"/>
  <c r="O49" i="79" s="1"/>
  <c r="Y49" i="79" s="1"/>
  <c r="E51" i="118"/>
  <c r="O51" i="79" s="1"/>
  <c r="Y51" i="79" s="1"/>
  <c r="E53" i="118"/>
  <c r="O53" i="79" s="1"/>
  <c r="Y53" i="79" s="1"/>
  <c r="E57" i="118"/>
  <c r="O57" i="79" s="1"/>
  <c r="Y57" i="79" s="1"/>
  <c r="E59" i="118"/>
  <c r="O59" i="79" s="1"/>
  <c r="Y59" i="79" s="1"/>
  <c r="E61" i="118"/>
  <c r="O61" i="79" s="1"/>
  <c r="Y61" i="79" s="1"/>
  <c r="E63" i="118"/>
  <c r="O63" i="79" s="1"/>
  <c r="Y63" i="79" s="1"/>
  <c r="E65" i="118"/>
  <c r="O65" i="79" s="1"/>
  <c r="Y65" i="79" s="1"/>
  <c r="E67" i="118"/>
  <c r="O67" i="79" s="1"/>
  <c r="Y67" i="79" s="1"/>
  <c r="E69" i="118"/>
  <c r="O69" i="79" s="1"/>
  <c r="Y69" i="79" s="1"/>
  <c r="E75" i="118"/>
  <c r="O75" i="79" s="1"/>
  <c r="Y75" i="79" s="1"/>
  <c r="E77" i="118"/>
  <c r="O77" i="79" s="1"/>
  <c r="Y77" i="79" s="1"/>
  <c r="E79" i="118"/>
  <c r="O79" i="79" s="1"/>
  <c r="Y79" i="79" s="1"/>
  <c r="E83" i="118"/>
  <c r="O83" i="79" s="1"/>
  <c r="Y83" i="79" s="1"/>
  <c r="E87" i="118"/>
  <c r="O87" i="79" s="1"/>
  <c r="Y87" i="79" s="1"/>
  <c r="E89" i="118"/>
  <c r="O89" i="79" s="1"/>
  <c r="Y89" i="79" s="1"/>
  <c r="E91" i="118"/>
  <c r="O91" i="79" s="1"/>
  <c r="Y91" i="79" s="1"/>
  <c r="E93" i="118"/>
  <c r="O93" i="79" s="1"/>
  <c r="Y93" i="79" s="1"/>
  <c r="E95" i="118"/>
  <c r="O95" i="79" s="1"/>
  <c r="Y95" i="79" s="1"/>
  <c r="E97" i="118"/>
  <c r="O97" i="79" s="1"/>
  <c r="Y97" i="79" s="1"/>
  <c r="E99" i="118"/>
  <c r="O99" i="79" s="1"/>
  <c r="Y99" i="79" s="1"/>
  <c r="E101" i="118"/>
  <c r="O101" i="79" s="1"/>
  <c r="Y101" i="79" s="1"/>
  <c r="E103" i="118"/>
  <c r="O103" i="79" s="1"/>
  <c r="Y103" i="79" s="1"/>
  <c r="E105" i="118"/>
  <c r="O105" i="79" s="1"/>
  <c r="Y105" i="79" s="1"/>
  <c r="E107" i="118"/>
  <c r="O107" i="79" s="1"/>
  <c r="Y107" i="79" s="1"/>
  <c r="E109" i="118"/>
  <c r="O109" i="79" s="1"/>
  <c r="Y109" i="79" s="1"/>
  <c r="E111" i="118"/>
  <c r="O111" i="79" s="1"/>
  <c r="Y111" i="79" s="1"/>
  <c r="E115" i="118"/>
  <c r="O115" i="79" s="1"/>
  <c r="Y115" i="79" s="1"/>
  <c r="E119" i="118"/>
  <c r="O119" i="79" s="1"/>
  <c r="Y119" i="79" s="1"/>
  <c r="E123" i="118"/>
  <c r="O123" i="79" s="1"/>
  <c r="Y123" i="79" s="1"/>
  <c r="E125" i="118"/>
  <c r="D52" i="118"/>
  <c r="N52" i="79" s="1"/>
  <c r="X52" i="79" s="1"/>
  <c r="D62" i="118"/>
  <c r="N62" i="79" s="1"/>
  <c r="X62" i="79" s="1"/>
  <c r="D88" i="118"/>
  <c r="N88" i="79" s="1"/>
  <c r="X88" i="79" s="1"/>
  <c r="D94" i="118"/>
  <c r="E10" i="118"/>
  <c r="E12" i="118"/>
  <c r="E14" i="118"/>
  <c r="E16" i="118"/>
  <c r="E18" i="118"/>
  <c r="E20" i="118"/>
  <c r="E22" i="118"/>
  <c r="E24" i="118"/>
  <c r="E26" i="118"/>
  <c r="E30" i="118"/>
  <c r="E32" i="118"/>
  <c r="E34" i="118"/>
  <c r="E36" i="118"/>
  <c r="E38" i="118"/>
  <c r="E40" i="118"/>
  <c r="E42" i="118"/>
  <c r="E44" i="118"/>
  <c r="E48" i="118"/>
  <c r="E50" i="118"/>
  <c r="O50" i="79" s="1"/>
  <c r="Y50" i="79" s="1"/>
  <c r="E52" i="118"/>
  <c r="O52" i="79" s="1"/>
  <c r="Y52" i="79" s="1"/>
  <c r="E54" i="118"/>
  <c r="O54" i="79" s="1"/>
  <c r="Y54" i="79" s="1"/>
  <c r="E56" i="118"/>
  <c r="O56" i="79" s="1"/>
  <c r="Y56" i="79" s="1"/>
  <c r="E58" i="118"/>
  <c r="O58" i="79" s="1"/>
  <c r="Y58" i="79" s="1"/>
  <c r="E62" i="118"/>
  <c r="O62" i="79" s="1"/>
  <c r="Y62" i="79" s="1"/>
  <c r="E64" i="118"/>
  <c r="O64" i="79" s="1"/>
  <c r="Y64" i="79" s="1"/>
  <c r="E66" i="118"/>
  <c r="O66" i="79" s="1"/>
  <c r="Y66" i="79" s="1"/>
  <c r="E68" i="118"/>
  <c r="E70" i="118"/>
  <c r="O70" i="79" s="1"/>
  <c r="Y70" i="79" s="1"/>
  <c r="E72" i="118"/>
  <c r="E76" i="118"/>
  <c r="E78" i="118"/>
  <c r="H78" i="118" s="1"/>
  <c r="E80" i="118"/>
  <c r="E84" i="118"/>
  <c r="H84" i="118" s="1"/>
  <c r="E86" i="118"/>
  <c r="O86" i="79" s="1"/>
  <c r="Y86" i="79" s="1"/>
  <c r="E88" i="118"/>
  <c r="O88" i="79" s="1"/>
  <c r="Y88" i="79" s="1"/>
  <c r="E94" i="118"/>
  <c r="E96" i="118"/>
  <c r="O96" i="79" s="1"/>
  <c r="Y96" i="79" s="1"/>
  <c r="E104" i="118"/>
  <c r="H104" i="118" s="1"/>
  <c r="E106" i="118"/>
  <c r="O106" i="79" s="1"/>
  <c r="Y106" i="79" s="1"/>
  <c r="E108" i="118"/>
  <c r="E110" i="118"/>
  <c r="O110" i="79" s="1"/>
  <c r="Y110" i="79" s="1"/>
  <c r="E112" i="118"/>
  <c r="H112" i="118" s="1"/>
  <c r="E114" i="118"/>
  <c r="E116" i="118"/>
  <c r="O116" i="79" s="1"/>
  <c r="Y116" i="79" s="1"/>
  <c r="E118" i="118"/>
  <c r="E120" i="118"/>
  <c r="E124" i="118"/>
  <c r="O124" i="79" s="1"/>
  <c r="Y124" i="79" s="1"/>
  <c r="D20" i="118"/>
  <c r="D22" i="118"/>
  <c r="N22" i="79" s="1"/>
  <c r="X22" i="79" s="1"/>
  <c r="D24" i="118"/>
  <c r="N24" i="79" s="1"/>
  <c r="X24" i="79" s="1"/>
  <c r="D26" i="118"/>
  <c r="N26" i="79" s="1"/>
  <c r="X26" i="79" s="1"/>
  <c r="D32" i="118"/>
  <c r="N32" i="79" s="1"/>
  <c r="X32" i="79" s="1"/>
  <c r="D34" i="118"/>
  <c r="D44" i="118"/>
  <c r="N44" i="79" s="1"/>
  <c r="X44" i="79" s="1"/>
  <c r="D50" i="118"/>
  <c r="D64" i="118"/>
  <c r="N64" i="79" s="1"/>
  <c r="X64" i="79" s="1"/>
  <c r="D66" i="118"/>
  <c r="D70" i="118"/>
  <c r="D96" i="118"/>
  <c r="D116" i="118"/>
  <c r="N116" i="79" s="1"/>
  <c r="X116" i="79" s="1"/>
  <c r="D9" i="118"/>
  <c r="D11" i="118"/>
  <c r="N11" i="79" s="1"/>
  <c r="X11" i="79" s="1"/>
  <c r="D13" i="118"/>
  <c r="N13" i="79" s="1"/>
  <c r="X13" i="79" s="1"/>
  <c r="D15" i="118"/>
  <c r="N15" i="79" s="1"/>
  <c r="X15" i="79" s="1"/>
  <c r="D17" i="118"/>
  <c r="D19" i="118"/>
  <c r="N19" i="79" s="1"/>
  <c r="X19" i="79" s="1"/>
  <c r="D21" i="118"/>
  <c r="N21" i="79" s="1"/>
  <c r="X21" i="79" s="1"/>
  <c r="D23" i="118"/>
  <c r="N23" i="79" s="1"/>
  <c r="X23" i="79" s="1"/>
  <c r="D25" i="118"/>
  <c r="D27" i="118"/>
  <c r="N27" i="79" s="1"/>
  <c r="X27" i="79" s="1"/>
  <c r="D29" i="118"/>
  <c r="N29" i="79" s="1"/>
  <c r="X29" i="79" s="1"/>
  <c r="D31" i="118"/>
  <c r="N31" i="79" s="1"/>
  <c r="X31" i="79" s="1"/>
  <c r="D33" i="118"/>
  <c r="D37" i="118"/>
  <c r="N37" i="79" s="1"/>
  <c r="X37" i="79" s="1"/>
  <c r="D39" i="118"/>
  <c r="N39" i="79" s="1"/>
  <c r="X39" i="79" s="1"/>
  <c r="D41" i="118"/>
  <c r="D43" i="118"/>
  <c r="N43" i="79" s="1"/>
  <c r="X43" i="79" s="1"/>
  <c r="D45" i="118"/>
  <c r="N45" i="79" s="1"/>
  <c r="X45" i="79" s="1"/>
  <c r="D47" i="118"/>
  <c r="N47" i="79" s="1"/>
  <c r="X47" i="79" s="1"/>
  <c r="D49" i="118"/>
  <c r="D51" i="118"/>
  <c r="N51" i="79" s="1"/>
  <c r="X51" i="79" s="1"/>
  <c r="D53" i="118"/>
  <c r="N53" i="79" s="1"/>
  <c r="X53" i="79" s="1"/>
  <c r="D57" i="118"/>
  <c r="D59" i="118"/>
  <c r="N59" i="79" s="1"/>
  <c r="X59" i="79" s="1"/>
  <c r="D61" i="118"/>
  <c r="N61" i="79" s="1"/>
  <c r="X61" i="79" s="1"/>
  <c r="D63" i="118"/>
  <c r="N63" i="79" s="1"/>
  <c r="X63" i="79" s="1"/>
  <c r="D65" i="118"/>
  <c r="D67" i="118"/>
  <c r="N67" i="79" s="1"/>
  <c r="X67" i="79" s="1"/>
  <c r="D69" i="118"/>
  <c r="N69" i="79" s="1"/>
  <c r="X69" i="79" s="1"/>
  <c r="D73" i="118"/>
  <c r="D75" i="118"/>
  <c r="N75" i="79" s="1"/>
  <c r="X75" i="79" s="1"/>
  <c r="D77" i="118"/>
  <c r="N77" i="79" s="1"/>
  <c r="X77" i="79" s="1"/>
  <c r="D79" i="118"/>
  <c r="N79" i="79" s="1"/>
  <c r="X79" i="79" s="1"/>
  <c r="D81" i="118"/>
  <c r="D83" i="118"/>
  <c r="N83" i="79" s="1"/>
  <c r="X83" i="79" s="1"/>
  <c r="D85" i="118"/>
  <c r="N85" i="79" s="1"/>
  <c r="X85" i="79" s="1"/>
  <c r="D87" i="118"/>
  <c r="N87" i="79" s="1"/>
  <c r="X87" i="79" s="1"/>
  <c r="D89" i="118"/>
  <c r="D91" i="118"/>
  <c r="N91" i="79" s="1"/>
  <c r="X91" i="79" s="1"/>
  <c r="D93" i="118"/>
  <c r="N93" i="79" s="1"/>
  <c r="X93" i="79" s="1"/>
  <c r="D95" i="118"/>
  <c r="N95" i="79" s="1"/>
  <c r="X95" i="79" s="1"/>
  <c r="D97" i="118"/>
  <c r="D99" i="118"/>
  <c r="N99" i="79" s="1"/>
  <c r="X99" i="79" s="1"/>
  <c r="D101" i="118"/>
  <c r="N101" i="79" s="1"/>
  <c r="X101" i="79" s="1"/>
  <c r="D103" i="118"/>
  <c r="N103" i="79" s="1"/>
  <c r="X103" i="79" s="1"/>
  <c r="D105" i="118"/>
  <c r="D107" i="118"/>
  <c r="N107" i="79" s="1"/>
  <c r="X107" i="79" s="1"/>
  <c r="D109" i="118"/>
  <c r="N109" i="79" s="1"/>
  <c r="X109" i="79" s="1"/>
  <c r="D111" i="118"/>
  <c r="N111" i="79" s="1"/>
  <c r="X111" i="79" s="1"/>
  <c r="D113" i="118"/>
  <c r="D115" i="118"/>
  <c r="N115" i="79" s="1"/>
  <c r="X115" i="79" s="1"/>
  <c r="D119" i="118"/>
  <c r="N119" i="79" s="1"/>
  <c r="X119" i="79" s="1"/>
  <c r="D121" i="118"/>
  <c r="D123" i="118"/>
  <c r="N123" i="79" s="1"/>
  <c r="X123" i="79" s="1"/>
  <c r="D125" i="118"/>
  <c r="L15" i="108"/>
  <c r="P15" i="108"/>
  <c r="Q15" i="108"/>
  <c r="O15" i="108"/>
  <c r="S15" i="108"/>
  <c r="M15" i="108"/>
  <c r="N15" i="108"/>
  <c r="R15" i="108"/>
  <c r="D68" i="1"/>
  <c r="C67" i="1"/>
  <c r="D64" i="1"/>
  <c r="C63" i="1"/>
  <c r="D60" i="1"/>
  <c r="D69" i="1"/>
  <c r="D65" i="1"/>
  <c r="C69" i="1"/>
  <c r="C65" i="1"/>
  <c r="D62" i="1"/>
  <c r="D67" i="1"/>
  <c r="C66" i="1"/>
  <c r="D63" i="1"/>
  <c r="C62" i="1"/>
  <c r="C68" i="1"/>
  <c r="C64" i="1"/>
  <c r="D61" i="1"/>
  <c r="C60" i="1"/>
  <c r="D66" i="1"/>
  <c r="C61" i="1"/>
  <c r="K263" i="1"/>
  <c r="K206" i="1"/>
  <c r="G206" i="1"/>
  <c r="F206" i="1"/>
  <c r="M206" i="1"/>
  <c r="I206" i="1"/>
  <c r="E206" i="1"/>
  <c r="L206" i="1"/>
  <c r="H206" i="1"/>
  <c r="D206" i="1"/>
  <c r="M207" i="1"/>
  <c r="I207" i="1"/>
  <c r="E207" i="1"/>
  <c r="D207" i="1"/>
  <c r="K207" i="1"/>
  <c r="G207" i="1"/>
  <c r="F207" i="1"/>
  <c r="L207" i="1"/>
  <c r="H207" i="1"/>
  <c r="M208" i="1"/>
  <c r="I208" i="1"/>
  <c r="E208" i="1"/>
  <c r="K211" i="1"/>
  <c r="G211" i="1"/>
  <c r="M209" i="1"/>
  <c r="I209" i="1"/>
  <c r="L209" i="1"/>
  <c r="K208" i="1"/>
  <c r="M211" i="1"/>
  <c r="E211" i="1"/>
  <c r="L211" i="1"/>
  <c r="D211" i="1"/>
  <c r="L208" i="1"/>
  <c r="H208" i="1"/>
  <c r="D208" i="1"/>
  <c r="F211" i="1"/>
  <c r="H209" i="1"/>
  <c r="G208" i="1"/>
  <c r="I211" i="1"/>
  <c r="K209" i="1"/>
  <c r="F208" i="1"/>
  <c r="H211" i="1"/>
  <c r="F209" i="1"/>
  <c r="E209" i="1"/>
  <c r="D209" i="1"/>
  <c r="G209" i="1"/>
  <c r="M5" i="1"/>
  <c r="N248" i="1"/>
  <c r="I11" i="1"/>
  <c r="K5" i="91"/>
  <c r="I13" i="1"/>
  <c r="E21" i="1"/>
  <c r="M244" i="1"/>
  <c r="F244" i="1"/>
  <c r="N237" i="1"/>
  <c r="L244" i="1"/>
  <c r="K244" i="1"/>
  <c r="H244" i="1"/>
  <c r="L237" i="1"/>
  <c r="H237" i="1"/>
  <c r="M237" i="1"/>
  <c r="I237" i="1"/>
  <c r="N244" i="1"/>
  <c r="G244" i="1"/>
  <c r="K237" i="1"/>
  <c r="I244" i="1"/>
  <c r="F223" i="1"/>
  <c r="E223" i="1"/>
  <c r="D223" i="1"/>
  <c r="D36" i="1"/>
  <c r="D32" i="1"/>
  <c r="D28" i="1"/>
  <c r="C35" i="1"/>
  <c r="C31" i="1"/>
  <c r="D35" i="1"/>
  <c r="D31" i="1"/>
  <c r="C34" i="1"/>
  <c r="C30" i="1"/>
  <c r="D34" i="1"/>
  <c r="D30" i="1"/>
  <c r="C33" i="1"/>
  <c r="C29" i="1"/>
  <c r="D33" i="1"/>
  <c r="D29" i="1"/>
  <c r="C36" i="1"/>
  <c r="C32" i="1"/>
  <c r="C28" i="1"/>
  <c r="N10" i="79"/>
  <c r="X10" i="79" s="1"/>
  <c r="N14" i="79"/>
  <c r="X14" i="79" s="1"/>
  <c r="N40" i="79"/>
  <c r="X40" i="79" s="1"/>
  <c r="H7" i="118"/>
  <c r="H35" i="118"/>
  <c r="H55" i="118"/>
  <c r="H71" i="118"/>
  <c r="H117" i="118"/>
  <c r="H60" i="118"/>
  <c r="H92" i="118"/>
  <c r="D231" i="1"/>
  <c r="G231" i="1"/>
  <c r="S13" i="108"/>
  <c r="S9" i="108"/>
  <c r="S5" i="108"/>
  <c r="R13" i="108"/>
  <c r="R9" i="108"/>
  <c r="R5" i="108"/>
  <c r="Q11" i="108"/>
  <c r="Q7" i="108"/>
  <c r="P11" i="108"/>
  <c r="P7" i="108"/>
  <c r="O11" i="108"/>
  <c r="O7" i="108"/>
  <c r="N11" i="108"/>
  <c r="N7" i="108"/>
  <c r="M12" i="108"/>
  <c r="M8" i="108"/>
  <c r="M4" i="108"/>
  <c r="L12" i="108"/>
  <c r="L8" i="108"/>
  <c r="L4" i="108"/>
  <c r="S11" i="108"/>
  <c r="S7" i="108"/>
  <c r="R7" i="108"/>
  <c r="Q13" i="108"/>
  <c r="Q9" i="108"/>
  <c r="Q5" i="108"/>
  <c r="P13" i="108"/>
  <c r="P9" i="108"/>
  <c r="O13" i="108"/>
  <c r="O5" i="108"/>
  <c r="N13" i="108"/>
  <c r="M14" i="108"/>
  <c r="M6" i="108"/>
  <c r="L10" i="108"/>
  <c r="S14" i="108"/>
  <c r="S10" i="108"/>
  <c r="S6" i="108"/>
  <c r="R14" i="108"/>
  <c r="R10" i="108"/>
  <c r="R6" i="108"/>
  <c r="Q12" i="108"/>
  <c r="Q8" i="108"/>
  <c r="Q4" i="108"/>
  <c r="P12" i="108"/>
  <c r="P8" i="108"/>
  <c r="P4" i="108"/>
  <c r="O12" i="108"/>
  <c r="O8" i="108"/>
  <c r="O4" i="108"/>
  <c r="N12" i="108"/>
  <c r="N8" i="108"/>
  <c r="M13" i="108"/>
  <c r="M9" i="108"/>
  <c r="M5" i="108"/>
  <c r="L9" i="108"/>
  <c r="S12" i="108"/>
  <c r="S8" i="108"/>
  <c r="S4" i="108"/>
  <c r="R12" i="108"/>
  <c r="R8" i="108"/>
  <c r="R4" i="108"/>
  <c r="Q14" i="108"/>
  <c r="Q10" i="108"/>
  <c r="Q6" i="108"/>
  <c r="P14" i="108"/>
  <c r="P10" i="108"/>
  <c r="P6" i="108"/>
  <c r="O14" i="108"/>
  <c r="O10" i="108"/>
  <c r="O6" i="108"/>
  <c r="N14" i="108"/>
  <c r="N10" i="108"/>
  <c r="N6" i="108"/>
  <c r="M11" i="108"/>
  <c r="M7" i="108"/>
  <c r="L11" i="108"/>
  <c r="L7" i="108"/>
  <c r="R11" i="108"/>
  <c r="P5" i="108"/>
  <c r="O9" i="108"/>
  <c r="N9" i="108"/>
  <c r="N5" i="108"/>
  <c r="M10" i="108"/>
  <c r="L14" i="108"/>
  <c r="L6" i="108"/>
  <c r="N4" i="108"/>
  <c r="L13" i="108"/>
  <c r="L5" i="108"/>
  <c r="N238" i="1"/>
  <c r="L238" i="1"/>
  <c r="K238" i="1"/>
  <c r="M238" i="1"/>
  <c r="L239" i="1"/>
  <c r="I239" i="1"/>
  <c r="I238" i="1"/>
  <c r="S9" i="109"/>
  <c r="S10" i="109"/>
  <c r="S11" i="109"/>
  <c r="S12" i="109"/>
  <c r="S13" i="109"/>
  <c r="S14" i="109"/>
  <c r="S15" i="109"/>
  <c r="S16" i="109"/>
  <c r="S17" i="109"/>
  <c r="S18" i="109"/>
  <c r="S20" i="109"/>
  <c r="S21" i="109"/>
  <c r="S22" i="109"/>
  <c r="S23" i="109"/>
  <c r="S24" i="109"/>
  <c r="S25" i="109"/>
  <c r="S26" i="109"/>
  <c r="S27" i="109"/>
  <c r="S30" i="109"/>
  <c r="S31" i="109"/>
  <c r="S32" i="109"/>
  <c r="S33" i="109"/>
  <c r="S34" i="109"/>
  <c r="S36" i="109"/>
  <c r="S37" i="109"/>
  <c r="S38" i="109"/>
  <c r="S39" i="109"/>
  <c r="S40" i="109"/>
  <c r="S41" i="109"/>
  <c r="S42" i="109"/>
  <c r="S44" i="109"/>
  <c r="S45" i="109"/>
  <c r="S48" i="109"/>
  <c r="S49" i="109"/>
  <c r="S50" i="109"/>
  <c r="S51" i="109"/>
  <c r="S52" i="109"/>
  <c r="S53" i="109"/>
  <c r="S54" i="109"/>
  <c r="S56" i="109"/>
  <c r="S57" i="109"/>
  <c r="S58" i="109"/>
  <c r="S59" i="109"/>
  <c r="S61" i="109"/>
  <c r="S62" i="109"/>
  <c r="S63" i="109"/>
  <c r="S64" i="109"/>
  <c r="S65" i="109"/>
  <c r="S66" i="109"/>
  <c r="S67" i="109"/>
  <c r="S68" i="109"/>
  <c r="S69" i="109"/>
  <c r="S70" i="109"/>
  <c r="S72" i="109"/>
  <c r="S75" i="109"/>
  <c r="S76" i="109"/>
  <c r="S77" i="109"/>
  <c r="S78" i="109"/>
  <c r="S79" i="109"/>
  <c r="S80" i="109"/>
  <c r="S83" i="109"/>
  <c r="S84" i="109"/>
  <c r="S86" i="109"/>
  <c r="S87" i="109"/>
  <c r="S88" i="109"/>
  <c r="S89" i="109"/>
  <c r="S91" i="109"/>
  <c r="S93" i="109"/>
  <c r="S94" i="109"/>
  <c r="S95" i="109"/>
  <c r="S96" i="109"/>
  <c r="S97" i="109"/>
  <c r="S99" i="109"/>
  <c r="S101" i="109"/>
  <c r="S103" i="109"/>
  <c r="S104" i="109"/>
  <c r="S105" i="109"/>
  <c r="S106" i="109"/>
  <c r="S107" i="109"/>
  <c r="S108" i="109"/>
  <c r="S109" i="109"/>
  <c r="S110" i="109"/>
  <c r="S111" i="109"/>
  <c r="S112" i="109"/>
  <c r="S114" i="109"/>
  <c r="S115" i="109"/>
  <c r="S116" i="109"/>
  <c r="S118" i="109"/>
  <c r="S119" i="109"/>
  <c r="S120" i="109"/>
  <c r="S123" i="109"/>
  <c r="S124" i="109"/>
  <c r="S125" i="109"/>
  <c r="N257" i="1"/>
  <c r="J258" i="1" s="1"/>
  <c r="H29" i="79"/>
  <c r="H42" i="79"/>
  <c r="H41" i="79"/>
  <c r="H67" i="79"/>
  <c r="H73" i="79"/>
  <c r="H95" i="79"/>
  <c r="H81" i="79"/>
  <c r="H106" i="79"/>
  <c r="H35" i="79"/>
  <c r="H109" i="79"/>
  <c r="H113" i="79"/>
  <c r="H121" i="79"/>
  <c r="H47" i="79"/>
  <c r="H87" i="79"/>
  <c r="H21" i="79"/>
  <c r="H25" i="79"/>
  <c r="H45" i="79"/>
  <c r="H61" i="79"/>
  <c r="H65" i="79"/>
  <c r="H69" i="79"/>
  <c r="H93" i="79"/>
  <c r="H97" i="79"/>
  <c r="H117" i="79"/>
  <c r="H22" i="79"/>
  <c r="H26" i="79"/>
  <c r="H46" i="79"/>
  <c r="H62" i="79"/>
  <c r="H66" i="79"/>
  <c r="H70" i="79"/>
  <c r="H94" i="79"/>
  <c r="H98" i="79"/>
  <c r="H114" i="79"/>
  <c r="H36" i="79"/>
  <c r="H40" i="79"/>
  <c r="H76" i="79"/>
  <c r="H80" i="79"/>
  <c r="H108" i="79"/>
  <c r="H112" i="79"/>
  <c r="H124" i="79"/>
  <c r="H118" i="79"/>
  <c r="H104" i="79"/>
  <c r="H56" i="79"/>
  <c r="H28" i="79"/>
  <c r="H82" i="79"/>
  <c r="H49" i="79"/>
  <c r="H89" i="79"/>
  <c r="H18" i="79"/>
  <c r="H34" i="79"/>
  <c r="H38" i="79"/>
  <c r="H54" i="79"/>
  <c r="H78" i="79"/>
  <c r="H86" i="79"/>
  <c r="H122" i="79"/>
  <c r="H11" i="79"/>
  <c r="H15" i="79"/>
  <c r="H19" i="79"/>
  <c r="H23" i="79"/>
  <c r="H27" i="79"/>
  <c r="H31" i="79"/>
  <c r="H39" i="79"/>
  <c r="H43" i="79"/>
  <c r="H51" i="79"/>
  <c r="H59" i="79"/>
  <c r="H63" i="79"/>
  <c r="H75" i="79"/>
  <c r="H79" i="79"/>
  <c r="H83" i="79"/>
  <c r="H91" i="79"/>
  <c r="H99" i="79"/>
  <c r="H103" i="79"/>
  <c r="H107" i="79"/>
  <c r="H111" i="79"/>
  <c r="H115" i="79"/>
  <c r="H119" i="79"/>
  <c r="H123" i="79"/>
  <c r="H53" i="79"/>
  <c r="H101" i="79"/>
  <c r="H14" i="79"/>
  <c r="H30" i="79"/>
  <c r="H50" i="79"/>
  <c r="H58" i="79"/>
  <c r="H74" i="79"/>
  <c r="H90" i="79"/>
  <c r="H110" i="79"/>
  <c r="H8" i="79"/>
  <c r="H20" i="79"/>
  <c r="H24" i="79"/>
  <c r="H32" i="79"/>
  <c r="H44" i="79"/>
  <c r="H48" i="79"/>
  <c r="H52" i="79"/>
  <c r="H60" i="79"/>
  <c r="H64" i="79"/>
  <c r="H68" i="79"/>
  <c r="H72" i="79"/>
  <c r="H84" i="79"/>
  <c r="H88" i="79"/>
  <c r="H92" i="79"/>
  <c r="H96" i="79"/>
  <c r="H116" i="79"/>
  <c r="H120" i="79"/>
  <c r="O82" i="79"/>
  <c r="Y82" i="79" s="1"/>
  <c r="L5" i="1"/>
  <c r="F5" i="1"/>
  <c r="E244" i="1"/>
  <c r="L4" i="96"/>
  <c r="T18" i="85"/>
  <c r="O60" i="79"/>
  <c r="Y60" i="79" s="1"/>
  <c r="O100" i="79"/>
  <c r="Y100" i="79" s="1"/>
  <c r="O7" i="79"/>
  <c r="Y7" i="79" s="1"/>
  <c r="O35" i="79"/>
  <c r="Y35" i="79" s="1"/>
  <c r="O55" i="79"/>
  <c r="Y55" i="79" s="1"/>
  <c r="O71" i="79"/>
  <c r="Y71" i="79" s="1"/>
  <c r="O117" i="79"/>
  <c r="Y117" i="79" s="1"/>
  <c r="O92" i="79"/>
  <c r="Y92" i="79" s="1"/>
  <c r="E18" i="123"/>
  <c r="F222" i="1"/>
  <c r="D222" i="1"/>
  <c r="E222" i="1"/>
  <c r="S5" i="109"/>
  <c r="D18" i="108" s="1"/>
  <c r="E20" i="123"/>
  <c r="G222" i="1"/>
  <c r="H13" i="79"/>
  <c r="H17" i="79"/>
  <c r="H10" i="79"/>
  <c r="H6" i="79"/>
  <c r="T60" i="85"/>
  <c r="P63" i="85"/>
  <c r="T111" i="85"/>
  <c r="G282" i="1"/>
  <c r="F281" i="1"/>
  <c r="F282" i="1"/>
  <c r="E281" i="1"/>
  <c r="E282" i="1"/>
  <c r="G281" i="1"/>
  <c r="T28" i="85"/>
  <c r="T68" i="85"/>
  <c r="T72" i="85"/>
  <c r="T76" i="85"/>
  <c r="T88" i="85"/>
  <c r="O6" i="85"/>
  <c r="P30" i="85"/>
  <c r="T61" i="85"/>
  <c r="T73" i="85"/>
  <c r="T85" i="85"/>
  <c r="X93" i="85"/>
  <c r="P94" i="85"/>
  <c r="X97" i="85"/>
  <c r="T98" i="85"/>
  <c r="X101" i="85"/>
  <c r="T102" i="85"/>
  <c r="P106" i="85"/>
  <c r="X109" i="85"/>
  <c r="P110" i="85"/>
  <c r="X113" i="85"/>
  <c r="T117" i="85"/>
  <c r="P118" i="85"/>
  <c r="P122" i="85"/>
  <c r="T125" i="85"/>
  <c r="T126" i="85"/>
  <c r="N7" i="79"/>
  <c r="X7" i="79" s="1"/>
  <c r="N35" i="79"/>
  <c r="X35" i="79" s="1"/>
  <c r="T106" i="85"/>
  <c r="U6" i="85"/>
  <c r="E285" i="1" s="1"/>
  <c r="P21" i="85"/>
  <c r="T49" i="85"/>
  <c r="T53" i="85"/>
  <c r="P65" i="85"/>
  <c r="P69" i="85"/>
  <c r="T77" i="85"/>
  <c r="P81" i="85"/>
  <c r="P85" i="85"/>
  <c r="P89" i="85"/>
  <c r="N6" i="79"/>
  <c r="X6" i="79" s="1"/>
  <c r="T92" i="85"/>
  <c r="T95" i="85"/>
  <c r="T103" i="85"/>
  <c r="T107" i="85"/>
  <c r="T115" i="85"/>
  <c r="T119" i="85"/>
  <c r="N55" i="79"/>
  <c r="X55" i="79" s="1"/>
  <c r="N71" i="79"/>
  <c r="X71" i="79" s="1"/>
  <c r="N117" i="79"/>
  <c r="X117" i="79" s="1"/>
  <c r="P51" i="85"/>
  <c r="T58" i="85"/>
  <c r="X74" i="85"/>
  <c r="T78" i="85"/>
  <c r="T82" i="85"/>
  <c r="T86" i="85"/>
  <c r="T90" i="85"/>
  <c r="R5" i="6"/>
  <c r="H238" i="1"/>
  <c r="E238" i="1"/>
  <c r="F238" i="1"/>
  <c r="G238" i="1"/>
  <c r="M239" i="1"/>
  <c r="K239" i="1"/>
  <c r="N239" i="1"/>
  <c r="E237" i="1"/>
  <c r="F237" i="1"/>
  <c r="G237" i="1"/>
  <c r="G5" i="91"/>
  <c r="H5" i="91" s="1"/>
  <c r="H4" i="56"/>
  <c r="L5" i="79" s="1"/>
  <c r="E4" i="56"/>
  <c r="J5" i="79" s="1"/>
  <c r="D4" i="62"/>
  <c r="S5" i="79" s="1"/>
  <c r="I4" i="101"/>
  <c r="J4" i="101"/>
  <c r="H4" i="101"/>
  <c r="E4" i="57"/>
  <c r="D4" i="53"/>
  <c r="D5" i="123" s="1"/>
  <c r="B28" i="108" s="1"/>
  <c r="P46" i="85"/>
  <c r="P74" i="85"/>
  <c r="P82" i="85"/>
  <c r="P95" i="85"/>
  <c r="P115" i="85"/>
  <c r="E4" i="55"/>
  <c r="D4" i="55"/>
  <c r="S5" i="6"/>
  <c r="Q4" i="92"/>
  <c r="I16" i="1"/>
  <c r="I19" i="1"/>
  <c r="G220" i="1"/>
  <c r="G221" i="1"/>
  <c r="M118" i="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V6" i="85"/>
  <c r="F285"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X24" i="85"/>
  <c r="T32" i="85"/>
  <c r="X49" i="85"/>
  <c r="X53" i="85"/>
  <c r="P90" i="85"/>
  <c r="P99" i="85"/>
  <c r="P111" i="85"/>
  <c r="P8" i="85"/>
  <c r="P9" i="85"/>
  <c r="P13" i="85"/>
  <c r="P20" i="85"/>
  <c r="P29" i="85"/>
  <c r="P38" i="85"/>
  <c r="P42" i="85"/>
  <c r="P45" i="85"/>
  <c r="P50" i="85"/>
  <c r="P54" i="85"/>
  <c r="P62" i="85"/>
  <c r="T104" i="85"/>
  <c r="T13" i="85"/>
  <c r="T81" i="85"/>
  <c r="P120" i="85"/>
  <c r="T38" i="85"/>
  <c r="T42" i="85"/>
  <c r="T50" i="85"/>
  <c r="P58" i="85"/>
  <c r="T62" i="85"/>
  <c r="P75" i="85"/>
  <c r="X79" i="85"/>
  <c r="T94" i="85"/>
  <c r="T9" i="85"/>
  <c r="X19" i="85"/>
  <c r="T40" i="85"/>
  <c r="P44" i="85"/>
  <c r="T48" i="85"/>
  <c r="T52" i="85"/>
  <c r="T56" i="85"/>
  <c r="P60" i="85"/>
  <c r="P64" i="85"/>
  <c r="X69" i="85"/>
  <c r="X118" i="85"/>
  <c r="P48" i="85"/>
  <c r="P93" i="85"/>
  <c r="T24" i="85"/>
  <c r="T8" i="85"/>
  <c r="P26" i="85"/>
  <c r="P52" i="85"/>
  <c r="W6" i="85"/>
  <c r="G285" i="1" s="1"/>
  <c r="P109" i="85"/>
  <c r="T46" i="85"/>
  <c r="T75" i="85"/>
  <c r="T121" i="85"/>
  <c r="P12" i="85"/>
  <c r="P32" i="85"/>
  <c r="P37" i="85"/>
  <c r="P121" i="85"/>
  <c r="P125" i="85"/>
  <c r="P97" i="85"/>
  <c r="P88" i="85"/>
  <c r="T44" i="85"/>
  <c r="F221" i="1"/>
  <c r="F217" i="1"/>
  <c r="E218" i="1"/>
  <c r="D219" i="1"/>
  <c r="D218" i="1"/>
  <c r="D221" i="1"/>
  <c r="F220" i="1"/>
  <c r="E221" i="1"/>
  <c r="E217" i="1"/>
  <c r="F219" i="1"/>
  <c r="D217" i="1"/>
  <c r="F218" i="1"/>
  <c r="E219" i="1"/>
  <c r="D220" i="1"/>
  <c r="E220" i="1"/>
  <c r="O132" i="73"/>
  <c r="O131" i="73"/>
  <c r="N129" i="73"/>
  <c r="N131" i="73"/>
  <c r="O128" i="73"/>
  <c r="O129" i="73"/>
  <c r="N128" i="73"/>
  <c r="N130" i="73"/>
  <c r="M132" i="73"/>
  <c r="O130" i="73"/>
  <c r="N132" i="73"/>
  <c r="F4" i="56"/>
  <c r="K5" i="79" s="1"/>
  <c r="D4" i="56"/>
  <c r="I5" i="79" s="1"/>
  <c r="P7" i="85"/>
  <c r="T7" i="85"/>
  <c r="X10" i="85"/>
  <c r="P10" i="85"/>
  <c r="T10" i="85"/>
  <c r="X14" i="85"/>
  <c r="P14" i="85"/>
  <c r="T14" i="85"/>
  <c r="P15" i="85"/>
  <c r="T15" i="85"/>
  <c r="X34" i="85"/>
  <c r="T34" i="85"/>
  <c r="P34" i="85"/>
  <c r="T36" i="85"/>
  <c r="P36" i="85"/>
  <c r="T66" i="85"/>
  <c r="P66" i="85"/>
  <c r="T70" i="85"/>
  <c r="P70" i="85"/>
  <c r="P123" i="85"/>
  <c r="T123" i="85"/>
  <c r="F4" i="57"/>
  <c r="G4" i="53"/>
  <c r="E4" i="53"/>
  <c r="I5" i="24"/>
  <c r="O5" i="24"/>
  <c r="U5" i="24"/>
  <c r="AA5" i="24"/>
  <c r="F60" i="1" s="1"/>
  <c r="AG5" i="24"/>
  <c r="F62" i="1" s="1"/>
  <c r="AM5" i="24"/>
  <c r="F64" i="1" s="1"/>
  <c r="X114" i="85"/>
  <c r="T114" i="85"/>
  <c r="T16" i="85"/>
  <c r="X20" i="85"/>
  <c r="T20" i="85"/>
  <c r="X54" i="85"/>
  <c r="T54" i="85"/>
  <c r="X9" i="85"/>
  <c r="X27" i="85"/>
  <c r="X39" i="85"/>
  <c r="X40" i="85"/>
  <c r="X48" i="85"/>
  <c r="X52" i="85"/>
  <c r="X58" i="85"/>
  <c r="X62" i="85"/>
  <c r="X68" i="85"/>
  <c r="X78" i="85"/>
  <c r="T84" i="85"/>
  <c r="X87" i="85"/>
  <c r="X92" i="85"/>
  <c r="X96" i="85"/>
  <c r="X100" i="85"/>
  <c r="X104" i="85"/>
  <c r="X108" i="85"/>
  <c r="X112" i="85"/>
  <c r="X126" i="85"/>
  <c r="X12" i="85"/>
  <c r="X17" i="85"/>
  <c r="X22" i="85"/>
  <c r="X26" i="85"/>
  <c r="X31" i="85"/>
  <c r="X32" i="85"/>
  <c r="X37" i="85"/>
  <c r="X38" i="85"/>
  <c r="T47" i="85"/>
  <c r="X61" i="85"/>
  <c r="P67" i="85"/>
  <c r="X72" i="85"/>
  <c r="P77" i="85"/>
  <c r="X86" i="85"/>
  <c r="X90" i="85"/>
  <c r="X95" i="85"/>
  <c r="T99" i="85"/>
  <c r="X107" i="85"/>
  <c r="X120" i="85"/>
  <c r="X125" i="85"/>
  <c r="X15" i="85"/>
  <c r="X16" i="85"/>
  <c r="X21" i="85"/>
  <c r="X25" i="85"/>
  <c r="X29" i="85"/>
  <c r="X30" i="85"/>
  <c r="X42" i="85"/>
  <c r="X50" i="85"/>
  <c r="X56" i="85"/>
  <c r="X60" i="85"/>
  <c r="X70" i="85"/>
  <c r="X80" i="85"/>
  <c r="X85" i="85"/>
  <c r="X89" i="85"/>
  <c r="X102" i="85"/>
  <c r="X106" i="85"/>
  <c r="X115" i="85"/>
  <c r="X119" i="85"/>
  <c r="R4" i="92"/>
  <c r="S4" i="92"/>
  <c r="O5" i="6"/>
  <c r="R5" i="24"/>
  <c r="X5" i="24"/>
  <c r="AD5" i="24"/>
  <c r="F61" i="1" s="1"/>
  <c r="AJ5" i="24"/>
  <c r="F63" i="1" s="1"/>
  <c r="D10" i="1"/>
  <c r="G239" i="1"/>
  <c r="E248" i="1"/>
  <c r="I5" i="1"/>
  <c r="D248" i="1"/>
  <c r="E239" i="1"/>
  <c r="F248" i="1"/>
  <c r="H239" i="1"/>
  <c r="G248" i="1"/>
  <c r="K3" i="1"/>
  <c r="F239" i="1"/>
  <c r="D5" i="1"/>
  <c r="X41" i="85"/>
  <c r="T41" i="85"/>
  <c r="X64" i="85"/>
  <c r="T64" i="85"/>
  <c r="X11" i="85"/>
  <c r="T11" i="85"/>
  <c r="X55" i="85"/>
  <c r="P55" i="85"/>
  <c r="X110" i="85"/>
  <c r="T110" i="85"/>
  <c r="X33" i="85"/>
  <c r="T33" i="85"/>
  <c r="X73" i="85"/>
  <c r="P73" i="85"/>
  <c r="T83" i="85"/>
  <c r="X91" i="85"/>
  <c r="P91" i="85"/>
  <c r="X122" i="85"/>
  <c r="T122" i="85"/>
  <c r="X57" i="85"/>
  <c r="T57" i="85"/>
  <c r="X71" i="85"/>
  <c r="P71" i="85"/>
  <c r="X103" i="85"/>
  <c r="P103" i="85"/>
  <c r="X116" i="85"/>
  <c r="T116" i="85"/>
  <c r="R6" i="85"/>
  <c r="X7" i="85"/>
  <c r="X8" i="85"/>
  <c r="X13" i="85"/>
  <c r="X18" i="85"/>
  <c r="X23" i="85"/>
  <c r="X28" i="85"/>
  <c r="X35" i="85"/>
  <c r="X36" i="85"/>
  <c r="X43" i="85"/>
  <c r="X44" i="85"/>
  <c r="X46" i="85"/>
  <c r="X51" i="85"/>
  <c r="X59" i="85"/>
  <c r="X63" i="85"/>
  <c r="X65" i="85"/>
  <c r="X66" i="85"/>
  <c r="X75" i="85"/>
  <c r="X76" i="85"/>
  <c r="X81" i="85"/>
  <c r="X82" i="85"/>
  <c r="X84" i="85"/>
  <c r="X88" i="85"/>
  <c r="X94" i="85"/>
  <c r="X98" i="85"/>
  <c r="X105" i="85"/>
  <c r="X111" i="85"/>
  <c r="X117" i="85"/>
  <c r="X121" i="85"/>
  <c r="X123" i="85"/>
  <c r="X124" i="85"/>
  <c r="Q6" i="85"/>
  <c r="T25" i="85"/>
  <c r="X45" i="85"/>
  <c r="X47" i="85"/>
  <c r="X67" i="85"/>
  <c r="T69" i="85"/>
  <c r="X77" i="85"/>
  <c r="X83" i="85"/>
  <c r="X99" i="85"/>
  <c r="P101" i="85"/>
  <c r="P107" i="85"/>
  <c r="I122" i="1" l="1"/>
  <c r="I121" i="1"/>
  <c r="I124" i="1"/>
  <c r="I123" i="1"/>
  <c r="E123" i="1"/>
  <c r="E122" i="1"/>
  <c r="E121" i="1"/>
  <c r="E124" i="1"/>
  <c r="F40" i="1"/>
  <c r="E40" i="1"/>
  <c r="E39" i="1"/>
  <c r="E72" i="1"/>
  <c r="H15" i="108"/>
  <c r="H7" i="108"/>
  <c r="C23" i="108"/>
  <c r="C14" i="108"/>
  <c r="C6" i="108"/>
  <c r="H23" i="108"/>
  <c r="H14" i="108"/>
  <c r="H6" i="108"/>
  <c r="C22" i="108"/>
  <c r="C13" i="108"/>
  <c r="C5" i="108"/>
  <c r="H22" i="108"/>
  <c r="H13" i="108"/>
  <c r="H5" i="108"/>
  <c r="C21" i="108"/>
  <c r="C12" i="108"/>
  <c r="C4" i="108"/>
  <c r="H21" i="108"/>
  <c r="H12" i="108"/>
  <c r="H4" i="108"/>
  <c r="C20" i="108"/>
  <c r="C11" i="108"/>
  <c r="C3" i="108"/>
  <c r="H20" i="108"/>
  <c r="H11" i="108"/>
  <c r="H3" i="108"/>
  <c r="C19" i="108"/>
  <c r="C10" i="108"/>
  <c r="C16" i="108"/>
  <c r="H19" i="108"/>
  <c r="H10" i="108"/>
  <c r="C17" i="108"/>
  <c r="C9" i="108"/>
  <c r="H9" i="108"/>
  <c r="C8" i="108"/>
  <c r="H17" i="108"/>
  <c r="H16" i="108"/>
  <c r="H8" i="108"/>
  <c r="C15" i="108"/>
  <c r="C7" i="108"/>
  <c r="C24" i="108"/>
  <c r="H24" i="108"/>
  <c r="H18" i="108"/>
  <c r="C18" i="108"/>
  <c r="F39" i="1"/>
  <c r="F19" i="1"/>
  <c r="F15" i="1"/>
  <c r="F18" i="1"/>
  <c r="F14" i="1"/>
  <c r="F12" i="1"/>
  <c r="F21" i="1"/>
  <c r="F17" i="1"/>
  <c r="F13" i="1"/>
  <c r="F11" i="1"/>
  <c r="F20" i="1"/>
  <c r="F16" i="1"/>
  <c r="H14" i="118"/>
  <c r="H82" i="118"/>
  <c r="H76" i="118"/>
  <c r="H80" i="118"/>
  <c r="H42" i="118"/>
  <c r="H12" i="118"/>
  <c r="H28" i="118"/>
  <c r="H72" i="118"/>
  <c r="H122" i="118"/>
  <c r="J271" i="1"/>
  <c r="J270" i="1" s="1"/>
  <c r="AG72" i="79"/>
  <c r="AF72" i="79"/>
  <c r="AE72" i="79"/>
  <c r="AD72" i="79"/>
  <c r="AG24" i="79"/>
  <c r="AF24" i="79"/>
  <c r="AD24" i="79"/>
  <c r="AE24" i="79"/>
  <c r="AG30" i="79"/>
  <c r="AF30" i="79"/>
  <c r="AE30" i="79"/>
  <c r="AD30" i="79"/>
  <c r="AG107" i="79"/>
  <c r="AF107" i="79"/>
  <c r="AE107" i="79"/>
  <c r="AD107" i="79"/>
  <c r="AG59" i="79"/>
  <c r="AF59" i="79"/>
  <c r="AE59" i="79"/>
  <c r="AD59" i="79"/>
  <c r="AG78" i="79"/>
  <c r="AF78" i="79"/>
  <c r="AE78" i="79"/>
  <c r="AD78" i="79"/>
  <c r="AG28" i="79"/>
  <c r="AF28" i="79"/>
  <c r="AD28" i="79"/>
  <c r="AE28" i="79"/>
  <c r="AG76" i="79"/>
  <c r="AF76" i="79"/>
  <c r="AD76" i="79"/>
  <c r="AE76" i="79"/>
  <c r="AG62" i="79"/>
  <c r="AF62" i="79"/>
  <c r="AD62" i="79"/>
  <c r="AE62" i="79"/>
  <c r="AG65" i="79"/>
  <c r="AF65" i="79"/>
  <c r="AE65" i="79"/>
  <c r="AD65" i="79"/>
  <c r="AG113" i="79"/>
  <c r="AF113" i="79"/>
  <c r="AE113" i="79"/>
  <c r="AD113" i="79"/>
  <c r="AG81" i="79"/>
  <c r="AF81" i="79"/>
  <c r="AE81" i="79"/>
  <c r="AD81" i="79"/>
  <c r="AG10" i="79"/>
  <c r="AF10" i="79"/>
  <c r="AE10" i="79"/>
  <c r="AD10" i="79"/>
  <c r="AG92" i="79"/>
  <c r="AF92" i="79"/>
  <c r="AD92" i="79"/>
  <c r="AE92" i="79"/>
  <c r="AG48" i="79"/>
  <c r="AF48" i="79"/>
  <c r="AE48" i="79"/>
  <c r="AD48" i="79"/>
  <c r="AG74" i="79"/>
  <c r="AF74" i="79"/>
  <c r="AD74" i="79"/>
  <c r="AE74" i="79"/>
  <c r="AG119" i="79"/>
  <c r="AF119" i="79"/>
  <c r="AE119" i="79"/>
  <c r="AD119" i="79"/>
  <c r="AG79" i="79"/>
  <c r="AF79" i="79"/>
  <c r="AE79" i="79"/>
  <c r="AD79" i="79"/>
  <c r="AG27" i="79"/>
  <c r="AF27" i="79"/>
  <c r="AD27" i="79"/>
  <c r="AE27" i="79"/>
  <c r="AG54" i="79"/>
  <c r="AF54" i="79"/>
  <c r="AE54" i="79"/>
  <c r="AD54" i="79"/>
  <c r="AG56" i="79"/>
  <c r="AF56" i="79"/>
  <c r="AE56" i="79"/>
  <c r="AD56" i="79"/>
  <c r="AG40" i="79"/>
  <c r="AF40" i="79"/>
  <c r="AD40" i="79"/>
  <c r="AE40" i="79"/>
  <c r="AG46" i="79"/>
  <c r="AF46" i="79"/>
  <c r="AD46" i="79"/>
  <c r="AE46" i="79"/>
  <c r="AG97" i="79"/>
  <c r="AF97" i="79"/>
  <c r="AD97" i="79"/>
  <c r="AE97" i="79"/>
  <c r="AG87" i="79"/>
  <c r="AF87" i="79"/>
  <c r="AE87" i="79"/>
  <c r="AD87" i="79"/>
  <c r="AG95" i="79"/>
  <c r="AF95" i="79"/>
  <c r="AD95" i="79"/>
  <c r="AE95" i="79"/>
  <c r="AG13" i="79"/>
  <c r="AF13" i="79"/>
  <c r="AE13" i="79"/>
  <c r="AD13" i="79"/>
  <c r="AG116" i="79"/>
  <c r="AF116" i="79"/>
  <c r="AE116" i="79"/>
  <c r="AD116" i="79"/>
  <c r="AG84" i="79"/>
  <c r="AF84" i="79"/>
  <c r="AE84" i="79"/>
  <c r="AD84" i="79"/>
  <c r="AG60" i="79"/>
  <c r="AF60" i="79"/>
  <c r="AE60" i="79"/>
  <c r="AD60" i="79"/>
  <c r="AG32" i="79"/>
  <c r="AF32" i="79"/>
  <c r="AE32" i="79"/>
  <c r="AD32" i="79"/>
  <c r="AG110" i="79"/>
  <c r="AF110" i="79"/>
  <c r="AE110" i="79"/>
  <c r="AD110" i="79"/>
  <c r="AG50" i="79"/>
  <c r="AF50" i="79"/>
  <c r="AE50" i="79"/>
  <c r="AD50" i="79"/>
  <c r="AG53" i="79"/>
  <c r="AF53" i="79"/>
  <c r="AD53" i="79"/>
  <c r="AE53" i="79"/>
  <c r="AG111" i="79"/>
  <c r="AF111" i="79"/>
  <c r="AE111" i="79"/>
  <c r="AD111" i="79"/>
  <c r="AG91" i="79"/>
  <c r="AF91" i="79"/>
  <c r="AD91" i="79"/>
  <c r="AE91" i="79"/>
  <c r="AG63" i="79"/>
  <c r="AF63" i="79"/>
  <c r="AE63" i="79"/>
  <c r="AD63" i="79"/>
  <c r="AG39" i="79"/>
  <c r="AF39" i="79"/>
  <c r="AD39" i="79"/>
  <c r="AE39" i="79"/>
  <c r="AG19" i="79"/>
  <c r="AF19" i="79"/>
  <c r="AD19" i="79"/>
  <c r="AE19" i="79"/>
  <c r="AG86" i="79"/>
  <c r="AF86" i="79"/>
  <c r="AD86" i="79"/>
  <c r="AE86" i="79"/>
  <c r="AG34" i="79"/>
  <c r="AF34" i="79"/>
  <c r="AE34" i="79"/>
  <c r="AD34" i="79"/>
  <c r="AG82" i="79"/>
  <c r="AF82" i="79"/>
  <c r="AE82" i="79"/>
  <c r="AD82" i="79"/>
  <c r="AG118" i="79"/>
  <c r="AF118" i="79"/>
  <c r="AD118" i="79"/>
  <c r="AE118" i="79"/>
  <c r="AG80" i="79"/>
  <c r="AF80" i="79"/>
  <c r="AE80" i="79"/>
  <c r="AD80" i="79"/>
  <c r="AG114" i="79"/>
  <c r="AF114" i="79"/>
  <c r="AD114" i="79"/>
  <c r="AE114" i="79"/>
  <c r="AG66" i="79"/>
  <c r="AF66" i="79"/>
  <c r="AD66" i="79"/>
  <c r="AE66" i="79"/>
  <c r="AG22" i="79"/>
  <c r="AF22" i="79"/>
  <c r="AE22" i="79"/>
  <c r="AD22" i="79"/>
  <c r="AG69" i="79"/>
  <c r="AF69" i="79"/>
  <c r="AE69" i="79"/>
  <c r="AD69" i="79"/>
  <c r="AG25" i="79"/>
  <c r="AF25" i="79"/>
  <c r="AD25" i="79"/>
  <c r="AE25" i="79"/>
  <c r="AG121" i="79"/>
  <c r="AF121" i="79"/>
  <c r="AD121" i="79"/>
  <c r="AE121" i="79"/>
  <c r="AG106" i="79"/>
  <c r="AF106" i="79"/>
  <c r="AD106" i="79"/>
  <c r="AE106" i="79"/>
  <c r="AG67" i="79"/>
  <c r="AF67" i="79"/>
  <c r="AE67" i="79"/>
  <c r="AD67" i="79"/>
  <c r="AG6" i="79"/>
  <c r="AF6" i="79"/>
  <c r="AD6" i="79"/>
  <c r="AE6" i="79"/>
  <c r="AG96" i="79"/>
  <c r="AF96" i="79"/>
  <c r="AD96" i="79"/>
  <c r="AE96" i="79"/>
  <c r="AG52" i="79"/>
  <c r="AF52" i="79"/>
  <c r="AE52" i="79"/>
  <c r="AD52" i="79"/>
  <c r="AG90" i="79"/>
  <c r="AF90" i="79"/>
  <c r="AD90" i="79"/>
  <c r="AE90" i="79"/>
  <c r="AG123" i="79"/>
  <c r="AF123" i="79"/>
  <c r="AD123" i="79"/>
  <c r="AE123" i="79"/>
  <c r="AG83" i="79"/>
  <c r="AF83" i="79"/>
  <c r="AD83" i="79"/>
  <c r="AE83" i="79"/>
  <c r="AG31" i="79"/>
  <c r="AF31" i="79"/>
  <c r="AD31" i="79"/>
  <c r="AE31" i="79"/>
  <c r="AG15" i="79"/>
  <c r="AF15" i="79"/>
  <c r="AD15" i="79"/>
  <c r="AE15" i="79"/>
  <c r="AG18" i="79"/>
  <c r="AF18" i="79"/>
  <c r="AE18" i="79"/>
  <c r="AD18" i="79"/>
  <c r="AG124" i="79"/>
  <c r="AF124" i="79"/>
  <c r="AD124" i="79"/>
  <c r="AE124" i="79"/>
  <c r="AG98" i="79"/>
  <c r="AF98" i="79"/>
  <c r="AD98" i="79"/>
  <c r="AE98" i="79"/>
  <c r="AG117" i="79"/>
  <c r="AF117" i="79"/>
  <c r="AE117" i="79"/>
  <c r="AD117" i="79"/>
  <c r="AG21" i="79"/>
  <c r="AF21" i="79"/>
  <c r="AD21" i="79"/>
  <c r="AE21" i="79"/>
  <c r="AG41" i="79"/>
  <c r="AF41" i="79"/>
  <c r="AD41" i="79"/>
  <c r="AE41" i="79"/>
  <c r="AG68" i="79"/>
  <c r="AF68" i="79"/>
  <c r="AD68" i="79"/>
  <c r="AE68" i="79"/>
  <c r="AG20" i="79"/>
  <c r="AF20" i="79"/>
  <c r="AE20" i="79"/>
  <c r="AD20" i="79"/>
  <c r="AG14" i="79"/>
  <c r="AF14" i="79"/>
  <c r="AE14" i="79"/>
  <c r="AD14" i="79"/>
  <c r="AG103" i="79"/>
  <c r="AF103" i="79"/>
  <c r="AD103" i="79"/>
  <c r="AE103" i="79"/>
  <c r="AG51" i="79"/>
  <c r="AF51" i="79"/>
  <c r="AD51" i="79"/>
  <c r="AE51" i="79"/>
  <c r="AG11" i="79"/>
  <c r="AF11" i="79"/>
  <c r="AE11" i="79"/>
  <c r="AD11" i="79"/>
  <c r="AG89" i="79"/>
  <c r="AF89" i="79"/>
  <c r="AE89" i="79"/>
  <c r="AD89" i="79"/>
  <c r="AG112" i="79"/>
  <c r="AF112" i="79"/>
  <c r="AE112" i="79"/>
  <c r="AD112" i="79"/>
  <c r="AG94" i="79"/>
  <c r="AF94" i="79"/>
  <c r="AD94" i="79"/>
  <c r="AE94" i="79"/>
  <c r="AG61" i="79"/>
  <c r="AF61" i="79"/>
  <c r="AD61" i="79"/>
  <c r="AE61" i="79"/>
  <c r="AG109" i="79"/>
  <c r="AF109" i="79"/>
  <c r="AE109" i="79"/>
  <c r="AD109" i="79"/>
  <c r="AG42" i="79"/>
  <c r="AF42" i="79"/>
  <c r="AD42" i="79"/>
  <c r="AE42" i="79"/>
  <c r="AG17" i="79"/>
  <c r="AF17" i="79"/>
  <c r="AD17" i="79"/>
  <c r="AE17" i="79"/>
  <c r="AG120" i="79"/>
  <c r="AF120" i="79"/>
  <c r="AD120" i="79"/>
  <c r="AE120" i="79"/>
  <c r="AG88" i="79"/>
  <c r="AF88" i="79"/>
  <c r="AE88" i="79"/>
  <c r="AD88" i="79"/>
  <c r="AG64" i="79"/>
  <c r="AF64" i="79"/>
  <c r="AD64" i="79"/>
  <c r="AE64" i="79"/>
  <c r="AG44" i="79"/>
  <c r="AF44" i="79"/>
  <c r="AE44" i="79"/>
  <c r="AD44" i="79"/>
  <c r="AG8" i="79"/>
  <c r="AF8" i="79"/>
  <c r="AE8" i="79"/>
  <c r="AD8" i="79"/>
  <c r="AG58" i="79"/>
  <c r="AF58" i="79"/>
  <c r="AE58" i="79"/>
  <c r="AD58" i="79"/>
  <c r="AG101" i="79"/>
  <c r="AF101" i="79"/>
  <c r="AE101" i="79"/>
  <c r="AD101" i="79"/>
  <c r="AG115" i="79"/>
  <c r="AF115" i="79"/>
  <c r="AD115" i="79"/>
  <c r="AE115" i="79"/>
  <c r="AG99" i="79"/>
  <c r="AF99" i="79"/>
  <c r="AE99" i="79"/>
  <c r="AD99" i="79"/>
  <c r="AG75" i="79"/>
  <c r="AF75" i="79"/>
  <c r="AD75" i="79"/>
  <c r="AE75" i="79"/>
  <c r="AG43" i="79"/>
  <c r="AF43" i="79"/>
  <c r="AE43" i="79"/>
  <c r="AD43" i="79"/>
  <c r="AG23" i="79"/>
  <c r="AF23" i="79"/>
  <c r="AD23" i="79"/>
  <c r="AE23" i="79"/>
  <c r="AG122" i="79"/>
  <c r="AF122" i="79"/>
  <c r="AD122" i="79"/>
  <c r="AE122" i="79"/>
  <c r="AG38" i="79"/>
  <c r="AF38" i="79"/>
  <c r="AD38" i="79"/>
  <c r="AE38" i="79"/>
  <c r="AG49" i="79"/>
  <c r="AF49" i="79"/>
  <c r="AD49" i="79"/>
  <c r="AE49" i="79"/>
  <c r="AG104" i="79"/>
  <c r="AF104" i="79"/>
  <c r="AE104" i="79"/>
  <c r="AD104" i="79"/>
  <c r="AG108" i="79"/>
  <c r="AF108" i="79"/>
  <c r="AD108" i="79"/>
  <c r="AE108" i="79"/>
  <c r="AG36" i="79"/>
  <c r="AF36" i="79"/>
  <c r="AE36" i="79"/>
  <c r="AD36" i="79"/>
  <c r="AG70" i="79"/>
  <c r="AF70" i="79"/>
  <c r="AE70" i="79"/>
  <c r="AD70" i="79"/>
  <c r="AG26" i="79"/>
  <c r="AF26" i="79"/>
  <c r="AE26" i="79"/>
  <c r="AD26" i="79"/>
  <c r="AG93" i="79"/>
  <c r="AF93" i="79"/>
  <c r="AE93" i="79"/>
  <c r="AD93" i="79"/>
  <c r="AG45" i="79"/>
  <c r="AF45" i="79"/>
  <c r="AE45" i="79"/>
  <c r="AD45" i="79"/>
  <c r="AG47" i="79"/>
  <c r="AF47" i="79"/>
  <c r="AD47" i="79"/>
  <c r="AE47" i="79"/>
  <c r="AG35" i="79"/>
  <c r="AF35" i="79"/>
  <c r="AD35" i="79"/>
  <c r="AE35" i="79"/>
  <c r="AG73" i="79"/>
  <c r="AF73" i="79"/>
  <c r="AD73" i="79"/>
  <c r="AE73" i="79"/>
  <c r="AG29" i="79"/>
  <c r="AF29" i="79"/>
  <c r="AD29" i="79"/>
  <c r="AE29" i="79"/>
  <c r="E70" i="1"/>
  <c r="E71" i="1"/>
  <c r="M258" i="1"/>
  <c r="F37" i="1"/>
  <c r="F38" i="1"/>
  <c r="E38" i="1"/>
  <c r="E37" i="1"/>
  <c r="O78" i="79"/>
  <c r="Y78" i="79" s="1"/>
  <c r="H106" i="118"/>
  <c r="N125" i="79"/>
  <c r="X125" i="79" s="1"/>
  <c r="H34" i="118"/>
  <c r="H124" i="118"/>
  <c r="H108" i="118"/>
  <c r="O125" i="79"/>
  <c r="Y125" i="79" s="1"/>
  <c r="H110" i="118"/>
  <c r="H22" i="118"/>
  <c r="O84" i="79"/>
  <c r="Y84" i="79" s="1"/>
  <c r="O76" i="79"/>
  <c r="Y76" i="79" s="1"/>
  <c r="O104" i="79"/>
  <c r="Y104" i="79" s="1"/>
  <c r="O80" i="79"/>
  <c r="Y80" i="79" s="1"/>
  <c r="H20" i="118"/>
  <c r="O112" i="79"/>
  <c r="Y112" i="79" s="1"/>
  <c r="E69" i="1"/>
  <c r="E65" i="1"/>
  <c r="E61" i="1"/>
  <c r="E62" i="1"/>
  <c r="E68" i="1"/>
  <c r="E64" i="1"/>
  <c r="E66" i="1"/>
  <c r="E67" i="1"/>
  <c r="E63" i="1"/>
  <c r="F35" i="1"/>
  <c r="F34" i="1"/>
  <c r="F30" i="1"/>
  <c r="E28" i="1"/>
  <c r="E34" i="1"/>
  <c r="E30" i="1"/>
  <c r="F33" i="1"/>
  <c r="F29" i="1"/>
  <c r="E33" i="1"/>
  <c r="E29" i="1"/>
  <c r="F36" i="1"/>
  <c r="F32" i="1"/>
  <c r="F28" i="1"/>
  <c r="E36" i="1"/>
  <c r="E32" i="1"/>
  <c r="F31" i="1"/>
  <c r="E35" i="1"/>
  <c r="E31" i="1"/>
  <c r="H50" i="118"/>
  <c r="H36" i="118"/>
  <c r="H18" i="118"/>
  <c r="H10" i="118"/>
  <c r="H96" i="118"/>
  <c r="H16" i="118"/>
  <c r="H8" i="118"/>
  <c r="H94" i="118"/>
  <c r="H102" i="79"/>
  <c r="H55" i="79"/>
  <c r="H33" i="79"/>
  <c r="H105" i="79"/>
  <c r="H125" i="79"/>
  <c r="N108" i="79"/>
  <c r="X108" i="79" s="1"/>
  <c r="N110" i="79"/>
  <c r="X110" i="79" s="1"/>
  <c r="N80" i="79"/>
  <c r="X80" i="79" s="1"/>
  <c r="N42" i="79"/>
  <c r="X42" i="79" s="1"/>
  <c r="H120" i="118"/>
  <c r="H46" i="118"/>
  <c r="H54" i="118"/>
  <c r="N54" i="79"/>
  <c r="X54" i="79" s="1"/>
  <c r="N82" i="79"/>
  <c r="X82" i="79" s="1"/>
  <c r="N122" i="79"/>
  <c r="X122" i="79" s="1"/>
  <c r="H102" i="118"/>
  <c r="H74" i="118"/>
  <c r="H56" i="118"/>
  <c r="H86" i="118"/>
  <c r="N20" i="79"/>
  <c r="X20" i="79" s="1"/>
  <c r="H58" i="118"/>
  <c r="N50" i="79"/>
  <c r="X50" i="79" s="1"/>
  <c r="H98" i="118"/>
  <c r="H70" i="118"/>
  <c r="H114" i="118"/>
  <c r="N86" i="79"/>
  <c r="X86" i="79" s="1"/>
  <c r="N72" i="79"/>
  <c r="X72" i="79" s="1"/>
  <c r="N28" i="79"/>
  <c r="X28" i="79" s="1"/>
  <c r="H32" i="118"/>
  <c r="H118" i="118"/>
  <c r="H40" i="118"/>
  <c r="N70" i="79"/>
  <c r="X70" i="79" s="1"/>
  <c r="H90" i="118"/>
  <c r="H30" i="118"/>
  <c r="N124" i="79"/>
  <c r="X124" i="79" s="1"/>
  <c r="H48" i="118"/>
  <c r="H38" i="118"/>
  <c r="N96" i="79"/>
  <c r="X96" i="79" s="1"/>
  <c r="N106" i="79"/>
  <c r="X106" i="79" s="1"/>
  <c r="N78" i="79"/>
  <c r="X78" i="79" s="1"/>
  <c r="O114" i="79"/>
  <c r="Y114" i="79" s="1"/>
  <c r="N94" i="79"/>
  <c r="X94" i="79" s="1"/>
  <c r="N112" i="79"/>
  <c r="X112" i="79" s="1"/>
  <c r="N104" i="79"/>
  <c r="X104" i="79" s="1"/>
  <c r="N84" i="79"/>
  <c r="X84" i="79" s="1"/>
  <c r="N76" i="79"/>
  <c r="X76" i="79" s="1"/>
  <c r="H62" i="118"/>
  <c r="H44" i="118"/>
  <c r="H66" i="118"/>
  <c r="H26" i="118"/>
  <c r="H121" i="118"/>
  <c r="H65" i="118"/>
  <c r="H57" i="118"/>
  <c r="H49" i="118"/>
  <c r="H41" i="118"/>
  <c r="H33" i="118"/>
  <c r="H25" i="118"/>
  <c r="H17" i="118"/>
  <c r="H9" i="118"/>
  <c r="H68" i="118"/>
  <c r="H64" i="118"/>
  <c r="N49" i="79"/>
  <c r="X49" i="79" s="1"/>
  <c r="N41" i="79"/>
  <c r="X41" i="79" s="1"/>
  <c r="N33" i="79"/>
  <c r="X33" i="79" s="1"/>
  <c r="N25" i="79"/>
  <c r="X25" i="79" s="1"/>
  <c r="N17" i="79"/>
  <c r="X17" i="79" s="1"/>
  <c r="N9" i="79"/>
  <c r="X9" i="79" s="1"/>
  <c r="H88" i="118"/>
  <c r="H24" i="118"/>
  <c r="H123" i="118"/>
  <c r="H115" i="118"/>
  <c r="H107" i="118"/>
  <c r="H99" i="118"/>
  <c r="H91" i="118"/>
  <c r="H83" i="118"/>
  <c r="H75" i="118"/>
  <c r="H67" i="118"/>
  <c r="H59" i="118"/>
  <c r="H51" i="118"/>
  <c r="H43" i="118"/>
  <c r="H27" i="118"/>
  <c r="H19" i="118"/>
  <c r="H11" i="118"/>
  <c r="H113" i="118"/>
  <c r="H97" i="118"/>
  <c r="H73" i="118"/>
  <c r="H116" i="118"/>
  <c r="H52" i="118"/>
  <c r="H119" i="118"/>
  <c r="H111" i="118"/>
  <c r="H103" i="118"/>
  <c r="H95" i="118"/>
  <c r="H87" i="118"/>
  <c r="H79" i="118"/>
  <c r="H63" i="118"/>
  <c r="H47" i="118"/>
  <c r="H39" i="118"/>
  <c r="H31" i="118"/>
  <c r="H23" i="118"/>
  <c r="H15" i="118"/>
  <c r="H105" i="118"/>
  <c r="H89" i="118"/>
  <c r="H81" i="118"/>
  <c r="N121" i="79"/>
  <c r="X121" i="79" s="1"/>
  <c r="N113" i="79"/>
  <c r="X113" i="79" s="1"/>
  <c r="N105" i="79"/>
  <c r="X105" i="79" s="1"/>
  <c r="N97" i="79"/>
  <c r="X97" i="79" s="1"/>
  <c r="N89" i="79"/>
  <c r="X89" i="79" s="1"/>
  <c r="N81" i="79"/>
  <c r="X81" i="79" s="1"/>
  <c r="N73" i="79"/>
  <c r="X73" i="79" s="1"/>
  <c r="N65" i="79"/>
  <c r="X65" i="79" s="1"/>
  <c r="N57" i="79"/>
  <c r="X57" i="79" s="1"/>
  <c r="N66" i="79"/>
  <c r="X66" i="79" s="1"/>
  <c r="N34" i="79"/>
  <c r="X34" i="79" s="1"/>
  <c r="H125" i="118"/>
  <c r="H109" i="118"/>
  <c r="H101" i="118"/>
  <c r="H93" i="118"/>
  <c r="H85" i="118"/>
  <c r="H77" i="118"/>
  <c r="H69" i="118"/>
  <c r="H61" i="118"/>
  <c r="H53" i="118"/>
  <c r="H45" i="118"/>
  <c r="H37" i="118"/>
  <c r="H29" i="118"/>
  <c r="H21" i="118"/>
  <c r="H13" i="118"/>
  <c r="N92" i="79"/>
  <c r="X92" i="79" s="1"/>
  <c r="N60" i="79"/>
  <c r="X60" i="79" s="1"/>
  <c r="N100" i="79"/>
  <c r="X100" i="79" s="1"/>
  <c r="H85" i="79"/>
  <c r="H57" i="79"/>
  <c r="H71" i="79"/>
  <c r="H100" i="79"/>
  <c r="H77" i="79"/>
  <c r="H37" i="79"/>
  <c r="O72" i="79"/>
  <c r="Y72" i="79" s="1"/>
  <c r="O120" i="79"/>
  <c r="Y120" i="79" s="1"/>
  <c r="O118" i="79"/>
  <c r="Y118" i="79" s="1"/>
  <c r="O74" i="79"/>
  <c r="Y74" i="79" s="1"/>
  <c r="O68" i="79"/>
  <c r="Y68" i="79" s="1"/>
  <c r="O108" i="79"/>
  <c r="Y108" i="79" s="1"/>
  <c r="O94" i="79"/>
  <c r="Y94" i="79" s="1"/>
  <c r="H6" i="118"/>
  <c r="O42" i="79"/>
  <c r="Y42" i="79" s="1"/>
  <c r="O34" i="79"/>
  <c r="Y34" i="79" s="1"/>
  <c r="O18" i="79"/>
  <c r="Y18" i="79" s="1"/>
  <c r="O44" i="79"/>
  <c r="Y44" i="79" s="1"/>
  <c r="O28" i="79"/>
  <c r="Y28" i="79" s="1"/>
  <c r="O20" i="79"/>
  <c r="Y20" i="79" s="1"/>
  <c r="O46" i="79"/>
  <c r="Y46" i="79" s="1"/>
  <c r="O38" i="79"/>
  <c r="Y38" i="79" s="1"/>
  <c r="O30" i="79"/>
  <c r="Y30" i="79" s="1"/>
  <c r="O22" i="79"/>
  <c r="Y22" i="79" s="1"/>
  <c r="O14" i="79"/>
  <c r="Y14" i="79" s="1"/>
  <c r="O26" i="79"/>
  <c r="Y26" i="79" s="1"/>
  <c r="O10" i="79"/>
  <c r="Y10" i="79" s="1"/>
  <c r="O36" i="79"/>
  <c r="Y36" i="79" s="1"/>
  <c r="O12" i="79"/>
  <c r="Y12" i="79" s="1"/>
  <c r="O48" i="79"/>
  <c r="Y48" i="79" s="1"/>
  <c r="O40" i="79"/>
  <c r="Y40" i="79" s="1"/>
  <c r="O32" i="79"/>
  <c r="Y32" i="79" s="1"/>
  <c r="O24" i="79"/>
  <c r="Y24" i="79" s="1"/>
  <c r="O16" i="79"/>
  <c r="Y16" i="79" s="1"/>
  <c r="O8" i="79"/>
  <c r="Y8" i="79" s="1"/>
  <c r="E13" i="123"/>
  <c r="D29" i="108" s="1"/>
  <c r="F13" i="123"/>
  <c r="D30" i="108" s="1"/>
  <c r="D33" i="108" s="1"/>
  <c r="H18" i="123"/>
  <c r="H20" i="123"/>
  <c r="D20" i="123"/>
  <c r="D13" i="123" s="1"/>
  <c r="D28" i="108" s="1"/>
  <c r="N260" i="1"/>
  <c r="J269" i="1" s="1"/>
  <c r="N258" i="1"/>
  <c r="L260" i="1"/>
  <c r="K260" i="1"/>
  <c r="I4" i="53"/>
  <c r="H5" i="79" s="1"/>
  <c r="H9" i="79"/>
  <c r="H12" i="79"/>
  <c r="H16" i="79"/>
  <c r="H7" i="79"/>
  <c r="E5" i="79"/>
  <c r="E5" i="123"/>
  <c r="B29" i="108" s="1"/>
  <c r="J4" i="53"/>
  <c r="G5" i="79" s="1"/>
  <c r="AA5" i="79" s="1"/>
  <c r="E5" i="118"/>
  <c r="O5" i="79" s="1"/>
  <c r="P6" i="85"/>
  <c r="D5" i="79"/>
  <c r="D5" i="118"/>
  <c r="N5" i="79" s="1"/>
  <c r="L252" i="1"/>
  <c r="K252" i="1"/>
  <c r="N252" i="1"/>
  <c r="J255" i="1" s="1"/>
  <c r="K4" i="101"/>
  <c r="R116" i="79"/>
  <c r="AB116" i="79" s="1"/>
  <c r="R43" i="79"/>
  <c r="R47" i="79"/>
  <c r="AB47" i="79" s="1"/>
  <c r="R107" i="79"/>
  <c r="AB107" i="79" s="1"/>
  <c r="R115" i="79"/>
  <c r="AB115" i="79" s="1"/>
  <c r="R56" i="79"/>
  <c r="R117" i="79"/>
  <c r="R69" i="79"/>
  <c r="R99" i="79"/>
  <c r="R111" i="79"/>
  <c r="R31" i="79"/>
  <c r="AB31" i="79" s="1"/>
  <c r="R109" i="79"/>
  <c r="AB109" i="79" s="1"/>
  <c r="R58" i="79"/>
  <c r="R67" i="79"/>
  <c r="R53" i="79"/>
  <c r="AB53" i="79" s="1"/>
  <c r="R90" i="79"/>
  <c r="R77" i="79"/>
  <c r="R51" i="79"/>
  <c r="R123" i="79"/>
  <c r="AB123" i="79" s="1"/>
  <c r="AH95" i="79"/>
  <c r="AH64" i="79"/>
  <c r="AH62" i="79"/>
  <c r="AH32" i="79"/>
  <c r="R7" i="79"/>
  <c r="X6" i="85"/>
  <c r="K285" i="1" s="1"/>
  <c r="R35" i="79"/>
  <c r="AB35" i="79" s="1"/>
  <c r="AH97" i="79"/>
  <c r="R13" i="79"/>
  <c r="R29" i="79"/>
  <c r="R79" i="79"/>
  <c r="AB79" i="79" s="1"/>
  <c r="R19" i="79"/>
  <c r="R39" i="79"/>
  <c r="AB39" i="79" s="1"/>
  <c r="AH109" i="79"/>
  <c r="T6" i="85"/>
  <c r="I119" i="1"/>
  <c r="H2" i="108"/>
  <c r="C2" i="108"/>
  <c r="E119" i="1"/>
  <c r="AH92" i="79"/>
  <c r="R85" i="79"/>
  <c r="R52" i="79"/>
  <c r="AB52" i="79" s="1"/>
  <c r="AH89" i="79"/>
  <c r="AH20" i="79"/>
  <c r="R98" i="79"/>
  <c r="AB98" i="79" s="1"/>
  <c r="R15" i="79"/>
  <c r="AB15" i="79" s="1"/>
  <c r="R88" i="79"/>
  <c r="AB88" i="79" s="1"/>
  <c r="R119" i="79"/>
  <c r="AB119" i="79" s="1"/>
  <c r="R93" i="79"/>
  <c r="AB93" i="79" s="1"/>
  <c r="R61" i="79"/>
  <c r="AB61" i="79" s="1"/>
  <c r="R37" i="79"/>
  <c r="R23" i="79"/>
  <c r="AB23" i="79" s="1"/>
  <c r="AH87" i="79"/>
  <c r="R87" i="79"/>
  <c r="R83" i="79"/>
  <c r="AH93" i="79"/>
  <c r="R55" i="79"/>
  <c r="R103" i="79"/>
  <c r="AB103" i="79" s="1"/>
  <c r="R91" i="79"/>
  <c r="R62" i="79"/>
  <c r="R75" i="79"/>
  <c r="R101" i="79"/>
  <c r="AB101" i="79" s="1"/>
  <c r="F4" i="60"/>
  <c r="U5" i="79" s="1"/>
  <c r="R63" i="79"/>
  <c r="AB63" i="79" s="1"/>
  <c r="R27" i="79"/>
  <c r="R64" i="79"/>
  <c r="R45" i="79"/>
  <c r="R95" i="79"/>
  <c r="AB95" i="79" s="1"/>
  <c r="R59" i="79"/>
  <c r="AB59" i="79" s="1"/>
  <c r="R71" i="79"/>
  <c r="G283" i="1"/>
  <c r="G284" i="1" s="1"/>
  <c r="F7" i="1"/>
  <c r="AH22" i="79"/>
  <c r="K281" i="1"/>
  <c r="F283" i="1"/>
  <c r="F284" i="1" s="1"/>
  <c r="AH40" i="79"/>
  <c r="AH28" i="79"/>
  <c r="AH8" i="79"/>
  <c r="AH39" i="79"/>
  <c r="AH27" i="79"/>
  <c r="AH18" i="79"/>
  <c r="AH99" i="79"/>
  <c r="R6" i="79"/>
  <c r="AH107" i="79"/>
  <c r="E283" i="1"/>
  <c r="E284" i="1" s="1"/>
  <c r="K282" i="1"/>
  <c r="AH78" i="79"/>
  <c r="F4" i="55"/>
  <c r="F4" i="53"/>
  <c r="AH51" i="79"/>
  <c r="D4" i="57"/>
  <c r="AH58" i="79"/>
  <c r="E57" i="1"/>
  <c r="E25" i="1"/>
  <c r="F5" i="79" l="1"/>
  <c r="Z5" i="79" s="1"/>
  <c r="AP5" i="79" s="1"/>
  <c r="AG5" i="79"/>
  <c r="J259" i="1"/>
  <c r="J256" i="1"/>
  <c r="AG55" i="79"/>
  <c r="AF55" i="79"/>
  <c r="AE55" i="79"/>
  <c r="AD55" i="79"/>
  <c r="AG7" i="79"/>
  <c r="AF7" i="79"/>
  <c r="AD7" i="79"/>
  <c r="AE7" i="79"/>
  <c r="AG37" i="79"/>
  <c r="AF37" i="79"/>
  <c r="AD37" i="79"/>
  <c r="AE37" i="79"/>
  <c r="AG125" i="79"/>
  <c r="AF125" i="79"/>
  <c r="AE125" i="79"/>
  <c r="AD125" i="79"/>
  <c r="AF5" i="79"/>
  <c r="AG12" i="79"/>
  <c r="AF12" i="79"/>
  <c r="AE12" i="79"/>
  <c r="AD12" i="79"/>
  <c r="AG100" i="79"/>
  <c r="AF100" i="79"/>
  <c r="AE100" i="79"/>
  <c r="AD100" i="79"/>
  <c r="AG33" i="79"/>
  <c r="AF33" i="79"/>
  <c r="AE33" i="79"/>
  <c r="AD33" i="79"/>
  <c r="AG9" i="79"/>
  <c r="AF9" i="79"/>
  <c r="AD9" i="79"/>
  <c r="AE9" i="79"/>
  <c r="AG71" i="79"/>
  <c r="AF71" i="79"/>
  <c r="AD71" i="79"/>
  <c r="AE71" i="79"/>
  <c r="AG57" i="79"/>
  <c r="AF57" i="79"/>
  <c r="AD57" i="79"/>
  <c r="AE57" i="79"/>
  <c r="AH102" i="79"/>
  <c r="AG102" i="79"/>
  <c r="AF102" i="79"/>
  <c r="AD102" i="79"/>
  <c r="AE102" i="79"/>
  <c r="AG16" i="79"/>
  <c r="AF16" i="79"/>
  <c r="AD16" i="79"/>
  <c r="AE16" i="79"/>
  <c r="AG77" i="79"/>
  <c r="AF77" i="79"/>
  <c r="AE77" i="79"/>
  <c r="AD77" i="79"/>
  <c r="AG85" i="79"/>
  <c r="AF85" i="79"/>
  <c r="AE85" i="79"/>
  <c r="AD85" i="79"/>
  <c r="AG105" i="79"/>
  <c r="AF105" i="79"/>
  <c r="AD105" i="79"/>
  <c r="AE105" i="79"/>
  <c r="M255" i="1"/>
  <c r="M269" i="1"/>
  <c r="D24" i="123"/>
  <c r="K269" i="1"/>
  <c r="L269" i="1"/>
  <c r="R125" i="79"/>
  <c r="AB125" i="79" s="1"/>
  <c r="AL125" i="79" s="1"/>
  <c r="R80" i="79"/>
  <c r="AB80" i="79" s="1"/>
  <c r="AL80" i="79" s="1"/>
  <c r="AB85" i="79"/>
  <c r="AL85" i="79" s="1"/>
  <c r="AB77" i="79"/>
  <c r="AL77" i="79" s="1"/>
  <c r="AL98" i="79"/>
  <c r="AB37" i="79"/>
  <c r="AL37" i="79" s="1"/>
  <c r="AH105" i="79"/>
  <c r="AB99" i="79"/>
  <c r="AL99" i="79" s="1"/>
  <c r="AB62" i="79"/>
  <c r="AL62" i="79" s="1"/>
  <c r="AL95" i="79"/>
  <c r="AL93" i="79"/>
  <c r="AL79" i="79"/>
  <c r="AL53" i="79"/>
  <c r="AL31" i="79"/>
  <c r="AL107" i="79"/>
  <c r="AB55" i="79"/>
  <c r="AL55" i="79" s="1"/>
  <c r="AB43" i="79"/>
  <c r="AL43" i="79" s="1"/>
  <c r="AB64" i="79"/>
  <c r="AL64" i="79" s="1"/>
  <c r="AB13" i="79"/>
  <c r="AL13" i="79" s="1"/>
  <c r="AB56" i="79"/>
  <c r="AL56" i="79" s="1"/>
  <c r="AB27" i="79"/>
  <c r="AL27" i="79" s="1"/>
  <c r="AB91" i="79"/>
  <c r="AL91" i="79" s="1"/>
  <c r="AL59" i="79"/>
  <c r="AL101" i="79"/>
  <c r="AL61" i="79"/>
  <c r="AL35" i="79"/>
  <c r="AL123" i="79"/>
  <c r="AL109" i="79"/>
  <c r="AL115" i="79"/>
  <c r="AL116" i="79"/>
  <c r="AH12" i="79"/>
  <c r="AL63" i="79"/>
  <c r="AL103" i="79"/>
  <c r="AL88" i="79"/>
  <c r="AL23" i="79"/>
  <c r="AL119" i="79"/>
  <c r="AL15" i="79"/>
  <c r="AL52" i="79"/>
  <c r="AL39" i="79"/>
  <c r="AL47" i="79"/>
  <c r="AH7" i="79"/>
  <c r="AB7" i="79"/>
  <c r="AL7" i="79" s="1"/>
  <c r="AB71" i="79"/>
  <c r="AL71" i="79" s="1"/>
  <c r="AB29" i="79"/>
  <c r="AL29" i="79" s="1"/>
  <c r="AB45" i="79"/>
  <c r="AL45" i="79" s="1"/>
  <c r="AB75" i="79"/>
  <c r="AL75" i="79" s="1"/>
  <c r="AB58" i="79"/>
  <c r="AL58" i="79" s="1"/>
  <c r="AB87" i="79"/>
  <c r="AL87" i="79" s="1"/>
  <c r="AB51" i="79"/>
  <c r="AL51" i="79" s="1"/>
  <c r="AB117" i="79"/>
  <c r="AL117" i="79" s="1"/>
  <c r="AB83" i="79"/>
  <c r="AL83" i="79" s="1"/>
  <c r="AB90" i="79"/>
  <c r="AL90" i="79" s="1"/>
  <c r="AB67" i="79"/>
  <c r="AL67" i="79" s="1"/>
  <c r="AB69" i="79"/>
  <c r="AL69" i="79" s="1"/>
  <c r="AB19" i="79"/>
  <c r="AL19" i="79" s="1"/>
  <c r="AB111" i="79"/>
  <c r="AL111" i="79" s="1"/>
  <c r="AB6" i="79"/>
  <c r="AL6" i="79" s="1"/>
  <c r="R110" i="79"/>
  <c r="R54" i="79"/>
  <c r="R73" i="79"/>
  <c r="R96" i="79"/>
  <c r="R82" i="79"/>
  <c r="R122" i="79"/>
  <c r="R76" i="79"/>
  <c r="R50" i="79"/>
  <c r="R49" i="79"/>
  <c r="R86" i="79"/>
  <c r="R105" i="79"/>
  <c r="R17" i="79"/>
  <c r="R97" i="79"/>
  <c r="R60" i="79"/>
  <c r="R25" i="79"/>
  <c r="R70" i="79"/>
  <c r="R65" i="79"/>
  <c r="R78" i="79"/>
  <c r="R112" i="79"/>
  <c r="R104" i="79"/>
  <c r="R106" i="79"/>
  <c r="R124" i="79"/>
  <c r="R9" i="79"/>
  <c r="R100" i="79"/>
  <c r="AB100" i="79" s="1"/>
  <c r="R113" i="79"/>
  <c r="R84" i="79"/>
  <c r="R92" i="79"/>
  <c r="R81" i="79"/>
  <c r="R114" i="79"/>
  <c r="R66" i="79"/>
  <c r="R121" i="79"/>
  <c r="R33" i="79"/>
  <c r="AB33" i="79" s="1"/>
  <c r="R89" i="79"/>
  <c r="R57" i="79"/>
  <c r="X5" i="79"/>
  <c r="R120" i="79"/>
  <c r="R72" i="79"/>
  <c r="R94" i="79"/>
  <c r="R14" i="79"/>
  <c r="R36" i="79"/>
  <c r="R74" i="79"/>
  <c r="R68" i="79"/>
  <c r="R118" i="79"/>
  <c r="R108" i="79"/>
  <c r="R26" i="79"/>
  <c r="R44" i="79"/>
  <c r="R12" i="79"/>
  <c r="R24" i="79"/>
  <c r="R18" i="79"/>
  <c r="R20" i="79"/>
  <c r="R32" i="79"/>
  <c r="R16" i="79"/>
  <c r="R34" i="79"/>
  <c r="R48" i="79"/>
  <c r="Y5" i="79"/>
  <c r="R8" i="79"/>
  <c r="R10" i="79"/>
  <c r="R42" i="79"/>
  <c r="R46" i="79"/>
  <c r="R28" i="79"/>
  <c r="R30" i="79"/>
  <c r="R40" i="79"/>
  <c r="H13" i="123"/>
  <c r="H5" i="118"/>
  <c r="R5" i="79" s="1"/>
  <c r="H5" i="123"/>
  <c r="L258" i="1"/>
  <c r="E24" i="123"/>
  <c r="K258" i="1"/>
  <c r="AH16" i="79"/>
  <c r="AD5" i="79"/>
  <c r="K4" i="53"/>
  <c r="K271" i="1"/>
  <c r="K270" i="1" s="1"/>
  <c r="N255" i="1"/>
  <c r="N271" i="1"/>
  <c r="N269" i="1"/>
  <c r="L271" i="1"/>
  <c r="K255" i="1"/>
  <c r="L255" i="1"/>
  <c r="R38" i="79"/>
  <c r="R102" i="79"/>
  <c r="R22" i="79"/>
  <c r="AH125" i="79"/>
  <c r="AH118" i="79"/>
  <c r="AH91" i="79"/>
  <c r="AH21" i="79"/>
  <c r="AH53" i="79"/>
  <c r="AH74" i="79"/>
  <c r="AH55" i="79"/>
  <c r="AH41" i="79"/>
  <c r="AH111" i="79"/>
  <c r="AH123" i="79"/>
  <c r="AH100" i="79"/>
  <c r="AH113" i="79"/>
  <c r="AH49" i="79"/>
  <c r="AH63" i="79"/>
  <c r="AH115" i="79"/>
  <c r="AH17" i="79"/>
  <c r="AH72" i="79"/>
  <c r="AH77" i="79"/>
  <c r="AH84" i="79"/>
  <c r="AH85" i="79"/>
  <c r="AH14" i="79"/>
  <c r="AH67" i="79"/>
  <c r="AH94" i="79"/>
  <c r="AH24" i="79"/>
  <c r="AH116" i="79"/>
  <c r="AH11" i="79"/>
  <c r="AH61" i="79"/>
  <c r="AH120" i="79"/>
  <c r="AH96" i="79"/>
  <c r="AH90" i="79"/>
  <c r="AH43" i="79"/>
  <c r="R41" i="79"/>
  <c r="AH37" i="79"/>
  <c r="AH56" i="79"/>
  <c r="AH29" i="79"/>
  <c r="R11" i="79"/>
  <c r="AH68" i="79"/>
  <c r="AH80" i="79"/>
  <c r="AH70" i="79"/>
  <c r="AH60" i="79"/>
  <c r="AH69" i="79"/>
  <c r="AH76" i="79"/>
  <c r="AH44" i="79"/>
  <c r="AH42" i="79"/>
  <c r="AH73" i="79"/>
  <c r="R21" i="79"/>
  <c r="AH45" i="79"/>
  <c r="K283" i="1"/>
  <c r="AH88" i="79"/>
  <c r="AH6" i="79"/>
  <c r="AH117" i="79"/>
  <c r="AH65" i="79"/>
  <c r="AH50" i="79"/>
  <c r="AH57" i="79"/>
  <c r="AH110" i="79"/>
  <c r="AH114" i="79"/>
  <c r="AH34" i="79"/>
  <c r="AH103" i="79"/>
  <c r="AH108" i="79"/>
  <c r="AH106" i="79"/>
  <c r="AH46" i="79"/>
  <c r="AH15" i="79"/>
  <c r="AH81" i="79"/>
  <c r="AH71" i="79"/>
  <c r="AH10" i="79"/>
  <c r="AH54" i="79"/>
  <c r="AH104" i="79"/>
  <c r="AH82" i="79"/>
  <c r="AH83" i="79"/>
  <c r="AH30" i="79"/>
  <c r="AH31" i="79"/>
  <c r="AH38" i="79"/>
  <c r="AH112" i="79"/>
  <c r="AN5" i="79" l="1"/>
  <c r="AO5" i="79"/>
  <c r="U266" i="1"/>
  <c r="J272" i="1"/>
  <c r="W266" i="1"/>
  <c r="M272" i="1"/>
  <c r="V266" i="1"/>
  <c r="E8" i="123"/>
  <c r="B32" i="108"/>
  <c r="G8" i="123"/>
  <c r="E9" i="123"/>
  <c r="E29" i="108"/>
  <c r="D12" i="123"/>
  <c r="E28" i="108"/>
  <c r="G22" i="123"/>
  <c r="D32" i="108"/>
  <c r="D22" i="123"/>
  <c r="D9" i="123"/>
  <c r="D23" i="123"/>
  <c r="F22" i="123"/>
  <c r="E22" i="123"/>
  <c r="L270" i="1"/>
  <c r="W263" i="1" s="1"/>
  <c r="U268" i="1"/>
  <c r="AJ6" i="79"/>
  <c r="AK6" i="79"/>
  <c r="AB30" i="79"/>
  <c r="AL30" i="79" s="1"/>
  <c r="AB10" i="79"/>
  <c r="AL10" i="79" s="1"/>
  <c r="AB34" i="79"/>
  <c r="AL34" i="79" s="1"/>
  <c r="AB20" i="79"/>
  <c r="AL20" i="79" s="1"/>
  <c r="AB44" i="79"/>
  <c r="AL44" i="79" s="1"/>
  <c r="AB92" i="79"/>
  <c r="AK92" i="79" s="1"/>
  <c r="AB112" i="79"/>
  <c r="AJ112" i="79" s="1"/>
  <c r="AB25" i="79"/>
  <c r="AL25" i="79" s="1"/>
  <c r="AB76" i="79"/>
  <c r="AL76" i="79" s="1"/>
  <c r="AB73" i="79"/>
  <c r="AJ73" i="79" s="1"/>
  <c r="AB21" i="79"/>
  <c r="AL21" i="79" s="1"/>
  <c r="AB11" i="79"/>
  <c r="AL11" i="79" s="1"/>
  <c r="AB38" i="79"/>
  <c r="AL38" i="79" s="1"/>
  <c r="AB28" i="79"/>
  <c r="AJ28" i="79" s="1"/>
  <c r="AB8" i="79"/>
  <c r="AL8" i="79" s="1"/>
  <c r="AB18" i="79"/>
  <c r="AK18" i="79" s="1"/>
  <c r="AB26" i="79"/>
  <c r="AL26" i="79" s="1"/>
  <c r="AB74" i="79"/>
  <c r="AK74" i="79" s="1"/>
  <c r="AB72" i="79"/>
  <c r="AL72" i="79" s="1"/>
  <c r="AB89" i="79"/>
  <c r="AK89" i="79" s="1"/>
  <c r="AB66" i="79"/>
  <c r="AL66" i="79" s="1"/>
  <c r="AB84" i="79"/>
  <c r="AL84" i="79" s="1"/>
  <c r="AB124" i="79"/>
  <c r="AL124" i="79" s="1"/>
  <c r="AB78" i="79"/>
  <c r="AL78" i="79" s="1"/>
  <c r="AB60" i="79"/>
  <c r="AL60" i="79" s="1"/>
  <c r="AB86" i="79"/>
  <c r="AL86" i="79" s="1"/>
  <c r="AB122" i="79"/>
  <c r="AL122" i="79" s="1"/>
  <c r="AB54" i="79"/>
  <c r="AK54" i="79" s="1"/>
  <c r="AB105" i="79"/>
  <c r="AL105" i="79" s="1"/>
  <c r="AB94" i="79"/>
  <c r="AK94" i="79" s="1"/>
  <c r="AB46" i="79"/>
  <c r="AK46" i="79" s="1"/>
  <c r="AB24" i="79"/>
  <c r="AJ24" i="79" s="1"/>
  <c r="AB108" i="79"/>
  <c r="AL108" i="79" s="1"/>
  <c r="AB36" i="79"/>
  <c r="AJ36" i="79" s="1"/>
  <c r="AB120" i="79"/>
  <c r="AL120" i="79" s="1"/>
  <c r="AL33" i="79"/>
  <c r="AB114" i="79"/>
  <c r="AL114" i="79" s="1"/>
  <c r="AB113" i="79"/>
  <c r="AL113" i="79" s="1"/>
  <c r="AB106" i="79"/>
  <c r="AJ106" i="79" s="1"/>
  <c r="AB65" i="79"/>
  <c r="AL65" i="79" s="1"/>
  <c r="AB97" i="79"/>
  <c r="AL97" i="79" s="1"/>
  <c r="AB49" i="79"/>
  <c r="AL49" i="79" s="1"/>
  <c r="AB82" i="79"/>
  <c r="AL82" i="79" s="1"/>
  <c r="AB110" i="79"/>
  <c r="AL110" i="79" s="1"/>
  <c r="AB102" i="79"/>
  <c r="AL102" i="79" s="1"/>
  <c r="AB9" i="79"/>
  <c r="AL9" i="79" s="1"/>
  <c r="AB68" i="79"/>
  <c r="AL68" i="79" s="1"/>
  <c r="AB41" i="79"/>
  <c r="AL41" i="79" s="1"/>
  <c r="AB22" i="79"/>
  <c r="AL22" i="79" s="1"/>
  <c r="AB40" i="79"/>
  <c r="AK40" i="79" s="1"/>
  <c r="AB42" i="79"/>
  <c r="AL42" i="79" s="1"/>
  <c r="AB48" i="79"/>
  <c r="AL48" i="79" s="1"/>
  <c r="AB32" i="79"/>
  <c r="AL32" i="79" s="1"/>
  <c r="AB118" i="79"/>
  <c r="AL118" i="79" s="1"/>
  <c r="AB14" i="79"/>
  <c r="AJ14" i="79" s="1"/>
  <c r="AB121" i="79"/>
  <c r="AL121" i="79" s="1"/>
  <c r="AB81" i="79"/>
  <c r="AJ81" i="79" s="1"/>
  <c r="AL100" i="79"/>
  <c r="AB104" i="79"/>
  <c r="AL104" i="79" s="1"/>
  <c r="AB70" i="79"/>
  <c r="AL70" i="79" s="1"/>
  <c r="AB17" i="79"/>
  <c r="AL17" i="79" s="1"/>
  <c r="AB50" i="79"/>
  <c r="AL50" i="79" s="1"/>
  <c r="AB96" i="79"/>
  <c r="AL96" i="79" s="1"/>
  <c r="AB12" i="79"/>
  <c r="AJ12" i="79" s="1"/>
  <c r="AB57" i="79"/>
  <c r="AL57" i="79" s="1"/>
  <c r="AB16" i="79"/>
  <c r="AL16" i="79" s="1"/>
  <c r="H22" i="123"/>
  <c r="H8" i="123"/>
  <c r="H24" i="123"/>
  <c r="E32" i="108" s="1"/>
  <c r="D8" i="123"/>
  <c r="E12" i="123"/>
  <c r="E23" i="123"/>
  <c r="N270" i="1"/>
  <c r="W265" i="1" s="1"/>
  <c r="N259" i="1"/>
  <c r="V265" i="1" s="1"/>
  <c r="L259" i="1"/>
  <c r="V263" i="1" s="1"/>
  <c r="W262" i="1"/>
  <c r="K259" i="1"/>
  <c r="V262" i="1" s="1"/>
  <c r="W261" i="1"/>
  <c r="V261" i="1"/>
  <c r="F5" i="123"/>
  <c r="K256" i="1"/>
  <c r="U262" i="1" s="1"/>
  <c r="AK7" i="79"/>
  <c r="AJ7" i="79"/>
  <c r="AK55" i="79"/>
  <c r="AJ55" i="79"/>
  <c r="AK95" i="79"/>
  <c r="AJ95" i="79"/>
  <c r="AK111" i="79"/>
  <c r="AJ111" i="79"/>
  <c r="AJ91" i="79"/>
  <c r="AK91" i="79"/>
  <c r="AK107" i="79"/>
  <c r="AJ107" i="79"/>
  <c r="AK100" i="79"/>
  <c r="AJ100" i="79"/>
  <c r="AK109" i="79"/>
  <c r="AJ109" i="79"/>
  <c r="AK90" i="79"/>
  <c r="AJ90" i="79"/>
  <c r="AK33" i="79"/>
  <c r="AJ33" i="79"/>
  <c r="AK61" i="79"/>
  <c r="AJ61" i="79"/>
  <c r="AK31" i="79"/>
  <c r="AJ31" i="79"/>
  <c r="AK79" i="79"/>
  <c r="AJ79" i="79"/>
  <c r="AK35" i="79"/>
  <c r="AJ35" i="79"/>
  <c r="AK87" i="79"/>
  <c r="AJ87" i="79"/>
  <c r="AK115" i="79"/>
  <c r="AJ115" i="79"/>
  <c r="AK80" i="79"/>
  <c r="AJ80" i="79"/>
  <c r="AK85" i="79"/>
  <c r="AJ85" i="79"/>
  <c r="AK119" i="79"/>
  <c r="AJ119" i="79"/>
  <c r="AK103" i="79"/>
  <c r="AJ103" i="79"/>
  <c r="AK63" i="79"/>
  <c r="AJ63" i="79"/>
  <c r="AK47" i="79"/>
  <c r="AJ47" i="79"/>
  <c r="AJ53" i="79"/>
  <c r="AK53" i="79"/>
  <c r="AK51" i="79"/>
  <c r="AJ51" i="79"/>
  <c r="AK39" i="79"/>
  <c r="AJ39" i="79"/>
  <c r="AK93" i="79"/>
  <c r="AJ93" i="79"/>
  <c r="AK59" i="79"/>
  <c r="AJ59" i="79"/>
  <c r="AK27" i="79"/>
  <c r="AJ27" i="79"/>
  <c r="AK99" i="79"/>
  <c r="AJ99" i="79"/>
  <c r="AK67" i="79"/>
  <c r="AJ67" i="79"/>
  <c r="AJ29" i="79"/>
  <c r="AK29" i="79"/>
  <c r="AK88" i="79"/>
  <c r="AJ88" i="79"/>
  <c r="AK37" i="79"/>
  <c r="AJ37" i="79"/>
  <c r="AK83" i="79"/>
  <c r="AJ83" i="79"/>
  <c r="AK64" i="79"/>
  <c r="AJ64" i="79"/>
  <c r="AK56" i="79"/>
  <c r="AJ56" i="79"/>
  <c r="AK58" i="79"/>
  <c r="AJ58" i="79"/>
  <c r="AK125" i="79"/>
  <c r="AJ125" i="79"/>
  <c r="AK52" i="79"/>
  <c r="AJ52" i="79"/>
  <c r="AK23" i="79"/>
  <c r="AJ23" i="79"/>
  <c r="AK75" i="79"/>
  <c r="AJ75" i="79"/>
  <c r="AK45" i="79"/>
  <c r="AJ45" i="79"/>
  <c r="AK15" i="79"/>
  <c r="AJ15" i="79"/>
  <c r="AK43" i="79"/>
  <c r="AJ43" i="79"/>
  <c r="AK69" i="79"/>
  <c r="AJ69" i="79"/>
  <c r="AK77" i="79"/>
  <c r="AJ77" i="79"/>
  <c r="AK123" i="79"/>
  <c r="AJ123" i="79"/>
  <c r="AK98" i="79"/>
  <c r="AJ98" i="79"/>
  <c r="AK101" i="79"/>
  <c r="AJ101" i="79"/>
  <c r="AK116" i="79"/>
  <c r="AJ116" i="79"/>
  <c r="AK117" i="79"/>
  <c r="AJ117" i="79"/>
  <c r="AJ13" i="79"/>
  <c r="AK13" i="79"/>
  <c r="AK62" i="79"/>
  <c r="AJ62" i="79"/>
  <c r="AK71" i="79"/>
  <c r="AJ71" i="79"/>
  <c r="AK19" i="79"/>
  <c r="AJ19" i="79"/>
  <c r="N256" i="1"/>
  <c r="U265" i="1" s="1"/>
  <c r="L256" i="1"/>
  <c r="U263" i="1" s="1"/>
  <c r="U261" i="1"/>
  <c r="AH75" i="79"/>
  <c r="AH86" i="79"/>
  <c r="AH26" i="79"/>
  <c r="AH35" i="79"/>
  <c r="AH33" i="79"/>
  <c r="AH9" i="79"/>
  <c r="AH59" i="79"/>
  <c r="AH119" i="79"/>
  <c r="AH13" i="79"/>
  <c r="AH48" i="79"/>
  <c r="AH66" i="79"/>
  <c r="AH124" i="79"/>
  <c r="AH36" i="79"/>
  <c r="AH25" i="79"/>
  <c r="AH121" i="79"/>
  <c r="AH52" i="79"/>
  <c r="AH101" i="79"/>
  <c r="AH79" i="79"/>
  <c r="AH23" i="79"/>
  <c r="AH47" i="79"/>
  <c r="AH122" i="79"/>
  <c r="L272" i="1"/>
  <c r="K284" i="1"/>
  <c r="K272" i="1"/>
  <c r="AH98" i="79"/>
  <c r="AH19" i="79"/>
  <c r="AJ120" i="79" l="1"/>
  <c r="B30" i="108"/>
  <c r="B33" i="108" s="1"/>
  <c r="F8" i="123"/>
  <c r="D25" i="123"/>
  <c r="G25" i="123"/>
  <c r="AJ121" i="79"/>
  <c r="AK8" i="79"/>
  <c r="AK34" i="79"/>
  <c r="AJ8" i="79"/>
  <c r="AK112" i="79"/>
  <c r="AJ82" i="79"/>
  <c r="AJ34" i="79"/>
  <c r="AJ124" i="79"/>
  <c r="AK9" i="79"/>
  <c r="AJ66" i="79"/>
  <c r="AJ96" i="79"/>
  <c r="AK114" i="79"/>
  <c r="AK17" i="79"/>
  <c r="AJ113" i="79"/>
  <c r="AK10" i="79"/>
  <c r="AK50" i="79"/>
  <c r="AK36" i="79"/>
  <c r="AJ49" i="79"/>
  <c r="AJ10" i="79"/>
  <c r="AJ86" i="79"/>
  <c r="AJ9" i="79"/>
  <c r="AK113" i="79"/>
  <c r="AK49" i="79"/>
  <c r="AJ70" i="79"/>
  <c r="AK96" i="79"/>
  <c r="AK12" i="79"/>
  <c r="AK48" i="79"/>
  <c r="AK70" i="79"/>
  <c r="AJ97" i="79"/>
  <c r="AK44" i="79"/>
  <c r="AJ48" i="79"/>
  <c r="AK78" i="79"/>
  <c r="AK76" i="79"/>
  <c r="AK121" i="79"/>
  <c r="AK16" i="79"/>
  <c r="AJ50" i="79"/>
  <c r="AJ78" i="79"/>
  <c r="AJ16" i="79"/>
  <c r="AK60" i="79"/>
  <c r="AK106" i="79"/>
  <c r="AK66" i="79"/>
  <c r="AK65" i="79"/>
  <c r="AJ46" i="79"/>
  <c r="AK120" i="79"/>
  <c r="AJ68" i="79"/>
  <c r="AJ54" i="79"/>
  <c r="AL46" i="79"/>
  <c r="AL54" i="79"/>
  <c r="AL74" i="79"/>
  <c r="AK14" i="79"/>
  <c r="AJ76" i="79"/>
  <c r="AK105" i="79"/>
  <c r="AJ84" i="79"/>
  <c r="AL89" i="79"/>
  <c r="AK28" i="79"/>
  <c r="AK25" i="79"/>
  <c r="AK124" i="79"/>
  <c r="AK108" i="79"/>
  <c r="AJ42" i="79"/>
  <c r="AJ18" i="79"/>
  <c r="AK82" i="79"/>
  <c r="AJ30" i="79"/>
  <c r="AJ72" i="79"/>
  <c r="AK86" i="79"/>
  <c r="AJ25" i="79"/>
  <c r="AK68" i="79"/>
  <c r="AK26" i="79"/>
  <c r="AJ118" i="79"/>
  <c r="AK20" i="79"/>
  <c r="AK73" i="79"/>
  <c r="AJ122" i="79"/>
  <c r="AL106" i="79"/>
  <c r="AL18" i="79"/>
  <c r="AL112" i="79"/>
  <c r="AJ65" i="79"/>
  <c r="AJ26" i="79"/>
  <c r="AK42" i="79"/>
  <c r="AK24" i="79"/>
  <c r="AK30" i="79"/>
  <c r="AK72" i="79"/>
  <c r="AJ114" i="79"/>
  <c r="AJ44" i="79"/>
  <c r="AJ17" i="79"/>
  <c r="AJ105" i="79"/>
  <c r="AK110" i="79"/>
  <c r="AK118" i="79"/>
  <c r="AK122" i="79"/>
  <c r="AJ60" i="79"/>
  <c r="AK97" i="79"/>
  <c r="AK32" i="79"/>
  <c r="AJ110" i="79"/>
  <c r="AJ20" i="79"/>
  <c r="AJ108" i="79"/>
  <c r="AJ57" i="79"/>
  <c r="AJ92" i="79"/>
  <c r="AJ104" i="79"/>
  <c r="AK84" i="79"/>
  <c r="AL40" i="79"/>
  <c r="AL92" i="79"/>
  <c r="AK57" i="79"/>
  <c r="AJ32" i="79"/>
  <c r="AK104" i="79"/>
  <c r="AL12" i="79"/>
  <c r="AJ40" i="79"/>
  <c r="AK81" i="79"/>
  <c r="AJ74" i="79"/>
  <c r="AJ89" i="79"/>
  <c r="AL81" i="79"/>
  <c r="AL14" i="79"/>
  <c r="AL36" i="79"/>
  <c r="AL24" i="79"/>
  <c r="AL94" i="79"/>
  <c r="AL28" i="79"/>
  <c r="AL73" i="79"/>
  <c r="AJ94" i="79"/>
  <c r="H12" i="123"/>
  <c r="H9" i="123"/>
  <c r="E25" i="123"/>
  <c r="H23" i="123"/>
  <c r="F24" i="123"/>
  <c r="AK22" i="79"/>
  <c r="AJ22" i="79"/>
  <c r="AK21" i="79"/>
  <c r="AJ21" i="79"/>
  <c r="AJ11" i="79"/>
  <c r="AK11" i="79"/>
  <c r="AB5" i="79"/>
  <c r="AL5" i="79" s="1"/>
  <c r="AK102" i="79"/>
  <c r="AJ102" i="79"/>
  <c r="AK41" i="79"/>
  <c r="AJ41" i="79"/>
  <c r="AK38" i="79"/>
  <c r="AJ38" i="79"/>
  <c r="AH128" i="79"/>
  <c r="AE128" i="79"/>
  <c r="AD127" i="79"/>
  <c r="AF128" i="79"/>
  <c r="AE127" i="79"/>
  <c r="AF127" i="79"/>
  <c r="AH127" i="79"/>
  <c r="N272" i="1"/>
  <c r="AE5" i="79"/>
  <c r="AH5" i="79"/>
  <c r="AD128" i="79"/>
  <c r="F9" i="123" l="1"/>
  <c r="E30" i="108"/>
  <c r="E33" i="108" s="1"/>
  <c r="F12" i="123"/>
  <c r="F23" i="123"/>
  <c r="F25" i="123"/>
  <c r="H25" i="123" s="1"/>
  <c r="AK128" i="79"/>
  <c r="AL127" i="79"/>
  <c r="AJ128" i="79"/>
  <c r="AK5" i="79"/>
  <c r="AJ5" i="79"/>
  <c r="AK127" i="79"/>
  <c r="AL128" i="79"/>
  <c r="AJ127" i="79"/>
</calcChain>
</file>

<file path=xl/sharedStrings.xml><?xml version="1.0" encoding="utf-8"?>
<sst xmlns="http://schemas.openxmlformats.org/spreadsheetml/2006/main" count="24947" uniqueCount="1053">
  <si>
    <t>FIPS:</t>
  </si>
  <si>
    <t>Locality Name:</t>
  </si>
  <si>
    <t>White</t>
  </si>
  <si>
    <t>African American</t>
  </si>
  <si>
    <t>FIPS</t>
  </si>
  <si>
    <t>Locality</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</si>
  <si>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</si>
  <si>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</si>
  <si>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</si>
  <si>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</si>
  <si>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</si>
  <si>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</si>
  <si>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</si>
  <si>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</si>
  <si>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</si>
  <si>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</si>
  <si>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</si>
  <si>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</si>
  <si>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</si>
  <si>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</si>
  <si>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</si>
  <si>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</si>
  <si>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</si>
  <si>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</si>
  <si>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</si>
  <si>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</si>
  <si>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</si>
  <si>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</si>
  <si>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</si>
  <si>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</si>
  <si>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</si>
  <si>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</si>
  <si>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</si>
  <si>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</si>
  <si>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</si>
  <si>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</si>
  <si>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</si>
  <si>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</si>
  <si>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</si>
  <si>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</si>
  <si>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</si>
  <si>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</si>
  <si>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</si>
  <si>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</si>
  <si>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</si>
  <si>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</si>
  <si>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</si>
  <si>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</si>
  <si>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</si>
  <si>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</si>
  <si>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</si>
  <si>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</si>
  <si>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</si>
  <si>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</si>
  <si>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</si>
  <si>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</si>
  <si>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</si>
  <si>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</si>
  <si>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</si>
  <si>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</si>
  <si>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</si>
  <si>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</si>
  <si>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</si>
  <si>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</si>
  <si>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</si>
  <si>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</si>
  <si>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</si>
  <si>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</si>
  <si>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</si>
  <si>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</si>
  <si>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</si>
  <si>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</si>
  <si>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</si>
  <si>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</si>
  <si>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</si>
  <si>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</si>
  <si>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</si>
  <si>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</si>
  <si>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</si>
  <si>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</si>
  <si>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</si>
  <si>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</si>
  <si>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</si>
  <si>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</si>
  <si>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</si>
  <si>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</si>
  <si>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</si>
  <si>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</si>
  <si>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</si>
  <si>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</si>
  <si>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</si>
  <si>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</si>
  <si>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</si>
  <si>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</si>
  <si>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</si>
  <si>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</si>
  <si>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</si>
  <si>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</si>
  <si>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</si>
  <si>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</si>
  <si>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</si>
  <si>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</si>
  <si>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</si>
  <si>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</si>
  <si>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</si>
  <si>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</si>
  <si>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</si>
  <si>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</si>
  <si>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</si>
  <si>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</si>
  <si>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</si>
  <si>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</si>
  <si>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</si>
  <si>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</si>
  <si>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</si>
  <si>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</si>
  <si>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</si>
  <si>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</si>
  <si>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</si>
  <si>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</si>
  <si>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</si>
  <si>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</si>
  <si>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</si>
  <si>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</si>
  <si>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</si>
  <si>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</si>
  <si>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</si>
  <si>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</si>
  <si>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</si>
  <si>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</si>
  <si>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</si>
  <si>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</si>
  <si>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</si>
  <si>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</si>
  <si>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</si>
  <si>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</si>
  <si>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</si>
  <si>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</si>
  <si>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</si>
  <si>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</si>
  <si>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</si>
  <si>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</si>
  <si>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</si>
  <si>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</si>
  <si>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</si>
  <si>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</si>
  <si>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</si>
  <si>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</si>
  <si>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</si>
  <si>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</si>
  <si>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</si>
  <si>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</si>
  <si>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</si>
  <si>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</si>
  <si>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</si>
  <si>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</si>
  <si>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</si>
  <si>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</si>
  <si>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</si>
  <si>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</si>
  <si>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</si>
  <si>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</si>
  <si>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</si>
  <si>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</si>
  <si>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</si>
  <si>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</si>
  <si>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</si>
  <si>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</si>
  <si>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</si>
  <si>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</si>
  <si>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</si>
  <si>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</si>
  <si>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</si>
  <si>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</si>
  <si>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</si>
  <si>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</si>
  <si>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</si>
  <si>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</si>
  <si>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</si>
  <si>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</si>
  <si>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</si>
  <si>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</si>
  <si>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</si>
  <si>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</si>
  <si>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</si>
  <si>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</si>
  <si>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</si>
  <si>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</si>
  <si>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</si>
  <si>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</si>
  <si>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</si>
  <si>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</si>
  <si>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</si>
  <si>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</si>
  <si>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</si>
  <si>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</si>
  <si>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</si>
  <si>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</si>
  <si>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</si>
  <si>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</si>
  <si>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</si>
  <si>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</si>
  <si>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</si>
  <si>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</si>
  <si>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</si>
  <si>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</si>
  <si>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</si>
  <si>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</si>
  <si>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</si>
  <si>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</si>
  <si>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</si>
  <si>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</si>
  <si>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</si>
  <si>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</si>
  <si>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</si>
  <si>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</si>
  <si>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</si>
  <si>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</si>
  <si>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</si>
  <si>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</si>
  <si>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</si>
  <si>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</si>
  <si>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</si>
  <si>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</si>
  <si>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</si>
  <si>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</si>
  <si>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</si>
  <si>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</si>
  <si>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</si>
  <si>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</si>
  <si>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</si>
  <si>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</si>
  <si>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</si>
  <si>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</si>
  <si>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</si>
  <si>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</si>
  <si>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</si>
  <si>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</si>
  <si>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</si>
  <si>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</si>
  <si>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</si>
  <si>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</si>
  <si>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</si>
  <si>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</si>
  <si>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</si>
  <si>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</si>
  <si>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</si>
  <si>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</si>
  <si>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</si>
  <si>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</si>
  <si>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</si>
  <si>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Eastern</t>
  </si>
  <si>
    <t>Piedmont</t>
  </si>
  <si>
    <t>Central</t>
  </si>
  <si>
    <t>Northern</t>
  </si>
  <si>
    <t>Western</t>
  </si>
  <si>
    <t>Charles City</t>
  </si>
  <si>
    <t>Isle of Wight</t>
  </si>
  <si>
    <t>King &amp; Queen</t>
  </si>
  <si>
    <t>Richmond County</t>
  </si>
  <si>
    <t>Manassas City</t>
  </si>
  <si>
    <t>Percent</t>
  </si>
  <si>
    <t>Total</t>
  </si>
  <si>
    <t>Greensville/Emporia</t>
  </si>
  <si>
    <t>Roanoke County/ Salem</t>
  </si>
  <si>
    <t>Rockbridge/BV/ Lexington</t>
  </si>
  <si>
    <t>James City County</t>
  </si>
  <si>
    <t>Location</t>
  </si>
  <si>
    <t>King and Queen</t>
  </si>
  <si>
    <t>Rockbridge/Buena Vista/Lexington</t>
  </si>
  <si>
    <t>Rockingham/Harrisonburg</t>
  </si>
  <si>
    <t>Chesterfield/Colonial Heights</t>
  </si>
  <si>
    <t>Fairfax County/City/Falls Church</t>
  </si>
  <si>
    <t>Alleghany/Covington</t>
  </si>
  <si>
    <t>Augusta/Staunton/Waynesboro</t>
  </si>
  <si>
    <t>Henry/Martinsville</t>
  </si>
  <si>
    <t>Roanoke County/Salem</t>
  </si>
  <si>
    <t>Fairfax Co./ City/ Falls Church</t>
  </si>
  <si>
    <t>FIPS Number</t>
  </si>
  <si>
    <t>NER</t>
  </si>
  <si>
    <t>Combined FIPS</t>
  </si>
  <si>
    <t>Franklin Co.</t>
  </si>
  <si>
    <t>Halifax/ So. Boston</t>
  </si>
  <si>
    <t>York/ Poquoson</t>
  </si>
  <si>
    <t>Franklin</t>
  </si>
  <si>
    <t>Richmond</t>
  </si>
  <si>
    <t>Roanoke</t>
  </si>
  <si>
    <t>Federal</t>
  </si>
  <si>
    <t>State</t>
  </si>
  <si>
    <t>Local</t>
  </si>
  <si>
    <t>Administrative costs</t>
  </si>
  <si>
    <t>SNAP</t>
  </si>
  <si>
    <t>Medicaid_Fed</t>
  </si>
  <si>
    <t>SNAP_Total</t>
  </si>
  <si>
    <t>SNAP_FED</t>
  </si>
  <si>
    <t>LIHEAP_Total</t>
  </si>
  <si>
    <t>Non-Reimbursable</t>
  </si>
  <si>
    <t>TANF</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</si>
  <si>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</si>
  <si>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</si>
  <si>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</si>
  <si>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</si>
  <si>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</si>
  <si>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</si>
  <si>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</si>
  <si>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</si>
  <si>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</si>
  <si>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</si>
  <si>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</si>
  <si>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</si>
  <si>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</si>
  <si>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</si>
  <si>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</si>
  <si>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</si>
  <si>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</si>
  <si>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</si>
  <si>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</si>
  <si>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</si>
  <si>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</si>
  <si>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</si>
  <si>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</si>
  <si>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</si>
  <si>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</si>
  <si>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</si>
  <si>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</si>
  <si>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</si>
  <si>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</si>
  <si>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</si>
  <si>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</si>
  <si>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</si>
  <si>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</si>
  <si>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</si>
  <si>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</si>
  <si>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</si>
  <si>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</si>
  <si>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</si>
  <si>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</si>
  <si>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</si>
  <si>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</si>
  <si>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</si>
  <si>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</si>
  <si>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</si>
  <si>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</si>
  <si>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</si>
  <si>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</si>
  <si>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</si>
  <si>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</si>
  <si>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</si>
  <si>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</si>
  <si>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</si>
  <si>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</si>
  <si>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</si>
  <si>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</si>
  <si>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</si>
  <si>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</si>
  <si>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</si>
  <si>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</si>
  <si>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</si>
  <si>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</si>
  <si>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Powhatan County</t>
  </si>
  <si>
    <t>Prince Edward County</t>
  </si>
  <si>
    <t>Prince George County</t>
  </si>
  <si>
    <t>Prince William County</t>
  </si>
  <si>
    <t>Pulaski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</si>
  <si>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</si>
  <si>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</si>
  <si>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</si>
  <si>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</si>
  <si>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</si>
  <si>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</si>
  <si>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</si>
  <si>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</si>
  <si>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</si>
  <si>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</si>
  <si>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</si>
  <si>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</si>
  <si>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</si>
  <si>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</si>
  <si>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</si>
  <si>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Asian</t>
  </si>
  <si>
    <t>Male</t>
  </si>
  <si>
    <t>Female</t>
  </si>
  <si>
    <t>Sex Unknown</t>
  </si>
  <si>
    <t>Hispanic</t>
  </si>
  <si>
    <t>Race Unknown</t>
  </si>
  <si>
    <t>WHITE</t>
  </si>
  <si>
    <t>BLACK</t>
  </si>
  <si>
    <t>Notes:  Budget line (BL) key for spending categories.</t>
  </si>
  <si>
    <t>Other race</t>
  </si>
  <si>
    <t>Total Recipients</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</si>
  <si>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</si>
  <si>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</si>
  <si>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</si>
  <si>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</si>
  <si>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</si>
  <si>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</si>
  <si>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</si>
  <si>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</si>
  <si>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</si>
  <si>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</si>
  <si>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</si>
  <si>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</si>
  <si>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</si>
  <si>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</si>
  <si>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</si>
  <si>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</si>
  <si>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Roanoke Co./Salem</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</si>
  <si>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</si>
  <si>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</si>
  <si>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</si>
  <si>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</si>
  <si>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</si>
  <si>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</si>
  <si>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Count</t>
  </si>
  <si>
    <t>Hispanic or Latino</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</si>
  <si>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</si>
  <si>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</si>
  <si>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</si>
  <si>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</si>
  <si>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</si>
  <si>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</si>
  <si>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</si>
  <si>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</si>
  <si>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</si>
  <si>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</si>
  <si>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Advisory</t>
  </si>
  <si>
    <t>Fairfax County/Fairfax City/Falls Church</t>
  </si>
  <si>
    <t>Client Benefits Spending</t>
  </si>
  <si>
    <t>LDSS Agency</t>
  </si>
  <si>
    <t>Administrative</t>
  </si>
  <si>
    <t>Fairfax Co./ Fairfax City/ Falls Church</t>
  </si>
  <si>
    <t>Halifax/ South Boston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</si>
  <si>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</si>
  <si>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</si>
  <si>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</si>
  <si>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</si>
  <si>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</si>
  <si>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</si>
  <si>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</si>
  <si>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</si>
  <si>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</si>
  <si>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</si>
  <si>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</si>
  <si>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</si>
  <si>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Augusta/ Staunton/ Waynesboro</t>
  </si>
  <si>
    <t>County/City Administrator</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</si>
  <si>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</si>
  <si>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</si>
  <si>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</si>
  <si>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</si>
  <si>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</si>
  <si>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</si>
  <si>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</si>
  <si>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</si>
  <si>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</si>
  <si>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</si>
  <si>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</si>
  <si>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</si>
  <si>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</si>
  <si>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</si>
  <si>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</si>
  <si>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</si>
  <si>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</si>
  <si>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</si>
  <si>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</si>
  <si>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</si>
  <si>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</si>
  <si>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</si>
  <si>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</si>
  <si>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</si>
  <si>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Agency Level</t>
  </si>
  <si>
    <t>AI/AN</t>
  </si>
  <si>
    <t>Regions</t>
  </si>
  <si>
    <t>% of Total</t>
  </si>
  <si>
    <r>
      <t>Type of Agency Board:</t>
    </r>
    <r>
      <rPr>
        <b/>
        <vertAlign val="superscript"/>
        <sz val="9"/>
        <color indexed="8"/>
        <rFont val="Cambria"/>
        <family val="1"/>
      </rPr>
      <t>4</t>
    </r>
  </si>
  <si>
    <t>Number of Filled Positions</t>
  </si>
  <si>
    <t>Number of Unfilled Positions</t>
  </si>
  <si>
    <t>Total Number of Positions</t>
  </si>
  <si>
    <t>Adult 65+ years</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</si>
  <si>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</si>
  <si>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</si>
  <si>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</si>
  <si>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</si>
  <si>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</si>
  <si>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</si>
  <si>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</si>
  <si>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</si>
  <si>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</si>
  <si>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</si>
  <si>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</si>
  <si>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</si>
  <si>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</si>
  <si>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</si>
  <si>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</si>
  <si>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</si>
  <si>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</si>
  <si>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</si>
  <si>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Race/Ethnicity</t>
  </si>
  <si>
    <t>Age Group (years)</t>
  </si>
  <si>
    <t>NH/PI</t>
  </si>
  <si>
    <t>Unknown</t>
  </si>
  <si>
    <t>Fairfax Co.-City/Falls Church</t>
  </si>
  <si>
    <t>Source: VDSS, Division of Family Services, ASAPS (Adult Services Adult Protectives Services) data system.</t>
  </si>
  <si>
    <t>Race</t>
  </si>
  <si>
    <t>Age (in years)</t>
  </si>
  <si>
    <t>Elderly (65 years and older)</t>
  </si>
  <si>
    <t>Statewide (subtotal)</t>
  </si>
  <si>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</si>
  <si>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</si>
  <si>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</si>
  <si>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Virginia</t>
  </si>
  <si>
    <t xml:space="preserve">Source: Virginia Employment Commission. Rates are not seasonally adjusted. </t>
  </si>
  <si>
    <t>Direct</t>
  </si>
  <si>
    <t>Indirect</t>
  </si>
  <si>
    <t xml:space="preserve">Direct </t>
  </si>
  <si>
    <t>Total (less invalid)</t>
  </si>
  <si>
    <t>By Age Group</t>
  </si>
  <si>
    <t>65+ years</t>
  </si>
  <si>
    <t>0-17 years</t>
  </si>
  <si>
    <t>Other race*</t>
  </si>
  <si>
    <t>Goochlan</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</si>
  <si>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</si>
  <si>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</si>
  <si>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871 (50%/50%)</t>
  </si>
  <si>
    <t>878 (100% Fed)</t>
  </si>
  <si>
    <t>881 (50%/50%)</t>
  </si>
  <si>
    <t>883 (100% Fed)</t>
  </si>
  <si>
    <t>Grand Total</t>
  </si>
  <si>
    <t>Fed/State Total</t>
  </si>
  <si>
    <t>STATE</t>
  </si>
  <si>
    <t>Multiracial</t>
  </si>
  <si>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</si>
  <si>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</si>
  <si>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</si>
  <si>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</si>
  <si>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</si>
  <si>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</si>
  <si>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</si>
  <si>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SFY 2014</t>
  </si>
  <si>
    <t>Gender</t>
  </si>
  <si>
    <t>Children receiving adoption assistance</t>
  </si>
  <si>
    <t>Non-Marital Births</t>
  </si>
  <si>
    <t>Teen Births</t>
  </si>
  <si>
    <t>Rate</t>
  </si>
  <si>
    <t>Age Group</t>
  </si>
  <si>
    <r>
      <t>Any Program</t>
    </r>
    <r>
      <rPr>
        <b/>
        <vertAlign val="superscript"/>
        <sz val="9"/>
        <rFont val="Cambria"/>
        <family val="1"/>
        <scheme val="major"/>
      </rPr>
      <t>2</t>
    </r>
  </si>
  <si>
    <t>Number of Non-Marital Births</t>
  </si>
  <si>
    <t>Percentage of Live Births that are Non-Marital</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</si>
  <si>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</si>
  <si>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</si>
  <si>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</si>
  <si>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</si>
  <si>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</si>
  <si>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</si>
  <si>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</si>
  <si>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</si>
  <si>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</si>
  <si>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</si>
  <si>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</si>
  <si>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</si>
  <si>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</si>
  <si>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</si>
  <si>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</si>
  <si>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PD</t>
  </si>
  <si>
    <t>NA</t>
  </si>
  <si>
    <t>SAIPE Poverty Universe</t>
  </si>
  <si>
    <t>Poverty Count</t>
  </si>
  <si>
    <t>Poverty Percent</t>
  </si>
  <si>
    <t>Bedford</t>
  </si>
  <si>
    <r>
      <t>Staff and operations</t>
    </r>
    <r>
      <rPr>
        <vertAlign val="superscript"/>
        <sz val="9"/>
        <color theme="1"/>
        <rFont val="Cambria"/>
        <family val="1"/>
        <scheme val="major"/>
      </rPr>
      <t>1</t>
    </r>
  </si>
  <si>
    <t>Fund 0033</t>
  </si>
  <si>
    <t>Fund 0077</t>
  </si>
  <si>
    <t>Non-Reimbursable (0033 &amp; 0077)</t>
  </si>
  <si>
    <t>Local &amp; NER comb.</t>
  </si>
  <si>
    <r>
      <t>Other expenses</t>
    </r>
    <r>
      <rPr>
        <vertAlign val="superscript"/>
        <sz val="9"/>
        <color theme="1"/>
        <rFont val="Cambria"/>
        <family val="1"/>
        <scheme val="major"/>
      </rPr>
      <t>2</t>
    </r>
  </si>
  <si>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</si>
  <si>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</si>
  <si>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</si>
  <si>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TANF_State</t>
  </si>
  <si>
    <t>TANF_Local</t>
  </si>
  <si>
    <t>TANF_NER</t>
  </si>
  <si>
    <t>TANF_Total</t>
  </si>
  <si>
    <r>
      <t>TANF</t>
    </r>
    <r>
      <rPr>
        <vertAlign val="superscript"/>
        <sz val="9"/>
        <color theme="1"/>
        <rFont val="Cambria"/>
        <family val="1"/>
        <scheme val="major"/>
      </rPr>
      <t>5</t>
    </r>
  </si>
  <si>
    <t>LIHEAP_State Share</t>
  </si>
  <si>
    <t>LIHEAP_Local Share</t>
  </si>
  <si>
    <t>LIHEAP_Fed Share</t>
  </si>
  <si>
    <t>LIHEAP_NER</t>
  </si>
  <si>
    <t>LIHEAP_Local/NER</t>
  </si>
  <si>
    <r>
      <t>Foster care and adoption</t>
    </r>
    <r>
      <rPr>
        <vertAlign val="superscript"/>
        <sz val="9"/>
        <color theme="1"/>
        <rFont val="Cambria"/>
        <family val="1"/>
        <scheme val="major"/>
      </rPr>
      <t>6</t>
    </r>
  </si>
  <si>
    <t>CSA_LOCAL</t>
  </si>
  <si>
    <t>CSA_FED</t>
  </si>
  <si>
    <t>CSA_STATE</t>
  </si>
  <si>
    <t>CSA_Non-Reimbursed</t>
  </si>
  <si>
    <t>CSA_Total</t>
  </si>
  <si>
    <t>CSA_Local/NER comb.</t>
  </si>
  <si>
    <r>
      <t>Child Care</t>
    </r>
    <r>
      <rPr>
        <vertAlign val="superscript"/>
        <sz val="9"/>
        <color theme="1"/>
        <rFont val="Cambria"/>
        <family val="1"/>
        <scheme val="major"/>
      </rPr>
      <t>8</t>
    </r>
  </si>
  <si>
    <r>
      <t>Other Benefits</t>
    </r>
    <r>
      <rPr>
        <vertAlign val="superscript"/>
        <sz val="9"/>
        <color theme="1"/>
        <rFont val="Cambria"/>
        <family val="1"/>
        <scheme val="major"/>
      </rPr>
      <t>9</t>
    </r>
  </si>
  <si>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</si>
  <si>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</si>
  <si>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</si>
  <si>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</si>
  <si>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</si>
  <si>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</si>
  <si>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</si>
  <si>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</si>
  <si>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</si>
  <si>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All Sources</t>
  </si>
  <si>
    <t>Total SS Spending</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</si>
  <si>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</si>
  <si>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</si>
  <si>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</si>
  <si>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All Spending</t>
  </si>
  <si>
    <t>Local Spending</t>
  </si>
  <si>
    <t>Missing</t>
  </si>
  <si>
    <t>Source: LASER, Statewide Summary. "NER" = Expenses not eligible for reimbursement. Costs rounded to whole dollars.</t>
  </si>
  <si>
    <t>0-5</t>
  </si>
  <si>
    <t>6-10</t>
  </si>
  <si>
    <t>19+</t>
  </si>
  <si>
    <t>0-5 years</t>
  </si>
  <si>
    <t>6-10 years</t>
  </si>
  <si>
    <t>11-15 years</t>
  </si>
  <si>
    <t>16-18 years</t>
  </si>
  <si>
    <t>19+ years</t>
  </si>
  <si>
    <t>County Executive</t>
  </si>
  <si>
    <t>City Manager</t>
  </si>
  <si>
    <t>Area/Region</t>
  </si>
  <si>
    <t>Female Teen Population</t>
  </si>
  <si>
    <t>Female Teen (10-19 years) Population</t>
  </si>
  <si>
    <t>SFY 2015</t>
  </si>
  <si>
    <t>Amer. Indian/-Alaskan Native</t>
  </si>
  <si>
    <t>"Other Race"</t>
  </si>
  <si>
    <t>"Other race"</t>
  </si>
  <si>
    <t xml:space="preserve"> Hawaiian-Pacific Islander</t>
  </si>
  <si>
    <t>Hispanic*</t>
  </si>
  <si>
    <t>Other**</t>
  </si>
  <si>
    <t>Under 4</t>
  </si>
  <si>
    <t>Under 1</t>
  </si>
  <si>
    <t>1 to 3</t>
  </si>
  <si>
    <t>4 to 7</t>
  </si>
  <si>
    <t>8 to 11</t>
  </si>
  <si>
    <t>12 to 15</t>
  </si>
  <si>
    <t>16 to 17</t>
  </si>
  <si>
    <t>** Deviation Status: ND=Non-deviating; PD=Partial deviating; JW=Jurisdiction-wide</t>
  </si>
  <si>
    <t>Total Reports</t>
  </si>
  <si>
    <t>Local Board Type</t>
  </si>
  <si>
    <t>Local Policies Followed</t>
  </si>
  <si>
    <t>N/A</t>
  </si>
  <si>
    <t>All</t>
  </si>
  <si>
    <t>IW</t>
  </si>
  <si>
    <t>HD</t>
  </si>
  <si>
    <t>County Director of Human Services</t>
  </si>
  <si>
    <t>PE, HD, IW, GV</t>
  </si>
  <si>
    <t>HD, IW</t>
  </si>
  <si>
    <t xml:space="preserve">ND </t>
  </si>
  <si>
    <t>IW, GV</t>
  </si>
  <si>
    <t>GV</t>
  </si>
  <si>
    <t>Comp, PE, HD, IW</t>
  </si>
  <si>
    <t>Comp</t>
  </si>
  <si>
    <t>HD, IW, GV</t>
  </si>
  <si>
    <t>City Administrator</t>
  </si>
  <si>
    <t>Comp only, PE, SC, LV, HD, IW, PA</t>
  </si>
  <si>
    <t>Board of Supervisors &amp; County Executive</t>
  </si>
  <si>
    <t>Human Services Director</t>
  </si>
  <si>
    <t>PE, HD, IW</t>
  </si>
  <si>
    <t xml:space="preserve">Count           </t>
  </si>
  <si>
    <t>Level I:    33</t>
  </si>
  <si>
    <t>Level II:   59</t>
  </si>
  <si>
    <t>Level III:  28</t>
  </si>
  <si>
    <t xml:space="preserve">Count                                         </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</si>
  <si>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</si>
  <si>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</si>
  <si>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</si>
  <si>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</si>
  <si>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</si>
  <si>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</si>
  <si>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</si>
  <si>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</si>
  <si>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</si>
  <si>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</si>
  <si>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</si>
  <si>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</si>
  <si>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</si>
  <si>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</si>
  <si>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</si>
  <si>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</si>
  <si>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</si>
  <si>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</si>
  <si>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</si>
  <si>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</si>
  <si>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</si>
  <si>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</si>
  <si>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</si>
  <si>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</si>
  <si>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</si>
  <si>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</si>
  <si>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</si>
  <si>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</si>
  <si>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</si>
  <si>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</si>
  <si>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</si>
  <si>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Deviation Classification</t>
  </si>
  <si>
    <t>Local DSS Agency: Region, Local Director/LDSS Level Classification, Local Board Type, &amp; HR Policy/Practice Deviation</t>
  </si>
  <si>
    <t>Serves as Administrative Entity For Local DSS with Advisory Boards*</t>
  </si>
  <si>
    <t>Child Protective Services (CPS)</t>
  </si>
  <si>
    <t>SFY 2016</t>
  </si>
  <si>
    <t>FAMIS_Local</t>
  </si>
  <si>
    <r>
      <t>Medicaid &amp; FAMIS</t>
    </r>
    <r>
      <rPr>
        <vertAlign val="superscript"/>
        <sz val="9"/>
        <color theme="1"/>
        <rFont val="Cambria"/>
        <family val="1"/>
        <scheme val="major"/>
      </rPr>
      <t>5</t>
    </r>
  </si>
  <si>
    <t>(4) Medicaid, FAMIS, SNAP, TANF/TANF UP, Energy Assistance, Foster Care/Adoption, CSA, and Child Care are coming from Section III - Statewide Benefit Payments of the LASER report. Refugee Assistance payments are made at Local Health Districts, not LDSS.</t>
  </si>
  <si>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</si>
  <si>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</si>
  <si>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</si>
  <si>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(7) CSA Costs are paid at the local level with reimbursement from the State Children's Services Act.</t>
  </si>
  <si>
    <t>12 to 17</t>
  </si>
  <si>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</si>
  <si>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</si>
  <si>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</si>
  <si>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</si>
  <si>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&lt; 1 years</t>
  </si>
  <si>
    <t>1-5 years</t>
  </si>
  <si>
    <t>&lt;1 year</t>
  </si>
  <si>
    <t xml:space="preserve">"Other" race includes Asians, American Indians, Hawaiians and Pacific Islanders, Hispanics, and multi-racial clients. </t>
  </si>
  <si>
    <t>11-15</t>
  </si>
  <si>
    <t>16-18</t>
  </si>
  <si>
    <t>Source: U.S. Census Bureau, Small Area Income and Poverty Estimates (SAIPE), using data from the American Community Survey. Estimates are not based on people living in group quarters (e.g., college dormitories, military barracks, group homes).</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</si>
  <si>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</si>
  <si>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t>Children's Services Act (CSA)</t>
    </r>
    <r>
      <rPr>
        <vertAlign val="superscript"/>
        <sz val="9"/>
        <color theme="1"/>
        <rFont val="Cambria"/>
        <family val="1"/>
        <scheme val="major"/>
      </rPr>
      <t>7</t>
    </r>
  </si>
  <si>
    <t>Bedford*</t>
  </si>
  <si>
    <t>Source: Virginia Department of Health, Division of Health Statistics, Resident live birth data.  * In 2013, Bedford City reverted to town status. Bedford County now includes counts for Bedford town.</t>
  </si>
  <si>
    <t>Received</t>
  </si>
  <si>
    <t>Disposed</t>
  </si>
  <si>
    <t>Medical Assistance</t>
  </si>
  <si>
    <t>Family Services Clients</t>
  </si>
  <si>
    <t>Total Number of Family Services Cases</t>
  </si>
  <si>
    <t>Total Number of Family Services Workers</t>
  </si>
  <si>
    <t>Number of Family Services Cases Per Worker (Caseload)</t>
  </si>
  <si>
    <t>Statewide Benefit Payments</t>
  </si>
  <si>
    <t>All Social Services Spending</t>
  </si>
  <si>
    <t xml:space="preserve">(2) Other operational expenses: 000 (Miscellaneous) and 843 (Central Service Cost Allocation). </t>
  </si>
  <si>
    <t>Children 5-17 years in Families</t>
  </si>
  <si>
    <t>Children 0-17 years</t>
  </si>
  <si>
    <t>People (All Ages)</t>
  </si>
  <si>
    <t>Unavailable</t>
  </si>
  <si>
    <t>Other Race (incl. Multiracial)</t>
  </si>
  <si>
    <t>Missing or Unknown</t>
  </si>
  <si>
    <t>Adults 65+ years</t>
  </si>
  <si>
    <t>By Gender</t>
  </si>
  <si>
    <t>Two or more races</t>
  </si>
  <si>
    <t>White alone</t>
  </si>
  <si>
    <t>Black alone</t>
  </si>
  <si>
    <t>Percent of Population - By Sex</t>
  </si>
  <si>
    <t>Percent of Population - By Race</t>
  </si>
  <si>
    <t>Percent of Population - By Age Group</t>
  </si>
  <si>
    <t>Asian only</t>
  </si>
  <si>
    <t>Black only</t>
  </si>
  <si>
    <t>White only</t>
  </si>
  <si>
    <t>Data formatted and posted at http://demographics.coopercenter.org by the UVA Weldon Cooper Center, Demographics Research Group</t>
  </si>
  <si>
    <t>African American only</t>
  </si>
  <si>
    <t>Hispanic/Latino*</t>
  </si>
  <si>
    <t>"Other race" includes Hawaiians, Other Pacific Islanders, American Indians, and Native Alaskans.</t>
  </si>
  <si>
    <t>AGENCY BACKGROUND - NOTES:</t>
  </si>
  <si>
    <t>Sex</t>
  </si>
  <si>
    <t xml:space="preserve">"Other" race includes Asians, American Indians, Hawaiians and Pacific Islanders, and multi-racial clients; excludes unknown, indeterminant, or declined (not self-reported) race data. </t>
  </si>
  <si>
    <t>Child Care</t>
  </si>
  <si>
    <t>6-17 years</t>
  </si>
  <si>
    <r>
      <t>Any Benefit Program</t>
    </r>
    <r>
      <rPr>
        <vertAlign val="superscript"/>
        <sz val="9"/>
        <color theme="1"/>
        <rFont val="Cambria"/>
        <family val="1"/>
        <scheme val="major"/>
      </rPr>
      <t>1</t>
    </r>
  </si>
  <si>
    <t>Missing or Invalid</t>
  </si>
  <si>
    <t>Hispanic Ethnicity</t>
  </si>
  <si>
    <t>Age Group (children only)</t>
  </si>
  <si>
    <t>&lt; 2 years</t>
  </si>
  <si>
    <t>2-3 years</t>
  </si>
  <si>
    <t>4-5 years</t>
  </si>
  <si>
    <t>18-34 years</t>
  </si>
  <si>
    <t>35-64 years</t>
  </si>
  <si>
    <t>18-34 Years</t>
  </si>
  <si>
    <t>35-64 Years</t>
  </si>
  <si>
    <t>18+ years or missing age</t>
  </si>
  <si>
    <t>Number of SNAP Cases (Households) by Year (Unduplicated Count)</t>
  </si>
  <si>
    <t>Number of Medicaid Cases (Households) by Year (Unduplicated Count)</t>
  </si>
  <si>
    <t>Number of TANF Cases (Households) by Year</t>
  </si>
  <si>
    <t>SFY 2010</t>
  </si>
  <si>
    <t>SFY 2011</t>
  </si>
  <si>
    <t>SFY 2012</t>
  </si>
  <si>
    <t>SFY 2013</t>
  </si>
  <si>
    <t>CY 2017</t>
  </si>
  <si>
    <t>Child Care Subsidy Cases (Families) Served by Year (unduplicated count)</t>
  </si>
  <si>
    <t>FFY 2013</t>
  </si>
  <si>
    <t>FFY 2014</t>
  </si>
  <si>
    <t>FFY 2015</t>
  </si>
  <si>
    <t>FFY 2016</t>
  </si>
  <si>
    <t>Any Program</t>
  </si>
  <si>
    <t xml:space="preserve">Source: VDSS, VaCMS. Represents unduplicated number of families (cases) served within each locality as well as statewide.  For 2014-2016, the counts are for state fiscal years; for 2017, the calendar year. </t>
  </si>
  <si>
    <t>Households (Cases) Served by Year</t>
  </si>
  <si>
    <t>Family Services Cases &amp; Caseload (as of August 2017)*</t>
  </si>
  <si>
    <t>* Point-in-time count (as of August 1, 2017). Numbers of family services cases and family services workers involved are not unduplicated counts.</t>
  </si>
  <si>
    <t>Benefit Clients Served by State Fiscal Year</t>
  </si>
  <si>
    <t>Families</t>
  </si>
  <si>
    <t>Unemployed</t>
  </si>
  <si>
    <t>Unemployment Rate</t>
  </si>
  <si>
    <t>Civilian Labor Force</t>
  </si>
  <si>
    <t>Admin</t>
  </si>
  <si>
    <t>Filled (valid only)</t>
  </si>
  <si>
    <t>Vacant (valid only)</t>
  </si>
  <si>
    <t>Total (valid only)</t>
  </si>
  <si>
    <t>% Vacant</t>
  </si>
  <si>
    <t>Division</t>
  </si>
  <si>
    <t>STATEWIDE</t>
  </si>
  <si>
    <r>
      <t>Sources: VaCMS,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Unduplicated number of clients who received SNAP, TANF, and/or Medicaid (excl. Child Care). Note: Refers to eligible clients (excl. deemed and included clients). "Other" race includes Asians, Hawaiian/Pacific Islanders and American Indian/Alaskan Natives. Hispanic ethnicity is not mutually exclusive of race.</t>
    </r>
  </si>
  <si>
    <t>HD,IW</t>
  </si>
  <si>
    <t>CC, PE, LV, HD, IW, GV, PP, PA</t>
  </si>
  <si>
    <t>CC, PE, LV, HD, IW, AA, LO, PP</t>
  </si>
  <si>
    <t>PE, SC, LV, HD, IW, GV, PP, LO, PA</t>
  </si>
  <si>
    <t xml:space="preserve">CC, LV, HD, IW, PP, LO, PA </t>
  </si>
  <si>
    <t>CC, PE, SC, LV, IW, PP, PA</t>
  </si>
  <si>
    <t>2018 Devia-tion Status*</t>
  </si>
  <si>
    <t>Unknown or Missing</t>
  </si>
  <si>
    <t>Fund 0033 (NER)</t>
  </si>
  <si>
    <t>Fund 0077 (NER)</t>
  </si>
  <si>
    <t>NER (local)</t>
  </si>
  <si>
    <t>Other Benefit Payments (incl. Foster Care and Adoption Benefits)</t>
  </si>
  <si>
    <t>NER - %</t>
  </si>
  <si>
    <t>NER comb.</t>
  </si>
  <si>
    <t>Administration</t>
  </si>
  <si>
    <t>Local/NER ($)</t>
  </si>
  <si>
    <t>Source: LASER, Statewide Summary. NER = Local non-reimbursable costs. Costs rounded to whole dollars.</t>
  </si>
  <si>
    <t>Local &amp; NER (comb.)</t>
  </si>
  <si>
    <t>18-59</t>
  </si>
  <si>
    <t>60 and older</t>
  </si>
  <si>
    <t>SFY 2018</t>
  </si>
  <si>
    <t>FFY 2018</t>
  </si>
  <si>
    <t>FFY 2017</t>
  </si>
  <si>
    <t>SFY 2017</t>
  </si>
  <si>
    <t>Deputy City Manager</t>
  </si>
  <si>
    <t>Not available</t>
  </si>
  <si>
    <r>
      <t>TANF</t>
    </r>
    <r>
      <rPr>
        <b/>
        <vertAlign val="superscript"/>
        <sz val="9"/>
        <color theme="1"/>
        <rFont val="Cambria"/>
        <family val="1"/>
        <scheme val="major"/>
      </rPr>
      <t>3</t>
    </r>
  </si>
  <si>
    <t>% of Spending</t>
  </si>
  <si>
    <r>
      <t>Children's Services Act</t>
    </r>
    <r>
      <rPr>
        <vertAlign val="superscript"/>
        <sz val="9"/>
        <color theme="1"/>
        <rFont val="Cambria"/>
        <family val="1"/>
        <scheme val="major"/>
      </rPr>
      <t>7</t>
    </r>
  </si>
  <si>
    <t>Source: Virginia Department of Health, Division of Health Statistics, Resident live birth data.  "Other" race refers to residents who are Asian, Hawaiian/Pacific Islander, or American Indian/Alaskan Native. The statewide total includes onenon-marital birth where locality was not specified.</t>
  </si>
  <si>
    <t>HD, IW, LO, GV</t>
  </si>
  <si>
    <t>County Manager/City Manager</t>
  </si>
  <si>
    <t>Advisory Boards:  45</t>
  </si>
  <si>
    <t>Administrative Boards:  75</t>
  </si>
  <si>
    <t>SFY 2019</t>
  </si>
  <si>
    <t>FFY 2019</t>
  </si>
  <si>
    <t>(6) Foster care &amp; adoption benefits: 811 (IV-E Foster Care), 812 (IV-E Adoption Assistance), 814 (Fostering Futures Foster Care Assistance), 815 (Fostering Futures Federal Adoption Assistance), 816 (International Home Studies), 817 (Special Needs Adoptions), 818 (Fostering Futures State Adoption Assistance), 820 (Adoption Incentives), and 822 (Kinship Guardianship Assistance).</t>
  </si>
  <si>
    <t>By Race</t>
  </si>
  <si>
    <t>Asian alone</t>
  </si>
  <si>
    <r>
      <rPr>
        <b/>
        <sz val="10.5"/>
        <rFont val="Segoe UI"/>
        <family val="2"/>
      </rPr>
      <t>Data Source:</t>
    </r>
    <r>
      <rPr>
        <sz val="10.5"/>
        <rFont val="Segoe UI"/>
        <family val="2"/>
      </rPr>
      <t xml:space="preserve"> Uva Weldon Cooper Center, Demographics Research Group. Estimates come from the U.S. Census Bureau.</t>
    </r>
  </si>
  <si>
    <t>Source: UVA Weldon Cooper Center, Demographics Research Group (estimates come from the U.S. Census Bureau). "Other race" includes Hawaiians, Pacific Islanders, American Indians, and Alaskan Natives. * Hispanic origin is not mutually exclusive of race.</t>
  </si>
  <si>
    <t>Percentage of Births that are Non-Marital, by LDSS, Virginia, 2002-2018</t>
  </si>
  <si>
    <t>Teen Live Births</t>
  </si>
  <si>
    <t>Number of Teen Live Births</t>
  </si>
  <si>
    <t>Number of Households (Cases) Receiving Fuel, Cooling and Crisis Assistance, by Federal Fiscal Year</t>
  </si>
  <si>
    <t>Source: Virginia Department of Social Services, Division of Information Services.  Information was updated on 1/8/2020.</t>
  </si>
  <si>
    <t>Local Department of Social Services Profile Report, SFY 2020</t>
  </si>
  <si>
    <t>Number of Active ("F00") or Eligible SNAP Clients by State Fiscal Year, 2012-2020</t>
  </si>
  <si>
    <t>Number of Eligible SNAP Clients by Gender, Age Group, Race and Hispanic Ethnicity, SFY 2020</t>
  </si>
  <si>
    <t>Number of Eligible Medicaid Clients by State Fiscal Year, 2012-2020</t>
  </si>
  <si>
    <t>Number of Eligible Medicaid and FAMIS Clients by Gender, Age Group, Race &amp; Hispanic Ethnicity, SFY 2020</t>
  </si>
  <si>
    <t>Number of Active ("A00") or Eligible TANF Clients by State Fiscal Year, 2012-2020</t>
  </si>
  <si>
    <t>Number of Eligible TANF Clients by Gender, Age Group, Race &amp; Hispanic Ethnicity, SFY 2020</t>
  </si>
  <si>
    <t>Number of Eligible Benefit Program* Clients by State Fiscal Year, 2012-2020</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</si>
  <si>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2017-2020 is VaCMS. * Refers to clients who received SNAP, TANF and/or Medicaid (Child Care is excluded).  Includes only eligible ("participating, not excluded") household members. Accessed on 10/27/2020.</t>
  </si>
  <si>
    <t>Number of Eligible Benefit Program* Clients by Gender, Age Group, Race &amp; Hispanic Ethnicity, SFY 2020</t>
  </si>
  <si>
    <t>Number of Eligible Child Care Subsidy Clients by Gender, Age Group, Race &amp; Hispanic Ethnicity, SFY 2020</t>
  </si>
  <si>
    <t>Residents who received benefits (SNAP, TANF or Medicaid) in SFY 2020</t>
  </si>
  <si>
    <t>Number of SNAP Applications Received by Month, SFY 2020</t>
  </si>
  <si>
    <t>Jul</t>
  </si>
  <si>
    <t>Aug</t>
  </si>
  <si>
    <t>Sep</t>
  </si>
  <si>
    <t>Oct</t>
  </si>
  <si>
    <t>Nov</t>
  </si>
  <si>
    <t>Dec</t>
  </si>
  <si>
    <t>Jan</t>
  </si>
  <si>
    <t>Feb</t>
  </si>
  <si>
    <t>Mar</t>
  </si>
  <si>
    <t>Apr</t>
  </si>
  <si>
    <t>May</t>
  </si>
  <si>
    <t>Jun</t>
  </si>
  <si>
    <t>Source: VDSS, Data Warehouse, "Application Program Monthly Status Analysis." Data source is VaCMS. Accessed on 10/28/2020 (state fiscal year).</t>
  </si>
  <si>
    <t>Number of SNAP Applications Disposed by Month, SFY 2020</t>
  </si>
  <si>
    <t>Number of TANF Applications Received by Month, SFY 2020</t>
  </si>
  <si>
    <t>Number of TANF Applications Disposed by Month, SFY 2020</t>
  </si>
  <si>
    <t>Number of Medical Assistance Applications Received by Month, SFY 2020</t>
  </si>
  <si>
    <t>Number of Medical Assistance Applications Disposed by Month, SFY 2020</t>
  </si>
  <si>
    <t>Number of Child Care Subsidy Applications Received by Month, SFY 2020</t>
  </si>
  <si>
    <t>Number of Child Care Subsidy Applications Disposed by Month, SFY 2020</t>
  </si>
  <si>
    <t>Data Set: 7/1/2019 County Characteristics Resident Population Estimates</t>
  </si>
  <si>
    <t>Population, 2019</t>
  </si>
  <si>
    <t>Number of Families and Children Receiving Child Care Subsidies by State Fiscal Year, 2013-2020</t>
  </si>
  <si>
    <t>Source: VDSS, VaCMS, "Children and Family Counts - Expenditure by Budget Line".  Statewide counts are unduplicated. Accessed on 10/28/2020.</t>
  </si>
  <si>
    <t>Number of Filled and Unfilled Positions by Locality (as of 9/30/2020)</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</si>
  <si>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9/30/2020).  Report run on 10/1/2020. Excludes one unfilled position that was missing classification.</t>
    </r>
  </si>
  <si>
    <t xml:space="preserve">31 filled and 55 vacant voluntary positions are excluded from the total counts. </t>
  </si>
  <si>
    <t>Social Services Staffing 
(as of 9/30/2020)</t>
  </si>
  <si>
    <t>Live Births, Nonmarital Births, and Percentage of Births that are Non-Marital, by LDSS Locality and Race of Mother, Virginia, 2019</t>
  </si>
  <si>
    <t>Teen Live Birth Rates (per 1,000 population), by LDSS, Virginia, 1998-2019</t>
  </si>
  <si>
    <t>Teen Births and Birth Rates by Race by LDSS, Virginia, 2019</t>
  </si>
  <si>
    <t>SNAP Benefit Spending, SFY 2020</t>
  </si>
  <si>
    <r>
      <rPr>
        <b/>
        <sz val="12"/>
        <color indexed="8"/>
        <rFont val="Calibri"/>
        <family val="2"/>
      </rPr>
      <t xml:space="preserve">Source: </t>
    </r>
    <r>
      <rPr>
        <sz val="12"/>
        <color indexed="8"/>
        <rFont val="Calibri"/>
        <family val="2"/>
      </rPr>
      <t>VDSS, Division of Finances, LASER, FY 2020 Master Financial Statement Report. Accessed 11/20/2020.</t>
    </r>
  </si>
  <si>
    <t>TANF/TANF-UP Benefit Spending, SFY 2020</t>
  </si>
  <si>
    <t>LIHEAP Benefit Spending, SFY 2020</t>
  </si>
  <si>
    <t>Child Care Benefit Spending, SFY 2020</t>
  </si>
  <si>
    <t>Medicaid and FAMIS Benefit Spending, SFY 2020</t>
  </si>
  <si>
    <t>Children's Services Act (CSA) Expenditures, SFY 2020</t>
  </si>
  <si>
    <t>Other Public Assistance Benefit Payments (excl. Foster Care/Adoption Payments), SFY 2020</t>
  </si>
  <si>
    <t>Foster Care and Adoption Spending, SFY 2020</t>
  </si>
  <si>
    <t>Administrative Expenditures - Staffing, SFY 2020</t>
  </si>
  <si>
    <r>
      <rPr>
        <b/>
        <sz val="12"/>
        <color indexed="8"/>
        <rFont val="Calibri"/>
        <family val="2"/>
      </rPr>
      <t xml:space="preserve">Source: </t>
    </r>
    <r>
      <rPr>
        <sz val="12"/>
        <color indexed="8"/>
        <rFont val="Calibri"/>
        <family val="2"/>
      </rPr>
      <t xml:space="preserve">VDSS, Division of Finances, LASER, FY 2020 Master Financial Statement Report. Combines BL 849, 850, 855, and 858.  Accessed 11/20/2020.   </t>
    </r>
  </si>
  <si>
    <t>Other Staffing and Operations Expenditures, SFY 2020</t>
  </si>
  <si>
    <r>
      <rPr>
        <b/>
        <sz val="12"/>
        <color indexed="8"/>
        <rFont val="Calibri"/>
        <family val="2"/>
      </rPr>
      <t xml:space="preserve">Source: </t>
    </r>
    <r>
      <rPr>
        <sz val="12"/>
        <color indexed="8"/>
        <rFont val="Calibri"/>
        <family val="2"/>
      </rPr>
      <t xml:space="preserve">VDSS, Division of Finances, LASER, FY 2020 Master Financial Statement Report. Combines BL 000 and 843 (adjusted).  Accessed 11/20/2020. </t>
    </r>
  </si>
  <si>
    <t>Expenditures for Client Services, SFY 2020</t>
  </si>
  <si>
    <r>
      <rPr>
        <b/>
        <sz val="12"/>
        <color indexed="8"/>
        <rFont val="Calibri"/>
        <family val="2"/>
      </rPr>
      <t>Source:</t>
    </r>
    <r>
      <rPr>
        <sz val="12"/>
        <color indexed="8"/>
        <rFont val="Calibri"/>
        <family val="2"/>
      </rPr>
      <t xml:space="preserve"> VDSS, Division of Finances, LASER, FY 2020 Master Financial Statement Report. Combines BL 217, 824, 829, 830, 833, 844, 861, 862, 864, 865, 866, 871, 872, 873, 875, 878, 881, 883, 888, 889, 890, and 895.  Using corrected version from 11/20/2020. </t>
    </r>
  </si>
  <si>
    <t>Statewide Benefit Payments, SFY 2020</t>
  </si>
  <si>
    <r>
      <t xml:space="preserve">Source: </t>
    </r>
    <r>
      <rPr>
        <sz val="12"/>
        <color indexed="8"/>
        <rFont val="Calibri"/>
        <family val="2"/>
      </rPr>
      <t>VDSS, Division of Finances, LASER, FY 2020 Master Financial Statement Report. Includes CSA, Medicaid, SNAP, Energy Assistance, TANF/TANF-UP, FAMIS, and Child Care. Accessed 11/20/2020.</t>
    </r>
  </si>
  <si>
    <t>Social Services Spending - Summary, SFY 2020</t>
  </si>
  <si>
    <t>Social Services Spending, SFY 2020:</t>
  </si>
  <si>
    <t>Social Services Spending, SFY 2020</t>
  </si>
  <si>
    <t>Total amount spent on Social Services in the locality (SFY 2020)</t>
  </si>
  <si>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in SFY 2020 (incl. NER costs)</t>
    </r>
  </si>
  <si>
    <t>Number of Children by Race and Age Adopted in FFY 2020 (Oct 2019 - Sep 2020)</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</si>
  <si>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2020 (October 1, 2019 - September 30, 2020). Report run on 12/3/2020.</t>
    </r>
  </si>
  <si>
    <r>
      <t xml:space="preserve">Source: </t>
    </r>
    <r>
      <rPr>
        <sz val="12"/>
        <color indexed="8"/>
        <rFont val="Calibri"/>
        <family val="2"/>
      </rPr>
      <t xml:space="preserve">VDSS, VCWOR,  OASIS Rolling Year Data, "Children in Care at the End of the Year by Race/Ethnicity" (in care as of September 30, 2020). "Other" includes children who are Asian, Hawaiian, other Pacific Islander, American Indian, Alaskan Native, Hispanic, and multiracial clients. </t>
    </r>
  </si>
  <si>
    <t>Number of Children By Race and Age In Foster Care at End of Federal Fiscal Year 2020 (9/30/2020)</t>
  </si>
  <si>
    <t>Children exited to adoption (FFY 2020)</t>
  </si>
  <si>
    <t>Number of Children in CPS Referrals by Race, SFY 2020 (July 1, 2019 - June 30, 2020)</t>
  </si>
  <si>
    <t>Children in CPS referrals (SFY 2020)</t>
  </si>
  <si>
    <t>Benefit Client Demographics (SFY 2020)</t>
  </si>
  <si>
    <t xml:space="preserve">Source: VDSS, VaCMS, Client Cross-Program Locality Yearly Analysis. Accessed from the Data Warehouse on 10/27/2020. Statewide unduplicate count was run on 12/7/2020.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</si>
  <si>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t xml:space="preserve">Source: VDSS, VaCMS, Client Cross-Program Locality Yearly Analysis. Accessed from the Data Warehouse on 10/27/2020.  Statewide unduplicated count was run on 12/7/2020.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</si>
  <si>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r>
      <rPr>
        <b/>
        <sz val="12"/>
        <color indexed="8"/>
        <rFont val="Calibri"/>
        <family val="2"/>
      </rPr>
      <t xml:space="preserve">Source: </t>
    </r>
    <r>
      <rPr>
        <sz val="12"/>
        <color indexed="8"/>
        <rFont val="Calibri"/>
        <family val="2"/>
      </rPr>
      <t xml:space="preserve">VDSS, VaCMS, Client Cross-Program Locality Yearly Analysis. Accessed from the Data Warehouse on 10/27/2020.  Statewide unduplicate count was run on 12/7/2020.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</si>
  <si>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r>
      <rPr>
        <b/>
        <sz val="12"/>
        <color indexed="8"/>
        <rFont val="Calibri"/>
        <family val="2"/>
      </rPr>
      <t xml:space="preserve">Source: </t>
    </r>
    <r>
      <rPr>
        <sz val="12"/>
        <color indexed="8"/>
        <rFont val="Calibri"/>
        <family val="2"/>
      </rPr>
      <t xml:space="preserve">VDSS, VaCMS, Client Cross-Program Locality Yearly Analysis. Accessed from the Data Warehouse on 10/27/2020.  Statewide unduplicate count was run on 12/7/2020.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</si>
  <si>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r>
      <rPr>
        <b/>
        <sz val="12"/>
        <color indexed="8"/>
        <rFont val="Calibri"/>
        <family val="2"/>
      </rPr>
      <t>Source:</t>
    </r>
    <r>
      <rPr>
        <sz val="12"/>
        <color indexed="8"/>
        <rFont val="Calibri"/>
        <family val="2"/>
      </rPr>
      <t xml:space="preserve"> VDSS, VaCMS, Client Cross-Program Locality Yearly Analysis. Accessed from the Data Warehouse on 10/27/2020.  Statewide unduplicate count was run on 12/7/2020. Refers to clients with eligible program status ("included" and "deemed" are omitted) who received SNAP, TANF and/or Medicaid (Child Care is omitted from the count). "Other race" includes Asians, Hawaiians/Pacific Islanders, and American Indians; Hispanic ethnicity is not mutually exclusive of race categories. Persons with missing information on age, gender, or race are not included in the report. </t>
    </r>
  </si>
  <si>
    <t>SFY 2020</t>
  </si>
  <si>
    <r>
      <rPr>
        <b/>
        <sz val="12"/>
        <color indexed="8"/>
        <rFont val="Calibri"/>
        <family val="2"/>
      </rPr>
      <t xml:space="preserve">Source: </t>
    </r>
    <r>
      <rPr>
        <sz val="12"/>
        <color indexed="8"/>
        <rFont val="Calibri"/>
        <family val="2"/>
      </rPr>
      <t>VDSS, Division of Finances, LASER, FY 2020 Master Financial Statement Report. Accessed 12/3/2020.</t>
    </r>
  </si>
  <si>
    <t>Source: VDSS, VaCMS (2017-2020); ADAPT (2010-2016). Represents unduplicated case (household) counts in each locality. TANF intake was severely curtailed in VaCMS from at least October 2016 through February 2017. There may be some other unknown/undiscovered issues associated with TANF that account for SFY 2017 counts being lower than expected.</t>
  </si>
  <si>
    <r>
      <rPr>
        <b/>
        <sz val="12"/>
        <color indexed="8"/>
        <rFont val="Calibri"/>
        <family val="2"/>
      </rPr>
      <t>Source:</t>
    </r>
    <r>
      <rPr>
        <sz val="12"/>
        <color indexed="8"/>
        <rFont val="Calibri"/>
        <family val="2"/>
      </rPr>
      <t xml:space="preserve"> VDSS, VaCMS (2017-2020); ADAPT (2010-2016). Represents unduplicated case (household) counts in each locality.  </t>
    </r>
  </si>
  <si>
    <t>Source: VDSS, VaCMS &amp; MMIS. Represents unduplicated case (household) counts in each locality by state fiscal year.  For 2010-2016, the counts come from either MMIS or VaCMS; for 2017-2020, the count comes from VaCMS only. Statewide totals include enrollments from state mental health facilities.</t>
  </si>
  <si>
    <t>(9) Other Benefit Payments: 804 (Auxiliary Grant), 807 (Auxiliary Grant Program), 808 (TANF - Manual checks), 813 (General Relief), 819 (Refugee Cash Assistance), 848 (TANF-UP - Manual checks), and 867 (TANF - Competitive Grant).</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</si>
  <si>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2017-2020 is VaCMS. Includes only eligible (i.e., "participating, not excluded" - "A00") household members. Accessed on 10/27/2020. SFY 2019 counts were updated on 12/11/2020.</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</si>
  <si>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2017-2019 is VaCMS. Includes only eligible household members. Accessed on 10/27/2020. SFY 2019 counts were updated on 12/11/2020.</t>
  </si>
  <si>
    <t>Estimated Number of People Living in Poverty and Poverty Rate by LDSS, Virginia, 2019 (Source: Census Bureau, Small Area Income and Poverty Estimate Program)</t>
  </si>
  <si>
    <t>Annual Estimated Count and Percent of Population (All Ages) Living Below 100% Poverty, 2000-2019</t>
  </si>
  <si>
    <t>Annual Estimated Count and Percent of Children (0-17 Years) Living Below 100% Poverty, 2000-2019</t>
  </si>
  <si>
    <t>Children In Single-Parent Homes, by LDSS, Virginia (ACS 2015-2019 5-Year Estimate)</t>
  </si>
  <si>
    <t>Source: U.S. Census Bureau, American Community Survey (2015-2019 5-Year Estimate), Table B09002 "Own Children Under 18 Years by Family Type and Age".</t>
  </si>
  <si>
    <r>
      <t xml:space="preserve">Percent of Children living in a single-parent household 
(2015-2019) </t>
    </r>
    <r>
      <rPr>
        <sz val="9"/>
        <color theme="1"/>
        <rFont val="Cambria"/>
        <family val="1"/>
        <scheme val="major"/>
      </rPr>
      <t>(Source: U.S. Census Bureau, American Community Survey)</t>
    </r>
  </si>
  <si>
    <t>Source: US Census Bureau, Small Area Income and Poverty Estimates (SAIPE). Estimates are for 2019.</t>
  </si>
  <si>
    <t>FFY 2020</t>
  </si>
  <si>
    <t xml:space="preserve">Source: FFY 2013-2016 -- Energy Assistance Program Reports (Data Warehouse, "Case Counts Agency Summary Report"); FFY 2017-2020 -- VaCMS ("Energy Assistance Effectiveness Report - RP 066"; Fuel report run on 9/10/2020, Crisis report on 5/12/2020, and Cooling report on 9/14/2020. </t>
  </si>
  <si>
    <t>Number of Adult Protective Services Reports, SFY 2020</t>
  </si>
  <si>
    <r>
      <rPr>
        <b/>
        <sz val="12"/>
        <color indexed="8"/>
        <rFont val="Calibri"/>
        <family val="2"/>
      </rPr>
      <t>Source:</t>
    </r>
    <r>
      <rPr>
        <sz val="12"/>
        <color indexed="8"/>
        <rFont val="Calibri"/>
        <family val="2"/>
      </rPr>
      <t xml:space="preserve"> Department for Aging &amp; Rehabilitative Services, Adult Protective Services Division, PeerPlace. The "Other" race category includes Asian, Hawaiian or Other Pacific Islander, American Indian/Alaskan Native, and persons of two or more races.  "White" includes people who either Hispanic or non-Hispanic. The "Other/Missing" gender category includes individuals who are transgender.</t>
    </r>
  </si>
  <si>
    <t>Age</t>
  </si>
  <si>
    <t>Transgender</t>
  </si>
  <si>
    <t>Adults (subjects of reports)</t>
  </si>
  <si>
    <t>Source: DARS, Adult Protective Services Division, PeerPlace. "Other race" category includes people who are multi-racial.</t>
  </si>
  <si>
    <t>Adult Protective Services (APS)(SFY 2020)</t>
  </si>
  <si>
    <t>Number of Children for which Adoption Subsidies were received, by Race &amp; Age of Child (as of 12/1/2020)</t>
  </si>
  <si>
    <r>
      <rPr>
        <b/>
        <sz val="12"/>
        <color indexed="8"/>
        <rFont val="Calibri"/>
        <family val="2"/>
      </rPr>
      <t xml:space="preserve">Source: </t>
    </r>
    <r>
      <rPr>
        <sz val="12"/>
        <color indexed="8"/>
        <rFont val="Calibri"/>
        <family val="2"/>
      </rPr>
      <t>VDSS, Division of Family Services, OASIS/VCWOR, "Adoption Subsidy Race/Age Count". Based on data as of 12/1/2020.</t>
    </r>
  </si>
  <si>
    <r>
      <t xml:space="preserve">Sources: Division of Family Services, VCWOR/OASIS. "Children in Foster Care" is a point-in-time count as of 9/30/2020.  "Children Exited to Adoption" is reported for the federal fiscal year, ending September 30. "Children Receiving Adoption Assistance": children receiving adoption services as of </t>
    </r>
    <r>
      <rPr>
        <sz val="8"/>
        <color rgb="FFFF0000"/>
        <rFont val="Cambria"/>
        <family val="1"/>
        <scheme val="major"/>
      </rPr>
      <t>12/1/2020</t>
    </r>
    <r>
      <rPr>
        <sz val="8"/>
        <color theme="1"/>
        <rFont val="Cambria"/>
        <family val="1"/>
        <scheme val="major"/>
      </rPr>
      <t xml:space="preserve">. Clients with missing race are included in total counts. </t>
    </r>
  </si>
  <si>
    <t>Non-Marital Births, 2015-2019</t>
  </si>
  <si>
    <t>Live Births, 2015-2019</t>
  </si>
  <si>
    <t>Non-Marital Births - %, 2015-2019</t>
  </si>
  <si>
    <t>2015-2019 Teen Births</t>
  </si>
  <si>
    <t>2015-2019 Teen Pop.</t>
  </si>
  <si>
    <t>2015-2019Teen Birth Rate</t>
  </si>
  <si>
    <t>Live Births, Nonmarital Births, and Percentage of Births that are Non-Marital, by LDSS Locality and Race of Mother, Virginia, 2015-2019</t>
  </si>
  <si>
    <t>Births</t>
  </si>
  <si>
    <t>Source: Virginia Department of Health. Records of live births in 2015-2019 (combined) among unmarried women 15-44 years and teens 10-19 years by mother's race. Teen birth rate is per 1,000 population.</t>
  </si>
  <si>
    <t>Number of ALICE Households, Virginia, 2010-2018</t>
  </si>
  <si>
    <t>Total Households</t>
  </si>
  <si>
    <t>ALICE Households</t>
  </si>
  <si>
    <t>Total HHs</t>
  </si>
  <si>
    <t>HHs Below Poverty</t>
  </si>
  <si>
    <t>ALICE HHs</t>
  </si>
  <si>
    <t>HHs Above ALICE</t>
  </si>
  <si>
    <t>% HHs Below Poverty</t>
  </si>
  <si>
    <t>% HHs ALICE</t>
  </si>
  <si>
    <t>% HHs Poverty or ALICE</t>
  </si>
  <si>
    <t>Source: United Way of Virginia, Project ALICE, 2020 ALICE Report. Analysis uses 2010-2018 data from various sources (e.g., Census Bureau, USDA, CMS) to compute the ALICE (Asset-Limited, Income-Constrained, Employed) household income threshold.</t>
  </si>
  <si>
    <t>Households Below Poverty</t>
  </si>
  <si>
    <t>% Poverty</t>
  </si>
  <si>
    <t>% ALICE</t>
  </si>
  <si>
    <t>% Above ALICE</t>
  </si>
  <si>
    <t>Households Above ALICE</t>
  </si>
  <si>
    <t>Source: United Way, ALICE Project, 2020 ALICE Report - Virginia. "ALICE" (Asset Limited, Income Constrained, Employed) represent working family households that are struggling to meet basic living needs.</t>
  </si>
  <si>
    <t>Total Social Services Spending, SFY2020</t>
  </si>
  <si>
    <t>(1) Local staff and operations: 849 (Staff &amp; Operations: No Local Match), 850 (outstationed eligibility staff), 855 (staff &amp; operations base budget), and 858 (staff &amp; operations pass through).</t>
  </si>
  <si>
    <t>(3) Services purchased for clients: 217 (Guardianship Petitions), 824 (Other purchased services), 829 (Family Prevention, or SSBG), 830 (Child Welfare Substance Abuse Services), 833 (Adult Services), 844 (SNAPET Purchased Services), 861 (Independent Living Program - E&amp;T Vouchers), 862 (Independent Living Program - Basic Allocation), 864 (Respite Care for Foster Families), 865 (SNAPET ABAWD Purchase Service Pledge), 866 (Family Preservation/Support - Purchased Services), 871 (TANF/VIEW -Working, Transitional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t>
  </si>
  <si>
    <t xml:space="preserve">(5) Medicaid and FAMIS are combined. The SLH program was not funded in FY 2020. </t>
  </si>
  <si>
    <t xml:space="preserve">(8) For FY 2020, Child Care provider payments are made by VDSS through VACMS. </t>
  </si>
  <si>
    <t>Universe (Total Population)</t>
  </si>
  <si>
    <t>Have Health Insurance</t>
  </si>
  <si>
    <t>No Health Insurance</t>
  </si>
  <si>
    <t>Total Population: % No Health Insurance</t>
  </si>
  <si>
    <t>Number of People With No Health Insurance, Virginia, 2014-2018</t>
  </si>
  <si>
    <t>Source: U.S. Census Bureau, Small Area Health Insurance Estimates (SAHIE) Program. Analysis uses 2014-2018 data from various sources (e.g., Census Bureau American Community Survey).</t>
  </si>
  <si>
    <t>Pop. with HH Income $25,000 - $49,999</t>
  </si>
  <si>
    <t>Income $25,000-$49,999: No Health Insurance</t>
  </si>
  <si>
    <t>Income $25,000-$49,999: % No Health Insurance</t>
  </si>
  <si>
    <t>Pop. with HH Income Under $25,000</t>
  </si>
  <si>
    <t>Under $25,000: No Health Insurance</t>
  </si>
  <si>
    <t>Under $25,000: % No Health Insurance</t>
  </si>
  <si>
    <t>Pop. With HH Income $50,000-$74,999</t>
  </si>
  <si>
    <t>Income $50,000-$74,999:  No Health Insurance</t>
  </si>
  <si>
    <t>Income $50,000-$74,999:  % No Health Insurance</t>
  </si>
  <si>
    <t>Health Insurance Coverage</t>
  </si>
  <si>
    <t>Income $25,000-$49,999: Have Health Insurance</t>
  </si>
  <si>
    <t>Income $50,000-$74,999:  Have Health Insurance</t>
  </si>
  <si>
    <t>Under $25,000: Have Health Insurance</t>
  </si>
  <si>
    <t>All Incomes</t>
  </si>
  <si>
    <t>Augusta: Deputy County Administrator
Staunton: City Manager
Waynesboro: City Manager</t>
  </si>
  <si>
    <t>AA,CC,GV,HD,IW,LO,LV,PA,PE,PP,SC</t>
  </si>
  <si>
    <t>GV, LV, HD, IW, AA, PA</t>
  </si>
  <si>
    <t>SC, LV, GV</t>
  </si>
  <si>
    <t>Source: VDSS, Division of Human Resources. Updated 12/28/2020.</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</si>
  <si>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12/28/2020.</t>
    </r>
  </si>
  <si>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12/28/2020.</t>
    </r>
  </si>
  <si>
    <r>
      <rPr>
        <vertAlign val="superscript"/>
        <sz val="8"/>
        <color indexed="8"/>
        <rFont val="Cambria"/>
        <family val="1"/>
      </rPr>
      <t>4</t>
    </r>
    <r>
      <rPr>
        <sz val="8"/>
        <color indexed="8"/>
        <rFont val="Cambria"/>
        <family val="1"/>
      </rPr>
      <t xml:space="preserve"> Refers to the local agency's board type (administrative vs. advisory); for advisory boards, administrative entity is also stated. Last verified 12/28/2020.</t>
    </r>
  </si>
  <si>
    <t>Percent of People (All Ages) living in Poverty in Locality</t>
  </si>
  <si>
    <t>Number of Children (&lt; 18 years) living in Poverty in Locality</t>
  </si>
  <si>
    <t>Percent of Children (&lt; 18 years) living in Poverty in Locality</t>
  </si>
  <si>
    <t>Number of People (All Ages) living in Poverty in Locality</t>
  </si>
  <si>
    <t>Children in foster care (as of 9/30/2020)</t>
  </si>
  <si>
    <t>Source: LETS, Position Reimbursement And Status Report for State (10/1/2020 report). Refers to number of positions regardless of percent of time assigned, as of 9/30/2020. Invalid filled positions and voluntary positions are excluded. NER= Not eligible for reimbursement.</t>
  </si>
  <si>
    <r>
      <rPr>
        <vertAlign val="superscript"/>
        <sz val="8"/>
        <color theme="1"/>
        <rFont val="Cambria"/>
        <family val="1"/>
        <scheme val="major"/>
      </rPr>
      <t>1</t>
    </r>
    <r>
      <rPr>
        <sz val="8"/>
        <color theme="1"/>
        <rFont val="Cambria"/>
        <family val="1"/>
        <scheme val="major"/>
      </rPr>
      <t xml:space="preserve"> Source: Data Warehouse, "Client Cross-Program Locality Yearly Analysis" (2012-2016 data come from ADAPT; 2017-2020 data from VaCMS). Unduplicated annual count within locality. Refers to "eligible" household members. </t>
    </r>
    <r>
      <rPr>
        <sz val="8"/>
        <color rgb="FFFF0000"/>
        <rFont val="Cambria"/>
        <family val="1"/>
        <scheme val="major"/>
      </rPr>
      <t>FY 2019 counts updated.</t>
    </r>
    <r>
      <rPr>
        <sz val="8"/>
        <color theme="1"/>
        <rFont val="Cambria"/>
        <family val="1"/>
        <scheme val="major"/>
      </rPr>
      <t xml:space="preserve">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"Children and Family Counts -- Expenditure by Budget Line"  (not available prior to FY 2013). </t>
    </r>
  </si>
  <si>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2020 (report period: 7/1/2019 to 6/30/2020).  Includes founded and unfounded referrals, family assessments, etc. Report run on 12/3/2020.   * Race and Hispanic origin are not mutually exclusive; individuals can belong to more than one group. **"Other" refers to children who are Asian, Native Hawaiian/Other Pacific Islander, or American Indian/Alaskan Native.</t>
    </r>
  </si>
  <si>
    <r>
      <rPr>
        <b/>
        <sz val="10"/>
        <color indexed="8"/>
        <rFont val="Calibri"/>
        <family val="2"/>
      </rPr>
      <t>Source:</t>
    </r>
    <r>
      <rPr>
        <sz val="10"/>
        <color indexed="8"/>
        <rFont val="Calibri"/>
        <family val="2"/>
      </rPr>
      <t xml:space="preserve"> VDSS, Division of Finances, LASER, FY 2020 Master Financial Statement Report. Combines BL 811, 812, 814, 815, 816, 817, 818, 820, and 822.  Based on 11/20/2020 report. </t>
    </r>
  </si>
  <si>
    <r>
      <rPr>
        <b/>
        <sz val="12"/>
        <color indexed="8"/>
        <rFont val="Calibri"/>
        <family val="2"/>
      </rPr>
      <t>Source:</t>
    </r>
    <r>
      <rPr>
        <sz val="12"/>
        <color indexed="8"/>
        <rFont val="Calibri"/>
        <family val="2"/>
      </rPr>
      <t xml:space="preserve"> VDSS, Division of Finances, LASER, FY 2020 Master Financial Statement Report. Combines BL 804, 807, 808, 813, 819, 848, and 867. Based on 11/20/2020 report. </t>
    </r>
  </si>
  <si>
    <r>
      <t>Source:</t>
    </r>
    <r>
      <rPr>
        <sz val="12"/>
        <color indexed="8"/>
        <rFont val="Calibri"/>
        <family val="2"/>
      </rPr>
      <t xml:space="preserve"> VDSS, Division of Finances, LASER, FY 2020 Master Financial Statement Report. Based on 11/20/2020 report (parts of budget updated 12/3/2020).</t>
    </r>
  </si>
  <si>
    <t>Source: VDSS, Client Cross-Program Reporting, Client Cross-Program Locality (Statewide) Yearly Analysis. Reporting unduplicated counts within locality (clients may be counted more than once if they moved to another locality) and statewide (incl. indviduals enrolled through DMHMRSAS facilities). Data source for 2012-2016 is ADAPT; source for 2017-2020 is VaCMS. Includes only eligible (i.e., "participating, not excluded" - "F00")  household members. Accessed on 10/27/2020. SFY 2019 counts also updated on 12/11/2020; statewide count corrected on 1/8/2021.</t>
  </si>
  <si>
    <r>
      <rPr>
        <vertAlign val="superscript"/>
        <sz val="8"/>
        <color theme="1"/>
        <rFont val="Cambria"/>
        <family val="1"/>
        <scheme val="major"/>
      </rPr>
      <t>1</t>
    </r>
    <r>
      <rPr>
        <sz val="8"/>
        <color theme="1"/>
        <rFont val="Cambria"/>
        <family val="1"/>
        <scheme val="major"/>
      </rPr>
      <t xml:space="preserve"> Sources: ADAPT (SNAP &amp; TANF, SFY 2010-2016); MMIS (Medicaid, SFY 2010-2016); VaCMS (all programs, 2017-2020). Represent unduplicated cases within locality by SFY.  
</t>
    </r>
    <r>
      <rPr>
        <vertAlign val="superscript"/>
        <sz val="8"/>
        <color theme="1"/>
        <rFont val="Cambria"/>
        <family val="1"/>
        <scheme val="major"/>
      </rPr>
      <t>2</t>
    </r>
    <r>
      <rPr>
        <sz val="8"/>
        <color theme="1"/>
        <rFont val="Cambria"/>
        <family val="1"/>
        <scheme val="major"/>
      </rPr>
      <t xml:space="preserve"> EA Case (Household) Counts Agency Summary Reports (2013-2016) &amp; VaCMS EAP Program Effectiveness Reports (FFY 2017-2020). </t>
    </r>
    <r>
      <rPr>
        <vertAlign val="superscript"/>
        <sz val="8"/>
        <color theme="1"/>
        <rFont val="Cambria"/>
        <family val="1"/>
        <scheme val="major"/>
      </rPr>
      <t>3</t>
    </r>
    <r>
      <rPr>
        <sz val="8"/>
        <color theme="1"/>
        <rFont val="Cambria"/>
        <family val="1"/>
        <scheme val="major"/>
      </rPr>
      <t xml:space="preserve"> Re: 2017, see caution note on "TANF Cases-Annual" tab. </t>
    </r>
  </si>
  <si>
    <t>Adult and Child Population by Locality by Sex, Race and Hispanic Ethnicity, 2019 (Updated 3/19/2021)</t>
  </si>
  <si>
    <t>Total Population (Universe)</t>
  </si>
  <si>
    <t>&lt; 138% FPL</t>
  </si>
  <si>
    <t>&lt; 200% FPL</t>
  </si>
  <si>
    <t>Insured</t>
  </si>
  <si>
    <t>Uninsured</t>
  </si>
  <si>
    <t>% Uninsured</t>
  </si>
  <si>
    <t>Source: U.S. Census Bureau, Small Area Health Insurance Estimates (SAHIE) Program.</t>
  </si>
  <si>
    <t>Number of People Under 65 With No Health Insurance (By Income), Virginia, 2019</t>
  </si>
  <si>
    <t>Number of People Under 65 With No Health Insurance (&lt; 200% FPL), Virginia, 2012-2019</t>
  </si>
  <si>
    <t>Number of People Under 65 Who Are Uninsured in Locality</t>
  </si>
  <si>
    <t>Percent of People Under 65 Who Are Uninsured in Locality</t>
  </si>
  <si>
    <t xml:space="preserve">Source: U.S. Census Bureau, Small Area Health Insurance Estimates (SAHIE). </t>
  </si>
  <si>
    <t>All Income</t>
  </si>
  <si>
    <t>Less than 138% FPL</t>
  </si>
  <si>
    <t>Less than 200% FPL</t>
  </si>
  <si>
    <t>LT 200% FPL: Total</t>
  </si>
  <si>
    <t>LT 200% FPL: Uninsured</t>
  </si>
  <si>
    <t>Insurance Status of People Under 65 By Income Level (2019)</t>
  </si>
  <si>
    <r>
      <t xml:space="preserve">Annual Unemployment Rate by Locality, 2000-2019 (Unadjusted) </t>
    </r>
    <r>
      <rPr>
        <b/>
        <sz val="12"/>
        <color rgb="FFFF0000"/>
        <rFont val="Calibri"/>
        <family val="2"/>
        <scheme val="minor"/>
      </rPr>
      <t>- revised 9/15/2021</t>
    </r>
  </si>
  <si>
    <t xml:space="preserve">For questions, contact the Virginia Department of Social Services, Office of Research and Planning. Unemployment counts and rates updated 9/15/2021 using benchmarked data from the VEC. </t>
  </si>
  <si>
    <r>
      <t xml:space="preserve">Teen Births and Birth Rates by Race by LDSS, Virginia, 2015-2019 </t>
    </r>
    <r>
      <rPr>
        <b/>
        <sz val="12"/>
        <color rgb="FFFF0000"/>
        <rFont val="Calibri"/>
        <family val="2"/>
        <scheme val="minor"/>
      </rPr>
      <t>(Corrected 10/7/2021)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</si>
</sst>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mmm\ d\,\ yyyy;@"/>
    <numFmt numFmtId="169" formatCode="_(* #,##0_);_(* \(#,##0\);_(* &quot;-&quot;??_);_(@_)"/>
    <numFmt numFmtId="170" formatCode="#_)"/>
    <numFmt numFmtId="171" formatCode="#,##0.0_);\(#,##0.0\)"/>
    <numFmt numFmtId="172" formatCode="#,##0_)"/>
    <numFmt numFmtId="173" formatCode="0_);\(0\)"/>
    <numFmt numFmtId="174" formatCode="_(&quot;$&quot;* #,##0_);_(&quot;$&quot;* \(#,##0\);_(&quot;$&quot;* &quot;-&quot;??_);_(@_)"/>
    <numFmt numFmtId="175" formatCode="&quot;$&quot;###.#"/>
    <numFmt numFmtId="176" formatCode="&quot;$&quot;#,##0;\(&quot;$&quot;#,##0\)"/>
    <numFmt numFmtId="177" formatCode="#.0_)"/>
  </numFmts>
  <fonts count="122"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name val="Times New Roman"/>
      <family val="1"/>
    </font>
    <font>
      <sz val="10"/>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sz val="12"/>
      <color indexed="8"/>
      <name val="Calibri"/>
      <family val="2"/>
    </font>
    <font>
      <u/>
      <sz val="12"/>
      <color indexed="12"/>
      <name val="Calibri"/>
      <family val="2"/>
    </font>
    <font>
      <sz val="12"/>
      <name val="Courier New"/>
      <family val="3"/>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
      <sz val="11"/>
      <color theme="0"/>
      <name val="Cambria"/>
      <family val="1"/>
      <scheme val="major"/>
    </font>
    <font>
      <sz val="14"/>
      <color theme="1"/>
      <name val="Cambria"/>
      <family val="1"/>
      <scheme val="major"/>
    </font>
    <font>
      <b/>
      <sz val="11"/>
      <color theme="1"/>
      <name val="Calibri"/>
      <family val="2"/>
    </font>
    <font>
      <sz val="11"/>
      <name val="Calibri"/>
      <family val="2"/>
    </font>
    <font>
      <sz val="10.5"/>
      <name val="Segoe UI"/>
      <family val="2"/>
    </font>
    <font>
      <i/>
      <sz val="10.5"/>
      <name val="Segoe UI"/>
      <family val="2"/>
    </font>
    <font>
      <sz val="10.5"/>
      <color theme="1"/>
      <name val="Segoe UI"/>
      <family val="2"/>
    </font>
    <font>
      <sz val="11"/>
      <name val="Cambria"/>
      <family val="1"/>
      <scheme val="major"/>
    </font>
    <font>
      <b/>
      <sz val="10.5"/>
      <name val="Segoe UI"/>
      <family val="2"/>
    </font>
    <font>
      <sz val="9"/>
      <name val="Cambria"/>
      <family val="1"/>
      <scheme val="major"/>
    </font>
    <font>
      <i/>
      <sz val="10"/>
      <name val="Cambria"/>
      <family val="1"/>
      <scheme val="major"/>
    </font>
    <font>
      <b/>
      <sz val="11"/>
      <color theme="1"/>
      <name val="Cambria"/>
      <family val="1"/>
      <scheme val="major"/>
    </font>
    <font>
      <sz val="12"/>
      <color rgb="FFFF0000"/>
      <name val="Calibri"/>
      <family val="2"/>
      <scheme val="minor"/>
    </font>
    <font>
      <sz val="16"/>
      <color theme="0"/>
      <name val="Cambria"/>
      <family val="1"/>
      <scheme val="major"/>
    </font>
    <font>
      <b/>
      <sz val="20"/>
      <color theme="7" tint="-0.249977111117893"/>
      <name val="Cambria"/>
      <family val="1"/>
      <scheme val="major"/>
    </font>
    <font>
      <sz val="8"/>
      <color rgb="FFFF0000"/>
      <name val="Cambria"/>
      <family val="1"/>
      <scheme val="major"/>
    </font>
    <font>
      <sz val="8"/>
      <name val="Cambria"/>
      <family val="1"/>
      <scheme val="major"/>
    </font>
    <font>
      <sz val="16"/>
      <color theme="1"/>
      <name val="Cambria"/>
      <family val="1"/>
      <scheme val="major"/>
    </font>
    <font>
      <b/>
      <sz val="12"/>
      <color rgb="FFFF0000"/>
      <name val="Calibri"/>
      <family val="2"/>
      <scheme val="minor"/>
    </font>
  </fonts>
  <fills count="31">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s>
  <borders count="41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style="thin">
        <color indexed="8"/>
      </left>
      <right/>
      <top style="thin">
        <color indexed="8"/>
      </top>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indexed="64"/>
      </left>
      <right style="thin">
        <color indexed="64"/>
      </right>
      <top/>
      <bottom style="thin">
        <color theme="1"/>
      </bottom>
      <diagonal/>
    </border>
    <border>
      <left style="thin">
        <color theme="1"/>
      </left>
      <right/>
      <top/>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dashed">
        <color indexed="8"/>
      </left>
      <right style="thin">
        <color indexed="8"/>
      </right>
      <top/>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dashed">
        <color theme="1"/>
      </left>
      <right style="thin">
        <color indexed="64"/>
      </right>
      <top/>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right style="dashed">
        <color auto="1"/>
      </right>
      <top/>
      <bottom/>
      <diagonal/>
    </border>
    <border>
      <left style="dashed">
        <color indexed="64"/>
      </left>
      <right/>
      <top/>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
      <left style="thin">
        <color indexed="64"/>
      </left>
      <right style="thin">
        <color indexed="64"/>
      </right>
      <top style="thin">
        <color indexed="64"/>
      </top>
      <bottom style="thin">
        <color indexed="8"/>
      </bottom>
      <diagonal/>
    </border>
    <border>
      <left style="dashed">
        <color indexed="64"/>
      </left>
      <right/>
      <top/>
      <bottom style="thin">
        <color indexed="64"/>
      </bottom>
      <diagonal/>
    </border>
    <border>
      <left/>
      <right style="thin">
        <color auto="1"/>
      </right>
      <top/>
      <bottom/>
      <diagonal/>
    </border>
    <border>
      <left/>
      <right style="thin">
        <color auto="1"/>
      </right>
      <top style="thin">
        <color indexed="64"/>
      </top>
      <bottom style="thin">
        <color indexed="64"/>
      </bottom>
      <diagonal/>
    </border>
    <border>
      <left style="thin">
        <color indexed="8"/>
      </left>
      <right style="thin">
        <color indexed="8"/>
      </right>
      <top/>
      <bottom/>
      <diagonal/>
    </border>
    <border>
      <left style="thin">
        <color indexed="8"/>
      </left>
      <right style="dashed">
        <color indexed="8"/>
      </right>
      <top/>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8"/>
      </left>
      <right style="dashed">
        <color indexed="8"/>
      </right>
      <top style="thin">
        <color indexed="8"/>
      </top>
      <bottom style="thin">
        <color indexed="22"/>
      </bottom>
      <diagonal/>
    </border>
    <border>
      <left style="dashed">
        <color indexed="8"/>
      </left>
      <right style="dashed">
        <color indexed="8"/>
      </right>
      <top style="thin">
        <color indexed="8"/>
      </top>
      <bottom style="thin">
        <color indexed="22"/>
      </bottom>
      <diagonal/>
    </border>
    <border>
      <left style="dashed">
        <color indexed="8"/>
      </left>
      <right style="thin">
        <color indexed="8"/>
      </right>
      <top style="thin">
        <color indexed="8"/>
      </top>
      <bottom style="thin">
        <color indexed="22"/>
      </bottom>
      <diagonal/>
    </border>
    <border>
      <left/>
      <right/>
      <top style="thin">
        <color indexed="22"/>
      </top>
      <bottom style="thin">
        <color indexed="64"/>
      </bottom>
      <diagonal/>
    </border>
    <border>
      <left/>
      <right/>
      <top/>
      <bottom style="thin">
        <color theme="0" tint="-0.24994659260841701"/>
      </bottom>
      <diagonal/>
    </border>
    <border>
      <left style="thin">
        <color indexed="8"/>
      </left>
      <right style="dashed">
        <color indexed="8"/>
      </right>
      <top/>
      <bottom style="thin">
        <color theme="0" tint="-0.24994659260841701"/>
      </bottom>
      <diagonal/>
    </border>
    <border>
      <left style="dashed">
        <color indexed="8"/>
      </left>
      <right style="dashed">
        <color indexed="8"/>
      </right>
      <top/>
      <bottom style="thin">
        <color theme="0" tint="-0.24994659260841701"/>
      </bottom>
      <diagonal/>
    </border>
    <border>
      <left style="dashed">
        <color indexed="8"/>
      </left>
      <right/>
      <top/>
      <bottom style="thin">
        <color theme="0" tint="-0.24994659260841701"/>
      </bottom>
      <diagonal/>
    </border>
    <border>
      <left/>
      <right/>
      <top style="thin">
        <color theme="0" tint="-0.24994659260841701"/>
      </top>
      <bottom style="thin">
        <color theme="0" tint="-0.24994659260841701"/>
      </bottom>
      <diagonal/>
    </border>
    <border>
      <left style="thin">
        <color indexed="8"/>
      </left>
      <right style="dashed">
        <color indexed="8"/>
      </right>
      <top style="thin">
        <color theme="0" tint="-0.24994659260841701"/>
      </top>
      <bottom style="thin">
        <color theme="0" tint="-0.24994659260841701"/>
      </bottom>
      <diagonal/>
    </border>
    <border>
      <left style="dashed">
        <color indexed="8"/>
      </left>
      <right style="dashed">
        <color indexed="8"/>
      </right>
      <top style="thin">
        <color theme="0" tint="-0.24994659260841701"/>
      </top>
      <bottom style="thin">
        <color theme="0" tint="-0.24994659260841701"/>
      </bottom>
      <diagonal/>
    </border>
    <border>
      <left style="dashed">
        <color indexed="8"/>
      </left>
      <right/>
      <top style="thin">
        <color theme="0" tint="-0.24994659260841701"/>
      </top>
      <bottom style="thin">
        <color theme="0" tint="-0.24994659260841701"/>
      </bottom>
      <diagonal/>
    </border>
    <border>
      <left style="dashed">
        <color indexed="8"/>
      </left>
      <right style="thin">
        <color indexed="8"/>
      </right>
      <top style="thin">
        <color theme="0" tint="-0.24994659260841701"/>
      </top>
      <bottom style="thin">
        <color theme="0" tint="-0.2499465926084170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8"/>
      </left>
      <right style="dashed">
        <color indexed="8"/>
      </right>
      <top style="thin">
        <color indexed="22"/>
      </top>
      <bottom style="thin">
        <color auto="1"/>
      </bottom>
      <diagonal/>
    </border>
    <border>
      <left style="dashed">
        <color indexed="8"/>
      </left>
      <right style="dashed">
        <color indexed="8"/>
      </right>
      <top style="thin">
        <color indexed="22"/>
      </top>
      <bottom style="thin">
        <color auto="1"/>
      </bottom>
      <diagonal/>
    </border>
    <border>
      <left style="dashed">
        <color indexed="8"/>
      </left>
      <right/>
      <top style="thin">
        <color indexed="22"/>
      </top>
      <bottom style="thin">
        <color auto="1"/>
      </bottom>
      <diagonal/>
    </border>
    <border>
      <left style="thin">
        <color indexed="8"/>
      </left>
      <right style="thin">
        <color indexed="8"/>
      </right>
      <top style="thin">
        <color indexed="8"/>
      </top>
      <bottom style="thin">
        <color theme="0" tint="-0.24994659260841701"/>
      </bottom>
      <diagonal/>
    </border>
    <border>
      <left/>
      <right/>
      <top style="thin">
        <color indexed="8"/>
      </top>
      <bottom style="thin">
        <color theme="0" tint="-0.24994659260841701"/>
      </bottom>
      <diagonal/>
    </border>
    <border>
      <left style="thin">
        <color indexed="8"/>
      </left>
      <right style="dashed">
        <color indexed="8"/>
      </right>
      <top style="thin">
        <color indexed="8"/>
      </top>
      <bottom style="thin">
        <color theme="0" tint="-0.24994659260841701"/>
      </bottom>
      <diagonal/>
    </border>
    <border>
      <left style="dashed">
        <color indexed="8"/>
      </left>
      <right style="dashed">
        <color indexed="8"/>
      </right>
      <top style="thin">
        <color indexed="8"/>
      </top>
      <bottom style="thin">
        <color theme="0" tint="-0.24994659260841701"/>
      </bottom>
      <diagonal/>
    </border>
    <border>
      <left style="dashed">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right/>
      <top style="thin">
        <color theme="0" tint="-0.24994659260841701"/>
      </top>
      <bottom style="thin">
        <color indexed="8"/>
      </bottom>
      <diagonal/>
    </border>
    <border>
      <left style="thin">
        <color indexed="8"/>
      </left>
      <right style="dashed">
        <color indexed="8"/>
      </right>
      <top style="thin">
        <color theme="0" tint="-0.24994659260841701"/>
      </top>
      <bottom style="thin">
        <color indexed="8"/>
      </bottom>
      <diagonal/>
    </border>
    <border>
      <left style="dashed">
        <color indexed="8"/>
      </left>
      <right style="dashed">
        <color indexed="8"/>
      </right>
      <top style="thin">
        <color theme="0" tint="-0.24994659260841701"/>
      </top>
      <bottom style="thin">
        <color indexed="8"/>
      </bottom>
      <diagonal/>
    </border>
    <border>
      <left style="dashed">
        <color indexed="8"/>
      </left>
      <right style="thin">
        <color indexed="8"/>
      </right>
      <top style="thin">
        <color theme="0" tint="-0.24994659260841701"/>
      </top>
      <bottom style="thin">
        <color indexed="8"/>
      </bottom>
      <diagonal/>
    </border>
    <border>
      <left/>
      <right/>
      <top style="thin">
        <color auto="1"/>
      </top>
      <bottom style="thin">
        <color theme="0" tint="-0.24994659260841701"/>
      </bottom>
      <diagonal/>
    </border>
    <border>
      <left style="thin">
        <color indexed="64"/>
      </left>
      <right style="thin">
        <color indexed="64"/>
      </right>
      <top style="thin">
        <color auto="1"/>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style="thin">
        <color indexed="64"/>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dashed">
        <color indexed="8"/>
      </left>
      <right style="dashed">
        <color indexed="8"/>
      </right>
      <top style="thin">
        <color indexed="22"/>
      </top>
      <bottom style="thin">
        <color indexed="22"/>
      </bottom>
      <diagonal/>
    </border>
    <border>
      <left style="thin">
        <color indexed="8"/>
      </left>
      <right style="dashed">
        <color indexed="8"/>
      </right>
      <top style="thin">
        <color indexed="22"/>
      </top>
      <bottom style="thin">
        <color indexed="64"/>
      </bottom>
      <diagonal/>
    </border>
    <border>
      <left style="dashed">
        <color indexed="8"/>
      </left>
      <right style="dashed">
        <color indexed="8"/>
      </right>
      <top style="thin">
        <color indexed="22"/>
      </top>
      <bottom style="thin">
        <color indexed="64"/>
      </bottom>
      <diagonal/>
    </border>
    <border>
      <left style="dashed">
        <color indexed="8"/>
      </left>
      <right style="thin">
        <color indexed="8"/>
      </right>
      <top style="thin">
        <color indexed="22"/>
      </top>
      <bottom style="thin">
        <color indexed="64"/>
      </bottom>
      <diagonal/>
    </border>
    <border>
      <left style="dashed">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auto="1"/>
      </left>
      <right style="thin">
        <color auto="1"/>
      </right>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auto="1"/>
      </left>
      <right style="dashed">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dashed">
        <color auto="1"/>
      </left>
      <right style="thin">
        <color indexed="64"/>
      </right>
      <top/>
      <bottom style="thin">
        <color auto="1"/>
      </bottom>
      <diagonal/>
    </border>
    <border>
      <left style="dashed">
        <color auto="1"/>
      </left>
      <right/>
      <top style="thin">
        <color auto="1"/>
      </top>
      <bottom/>
      <diagonal/>
    </border>
    <border>
      <left style="dashed">
        <color indexed="64"/>
      </left>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top style="thin">
        <color indexed="64"/>
      </top>
      <bottom/>
      <diagonal/>
    </border>
    <border>
      <left/>
      <right/>
      <top/>
      <bottom style="thin">
        <color indexed="8"/>
      </bottom>
      <diagonal/>
    </border>
    <border>
      <left/>
      <right style="dashed">
        <color indexed="64"/>
      </right>
      <top style="thin">
        <color indexed="64"/>
      </top>
      <bottom style="thin">
        <color indexed="8"/>
      </bottom>
      <diagonal/>
    </border>
    <border>
      <left style="thin">
        <color auto="1"/>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style="thin">
        <color auto="1"/>
      </left>
      <right style="dashed">
        <color indexed="64"/>
      </right>
      <top style="thin">
        <color indexed="22"/>
      </top>
      <bottom style="thin">
        <color indexed="64"/>
      </bottom>
      <diagonal/>
    </border>
    <border>
      <left style="dashed">
        <color indexed="64"/>
      </left>
      <right style="dashed">
        <color indexed="64"/>
      </right>
      <top style="thin">
        <color indexed="22"/>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1"/>
      </left>
      <right/>
      <top style="thin">
        <color indexed="64"/>
      </top>
      <bottom style="thin">
        <color indexed="64"/>
      </bottom>
      <diagonal/>
    </border>
    <border>
      <left style="thin">
        <color theme="1"/>
      </left>
      <right style="dashed">
        <color theme="1"/>
      </right>
      <top style="thin">
        <color theme="1"/>
      </top>
      <bottom style="thin">
        <color theme="1"/>
      </bottom>
      <diagonal/>
    </border>
    <border>
      <left style="dashed">
        <color theme="1"/>
      </left>
      <right style="dashed">
        <color theme="1"/>
      </right>
      <top style="thin">
        <color theme="1"/>
      </top>
      <bottom style="thin">
        <color theme="1"/>
      </bottom>
      <diagonal/>
    </border>
    <border>
      <left style="dashed">
        <color theme="1"/>
      </left>
      <right style="thin">
        <color theme="1"/>
      </right>
      <top style="thin">
        <color theme="1"/>
      </top>
      <bottom style="thin">
        <color theme="1"/>
      </bottom>
      <diagonal/>
    </border>
    <border>
      <left style="thin">
        <color theme="1"/>
      </left>
      <right style="medium">
        <color theme="1"/>
      </right>
      <top style="thin">
        <color indexed="64"/>
      </top>
      <bottom style="thin">
        <color indexed="64"/>
      </bottom>
      <diagonal/>
    </border>
    <border>
      <left/>
      <right/>
      <top style="thin">
        <color indexed="64"/>
      </top>
      <bottom style="thin">
        <color indexed="64"/>
      </bottom>
      <diagonal/>
    </border>
    <border>
      <left style="dashed">
        <color theme="1"/>
      </left>
      <right style="medium">
        <color theme="1"/>
      </right>
      <top/>
      <bottom/>
      <diagonal/>
    </border>
    <border>
      <left style="thin">
        <color theme="1"/>
      </left>
      <right style="dashed">
        <color theme="1"/>
      </right>
      <top style="thin">
        <color indexed="64"/>
      </top>
      <bottom style="thin">
        <color indexed="64"/>
      </bottom>
      <diagonal/>
    </border>
    <border>
      <left style="dashed">
        <color theme="1"/>
      </left>
      <right style="medium">
        <color theme="1"/>
      </right>
      <top style="thin">
        <color indexed="64"/>
      </top>
      <bottom style="thin">
        <color indexed="64"/>
      </bottom>
      <diagonal/>
    </border>
    <border>
      <left/>
      <right style="medium">
        <color theme="1"/>
      </right>
      <top style="thin">
        <color indexed="64"/>
      </top>
      <bottom style="thin">
        <color indexed="64"/>
      </bottom>
      <diagonal/>
    </border>
    <border>
      <left/>
      <right style="thin">
        <color theme="1"/>
      </right>
      <top style="thin">
        <color indexed="64"/>
      </top>
      <bottom style="thin">
        <color indexed="64"/>
      </bottom>
      <diagonal/>
    </border>
    <border>
      <left style="medium">
        <color theme="1"/>
      </left>
      <right/>
      <top style="thin">
        <color indexed="64"/>
      </top>
      <bottom style="thin">
        <color indexed="64"/>
      </bottom>
      <diagonal/>
    </border>
    <border>
      <left style="thin">
        <color theme="1"/>
      </left>
      <right style="dashed">
        <color theme="1"/>
      </right>
      <top style="thin">
        <color theme="1"/>
      </top>
      <bottom style="thin">
        <color indexed="64"/>
      </bottom>
      <diagonal/>
    </border>
    <border>
      <left style="dashed">
        <color auto="1"/>
      </left>
      <right style="thin">
        <color auto="1"/>
      </right>
      <top style="thin">
        <color indexed="64"/>
      </top>
      <bottom/>
      <diagonal/>
    </border>
    <border>
      <left style="thin">
        <color auto="1"/>
      </left>
      <right style="dashed">
        <color auto="1"/>
      </right>
      <top style="thin">
        <color auto="1"/>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
      <left style="dashed">
        <color indexed="8"/>
      </left>
      <right style="dashed">
        <color indexed="8"/>
      </right>
      <top style="thin">
        <color indexed="8"/>
      </top>
      <bottom/>
      <diagonal/>
    </border>
    <border>
      <left style="dashed">
        <color indexed="8"/>
      </left>
      <right style="dashed">
        <color indexed="8"/>
      </right>
      <top style="thin">
        <color indexed="8"/>
      </top>
      <bottom style="thin">
        <color indexed="22"/>
      </bottom>
      <diagonal/>
    </border>
    <border>
      <left style="dashed">
        <color indexed="8"/>
      </left>
      <right style="dashed">
        <color indexed="8"/>
      </right>
      <top style="thin">
        <color indexed="22"/>
      </top>
      <bottom style="thin">
        <color indexed="22"/>
      </bottom>
      <diagonal/>
    </border>
    <border>
      <left style="dashed">
        <color indexed="8"/>
      </left>
      <right style="dashed">
        <color indexed="8"/>
      </right>
      <top style="thin">
        <color indexed="22"/>
      </top>
      <bottom style="thin">
        <color auto="1"/>
      </bottom>
      <diagonal/>
    </border>
    <border>
      <left style="dashed">
        <color indexed="8"/>
      </left>
      <right style="dashed">
        <color indexed="8"/>
      </right>
      <top style="thin">
        <color indexed="8"/>
      </top>
      <bottom style="thin">
        <color indexed="8"/>
      </bottom>
      <diagonal/>
    </border>
    <border>
      <left/>
      <right style="dashed">
        <color indexed="8"/>
      </right>
      <top style="thin">
        <color indexed="8"/>
      </top>
      <bottom style="thin">
        <color theme="0" tint="-0.24994659260841701"/>
      </bottom>
      <diagonal/>
    </border>
    <border>
      <left/>
      <right style="dashed">
        <color indexed="8"/>
      </right>
      <top style="thin">
        <color theme="0" tint="-0.24994659260841701"/>
      </top>
      <bottom style="thin">
        <color theme="0" tint="-0.24994659260841701"/>
      </bottom>
      <diagonal/>
    </border>
    <border>
      <left/>
      <right style="dashed">
        <color indexed="8"/>
      </right>
      <top style="thin">
        <color theme="0" tint="-0.24994659260841701"/>
      </top>
      <bottom style="thin">
        <color indexed="8"/>
      </bottom>
      <diagonal/>
    </border>
    <border>
      <left style="thin">
        <color indexed="64"/>
      </left>
      <right style="thin">
        <color indexed="64"/>
      </right>
      <top style="thin">
        <color auto="1"/>
      </top>
      <bottom style="thin">
        <color theme="0" tint="-0.24994659260841701"/>
      </bottom>
      <diagonal/>
    </border>
    <border>
      <left style="dashed">
        <color indexed="64"/>
      </left>
      <right style="thin">
        <color indexed="64"/>
      </right>
      <top/>
      <bottom style="dashed">
        <color indexed="64"/>
      </bottom>
      <diagonal/>
    </border>
    <border>
      <left style="dashed">
        <color indexed="64"/>
      </left>
      <right style="thin">
        <color indexed="64"/>
      </right>
      <top style="dashed">
        <color indexed="64"/>
      </top>
      <bottom/>
      <diagonal/>
    </border>
    <border>
      <left style="dashed">
        <color auto="1"/>
      </left>
      <right/>
      <top style="thin">
        <color auto="1"/>
      </top>
      <bottom/>
      <diagonal/>
    </border>
    <border>
      <left style="dashed">
        <color auto="1"/>
      </left>
      <right/>
      <top/>
      <bottom style="thin">
        <color auto="1"/>
      </bottom>
      <diagonal/>
    </border>
    <border>
      <left style="dashed">
        <color indexed="64"/>
      </left>
      <right style="dashed">
        <color indexed="64"/>
      </right>
      <top style="dashed">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dashed">
        <color auto="1"/>
      </right>
      <top style="medium">
        <color indexed="64"/>
      </top>
      <bottom/>
      <diagonal/>
    </border>
    <border>
      <left style="dashed">
        <color auto="1"/>
      </left>
      <right style="dashed">
        <color auto="1"/>
      </right>
      <top style="medium">
        <color indexed="64"/>
      </top>
      <bottom/>
      <diagonal/>
    </border>
    <border>
      <left style="dashed">
        <color auto="1"/>
      </left>
      <right style="thin">
        <color auto="1"/>
      </right>
      <top style="medium">
        <color indexed="64"/>
      </top>
      <bottom/>
      <diagonal/>
    </border>
    <border>
      <left/>
      <right style="medium">
        <color indexed="64"/>
      </right>
      <top style="medium">
        <color indexed="64"/>
      </top>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top/>
      <bottom/>
      <diagonal/>
    </border>
    <border>
      <left/>
      <right style="medium">
        <color indexed="64"/>
      </right>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style="thin">
        <color auto="1"/>
      </left>
      <right style="dashed">
        <color auto="1"/>
      </right>
      <top/>
      <bottom style="medium">
        <color indexed="64"/>
      </bottom>
      <diagonal/>
    </border>
    <border>
      <left style="dashed">
        <color indexed="64"/>
      </left>
      <right style="dash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auto="1"/>
      </left>
      <right style="thin">
        <color auto="1"/>
      </right>
      <top/>
      <bottom/>
      <diagonal/>
    </border>
    <border>
      <left style="dashed">
        <color indexed="64"/>
      </left>
      <right/>
      <top style="thin">
        <color indexed="64"/>
      </top>
      <bottom style="thin">
        <color indexed="64"/>
      </bottom>
      <diagonal/>
    </border>
    <border>
      <left style="thin">
        <color indexed="64"/>
      </left>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indexed="64"/>
      </left>
      <right/>
      <top/>
      <bottom style="thin">
        <color auto="1"/>
      </bottom>
      <diagonal/>
    </border>
    <border>
      <left style="dashed">
        <color indexed="64"/>
      </left>
      <right style="dashed">
        <color indexed="64"/>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thin">
        <color indexed="64"/>
      </right>
      <top/>
      <bottom style="thin">
        <color indexed="64"/>
      </bottom>
      <diagonal/>
    </border>
    <border>
      <left style="dashed">
        <color auto="1"/>
      </left>
      <right/>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auto="1"/>
      </left>
      <right style="dashed">
        <color auto="1"/>
      </right>
      <top/>
      <bottom/>
      <diagonal/>
    </border>
    <border>
      <left style="dashed">
        <color indexed="64"/>
      </left>
      <right style="thin">
        <color indexed="64"/>
      </right>
      <top/>
      <bottom/>
      <diagonal/>
    </border>
    <border>
      <left style="dashed">
        <color indexed="8"/>
      </left>
      <right style="thin">
        <color indexed="8"/>
      </right>
      <top/>
      <bottom style="thin">
        <color auto="1"/>
      </bottom>
      <diagonal/>
    </border>
    <border>
      <left style="dashed">
        <color indexed="8"/>
      </left>
      <right/>
      <top style="thin">
        <color indexed="8"/>
      </top>
      <bottom style="thin">
        <color indexed="8"/>
      </bottom>
      <diagonal/>
    </border>
    <border>
      <left style="dashed">
        <color indexed="8"/>
      </left>
      <right/>
      <top/>
      <bottom style="thin">
        <color auto="1"/>
      </bottom>
      <diagonal/>
    </border>
    <border>
      <left style="dashed">
        <color indexed="8"/>
      </left>
      <right style="dashed">
        <color indexed="8"/>
      </right>
      <top style="thin">
        <color indexed="8"/>
      </top>
      <bottom style="thin">
        <color indexed="8"/>
      </bottom>
      <diagonal/>
    </border>
    <border>
      <left style="dashed">
        <color indexed="8"/>
      </left>
      <right style="dashed">
        <color indexed="8"/>
      </right>
      <top/>
      <bottom style="thin">
        <color auto="1"/>
      </bottom>
      <diagonal/>
    </border>
    <border>
      <left style="dashed">
        <color indexed="8"/>
      </left>
      <right style="thin">
        <color indexed="8"/>
      </right>
      <top style="thin">
        <color indexed="8"/>
      </top>
      <bottom style="thin">
        <color indexed="8"/>
      </bottom>
      <diagonal/>
    </border>
    <border>
      <left style="dashed">
        <color indexed="8"/>
      </left>
      <right/>
      <top/>
      <bottom style="thin">
        <color indexed="8"/>
      </bottom>
      <diagonal/>
    </border>
    <border>
      <left style="dashed">
        <color indexed="8"/>
      </left>
      <right style="thin">
        <color indexed="8"/>
      </right>
      <top/>
      <bottom style="thin">
        <color indexed="8"/>
      </bottom>
      <diagonal/>
    </border>
    <border>
      <left style="dashed">
        <color auto="1"/>
      </left>
      <right/>
      <top style="thin">
        <color auto="1"/>
      </top>
      <bottom style="thin">
        <color auto="1"/>
      </bottom>
      <diagonal/>
    </border>
    <border>
      <left style="thin">
        <color indexed="64"/>
      </left>
      <right style="thin">
        <color indexed="64"/>
      </right>
      <top/>
      <bottom style="thin">
        <color indexed="64"/>
      </bottom>
      <diagonal/>
    </border>
    <border>
      <left style="dashed">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indexed="8"/>
      </top>
      <bottom style="thin">
        <color indexed="8"/>
      </bottom>
      <diagonal/>
    </border>
    <border>
      <left style="dashed">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dashed">
        <color indexed="64"/>
      </left>
      <right style="thin">
        <color indexed="64"/>
      </right>
      <top/>
      <bottom style="thin">
        <color indexed="64"/>
      </bottom>
      <diagonal/>
    </border>
    <border>
      <left/>
      <right style="thin">
        <color indexed="64"/>
      </right>
      <top style="thin">
        <color indexed="64"/>
      </top>
      <bottom style="thin">
        <color auto="1"/>
      </bottom>
      <diagonal/>
    </border>
    <border>
      <left style="thin">
        <color indexed="64"/>
      </left>
      <right/>
      <top/>
      <bottom/>
      <diagonal/>
    </border>
  </borders>
  <cellStyleXfs count="36">
    <xf numFmtId="0" fontId="0" fillId="0" borderId="0"/>
    <xf numFmtId="43" fontId="32" fillId="0" borderId="0" applyFont="0" applyFill="0" applyBorder="0" applyAlignment="0" applyProtection="0"/>
    <xf numFmtId="43" fontId="33" fillId="0" borderId="0" applyFont="0" applyFill="0" applyBorder="0" applyAlignment="0" applyProtection="0"/>
    <xf numFmtId="44" fontId="32" fillId="0" borderId="0" applyFont="0" applyFill="0" applyBorder="0" applyAlignment="0" applyProtection="0"/>
    <xf numFmtId="0"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8" fillId="0" borderId="0"/>
    <xf numFmtId="0" fontId="11" fillId="0" borderId="0"/>
    <xf numFmtId="0" fontId="9" fillId="0" borderId="0">
      <alignment vertical="top"/>
    </xf>
    <xf numFmtId="0" fontId="32" fillId="0" borderId="0"/>
    <xf numFmtId="0" fontId="9" fillId="0" borderId="0"/>
    <xf numFmtId="0" fontId="33" fillId="0" borderId="0"/>
    <xf numFmtId="0" fontId="10" fillId="0" borderId="0"/>
    <xf numFmtId="0" fontId="9" fillId="0" borderId="0">
      <alignment vertical="top"/>
    </xf>
    <xf numFmtId="0" fontId="12" fillId="0" borderId="0"/>
    <xf numFmtId="0" fontId="13" fillId="0" borderId="0">
      <alignment vertical="top"/>
    </xf>
    <xf numFmtId="0" fontId="14" fillId="0" borderId="0"/>
    <xf numFmtId="0" fontId="14" fillId="0" borderId="0"/>
    <xf numFmtId="0" fontId="14" fillId="0" borderId="0"/>
    <xf numFmtId="0" fontId="10" fillId="0" borderId="0"/>
    <xf numFmtId="0" fontId="10"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0" fontId="32" fillId="0" borderId="0"/>
    <xf numFmtId="0" fontId="2" fillId="0" borderId="0"/>
  </cellStyleXfs>
  <cellXfs count="2586">
    <xf numFmtId="0" fontId="0" fillId="0" borderId="0" xfId="0"/>
    <xf numFmtId="0" fontId="36" fillId="0" borderId="0" xfId="0" applyFont="1" applyAlignment="1">
      <alignment horizontal="left"/>
    </xf>
    <xf numFmtId="0" fontId="36" fillId="0" borderId="0" xfId="0" applyFont="1"/>
    <xf numFmtId="0" fontId="37" fillId="0" borderId="0" xfId="0" applyFont="1"/>
    <xf numFmtId="0" fontId="38" fillId="0" borderId="0" xfId="0" applyFont="1"/>
    <xf numFmtId="0" fontId="39" fillId="0" borderId="0" xfId="0" applyFont="1" applyBorder="1" applyAlignment="1"/>
    <xf numFmtId="0" fontId="38" fillId="0" borderId="0" xfId="0" quotePrefix="1" applyFont="1"/>
    <xf numFmtId="0" fontId="39" fillId="0" borderId="0" xfId="0" applyFont="1" applyAlignment="1">
      <alignment horizontal="right"/>
    </xf>
    <xf numFmtId="0" fontId="39" fillId="0" borderId="0" xfId="0" applyFont="1"/>
    <xf numFmtId="0" fontId="40" fillId="0" borderId="0" xfId="0" applyFont="1" applyAlignment="1">
      <alignment vertical="top" wrapText="1"/>
    </xf>
    <xf numFmtId="0" fontId="38" fillId="0" borderId="0" xfId="0" quotePrefix="1" applyFont="1" applyAlignment="1"/>
    <xf numFmtId="0" fontId="38" fillId="0" borderId="0" xfId="0" quotePrefix="1" applyFont="1" applyAlignment="1">
      <alignment horizontal="center"/>
    </xf>
    <xf numFmtId="0" fontId="40" fillId="0" borderId="0" xfId="0" applyFont="1" applyAlignment="1">
      <alignment horizontal="left" vertical="top" wrapText="1"/>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right" wrapText="1"/>
    </xf>
    <xf numFmtId="0" fontId="38" fillId="0" borderId="0" xfId="0" applyFont="1" applyBorder="1"/>
    <xf numFmtId="3" fontId="38" fillId="0" borderId="0" xfId="0" applyNumberFormat="1" applyFont="1"/>
    <xf numFmtId="9" fontId="38" fillId="0" borderId="0" xfId="0" applyNumberFormat="1" applyFont="1"/>
    <xf numFmtId="167" fontId="38" fillId="0" borderId="0" xfId="0" applyNumberFormat="1" applyFont="1"/>
    <xf numFmtId="0" fontId="38" fillId="0" borderId="0" xfId="0" applyFont="1" applyAlignment="1">
      <alignment horizontal="left" indent="2"/>
    </xf>
    <xf numFmtId="0" fontId="38" fillId="0" borderId="0" xfId="0" applyFont="1" applyBorder="1" applyAlignment="1">
      <alignment horizontal="right"/>
    </xf>
    <xf numFmtId="0" fontId="38" fillId="0" borderId="0" xfId="0" applyFont="1" applyAlignment="1">
      <alignment wrapText="1"/>
    </xf>
    <xf numFmtId="9" fontId="38" fillId="0" borderId="0" xfId="0" applyNumberFormat="1" applyFont="1" applyBorder="1"/>
    <xf numFmtId="3" fontId="38" fillId="0" borderId="0" xfId="0" applyNumberFormat="1" applyFont="1" applyAlignment="1">
      <alignment horizontal="right"/>
    </xf>
    <xf numFmtId="9" fontId="38" fillId="0" borderId="0" xfId="33" applyFont="1"/>
    <xf numFmtId="164" fontId="38" fillId="0" borderId="0" xfId="0" applyNumberFormat="1" applyFont="1" applyAlignment="1">
      <alignment horizontal="center"/>
    </xf>
    <xf numFmtId="3" fontId="38" fillId="0" borderId="0" xfId="0" applyNumberFormat="1" applyFont="1" applyAlignment="1">
      <alignment horizontal="right" indent="1"/>
    </xf>
    <xf numFmtId="0" fontId="41" fillId="0" borderId="0" xfId="0" applyFont="1"/>
    <xf numFmtId="0" fontId="41" fillId="0" borderId="0" xfId="0" applyFont="1" applyAlignment="1">
      <alignment horizontal="left"/>
    </xf>
    <xf numFmtId="0" fontId="38" fillId="0" borderId="0" xfId="0" applyFont="1" applyBorder="1" applyAlignment="1"/>
    <xf numFmtId="0" fontId="43" fillId="0" borderId="0" xfId="0" applyFont="1"/>
    <xf numFmtId="0" fontId="41" fillId="0" borderId="0" xfId="0" applyFont="1" applyFill="1" applyBorder="1" applyAlignment="1">
      <alignment wrapText="1"/>
    </xf>
    <xf numFmtId="0" fontId="41" fillId="0" borderId="0" xfId="0" applyFont="1" applyAlignment="1">
      <alignment vertical="top" wrapText="1"/>
    </xf>
    <xf numFmtId="9" fontId="38" fillId="0" borderId="0" xfId="0" applyNumberFormat="1" applyFont="1" applyBorder="1" applyAlignment="1"/>
    <xf numFmtId="9" fontId="38" fillId="0" borderId="0" xfId="0" applyNumberFormat="1" applyFont="1" applyBorder="1" applyAlignment="1">
      <alignment horizontal="right"/>
    </xf>
    <xf numFmtId="0" fontId="38" fillId="0" borderId="0" xfId="0" applyFont="1" applyBorder="1" applyAlignment="1">
      <alignment horizontal="center"/>
    </xf>
    <xf numFmtId="0" fontId="39" fillId="0" borderId="0" xfId="0" applyFont="1" applyAlignment="1">
      <alignment horizontal="center" wrapText="1"/>
    </xf>
    <xf numFmtId="0" fontId="38" fillId="0" borderId="0"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xf>
    <xf numFmtId="0" fontId="44" fillId="0" borderId="0" xfId="0" applyFont="1"/>
    <xf numFmtId="0" fontId="44" fillId="0" borderId="0" xfId="0" applyFont="1" applyAlignment="1">
      <alignment horizontal="center"/>
    </xf>
    <xf numFmtId="0" fontId="43" fillId="0" borderId="0" xfId="0" applyFont="1" applyAlignment="1">
      <alignment horizontal="left" wrapText="1"/>
    </xf>
    <xf numFmtId="49" fontId="18" fillId="0" borderId="0" xfId="0" applyNumberFormat="1" applyFont="1" applyFill="1"/>
    <xf numFmtId="170" fontId="18" fillId="0" borderId="0" xfId="0" applyNumberFormat="1" applyFont="1" applyFill="1" applyBorder="1" applyAlignment="1" applyProtection="1">
      <alignment horizontal="center" vertical="center"/>
    </xf>
    <xf numFmtId="170" fontId="18" fillId="0" borderId="11" xfId="0" applyNumberFormat="1" applyFont="1" applyFill="1" applyBorder="1" applyAlignment="1" applyProtection="1">
      <alignment horizontal="centerContinuous" vertical="center"/>
    </xf>
    <xf numFmtId="170" fontId="18" fillId="0" borderId="12" xfId="0" applyNumberFormat="1" applyFont="1" applyFill="1" applyBorder="1" applyAlignment="1" applyProtection="1">
      <alignment horizontal="centerContinuous" vertical="center"/>
    </xf>
    <xf numFmtId="170" fontId="18" fillId="0" borderId="13" xfId="0" applyNumberFormat="1" applyFont="1" applyFill="1" applyBorder="1" applyAlignment="1" applyProtection="1">
      <alignment horizontal="centerContinuous" vertical="center"/>
    </xf>
    <xf numFmtId="170" fontId="18" fillId="0" borderId="0" xfId="0" applyNumberFormat="1" applyFont="1" applyFill="1"/>
    <xf numFmtId="170" fontId="18" fillId="0" borderId="14" xfId="0" applyNumberFormat="1" applyFont="1" applyFill="1" applyBorder="1" applyAlignment="1" applyProtection="1">
      <alignment horizontal="center" vertical="center"/>
    </xf>
    <xf numFmtId="170" fontId="18" fillId="0" borderId="15" xfId="0" applyNumberFormat="1" applyFont="1" applyFill="1" applyBorder="1" applyAlignment="1" applyProtection="1">
      <alignment horizontal="center" vertical="center"/>
    </xf>
    <xf numFmtId="170" fontId="18" fillId="0" borderId="16" xfId="0" applyNumberFormat="1" applyFont="1" applyFill="1" applyBorder="1" applyAlignment="1">
      <alignment horizontal="center" vertical="center"/>
    </xf>
    <xf numFmtId="49" fontId="19" fillId="2" borderId="17" xfId="0" applyNumberFormat="1" applyFont="1" applyFill="1" applyBorder="1" applyAlignment="1">
      <alignment horizontal="center"/>
    </xf>
    <xf numFmtId="170" fontId="19" fillId="2" borderId="18" xfId="0" applyNumberFormat="1" applyFont="1" applyFill="1" applyBorder="1" applyAlignment="1" applyProtection="1">
      <alignment horizontal="left" vertical="center"/>
    </xf>
    <xf numFmtId="170" fontId="19" fillId="2" borderId="19" xfId="0" applyNumberFormat="1" applyFont="1" applyFill="1" applyBorder="1" applyAlignment="1" applyProtection="1">
      <alignment horizontal="left" vertical="center"/>
    </xf>
    <xf numFmtId="0" fontId="18" fillId="0" borderId="20" xfId="0" applyNumberFormat="1" applyFont="1" applyBorder="1" applyAlignment="1">
      <alignment horizontal="center"/>
    </xf>
    <xf numFmtId="0" fontId="18" fillId="0" borderId="21" xfId="0" applyNumberFormat="1" applyFont="1" applyBorder="1"/>
    <xf numFmtId="172" fontId="18" fillId="0" borderId="0" xfId="0" applyNumberFormat="1" applyFont="1" applyFill="1" applyBorder="1" applyAlignment="1" applyProtection="1">
      <alignment vertical="center"/>
    </xf>
    <xf numFmtId="172" fontId="18" fillId="0" borderId="0" xfId="0" applyNumberFormat="1" applyFont="1" applyFill="1" applyBorder="1" applyAlignment="1" applyProtection="1">
      <alignment vertical="center"/>
      <protection locked="0"/>
    </xf>
    <xf numFmtId="172" fontId="18" fillId="0" borderId="22" xfId="0" applyNumberFormat="1" applyFont="1" applyFill="1" applyBorder="1" applyAlignment="1" applyProtection="1">
      <alignment vertical="center"/>
      <protection locked="0"/>
    </xf>
    <xf numFmtId="172" fontId="18" fillId="0" borderId="22" xfId="0" applyNumberFormat="1" applyFont="1" applyFill="1" applyBorder="1" applyAlignment="1" applyProtection="1">
      <alignment vertical="center"/>
    </xf>
    <xf numFmtId="0" fontId="18" fillId="0" borderId="23" xfId="0" applyNumberFormat="1" applyFont="1" applyBorder="1" applyAlignment="1">
      <alignment horizontal="center"/>
    </xf>
    <xf numFmtId="0" fontId="18" fillId="0" borderId="24" xfId="0" applyNumberFormat="1" applyFont="1" applyBorder="1"/>
    <xf numFmtId="0" fontId="44" fillId="0" borderId="0" xfId="0" applyFont="1" applyAlignment="1">
      <alignment wrapText="1"/>
    </xf>
    <xf numFmtId="0" fontId="44" fillId="0" borderId="0" xfId="0" applyFont="1" applyAlignment="1">
      <alignment horizontal="left" wrapText="1"/>
    </xf>
    <xf numFmtId="0" fontId="45" fillId="0" borderId="0" xfId="0" applyFont="1"/>
    <xf numFmtId="0" fontId="45" fillId="0" borderId="0" xfId="0" applyFont="1" applyAlignment="1">
      <alignment horizontal="right"/>
    </xf>
    <xf numFmtId="0" fontId="46" fillId="0" borderId="0" xfId="0" applyFont="1"/>
    <xf numFmtId="0" fontId="38" fillId="0" borderId="0" xfId="0" applyFont="1" applyFill="1" applyBorder="1"/>
    <xf numFmtId="0" fontId="41" fillId="0" borderId="0" xfId="0" applyFont="1" applyAlignment="1">
      <alignment horizontal="left" wrapText="1"/>
    </xf>
    <xf numFmtId="0" fontId="47" fillId="0" borderId="0" xfId="4" applyFont="1" applyAlignment="1" applyProtection="1"/>
    <xf numFmtId="0" fontId="41" fillId="0" borderId="0" xfId="0" applyFont="1" applyAlignment="1">
      <alignment wrapText="1"/>
    </xf>
    <xf numFmtId="0" fontId="39" fillId="0" borderId="0" xfId="0" applyFont="1" applyFill="1" applyBorder="1" applyAlignment="1"/>
    <xf numFmtId="0" fontId="48" fillId="0" borderId="0" xfId="0" applyFont="1" applyBorder="1" applyAlignment="1"/>
    <xf numFmtId="0" fontId="38" fillId="0" borderId="0" xfId="0" applyFont="1" applyAlignment="1"/>
    <xf numFmtId="0" fontId="41" fillId="0" borderId="0" xfId="0" applyFont="1" applyAlignment="1">
      <alignment horizontal="left" vertical="top" wrapText="1"/>
    </xf>
    <xf numFmtId="0" fontId="38" fillId="0" borderId="0" xfId="0" applyFont="1" applyFill="1" applyBorder="1" applyAlignment="1">
      <alignment horizontal="right"/>
    </xf>
    <xf numFmtId="0" fontId="49" fillId="0" borderId="10" xfId="0" applyFont="1" applyBorder="1" applyAlignment="1">
      <alignment horizontal="left" wrapText="1"/>
    </xf>
    <xf numFmtId="0" fontId="50" fillId="0" borderId="0" xfId="9" applyFont="1" applyBorder="1" applyAlignment="1">
      <alignment horizontal="left"/>
    </xf>
    <xf numFmtId="0" fontId="50" fillId="0" borderId="0" xfId="14" applyFont="1"/>
    <xf numFmtId="0" fontId="51" fillId="0" borderId="0" xfId="14" applyFont="1"/>
    <xf numFmtId="164" fontId="52" fillId="0" borderId="0" xfId="14" applyNumberFormat="1" applyFont="1" applyFill="1" applyBorder="1" applyAlignment="1">
      <alignment horizontal="center" wrapText="1"/>
    </xf>
    <xf numFmtId="0" fontId="51" fillId="0" borderId="27" xfId="9" applyFont="1" applyBorder="1"/>
    <xf numFmtId="0" fontId="51" fillId="0" borderId="28" xfId="9" applyFont="1" applyBorder="1"/>
    <xf numFmtId="0" fontId="53" fillId="0" borderId="0" xfId="14" applyFont="1" applyFill="1" applyBorder="1" applyAlignment="1">
      <alignment wrapText="1"/>
    </xf>
    <xf numFmtId="0" fontId="51" fillId="0" borderId="29" xfId="9" applyFont="1" applyBorder="1"/>
    <xf numFmtId="0" fontId="51" fillId="0" borderId="0" xfId="14" applyFont="1" applyAlignment="1">
      <alignment horizontal="right" vertical="top"/>
    </xf>
    <xf numFmtId="0" fontId="52" fillId="0" borderId="0" xfId="16" applyFont="1"/>
    <xf numFmtId="0" fontId="54" fillId="0" borderId="0" xfId="0" applyFont="1"/>
    <xf numFmtId="0" fontId="51" fillId="0" borderId="0" xfId="9" applyFont="1" applyBorder="1"/>
    <xf numFmtId="0" fontId="54" fillId="0" borderId="0" xfId="0" applyFont="1" applyBorder="1"/>
    <xf numFmtId="169" fontId="54" fillId="0" borderId="0" xfId="1" applyNumberFormat="1" applyFont="1"/>
    <xf numFmtId="164" fontId="54" fillId="0" borderId="0" xfId="33" applyNumberFormat="1" applyFont="1"/>
    <xf numFmtId="0" fontId="50" fillId="0" borderId="0" xfId="19" applyFont="1" applyAlignment="1">
      <alignment vertical="top"/>
    </xf>
    <xf numFmtId="0" fontId="36" fillId="0" borderId="0" xfId="15" applyFont="1"/>
    <xf numFmtId="0" fontId="52" fillId="0" borderId="1" xfId="25" applyFont="1" applyFill="1" applyBorder="1" applyAlignment="1"/>
    <xf numFmtId="0" fontId="39" fillId="0" borderId="0" xfId="0" applyFont="1" applyBorder="1" applyAlignment="1">
      <alignment horizontal="center" wrapText="1"/>
    </xf>
    <xf numFmtId="0" fontId="39" fillId="0" borderId="0" xfId="0" applyFont="1" applyBorder="1" applyAlignment="1">
      <alignment wrapText="1"/>
    </xf>
    <xf numFmtId="0" fontId="52" fillId="0" borderId="1" xfId="32" applyFont="1" applyFill="1" applyBorder="1" applyAlignment="1"/>
    <xf numFmtId="0" fontId="39" fillId="0" borderId="0" xfId="0" applyFont="1" applyAlignment="1">
      <alignment wrapText="1"/>
    </xf>
    <xf numFmtId="0" fontId="55" fillId="5" borderId="0" xfId="0" applyFont="1" applyFill="1" applyAlignment="1">
      <alignment wrapText="1"/>
    </xf>
    <xf numFmtId="9" fontId="38" fillId="0" borderId="0" xfId="0" applyNumberFormat="1" applyFont="1" applyFill="1" applyBorder="1"/>
    <xf numFmtId="0" fontId="38" fillId="0" borderId="0" xfId="0" applyFont="1" applyFill="1" applyBorder="1" applyAlignment="1">
      <alignment horizontal="right" indent="1"/>
    </xf>
    <xf numFmtId="3" fontId="38" fillId="0" borderId="0" xfId="0" applyNumberFormat="1" applyFont="1" applyFill="1" applyBorder="1" applyAlignment="1">
      <alignment horizontal="right" indent="1"/>
    </xf>
    <xf numFmtId="0" fontId="56" fillId="0" borderId="0" xfId="0" applyFont="1"/>
    <xf numFmtId="3" fontId="56" fillId="0" borderId="0" xfId="0" applyNumberFormat="1" applyFont="1"/>
    <xf numFmtId="9" fontId="56" fillId="0" borderId="0" xfId="33" applyFont="1"/>
    <xf numFmtId="169" fontId="56" fillId="0" borderId="0" xfId="1" applyNumberFormat="1" applyFont="1"/>
    <xf numFmtId="0" fontId="39" fillId="0" borderId="0" xfId="0" applyFont="1" applyFill="1" applyBorder="1" applyAlignment="1">
      <alignment horizontal="center"/>
    </xf>
    <xf numFmtId="9" fontId="38" fillId="0" borderId="21" xfId="33" applyFont="1" applyBorder="1" applyAlignment="1">
      <alignment horizontal="right" indent="1"/>
    </xf>
    <xf numFmtId="0" fontId="41" fillId="0" borderId="0" xfId="0" applyFont="1" applyBorder="1" applyAlignment="1">
      <alignment vertical="top" wrapText="1"/>
    </xf>
    <xf numFmtId="0" fontId="41" fillId="0" borderId="0" xfId="0" applyFont="1" applyAlignment="1">
      <alignment vertical="top"/>
    </xf>
    <xf numFmtId="0" fontId="41" fillId="0" borderId="0" xfId="0" applyFont="1" applyFill="1" applyBorder="1" applyAlignment="1">
      <alignment vertical="top" wrapText="1"/>
    </xf>
    <xf numFmtId="3" fontId="38" fillId="0" borderId="94" xfId="0" applyNumberFormat="1" applyFont="1" applyFill="1" applyBorder="1" applyAlignment="1">
      <alignment horizontal="center"/>
    </xf>
    <xf numFmtId="3" fontId="38" fillId="0" borderId="95" xfId="0" applyNumberFormat="1" applyFont="1" applyFill="1" applyBorder="1" applyAlignment="1">
      <alignment horizontal="center"/>
    </xf>
    <xf numFmtId="0" fontId="18" fillId="0" borderId="0" xfId="0" applyNumberFormat="1" applyFont="1" applyBorder="1" applyAlignment="1">
      <alignment horizontal="center"/>
    </xf>
    <xf numFmtId="0" fontId="18" fillId="0" borderId="0" xfId="0" applyNumberFormat="1" applyFont="1" applyBorder="1"/>
    <xf numFmtId="3" fontId="18" fillId="0" borderId="0" xfId="0" applyNumberFormat="1" applyFont="1" applyFill="1" applyBorder="1" applyAlignment="1" applyProtection="1">
      <alignment vertical="center"/>
    </xf>
    <xf numFmtId="171" fontId="18" fillId="0" borderId="0" xfId="0" applyNumberFormat="1" applyFont="1" applyFill="1" applyBorder="1" applyAlignment="1" applyProtection="1">
      <alignment horizontal="center" vertical="center"/>
    </xf>
    <xf numFmtId="164" fontId="19" fillId="2" borderId="17" xfId="33" applyNumberFormat="1" applyFont="1" applyFill="1" applyBorder="1" applyAlignment="1" applyProtection="1">
      <alignment horizontal="center" vertical="center"/>
    </xf>
    <xf numFmtId="164" fontId="18" fillId="0" borderId="20" xfId="33" applyNumberFormat="1" applyFont="1" applyFill="1" applyBorder="1" applyAlignment="1" applyProtection="1">
      <alignment horizontal="center" vertical="center"/>
    </xf>
    <xf numFmtId="164" fontId="18" fillId="0" borderId="22" xfId="33" applyNumberFormat="1" applyFont="1" applyFill="1" applyBorder="1" applyAlignment="1" applyProtection="1">
      <alignment horizontal="center" vertical="center"/>
    </xf>
    <xf numFmtId="164" fontId="18" fillId="0" borderId="21" xfId="33" applyNumberFormat="1" applyFont="1" applyFill="1" applyBorder="1" applyAlignment="1" applyProtection="1">
      <alignment horizontal="center" vertical="center"/>
    </xf>
    <xf numFmtId="164" fontId="18" fillId="0" borderId="23" xfId="33" applyNumberFormat="1" applyFont="1" applyFill="1" applyBorder="1" applyAlignment="1" applyProtection="1">
      <alignment horizontal="center" vertical="center"/>
    </xf>
    <xf numFmtId="164" fontId="18" fillId="0" borderId="25" xfId="33" applyNumberFormat="1" applyFont="1" applyFill="1" applyBorder="1" applyAlignment="1" applyProtection="1">
      <alignment horizontal="center" vertical="center"/>
    </xf>
    <xf numFmtId="164" fontId="18" fillId="0" borderId="24" xfId="33" applyNumberFormat="1" applyFont="1" applyFill="1" applyBorder="1" applyAlignment="1" applyProtection="1">
      <alignment horizontal="center" vertical="center"/>
    </xf>
    <xf numFmtId="172" fontId="18" fillId="0" borderId="20" xfId="0" applyNumberFormat="1" applyFont="1" applyFill="1" applyBorder="1" applyAlignment="1" applyProtection="1">
      <alignment vertical="center"/>
      <protection locked="0"/>
    </xf>
    <xf numFmtId="3" fontId="18" fillId="0" borderId="21" xfId="0" applyNumberFormat="1" applyFont="1" applyFill="1" applyBorder="1" applyAlignment="1" applyProtection="1">
      <alignment vertical="center"/>
    </xf>
    <xf numFmtId="172" fontId="18" fillId="0" borderId="21" xfId="0" applyNumberFormat="1" applyFont="1" applyFill="1" applyBorder="1" applyAlignment="1" applyProtection="1">
      <alignment vertical="center"/>
    </xf>
    <xf numFmtId="170" fontId="18" fillId="0" borderId="16" xfId="0" applyNumberFormat="1" applyFont="1" applyFill="1" applyBorder="1" applyAlignment="1" applyProtection="1">
      <alignment horizontal="center" vertical="center"/>
    </xf>
    <xf numFmtId="3" fontId="19" fillId="2" borderId="17" xfId="0" applyNumberFormat="1" applyFont="1" applyFill="1" applyBorder="1" applyAlignment="1" applyProtection="1">
      <alignment vertical="center"/>
    </xf>
    <xf numFmtId="3" fontId="19" fillId="2" borderId="18" xfId="0" applyNumberFormat="1" applyFont="1" applyFill="1" applyBorder="1" applyAlignment="1" applyProtection="1">
      <alignment vertical="center"/>
    </xf>
    <xf numFmtId="3" fontId="19" fillId="2" borderId="19" xfId="0" applyNumberFormat="1" applyFont="1" applyFill="1" applyBorder="1" applyAlignment="1" applyProtection="1">
      <alignment vertical="center"/>
    </xf>
    <xf numFmtId="0" fontId="38" fillId="0" borderId="0" xfId="0" applyFont="1" applyBorder="1" applyAlignment="1">
      <alignment vertical="top"/>
    </xf>
    <xf numFmtId="0" fontId="38" fillId="0" borderId="0" xfId="0" applyFont="1" applyBorder="1" applyAlignment="1">
      <alignment vertical="top" wrapText="1"/>
    </xf>
    <xf numFmtId="0" fontId="39" fillId="0" borderId="0" xfId="0" applyFont="1" applyBorder="1" applyAlignment="1">
      <alignment vertical="top"/>
    </xf>
    <xf numFmtId="169" fontId="54" fillId="0" borderId="0" xfId="1" applyNumberFormat="1" applyFont="1" applyBorder="1"/>
    <xf numFmtId="164" fontId="54" fillId="0" borderId="0" xfId="33" applyNumberFormat="1" applyFont="1" applyBorder="1"/>
    <xf numFmtId="0" fontId="38" fillId="0" borderId="0" xfId="0" applyFont="1" applyFill="1" applyBorder="1" applyAlignment="1">
      <alignment horizontal="center"/>
    </xf>
    <xf numFmtId="164" fontId="38" fillId="0" borderId="0" xfId="33" applyNumberFormat="1" applyFont="1" applyFill="1" applyBorder="1" applyAlignment="1">
      <alignment horizontal="center"/>
    </xf>
    <xf numFmtId="164" fontId="38" fillId="0" borderId="0" xfId="0" applyNumberFormat="1" applyFont="1" applyFill="1" applyBorder="1" applyAlignment="1">
      <alignment horizontal="center"/>
    </xf>
    <xf numFmtId="0" fontId="36" fillId="0" borderId="0" xfId="0" applyFont="1" applyAlignment="1"/>
    <xf numFmtId="0" fontId="57" fillId="0" borderId="0" xfId="0" applyFont="1" applyBorder="1" applyAlignment="1">
      <alignment vertical="top" wrapText="1"/>
    </xf>
    <xf numFmtId="175" fontId="58" fillId="0" borderId="0" xfId="0" applyNumberFormat="1" applyFont="1" applyBorder="1" applyAlignment="1">
      <alignment vertical="center"/>
    </xf>
    <xf numFmtId="0" fontId="49" fillId="0" borderId="0" xfId="0" applyFont="1" applyBorder="1" applyAlignment="1">
      <alignment horizontal="left"/>
    </xf>
    <xf numFmtId="0" fontId="44" fillId="0" borderId="0" xfId="0" applyFont="1" applyAlignment="1">
      <alignment horizontal="left"/>
    </xf>
    <xf numFmtId="0" fontId="52" fillId="0" borderId="0" xfId="16" applyFont="1" applyBorder="1" applyAlignment="1">
      <alignment horizontal="center"/>
    </xf>
    <xf numFmtId="0" fontId="36" fillId="0" borderId="0" xfId="0" applyFont="1" applyBorder="1" applyAlignment="1">
      <alignment horizontal="center"/>
    </xf>
    <xf numFmtId="0" fontId="56" fillId="0" borderId="21" xfId="0" applyFont="1" applyBorder="1"/>
    <xf numFmtId="3" fontId="38" fillId="0" borderId="20" xfId="0" applyNumberFormat="1" applyFont="1" applyFill="1" applyBorder="1" applyAlignment="1">
      <alignment horizontal="right" indent="1"/>
    </xf>
    <xf numFmtId="9" fontId="38" fillId="6" borderId="97" xfId="33" applyFont="1" applyFill="1" applyBorder="1" applyAlignment="1">
      <alignment horizontal="center"/>
    </xf>
    <xf numFmtId="0" fontId="38" fillId="8" borderId="21" xfId="0" applyFont="1" applyFill="1" applyBorder="1"/>
    <xf numFmtId="0" fontId="45" fillId="2" borderId="17" xfId="0" applyFont="1" applyFill="1" applyBorder="1" applyAlignment="1">
      <alignment horizontal="center"/>
    </xf>
    <xf numFmtId="0" fontId="45" fillId="2" borderId="19" xfId="0" applyFont="1" applyFill="1" applyBorder="1" applyAlignment="1">
      <alignment horizontal="center"/>
    </xf>
    <xf numFmtId="0" fontId="45" fillId="2" borderId="26" xfId="0" applyFont="1" applyFill="1" applyBorder="1" applyAlignment="1">
      <alignment horizontal="center"/>
    </xf>
    <xf numFmtId="0" fontId="45" fillId="9" borderId="38" xfId="0" applyFont="1" applyFill="1" applyBorder="1" applyAlignment="1"/>
    <xf numFmtId="169" fontId="39" fillId="9" borderId="14" xfId="1" applyNumberFormat="1" applyFont="1" applyFill="1" applyBorder="1" applyAlignment="1"/>
    <xf numFmtId="169" fontId="39" fillId="8" borderId="28" xfId="1" applyNumberFormat="1" applyFont="1" applyFill="1" applyBorder="1"/>
    <xf numFmtId="169" fontId="38" fillId="0" borderId="20" xfId="1" applyNumberFormat="1" applyFont="1" applyBorder="1" applyAlignment="1"/>
    <xf numFmtId="169" fontId="38" fillId="0" borderId="20" xfId="1" applyNumberFormat="1" applyFont="1" applyBorder="1"/>
    <xf numFmtId="0" fontId="38" fillId="10" borderId="0" xfId="0" quotePrefix="1" applyFont="1" applyFill="1" applyAlignment="1">
      <alignment horizontal="left"/>
    </xf>
    <xf numFmtId="0" fontId="38" fillId="10" borderId="0" xfId="0" quotePrefix="1" applyFont="1" applyFill="1" applyAlignment="1"/>
    <xf numFmtId="0" fontId="38" fillId="10" borderId="0" xfId="0" applyFont="1" applyFill="1" applyAlignment="1">
      <alignment horizontal="center"/>
    </xf>
    <xf numFmtId="0" fontId="38" fillId="0" borderId="100" xfId="0" applyFont="1" applyFill="1" applyBorder="1" applyAlignment="1">
      <alignment horizontal="right" indent="1"/>
    </xf>
    <xf numFmtId="0" fontId="45" fillId="2" borderId="13" xfId="0" applyFont="1" applyFill="1" applyBorder="1" applyAlignment="1">
      <alignment horizontal="center"/>
    </xf>
    <xf numFmtId="0" fontId="45" fillId="9" borderId="39" xfId="0" applyFont="1" applyFill="1" applyBorder="1" applyAlignment="1"/>
    <xf numFmtId="0" fontId="38" fillId="8" borderId="31" xfId="0" applyFont="1" applyFill="1" applyBorder="1"/>
    <xf numFmtId="9" fontId="38" fillId="0" borderId="31" xfId="33" applyFont="1" applyBorder="1" applyAlignment="1">
      <alignment horizontal="right" indent="1"/>
    </xf>
    <xf numFmtId="0" fontId="39" fillId="15" borderId="102" xfId="0" applyFont="1" applyFill="1" applyBorder="1" applyAlignment="1">
      <alignment horizontal="center"/>
    </xf>
    <xf numFmtId="0" fontId="39" fillId="15" borderId="103" xfId="0" applyFont="1" applyFill="1" applyBorder="1" applyAlignment="1">
      <alignment horizontal="center"/>
    </xf>
    <xf numFmtId="0" fontId="39" fillId="15" borderId="104" xfId="0" applyFont="1" applyFill="1" applyBorder="1" applyAlignment="1">
      <alignment horizontal="center"/>
    </xf>
    <xf numFmtId="9" fontId="41" fillId="0" borderId="24" xfId="33" applyFont="1" applyFill="1" applyBorder="1"/>
    <xf numFmtId="0" fontId="53" fillId="0" borderId="0" xfId="16" applyFont="1"/>
    <xf numFmtId="0" fontId="36" fillId="0" borderId="17" xfId="0" applyFont="1" applyBorder="1"/>
    <xf numFmtId="0" fontId="36" fillId="0" borderId="18" xfId="0" applyFont="1" applyBorder="1"/>
    <xf numFmtId="0" fontId="36" fillId="0" borderId="40" xfId="0" applyFont="1" applyBorder="1"/>
    <xf numFmtId="0" fontId="36" fillId="0" borderId="19" xfId="0" applyFont="1" applyBorder="1"/>
    <xf numFmtId="0" fontId="52" fillId="2" borderId="0" xfId="16" quotePrefix="1" applyFont="1" applyFill="1"/>
    <xf numFmtId="0" fontId="52" fillId="2" borderId="41" xfId="16" applyFont="1" applyFill="1" applyBorder="1" applyAlignment="1">
      <alignment wrapText="1"/>
    </xf>
    <xf numFmtId="164" fontId="56" fillId="4" borderId="20" xfId="33" applyNumberFormat="1" applyFont="1" applyFill="1" applyBorder="1"/>
    <xf numFmtId="164" fontId="56" fillId="4" borderId="22" xfId="33" applyNumberFormat="1" applyFont="1" applyFill="1" applyBorder="1"/>
    <xf numFmtId="164" fontId="56" fillId="4" borderId="42" xfId="33" applyNumberFormat="1" applyFont="1" applyFill="1" applyBorder="1"/>
    <xf numFmtId="0" fontId="53" fillId="0" borderId="1" xfId="16" applyFont="1" applyFill="1" applyBorder="1" applyAlignment="1">
      <alignment wrapText="1"/>
    </xf>
    <xf numFmtId="0" fontId="53" fillId="0" borderId="9" xfId="16" applyFont="1" applyFill="1" applyBorder="1" applyAlignment="1">
      <alignment wrapText="1"/>
    </xf>
    <xf numFmtId="169" fontId="56" fillId="0" borderId="20" xfId="1" applyNumberFormat="1" applyFont="1" applyBorder="1"/>
    <xf numFmtId="169" fontId="56" fillId="0" borderId="22" xfId="1" applyNumberFormat="1" applyFont="1" applyBorder="1"/>
    <xf numFmtId="169" fontId="56" fillId="0" borderId="42" xfId="1" applyNumberFormat="1" applyFont="1" applyBorder="1"/>
    <xf numFmtId="164" fontId="56" fillId="0" borderId="20" xfId="33" applyNumberFormat="1" applyFont="1" applyBorder="1"/>
    <xf numFmtId="164" fontId="56" fillId="0" borderId="22" xfId="33" applyNumberFormat="1" applyFont="1" applyBorder="1"/>
    <xf numFmtId="164" fontId="56" fillId="0" borderId="42" xfId="33" applyNumberFormat="1" applyFont="1" applyBorder="1"/>
    <xf numFmtId="0" fontId="53" fillId="0" borderId="0" xfId="16" applyFont="1" applyFill="1" applyBorder="1" applyAlignment="1">
      <alignment wrapText="1"/>
    </xf>
    <xf numFmtId="0" fontId="52" fillId="0" borderId="0" xfId="16" applyFont="1" applyFill="1" applyBorder="1" applyAlignment="1">
      <alignment wrapText="1"/>
    </xf>
    <xf numFmtId="0" fontId="61" fillId="0" borderId="0" xfId="14" applyFont="1"/>
    <xf numFmtId="0" fontId="61" fillId="0" borderId="0" xfId="14" applyFont="1" applyAlignment="1">
      <alignment horizontal="right" vertical="top"/>
    </xf>
    <xf numFmtId="0" fontId="62" fillId="0" borderId="0" xfId="4" applyFont="1" applyAlignment="1" applyProtection="1"/>
    <xf numFmtId="0" fontId="52" fillId="0" borderId="4" xfId="14" applyFont="1" applyFill="1" applyBorder="1" applyAlignment="1">
      <alignment horizontal="right" wrapText="1" indent="1"/>
    </xf>
    <xf numFmtId="0" fontId="52" fillId="0" borderId="46" xfId="14" applyFont="1" applyFill="1" applyBorder="1" applyAlignment="1">
      <alignment horizontal="center" wrapText="1"/>
    </xf>
    <xf numFmtId="0" fontId="53" fillId="0" borderId="0" xfId="14" applyFont="1" applyFill="1" applyBorder="1" applyAlignment="1">
      <alignment horizontal="right" wrapText="1" indent="1"/>
    </xf>
    <xf numFmtId="0" fontId="61" fillId="0" borderId="27" xfId="9" applyFont="1" applyBorder="1"/>
    <xf numFmtId="0" fontId="61" fillId="0" borderId="28" xfId="9" applyFont="1" applyBorder="1"/>
    <xf numFmtId="0" fontId="61" fillId="0" borderId="28" xfId="9" applyFont="1" applyBorder="1" applyAlignment="1">
      <alignment wrapText="1"/>
    </xf>
    <xf numFmtId="0" fontId="53" fillId="0" borderId="10" xfId="14" applyFont="1" applyFill="1" applyBorder="1" applyAlignment="1">
      <alignment horizontal="right" wrapText="1" indent="1"/>
    </xf>
    <xf numFmtId="0" fontId="61" fillId="0" borderId="29" xfId="9" applyFont="1" applyBorder="1"/>
    <xf numFmtId="0" fontId="53" fillId="0" borderId="10" xfId="14" applyFont="1" applyFill="1" applyBorder="1" applyAlignment="1">
      <alignment wrapText="1"/>
    </xf>
    <xf numFmtId="0" fontId="61" fillId="0" borderId="0" xfId="9" applyFont="1" applyBorder="1"/>
    <xf numFmtId="164" fontId="53" fillId="0" borderId="0" xfId="14" applyNumberFormat="1" applyFont="1" applyFill="1" applyBorder="1" applyAlignment="1">
      <alignment horizontal="center" wrapText="1"/>
    </xf>
    <xf numFmtId="3" fontId="53" fillId="0" borderId="0" xfId="14" applyNumberFormat="1" applyFont="1" applyFill="1" applyBorder="1" applyAlignment="1">
      <alignment horizontal="right" wrapText="1"/>
    </xf>
    <xf numFmtId="3" fontId="52" fillId="0" borderId="0" xfId="14" applyNumberFormat="1" applyFont="1" applyFill="1" applyBorder="1" applyAlignment="1">
      <alignment horizontal="right" wrapText="1"/>
    </xf>
    <xf numFmtId="0" fontId="53" fillId="0" borderId="0" xfId="14" applyFont="1" applyFill="1" applyBorder="1" applyAlignment="1">
      <alignment horizontal="right" wrapText="1"/>
    </xf>
    <xf numFmtId="3" fontId="61" fillId="0" borderId="0" xfId="14" applyNumberFormat="1" applyFont="1"/>
    <xf numFmtId="0" fontId="52" fillId="0" borderId="0" xfId="11" applyFont="1" applyFill="1" applyBorder="1" applyAlignment="1">
      <alignment horizontal="center"/>
    </xf>
    <xf numFmtId="164" fontId="52" fillId="2" borderId="36" xfId="16" applyNumberFormat="1" applyFont="1" applyFill="1" applyBorder="1" applyAlignment="1">
      <alignment wrapText="1"/>
    </xf>
    <xf numFmtId="164" fontId="52" fillId="0" borderId="0" xfId="16" applyNumberFormat="1" applyFont="1" applyFill="1" applyBorder="1" applyAlignment="1">
      <alignment wrapText="1"/>
    </xf>
    <xf numFmtId="3" fontId="52" fillId="2" borderId="36" xfId="16" applyNumberFormat="1" applyFont="1" applyFill="1" applyBorder="1" applyAlignment="1">
      <alignment wrapText="1"/>
    </xf>
    <xf numFmtId="0" fontId="52" fillId="0" borderId="52" xfId="16" applyFont="1" applyFill="1" applyBorder="1" applyAlignment="1">
      <alignment horizontal="center"/>
    </xf>
    <xf numFmtId="0" fontId="52" fillId="0" borderId="52" xfId="11" applyFont="1" applyFill="1" applyBorder="1" applyAlignment="1">
      <alignment horizontal="center"/>
    </xf>
    <xf numFmtId="0" fontId="52" fillId="0" borderId="53" xfId="11" applyFont="1" applyFill="1" applyBorder="1" applyAlignment="1">
      <alignment horizontal="center"/>
    </xf>
    <xf numFmtId="173" fontId="52" fillId="0" borderId="52" xfId="1" applyNumberFormat="1" applyFont="1" applyFill="1" applyBorder="1" applyAlignment="1">
      <alignment horizontal="center"/>
    </xf>
    <xf numFmtId="173" fontId="52" fillId="0" borderId="53" xfId="1" applyNumberFormat="1" applyFont="1" applyFill="1" applyBorder="1" applyAlignment="1">
      <alignment horizontal="center"/>
    </xf>
    <xf numFmtId="164" fontId="52" fillId="2" borderId="54" xfId="16" applyNumberFormat="1" applyFont="1" applyFill="1" applyBorder="1" applyAlignment="1">
      <alignment wrapText="1"/>
    </xf>
    <xf numFmtId="164" fontId="52" fillId="2" borderId="55" xfId="16" applyNumberFormat="1" applyFont="1" applyFill="1" applyBorder="1" applyAlignment="1">
      <alignment wrapText="1"/>
    </xf>
    <xf numFmtId="3" fontId="52" fillId="2" borderId="54" xfId="16" applyNumberFormat="1" applyFont="1" applyFill="1" applyBorder="1" applyAlignment="1">
      <alignment wrapText="1"/>
    </xf>
    <xf numFmtId="3" fontId="52" fillId="2" borderId="55" xfId="16" applyNumberFormat="1" applyFont="1" applyFill="1" applyBorder="1"/>
    <xf numFmtId="164" fontId="53" fillId="0" borderId="54" xfId="16" applyNumberFormat="1" applyFont="1" applyFill="1" applyBorder="1" applyAlignment="1">
      <alignment wrapText="1"/>
    </xf>
    <xf numFmtId="164" fontId="53" fillId="0" borderId="55" xfId="16" applyNumberFormat="1" applyFont="1" applyFill="1" applyBorder="1" applyAlignment="1">
      <alignment wrapText="1"/>
    </xf>
    <xf numFmtId="164" fontId="53" fillId="0" borderId="30" xfId="16" applyNumberFormat="1" applyFont="1" applyFill="1" applyBorder="1" applyAlignment="1">
      <alignment wrapText="1"/>
    </xf>
    <xf numFmtId="3" fontId="53" fillId="0" borderId="54" xfId="16" applyNumberFormat="1" applyFont="1" applyFill="1" applyBorder="1" applyAlignment="1">
      <alignment wrapText="1"/>
    </xf>
    <xf numFmtId="3" fontId="53" fillId="0" borderId="56" xfId="0" applyNumberFormat="1" applyFont="1" applyFill="1" applyBorder="1" applyAlignment="1">
      <alignment horizontal="right" wrapText="1"/>
    </xf>
    <xf numFmtId="0" fontId="56" fillId="0" borderId="0" xfId="0" applyFont="1" applyBorder="1"/>
    <xf numFmtId="0" fontId="53" fillId="0" borderId="54" xfId="16" applyNumberFormat="1" applyFont="1" applyFill="1" applyBorder="1" applyAlignment="1">
      <alignment wrapText="1"/>
    </xf>
    <xf numFmtId="164" fontId="53" fillId="0" borderId="57" xfId="16" applyNumberFormat="1" applyFont="1" applyFill="1" applyBorder="1" applyAlignment="1">
      <alignment wrapText="1"/>
    </xf>
    <xf numFmtId="3" fontId="53" fillId="0" borderId="57" xfId="16" applyNumberFormat="1" applyFont="1" applyFill="1" applyBorder="1" applyAlignment="1">
      <alignment wrapText="1"/>
    </xf>
    <xf numFmtId="3" fontId="61" fillId="0" borderId="94" xfId="14" applyNumberFormat="1" applyFont="1" applyBorder="1"/>
    <xf numFmtId="3" fontId="61" fillId="0" borderId="95" xfId="14" applyNumberFormat="1" applyFont="1" applyBorder="1"/>
    <xf numFmtId="164" fontId="53" fillId="0" borderId="35" xfId="33" applyNumberFormat="1" applyFont="1" applyBorder="1"/>
    <xf numFmtId="164" fontId="53" fillId="0" borderId="36" xfId="33" applyNumberFormat="1" applyFont="1" applyBorder="1"/>
    <xf numFmtId="164" fontId="53" fillId="0" borderId="55" xfId="33" applyNumberFormat="1" applyFont="1" applyFill="1" applyBorder="1" applyAlignment="1">
      <alignment wrapText="1"/>
    </xf>
    <xf numFmtId="0" fontId="53" fillId="0" borderId="59" xfId="16" applyFont="1" applyFill="1" applyBorder="1" applyAlignment="1">
      <alignment wrapText="1"/>
    </xf>
    <xf numFmtId="0" fontId="53" fillId="0" borderId="60" xfId="16" applyFont="1" applyFill="1" applyBorder="1" applyAlignment="1">
      <alignment wrapText="1"/>
    </xf>
    <xf numFmtId="164" fontId="53" fillId="0" borderId="61" xfId="16" applyNumberFormat="1" applyFont="1" applyFill="1" applyBorder="1" applyAlignment="1">
      <alignment wrapText="1"/>
    </xf>
    <xf numFmtId="164" fontId="53" fillId="0" borderId="35" xfId="33" applyNumberFormat="1" applyFont="1" applyBorder="1"/>
    <xf numFmtId="0" fontId="52" fillId="0" borderId="38" xfId="16" applyFont="1" applyFill="1" applyBorder="1" applyAlignment="1">
      <alignment wrapText="1"/>
    </xf>
    <xf numFmtId="0" fontId="53" fillId="0" borderId="38" xfId="16" applyFont="1" applyFill="1" applyBorder="1" applyAlignment="1">
      <alignment wrapText="1"/>
    </xf>
    <xf numFmtId="164" fontId="53" fillId="0" borderId="38" xfId="16" applyNumberFormat="1" applyFont="1" applyFill="1" applyBorder="1" applyAlignment="1">
      <alignment wrapText="1"/>
    </xf>
    <xf numFmtId="3" fontId="53" fillId="0" borderId="38" xfId="16" applyNumberFormat="1" applyFont="1" applyFill="1" applyBorder="1" applyAlignment="1">
      <alignment wrapText="1"/>
    </xf>
    <xf numFmtId="3" fontId="53" fillId="0" borderId="38" xfId="0" applyNumberFormat="1" applyFont="1" applyFill="1" applyBorder="1" applyAlignment="1">
      <alignment horizontal="right" wrapText="1"/>
    </xf>
    <xf numFmtId="0" fontId="61" fillId="0" borderId="0" xfId="19" applyFont="1" applyAlignment="1">
      <alignment vertical="top"/>
    </xf>
    <xf numFmtId="0" fontId="61" fillId="0" borderId="0" xfId="19" applyFont="1" applyFill="1" applyAlignment="1">
      <alignment vertical="top"/>
    </xf>
    <xf numFmtId="0" fontId="61" fillId="0" borderId="0" xfId="19" applyFont="1" applyAlignment="1"/>
    <xf numFmtId="49" fontId="63" fillId="0" borderId="106" xfId="19" applyNumberFormat="1" applyFont="1" applyBorder="1" applyAlignment="1">
      <alignment wrapText="1"/>
    </xf>
    <xf numFmtId="0" fontId="50" fillId="0" borderId="0" xfId="19" applyFont="1" applyAlignment="1">
      <alignment horizontal="center"/>
    </xf>
    <xf numFmtId="168" fontId="64" fillId="0" borderId="0" xfId="19" applyNumberFormat="1" applyFont="1" applyAlignment="1">
      <alignment horizontal="left" vertical="top" wrapText="1"/>
    </xf>
    <xf numFmtId="0" fontId="61" fillId="0" borderId="0" xfId="14" applyFont="1" applyAlignment="1"/>
    <xf numFmtId="0" fontId="56" fillId="0" borderId="0" xfId="0" applyFont="1" applyAlignment="1">
      <alignment horizontal="left" vertical="top" wrapText="1"/>
    </xf>
    <xf numFmtId="0" fontId="52" fillId="0" borderId="2" xfId="16" applyFont="1" applyFill="1" applyBorder="1" applyAlignment="1">
      <alignment horizontal="left"/>
    </xf>
    <xf numFmtId="0" fontId="52" fillId="0" borderId="6" xfId="16" applyFont="1" applyFill="1" applyBorder="1" applyAlignment="1">
      <alignment horizontal="left"/>
    </xf>
    <xf numFmtId="0" fontId="61" fillId="0" borderId="0" xfId="0" applyFont="1" applyFill="1" applyBorder="1" applyAlignment="1">
      <alignment wrapText="1"/>
    </xf>
    <xf numFmtId="0" fontId="50" fillId="0" borderId="0" xfId="0" applyFont="1" applyBorder="1"/>
    <xf numFmtId="49" fontId="61" fillId="0" borderId="0" xfId="0" applyNumberFormat="1" applyFont="1" applyFill="1" applyBorder="1" applyAlignment="1">
      <alignment horizontal="left"/>
    </xf>
    <xf numFmtId="0" fontId="50" fillId="0" borderId="0" xfId="0" applyFont="1" applyFill="1" applyBorder="1" applyAlignment="1">
      <alignment wrapText="1"/>
    </xf>
    <xf numFmtId="0" fontId="56" fillId="0" borderId="0" xfId="0" applyFont="1" applyAlignment="1">
      <alignment horizontal="center"/>
    </xf>
    <xf numFmtId="0" fontId="50" fillId="0" borderId="0" xfId="0" applyFont="1" applyFill="1" applyBorder="1" applyAlignment="1">
      <alignment horizontal="center" wrapText="1"/>
    </xf>
    <xf numFmtId="0" fontId="61" fillId="0" borderId="0" xfId="0" applyFont="1" applyFill="1" applyBorder="1" applyAlignment="1">
      <alignment horizontal="center" wrapText="1"/>
    </xf>
    <xf numFmtId="49" fontId="50" fillId="0" borderId="0" xfId="0" applyNumberFormat="1" applyFont="1" applyBorder="1" applyAlignment="1">
      <alignment horizontal="center"/>
    </xf>
    <xf numFmtId="49" fontId="50" fillId="0" borderId="0" xfId="0" applyNumberFormat="1" applyFont="1" applyBorder="1"/>
    <xf numFmtId="49" fontId="50" fillId="0" borderId="0" xfId="0" applyNumberFormat="1" applyFont="1" applyBorder="1" applyAlignment="1">
      <alignment horizontal="center" wrapText="1"/>
    </xf>
    <xf numFmtId="49" fontId="56" fillId="0" borderId="0" xfId="0" applyNumberFormat="1" applyFont="1" applyBorder="1" applyAlignment="1">
      <alignment horizontal="center"/>
    </xf>
    <xf numFmtId="0" fontId="56" fillId="0" borderId="0" xfId="0" applyFont="1" applyBorder="1" applyAlignment="1">
      <alignment horizontal="center"/>
    </xf>
    <xf numFmtId="0" fontId="56" fillId="0" borderId="0" xfId="0" applyFont="1" applyFill="1" applyAlignment="1">
      <alignment horizontal="center"/>
    </xf>
    <xf numFmtId="0" fontId="56" fillId="0" borderId="0" xfId="0" applyFont="1" applyAlignment="1">
      <alignment horizontal="left"/>
    </xf>
    <xf numFmtId="0" fontId="52" fillId="0" borderId="10" xfId="14" applyFont="1" applyFill="1" applyBorder="1" applyAlignment="1">
      <alignment horizontal="left" wrapText="1"/>
    </xf>
    <xf numFmtId="49" fontId="61" fillId="0" borderId="0" xfId="0" applyNumberFormat="1" applyFont="1" applyFill="1" applyBorder="1" applyAlignment="1">
      <alignment horizontal="center"/>
    </xf>
    <xf numFmtId="49" fontId="64" fillId="0" borderId="0" xfId="0" applyNumberFormat="1" applyFont="1" applyFill="1" applyBorder="1" applyAlignment="1">
      <alignment wrapText="1"/>
    </xf>
    <xf numFmtId="49" fontId="61" fillId="0" borderId="0" xfId="0" quotePrefix="1" applyNumberFormat="1" applyFont="1" applyFill="1" applyBorder="1" applyAlignment="1">
      <alignment horizontal="center"/>
    </xf>
    <xf numFmtId="0" fontId="56" fillId="0" borderId="0" xfId="15" applyFont="1"/>
    <xf numFmtId="0" fontId="36" fillId="0" borderId="26" xfId="15" applyFont="1" applyBorder="1" applyAlignment="1">
      <alignment horizontal="center" wrapText="1"/>
    </xf>
    <xf numFmtId="0" fontId="56" fillId="0" borderId="0" xfId="15" applyFont="1" applyAlignment="1">
      <alignment horizontal="center" wrapText="1"/>
    </xf>
    <xf numFmtId="0" fontId="36" fillId="0" borderId="26" xfId="15" applyFont="1" applyBorder="1"/>
    <xf numFmtId="0" fontId="56" fillId="0" borderId="27" xfId="15" applyFont="1" applyBorder="1"/>
    <xf numFmtId="0" fontId="56" fillId="0" borderId="28" xfId="15" applyFont="1" applyBorder="1"/>
    <xf numFmtId="0" fontId="56" fillId="0" borderId="29" xfId="15" applyFont="1" applyBorder="1"/>
    <xf numFmtId="0" fontId="56" fillId="0" borderId="29" xfId="15" applyFont="1" applyFill="1" applyBorder="1" applyAlignment="1">
      <alignment vertical="top"/>
    </xf>
    <xf numFmtId="3" fontId="56" fillId="0" borderId="27" xfId="15" applyNumberFormat="1" applyFont="1" applyFill="1" applyBorder="1" applyAlignment="1">
      <alignment horizontal="right" vertical="top"/>
    </xf>
    <xf numFmtId="3" fontId="56" fillId="0" borderId="29" xfId="15" applyNumberFormat="1" applyFont="1" applyFill="1" applyBorder="1" applyAlignment="1">
      <alignment horizontal="right" vertical="top"/>
    </xf>
    <xf numFmtId="0" fontId="56" fillId="0" borderId="27" xfId="15" applyFont="1" applyBorder="1" applyAlignment="1">
      <alignment horizontal="center"/>
    </xf>
    <xf numFmtId="3" fontId="56" fillId="0" borderId="28" xfId="15" applyNumberFormat="1" applyFont="1" applyBorder="1"/>
    <xf numFmtId="0" fontId="56" fillId="0" borderId="29" xfId="15" applyFont="1" applyBorder="1" applyAlignment="1">
      <alignment horizontal="center"/>
    </xf>
    <xf numFmtId="3" fontId="56" fillId="0" borderId="29" xfId="15" applyNumberFormat="1" applyFont="1" applyBorder="1"/>
    <xf numFmtId="3" fontId="36" fillId="2" borderId="26" xfId="15" applyNumberFormat="1" applyFont="1" applyFill="1" applyBorder="1" applyAlignment="1">
      <alignment horizontal="right" vertical="top"/>
    </xf>
    <xf numFmtId="0" fontId="56" fillId="0" borderId="0" xfId="15" applyFont="1" applyAlignment="1">
      <alignment horizontal="left" wrapText="1"/>
    </xf>
    <xf numFmtId="0" fontId="49" fillId="0" borderId="0" xfId="9" applyFont="1" applyBorder="1" applyAlignment="1">
      <alignment wrapText="1"/>
    </xf>
    <xf numFmtId="0" fontId="44" fillId="0" borderId="0" xfId="9" applyFont="1"/>
    <xf numFmtId="0" fontId="49" fillId="0" borderId="0" xfId="9" applyFont="1" applyBorder="1" applyAlignment="1">
      <alignment horizontal="left" wrapText="1"/>
    </xf>
    <xf numFmtId="0" fontId="49" fillId="0" borderId="10" xfId="9" applyFont="1" applyBorder="1" applyAlignment="1">
      <alignment horizontal="left" wrapText="1"/>
    </xf>
    <xf numFmtId="0" fontId="49" fillId="0" borderId="10" xfId="9" applyFont="1" applyBorder="1" applyAlignment="1">
      <alignment wrapText="1"/>
    </xf>
    <xf numFmtId="0" fontId="44" fillId="0" borderId="0" xfId="9" applyFont="1" applyAlignment="1">
      <alignment wrapText="1"/>
    </xf>
    <xf numFmtId="0" fontId="49" fillId="0" borderId="0" xfId="9" applyFont="1" applyBorder="1" applyAlignment="1">
      <alignment horizontal="center"/>
    </xf>
    <xf numFmtId="49" fontId="49" fillId="0" borderId="10" xfId="9" applyNumberFormat="1" applyFont="1" applyBorder="1" applyAlignment="1">
      <alignment horizontal="center"/>
    </xf>
    <xf numFmtId="0" fontId="49" fillId="0" borderId="10" xfId="9" applyFont="1" applyBorder="1" applyAlignment="1">
      <alignment horizontal="left" wrapText="1"/>
    </xf>
    <xf numFmtId="0" fontId="49" fillId="0" borderId="10" xfId="9" applyFont="1" applyBorder="1" applyAlignment="1">
      <alignment horizontal="center" wrapText="1"/>
    </xf>
    <xf numFmtId="49" fontId="49" fillId="2" borderId="0" xfId="9" quotePrefix="1" applyNumberFormat="1" applyFont="1" applyFill="1" applyAlignment="1">
      <alignment horizontal="center"/>
    </xf>
    <xf numFmtId="0" fontId="49" fillId="2" borderId="0" xfId="9" applyFont="1" applyFill="1" applyAlignment="1">
      <alignment horizontal="left" wrapText="1"/>
    </xf>
    <xf numFmtId="3" fontId="49" fillId="2" borderId="0" xfId="9" applyNumberFormat="1" applyFont="1" applyFill="1" applyAlignment="1">
      <alignment horizontal="right" indent="1"/>
    </xf>
    <xf numFmtId="3" fontId="49" fillId="2" borderId="0" xfId="9" applyNumberFormat="1" applyFont="1" applyFill="1" applyAlignment="1">
      <alignment horizontal="right" indent="2"/>
    </xf>
    <xf numFmtId="9" fontId="49" fillId="2" borderId="0" xfId="9" applyNumberFormat="1" applyFont="1" applyFill="1" applyAlignment="1">
      <alignment horizontal="right" wrapText="1" indent="1"/>
    </xf>
    <xf numFmtId="49" fontId="44" fillId="0" borderId="0" xfId="9" applyNumberFormat="1" applyFont="1" applyAlignment="1">
      <alignment horizontal="center"/>
    </xf>
    <xf numFmtId="0" fontId="44" fillId="0" borderId="0" xfId="9" applyFont="1" applyAlignment="1">
      <alignment horizontal="left" wrapText="1"/>
    </xf>
    <xf numFmtId="0" fontId="24" fillId="0" borderId="0" xfId="27" applyFont="1" applyFill="1" applyBorder="1" applyAlignment="1">
      <alignment wrapText="1"/>
    </xf>
    <xf numFmtId="3" fontId="44" fillId="0" borderId="0" xfId="9" applyNumberFormat="1" applyFont="1" applyAlignment="1">
      <alignment horizontal="right" indent="1"/>
    </xf>
    <xf numFmtId="3" fontId="44" fillId="0" borderId="0" xfId="9" applyNumberFormat="1" applyFont="1" applyAlignment="1">
      <alignment horizontal="right" indent="2"/>
    </xf>
    <xf numFmtId="9" fontId="44" fillId="0" borderId="0" xfId="9" applyNumberFormat="1" applyFont="1" applyAlignment="1">
      <alignment horizontal="right" wrapText="1" indent="1"/>
    </xf>
    <xf numFmtId="49" fontId="21" fillId="0" borderId="0" xfId="9" applyNumberFormat="1" applyFont="1" applyAlignment="1">
      <alignment horizontal="center"/>
    </xf>
    <xf numFmtId="165" fontId="24" fillId="0" borderId="0" xfId="14" applyNumberFormat="1" applyFont="1" applyFill="1" applyBorder="1" applyAlignment="1">
      <alignment horizontal="left" wrapText="1"/>
    </xf>
    <xf numFmtId="49" fontId="44" fillId="0" borderId="10" xfId="9" applyNumberFormat="1" applyFont="1" applyBorder="1" applyAlignment="1">
      <alignment horizontal="center"/>
    </xf>
    <xf numFmtId="0" fontId="44" fillId="0" borderId="10" xfId="9" applyFont="1" applyBorder="1" applyAlignment="1">
      <alignment horizontal="left" wrapText="1"/>
    </xf>
    <xf numFmtId="3" fontId="44" fillId="0" borderId="10" xfId="9" applyNumberFormat="1" applyFont="1" applyBorder="1" applyAlignment="1">
      <alignment horizontal="right" indent="2"/>
    </xf>
    <xf numFmtId="0" fontId="21" fillId="0" borderId="0" xfId="9" applyFont="1" applyAlignment="1">
      <alignment horizontal="right" vertical="top"/>
    </xf>
    <xf numFmtId="0" fontId="25" fillId="0" borderId="0" xfId="4" applyFont="1" applyAlignment="1" applyProtection="1"/>
    <xf numFmtId="0" fontId="21" fillId="0" borderId="0" xfId="9" applyFont="1" applyBorder="1"/>
    <xf numFmtId="0" fontId="49" fillId="0" borderId="0" xfId="9" applyFont="1" applyAlignment="1">
      <alignment horizontal="left" vertical="top" wrapText="1"/>
    </xf>
    <xf numFmtId="165" fontId="24" fillId="0" borderId="10" xfId="14" applyNumberFormat="1" applyFont="1" applyFill="1" applyBorder="1" applyAlignment="1">
      <alignment horizontal="left" wrapText="1"/>
    </xf>
    <xf numFmtId="0" fontId="36" fillId="0" borderId="26" xfId="15" applyFont="1" applyBorder="1" applyAlignment="1">
      <alignment horizontal="left" wrapText="1"/>
    </xf>
    <xf numFmtId="0" fontId="36" fillId="2" borderId="26" xfId="15" applyFont="1" applyFill="1" applyBorder="1" applyAlignment="1">
      <alignment horizontal="center" wrapText="1"/>
    </xf>
    <xf numFmtId="0" fontId="56" fillId="0" borderId="27" xfId="15" applyFont="1" applyFill="1" applyBorder="1" applyAlignment="1">
      <alignment vertical="top"/>
    </xf>
    <xf numFmtId="0" fontId="36" fillId="2" borderId="26" xfId="15" applyFont="1" applyFill="1" applyBorder="1" applyAlignment="1">
      <alignment horizontal="center"/>
    </xf>
    <xf numFmtId="49" fontId="64" fillId="0" borderId="0" xfId="19" applyNumberFormat="1" applyFont="1" applyFill="1" applyBorder="1" applyAlignment="1">
      <alignment vertical="top" wrapText="1"/>
    </xf>
    <xf numFmtId="49" fontId="64" fillId="0" borderId="107" xfId="19" applyNumberFormat="1" applyFont="1" applyFill="1" applyBorder="1" applyAlignment="1">
      <alignment vertical="top" wrapText="1"/>
    </xf>
    <xf numFmtId="3" fontId="61" fillId="0" borderId="0" xfId="19" applyNumberFormat="1" applyFont="1" applyBorder="1" applyAlignment="1">
      <alignment vertical="top"/>
    </xf>
    <xf numFmtId="0" fontId="61" fillId="0" borderId="0" xfId="19" applyFont="1" applyBorder="1" applyAlignment="1">
      <alignment vertical="top"/>
    </xf>
    <xf numFmtId="49" fontId="63" fillId="0" borderId="0" xfId="19" applyNumberFormat="1" applyFont="1" applyBorder="1" applyAlignment="1">
      <alignment wrapText="1"/>
    </xf>
    <xf numFmtId="0" fontId="61" fillId="0" borderId="0" xfId="19" applyFont="1" applyBorder="1" applyAlignment="1">
      <alignment horizontal="center" vertical="top"/>
    </xf>
    <xf numFmtId="0" fontId="61" fillId="0" borderId="0" xfId="14" applyFont="1" applyFill="1" applyBorder="1" applyAlignment="1">
      <alignment vertical="top" wrapText="1"/>
    </xf>
    <xf numFmtId="0" fontId="36" fillId="3" borderId="0" xfId="0" applyFont="1" applyFill="1" applyAlignment="1">
      <alignment horizontal="left"/>
    </xf>
    <xf numFmtId="0" fontId="36" fillId="3" borderId="0" xfId="0" applyFont="1" applyFill="1"/>
    <xf numFmtId="3" fontId="36" fillId="3" borderId="32" xfId="0" applyNumberFormat="1" applyFont="1" applyFill="1" applyBorder="1"/>
    <xf numFmtId="3" fontId="36" fillId="3" borderId="0" xfId="0" applyNumberFormat="1" applyFont="1" applyFill="1" applyBorder="1"/>
    <xf numFmtId="3" fontId="56" fillId="0" borderId="32" xfId="0" applyNumberFormat="1" applyFont="1" applyBorder="1"/>
    <xf numFmtId="3" fontId="56" fillId="0" borderId="0" xfId="0" applyNumberFormat="1" applyFont="1" applyBorder="1"/>
    <xf numFmtId="9" fontId="36" fillId="3" borderId="0" xfId="33" applyFont="1" applyFill="1" applyBorder="1"/>
    <xf numFmtId="9" fontId="56" fillId="0" borderId="32" xfId="33" applyFont="1" applyBorder="1"/>
    <xf numFmtId="9" fontId="56" fillId="0" borderId="0" xfId="33" applyFont="1" applyBorder="1"/>
    <xf numFmtId="9" fontId="56" fillId="0" borderId="31" xfId="33" applyFont="1" applyBorder="1"/>
    <xf numFmtId="0" fontId="53" fillId="0" borderId="38" xfId="16" applyFont="1" applyBorder="1"/>
    <xf numFmtId="0" fontId="53" fillId="0" borderId="0" xfId="14" applyFont="1" applyFill="1" applyBorder="1" applyAlignment="1">
      <alignment horizontal="left" wrapText="1"/>
    </xf>
    <xf numFmtId="0" fontId="36" fillId="2" borderId="26" xfId="15" applyFont="1" applyFill="1" applyBorder="1" applyAlignment="1">
      <alignment horizontal="left"/>
    </xf>
    <xf numFmtId="0" fontId="36" fillId="2" borderId="26" xfId="15" applyFont="1" applyFill="1" applyBorder="1" applyAlignment="1">
      <alignment horizontal="left" wrapText="1"/>
    </xf>
    <xf numFmtId="0" fontId="56" fillId="0" borderId="28" xfId="15" applyFont="1" applyBorder="1" applyAlignment="1">
      <alignment horizontal="center"/>
    </xf>
    <xf numFmtId="0" fontId="56" fillId="0" borderId="28" xfId="15" applyFont="1" applyFill="1" applyBorder="1" applyAlignment="1">
      <alignment vertical="top"/>
    </xf>
    <xf numFmtId="3" fontId="56" fillId="0" borderId="28" xfId="15" applyNumberFormat="1" applyFont="1" applyFill="1" applyBorder="1" applyAlignment="1">
      <alignment horizontal="right" vertical="top"/>
    </xf>
    <xf numFmtId="0" fontId="56" fillId="0" borderId="0" xfId="15" applyFont="1" applyBorder="1"/>
    <xf numFmtId="0" fontId="36" fillId="0" borderId="26" xfId="15" applyFont="1" applyBorder="1" applyAlignment="1">
      <alignment horizontal="center"/>
    </xf>
    <xf numFmtId="0" fontId="36" fillId="0" borderId="26" xfId="15" applyFont="1" applyFill="1" applyBorder="1" applyAlignment="1">
      <alignment horizontal="center" wrapText="1"/>
    </xf>
    <xf numFmtId="0" fontId="52" fillId="0" borderId="6" xfId="28" applyFont="1" applyFill="1" applyBorder="1" applyAlignment="1">
      <alignment horizontal="center"/>
    </xf>
    <xf numFmtId="0" fontId="52" fillId="0" borderId="63" xfId="28" applyFont="1" applyFill="1" applyBorder="1" applyAlignment="1">
      <alignment horizontal="left"/>
    </xf>
    <xf numFmtId="0" fontId="52" fillId="0" borderId="64" xfId="28" applyFont="1" applyFill="1" applyBorder="1" applyAlignment="1">
      <alignment horizontal="left"/>
    </xf>
    <xf numFmtId="0" fontId="52" fillId="0" borderId="44" xfId="28" applyFont="1" applyFill="1" applyBorder="1" applyAlignment="1">
      <alignment horizontal="center" wrapText="1"/>
    </xf>
    <xf numFmtId="0" fontId="52" fillId="0" borderId="45" xfId="28" applyFont="1" applyFill="1" applyBorder="1" applyAlignment="1">
      <alignment horizontal="center" wrapText="1"/>
    </xf>
    <xf numFmtId="0" fontId="52" fillId="0" borderId="46" xfId="28" applyFont="1" applyFill="1" applyBorder="1" applyAlignment="1">
      <alignment horizontal="center" wrapText="1"/>
    </xf>
    <xf numFmtId="0" fontId="53" fillId="0" borderId="0" xfId="16" applyFont="1" applyFill="1" applyBorder="1" applyAlignment="1">
      <alignment horizontal="center" vertical="center"/>
    </xf>
    <xf numFmtId="0" fontId="52" fillId="2" borderId="0" xfId="28" applyFont="1" applyFill="1" applyBorder="1" applyAlignment="1">
      <alignment horizontal="center"/>
    </xf>
    <xf numFmtId="0" fontId="52" fillId="2" borderId="0" xfId="28" applyFont="1" applyFill="1" applyBorder="1" applyAlignment="1">
      <alignment horizontal="left"/>
    </xf>
    <xf numFmtId="3" fontId="52" fillId="2" borderId="20" xfId="28" applyNumberFormat="1" applyFont="1" applyFill="1" applyBorder="1" applyAlignment="1">
      <alignment horizontal="center" wrapText="1"/>
    </xf>
    <xf numFmtId="0" fontId="53" fillId="0" borderId="1" xfId="28" applyFont="1" applyFill="1" applyBorder="1" applyAlignment="1">
      <alignment horizontal="center" wrapText="1"/>
    </xf>
    <xf numFmtId="0" fontId="53" fillId="0" borderId="9" xfId="28" applyFont="1" applyFill="1" applyBorder="1" applyAlignment="1">
      <alignment wrapText="1"/>
    </xf>
    <xf numFmtId="3" fontId="53" fillId="0" borderId="48" xfId="28" applyNumberFormat="1" applyFont="1" applyFill="1" applyBorder="1" applyAlignment="1">
      <alignment horizontal="right" wrapText="1"/>
    </xf>
    <xf numFmtId="3" fontId="53" fillId="0" borderId="50" xfId="28" applyNumberFormat="1" applyFont="1" applyFill="1" applyBorder="1" applyAlignment="1">
      <alignment horizontal="right" wrapText="1"/>
    </xf>
    <xf numFmtId="3" fontId="53" fillId="0" borderId="49" xfId="28" applyNumberFormat="1" applyFont="1" applyFill="1" applyBorder="1" applyAlignment="1">
      <alignment horizontal="right" wrapText="1"/>
    </xf>
    <xf numFmtId="3" fontId="53" fillId="0" borderId="0" xfId="16" applyNumberFormat="1" applyFont="1"/>
    <xf numFmtId="3" fontId="53" fillId="0" borderId="0" xfId="16" applyNumberFormat="1" applyFont="1" applyFill="1" applyAlignment="1">
      <alignment horizontal="right" vertical="center" wrapText="1"/>
    </xf>
    <xf numFmtId="3" fontId="53" fillId="0" borderId="22" xfId="28" applyNumberFormat="1" applyFont="1" applyBorder="1"/>
    <xf numFmtId="3" fontId="53" fillId="0" borderId="47" xfId="28" applyNumberFormat="1" applyFont="1" applyFill="1" applyBorder="1" applyAlignment="1">
      <alignment horizontal="right" wrapText="1"/>
    </xf>
    <xf numFmtId="3" fontId="53" fillId="0" borderId="47" xfId="28" applyNumberFormat="1" applyFont="1" applyBorder="1"/>
    <xf numFmtId="3" fontId="53" fillId="0" borderId="0" xfId="16" applyNumberFormat="1" applyFont="1" applyFill="1" applyBorder="1" applyAlignment="1">
      <alignment horizontal="right" vertical="center" wrapText="1"/>
    </xf>
    <xf numFmtId="0" fontId="53" fillId="0" borderId="0" xfId="16" applyFont="1" applyAlignment="1"/>
    <xf numFmtId="0" fontId="0" fillId="0" borderId="0" xfId="0" applyFont="1"/>
    <xf numFmtId="0" fontId="52" fillId="3" borderId="0" xfId="14" applyFont="1" applyFill="1" applyBorder="1" applyAlignment="1">
      <alignment horizontal="left"/>
    </xf>
    <xf numFmtId="0" fontId="24" fillId="0" borderId="0" xfId="14" applyFont="1" applyFill="1" applyBorder="1" applyAlignment="1">
      <alignment horizontal="center" wrapText="1"/>
    </xf>
    <xf numFmtId="0" fontId="24" fillId="0" borderId="0" xfId="14" applyFont="1" applyFill="1" applyBorder="1" applyAlignment="1">
      <alignment wrapText="1"/>
    </xf>
    <xf numFmtId="165" fontId="24" fillId="0" borderId="0" xfId="14" applyNumberFormat="1" applyFont="1" applyFill="1" applyBorder="1" applyAlignment="1">
      <alignment horizontal="center" wrapText="1"/>
    </xf>
    <xf numFmtId="0" fontId="24" fillId="0" borderId="10" xfId="14" applyFont="1" applyFill="1" applyBorder="1" applyAlignment="1">
      <alignment horizontal="center" wrapText="1"/>
    </xf>
    <xf numFmtId="0" fontId="24" fillId="0" borderId="10" xfId="14" applyFont="1" applyFill="1" applyBorder="1" applyAlignment="1">
      <alignment wrapText="1"/>
    </xf>
    <xf numFmtId="165" fontId="24" fillId="0" borderId="10" xfId="14" applyNumberFormat="1" applyFont="1" applyFill="1" applyBorder="1" applyAlignment="1">
      <alignment horizontal="center" wrapText="1"/>
    </xf>
    <xf numFmtId="0" fontId="26" fillId="0" borderId="0" xfId="14" applyFont="1" applyBorder="1"/>
    <xf numFmtId="0" fontId="21" fillId="0" borderId="0" xfId="9" applyFont="1" applyAlignment="1">
      <alignment vertical="top" wrapText="1"/>
    </xf>
    <xf numFmtId="0" fontId="26" fillId="0" borderId="0" xfId="14" applyFont="1"/>
    <xf numFmtId="0" fontId="52" fillId="0" borderId="10" xfId="14" applyFont="1" applyFill="1" applyBorder="1" applyAlignment="1">
      <alignment horizontal="center"/>
    </xf>
    <xf numFmtId="0" fontId="52" fillId="0" borderId="10" xfId="14" applyFont="1" applyFill="1" applyBorder="1" applyAlignment="1">
      <alignment horizontal="center"/>
    </xf>
    <xf numFmtId="0" fontId="52" fillId="3" borderId="0" xfId="14" applyFont="1" applyFill="1" applyBorder="1" applyAlignment="1">
      <alignment horizontal="center"/>
    </xf>
    <xf numFmtId="0" fontId="53" fillId="0" borderId="0" xfId="14" applyFont="1" applyFill="1" applyBorder="1" applyAlignment="1">
      <alignment horizontal="center" wrapText="1"/>
    </xf>
    <xf numFmtId="0" fontId="53" fillId="0" borderId="10" xfId="14" applyFont="1" applyFill="1" applyBorder="1" applyAlignment="1">
      <alignment horizontal="center" wrapText="1"/>
    </xf>
    <xf numFmtId="0" fontId="52" fillId="0" borderId="34" xfId="14" applyFont="1" applyFill="1" applyBorder="1" applyAlignment="1">
      <alignment horizontal="center"/>
    </xf>
    <xf numFmtId="3" fontId="56" fillId="0" borderId="34" xfId="0" applyNumberFormat="1" applyFont="1" applyBorder="1"/>
    <xf numFmtId="37" fontId="56" fillId="0" borderId="32" xfId="1" applyNumberFormat="1" applyFont="1" applyBorder="1"/>
    <xf numFmtId="37" fontId="56" fillId="0" borderId="0" xfId="1" applyNumberFormat="1" applyFont="1" applyBorder="1"/>
    <xf numFmtId="37" fontId="36" fillId="3" borderId="32" xfId="1" applyNumberFormat="1" applyFont="1" applyFill="1" applyBorder="1"/>
    <xf numFmtId="37" fontId="36" fillId="3" borderId="0" xfId="1" applyNumberFormat="1" applyFont="1" applyFill="1" applyBorder="1"/>
    <xf numFmtId="0" fontId="0" fillId="0" borderId="0" xfId="0" applyFont="1" applyAlignment="1">
      <alignment horizontal="left"/>
    </xf>
    <xf numFmtId="0" fontId="52" fillId="0" borderId="10" xfId="14" applyFont="1" applyFill="1" applyBorder="1" applyAlignment="1">
      <alignment horizontal="left"/>
    </xf>
    <xf numFmtId="165" fontId="53" fillId="0" borderId="0" xfId="14" applyNumberFormat="1" applyFont="1" applyFill="1" applyBorder="1" applyAlignment="1">
      <alignment horizontal="left" wrapText="1"/>
    </xf>
    <xf numFmtId="165" fontId="53" fillId="0" borderId="10" xfId="14" applyNumberFormat="1" applyFont="1" applyFill="1" applyBorder="1" applyAlignment="1">
      <alignment horizontal="left" wrapText="1"/>
    </xf>
    <xf numFmtId="0" fontId="26" fillId="0" borderId="0" xfId="14" applyFont="1" applyBorder="1" applyAlignment="1">
      <alignment horizontal="left"/>
    </xf>
    <xf numFmtId="0" fontId="21" fillId="0" borderId="0" xfId="9" applyFont="1" applyBorder="1" applyAlignment="1">
      <alignment horizontal="left"/>
    </xf>
    <xf numFmtId="0" fontId="26" fillId="0" borderId="0" xfId="14" applyFont="1" applyAlignment="1">
      <alignment horizontal="left"/>
    </xf>
    <xf numFmtId="7" fontId="56" fillId="0" borderId="0" xfId="0" applyNumberFormat="1" applyFont="1"/>
    <xf numFmtId="0" fontId="52" fillId="2" borderId="8" xfId="24" applyFont="1" applyFill="1" applyBorder="1" applyAlignment="1">
      <alignment horizontal="center" vertical="center" wrapText="1"/>
    </xf>
    <xf numFmtId="0" fontId="52" fillId="2" borderId="65" xfId="24" applyFont="1" applyFill="1" applyBorder="1" applyAlignment="1">
      <alignment wrapText="1"/>
    </xf>
    <xf numFmtId="0" fontId="53" fillId="0" borderId="0" xfId="24" applyFont="1"/>
    <xf numFmtId="0" fontId="53" fillId="0" borderId="1" xfId="24" applyFont="1" applyFill="1" applyBorder="1" applyAlignment="1">
      <alignment wrapText="1"/>
    </xf>
    <xf numFmtId="166" fontId="53" fillId="0" borderId="1" xfId="24" applyNumberFormat="1" applyFont="1" applyFill="1" applyBorder="1" applyAlignment="1">
      <alignment horizontal="right" wrapText="1"/>
    </xf>
    <xf numFmtId="0" fontId="53" fillId="0" borderId="0" xfId="16" applyFont="1" applyAlignment="1">
      <alignment horizontal="left"/>
    </xf>
    <xf numFmtId="0" fontId="52" fillId="0" borderId="2" xfId="24" applyFont="1" applyFill="1" applyBorder="1" applyAlignment="1">
      <alignment horizontal="center"/>
    </xf>
    <xf numFmtId="0" fontId="52" fillId="0" borderId="2" xfId="24" applyFont="1" applyFill="1" applyBorder="1" applyAlignment="1">
      <alignment horizontal="left"/>
    </xf>
    <xf numFmtId="0" fontId="52" fillId="2" borderId="1" xfId="26" quotePrefix="1" applyFont="1" applyFill="1" applyBorder="1" applyAlignment="1">
      <alignment horizontal="center" wrapText="1"/>
    </xf>
    <xf numFmtId="0" fontId="53" fillId="0" borderId="1" xfId="26" applyFont="1" applyFill="1" applyBorder="1" applyAlignment="1">
      <alignment horizontal="center" wrapText="1"/>
    </xf>
    <xf numFmtId="0" fontId="52" fillId="0" borderId="70" xfId="29" applyFont="1" applyFill="1" applyBorder="1" applyAlignment="1">
      <alignment horizontal="center" wrapText="1"/>
    </xf>
    <xf numFmtId="167" fontId="56" fillId="0" borderId="0" xfId="0" applyNumberFormat="1" applyFont="1"/>
    <xf numFmtId="0" fontId="56" fillId="0" borderId="0" xfId="0" applyFont="1" applyFill="1" applyAlignment="1">
      <alignment wrapText="1"/>
    </xf>
    <xf numFmtId="0" fontId="52" fillId="2" borderId="9" xfId="29" applyFont="1" applyFill="1" applyBorder="1" applyAlignment="1">
      <alignment wrapText="1"/>
    </xf>
    <xf numFmtId="0" fontId="53" fillId="0" borderId="9" xfId="29" applyFont="1" applyFill="1" applyBorder="1" applyAlignment="1">
      <alignment wrapText="1"/>
    </xf>
    <xf numFmtId="0" fontId="52" fillId="0" borderId="2" xfId="26" applyFont="1" applyFill="1" applyBorder="1" applyAlignment="1">
      <alignment horizontal="center" wrapText="1"/>
    </xf>
    <xf numFmtId="0" fontId="52" fillId="0" borderId="6" xfId="29" applyFont="1" applyFill="1" applyBorder="1" applyAlignment="1">
      <alignment horizontal="left" wrapText="1"/>
    </xf>
    <xf numFmtId="0" fontId="52" fillId="0" borderId="69" xfId="29" applyFont="1" applyFill="1" applyBorder="1" applyAlignment="1">
      <alignment horizontal="center" wrapText="1"/>
    </xf>
    <xf numFmtId="0" fontId="52" fillId="0" borderId="52" xfId="29" applyFont="1" applyFill="1" applyBorder="1" applyAlignment="1">
      <alignment horizontal="center" wrapText="1"/>
    </xf>
    <xf numFmtId="0" fontId="52" fillId="0" borderId="71" xfId="29" applyFont="1" applyFill="1" applyBorder="1" applyAlignment="1">
      <alignment horizontal="center" wrapText="1"/>
    </xf>
    <xf numFmtId="0" fontId="49" fillId="0" borderId="0" xfId="0" applyFont="1"/>
    <xf numFmtId="0" fontId="0" fillId="0" borderId="0" xfId="0" applyFont="1"/>
    <xf numFmtId="49" fontId="49" fillId="0" borderId="10" xfId="0" applyNumberFormat="1" applyFont="1" applyBorder="1" applyAlignment="1">
      <alignment horizontal="center"/>
    </xf>
    <xf numFmtId="0" fontId="36" fillId="0" borderId="17" xfId="0" applyFont="1" applyBorder="1" applyAlignment="1">
      <alignment wrapText="1"/>
    </xf>
    <xf numFmtId="0" fontId="36" fillId="0" borderId="18" xfId="0" applyFont="1" applyBorder="1" applyAlignment="1">
      <alignment wrapText="1"/>
    </xf>
    <xf numFmtId="0" fontId="36" fillId="0" borderId="19" xfId="0" applyFont="1" applyBorder="1" applyAlignment="1">
      <alignment wrapText="1"/>
    </xf>
    <xf numFmtId="0" fontId="36" fillId="0" borderId="17" xfId="0" applyFont="1" applyBorder="1" applyAlignment="1">
      <alignment horizontal="center" wrapText="1"/>
    </xf>
    <xf numFmtId="0" fontId="36" fillId="0" borderId="72" xfId="0" applyFont="1" applyBorder="1" applyAlignment="1">
      <alignment horizontal="center" wrapText="1"/>
    </xf>
    <xf numFmtId="0" fontId="36" fillId="0" borderId="18" xfId="0" applyFont="1" applyBorder="1" applyAlignment="1">
      <alignment horizontal="center" wrapText="1"/>
    </xf>
    <xf numFmtId="0" fontId="36" fillId="0" borderId="19" xfId="0" applyFont="1" applyBorder="1" applyAlignment="1">
      <alignment horizontal="center"/>
    </xf>
    <xf numFmtId="49" fontId="44" fillId="0" borderId="0" xfId="0" applyNumberFormat="1" applyFont="1" applyBorder="1" applyAlignment="1">
      <alignment horizontal="center"/>
    </xf>
    <xf numFmtId="0" fontId="44" fillId="0" borderId="0" xfId="0" applyFont="1" applyBorder="1"/>
    <xf numFmtId="49" fontId="44" fillId="0" borderId="10" xfId="0" applyNumberFormat="1" applyFont="1" applyBorder="1" applyAlignment="1">
      <alignment horizontal="center"/>
    </xf>
    <xf numFmtId="0" fontId="21" fillId="0" borderId="10" xfId="9" applyFont="1" applyBorder="1"/>
    <xf numFmtId="0" fontId="44" fillId="0" borderId="10" xfId="0" applyFont="1" applyBorder="1"/>
    <xf numFmtId="0" fontId="44" fillId="0" borderId="0" xfId="0" applyFont="1" applyAlignment="1">
      <alignment horizontal="left" vertical="top" wrapText="1"/>
    </xf>
    <xf numFmtId="0" fontId="21" fillId="0" borderId="0" xfId="0" applyFont="1" applyBorder="1" applyAlignment="1">
      <alignment vertical="top" wrapText="1"/>
    </xf>
    <xf numFmtId="0" fontId="25" fillId="0" borderId="0" xfId="4" applyFont="1" applyFill="1" applyBorder="1" applyAlignment="1" applyProtection="1">
      <alignment wrapText="1"/>
    </xf>
    <xf numFmtId="0" fontId="56" fillId="0" borderId="0" xfId="0" applyFont="1" applyAlignment="1">
      <alignment wrapText="1"/>
    </xf>
    <xf numFmtId="49" fontId="36" fillId="0" borderId="10" xfId="0" applyNumberFormat="1" applyFont="1" applyBorder="1" applyAlignment="1">
      <alignment horizontal="center"/>
    </xf>
    <xf numFmtId="0" fontId="36" fillId="0" borderId="10" xfId="0" applyFont="1" applyBorder="1" applyAlignment="1">
      <alignment horizontal="left" wrapText="1"/>
    </xf>
    <xf numFmtId="49" fontId="36" fillId="4" borderId="12" xfId="0" quotePrefix="1" applyNumberFormat="1" applyFont="1" applyFill="1" applyBorder="1" applyAlignment="1">
      <alignment horizontal="center"/>
    </xf>
    <xf numFmtId="0" fontId="36" fillId="4" borderId="12" xfId="0" applyFont="1" applyFill="1" applyBorder="1" applyAlignment="1">
      <alignment horizontal="left" wrapText="1"/>
    </xf>
    <xf numFmtId="0" fontId="56" fillId="0" borderId="20" xfId="0" applyFont="1" applyBorder="1"/>
    <xf numFmtId="0" fontId="56" fillId="0" borderId="22" xfId="0" applyFont="1" applyBorder="1"/>
    <xf numFmtId="0" fontId="56" fillId="0" borderId="28" xfId="0" applyFont="1" applyBorder="1" applyAlignment="1">
      <alignment horizontal="right"/>
    </xf>
    <xf numFmtId="9" fontId="56" fillId="0" borderId="20" xfId="33" applyFont="1" applyBorder="1" applyAlignment="1">
      <alignment horizontal="center"/>
    </xf>
    <xf numFmtId="9" fontId="56" fillId="0" borderId="47" xfId="33" applyFont="1" applyBorder="1" applyAlignment="1">
      <alignment horizontal="center"/>
    </xf>
    <xf numFmtId="9" fontId="56" fillId="0" borderId="22" xfId="33" applyFont="1" applyBorder="1" applyAlignment="1">
      <alignment horizontal="center"/>
    </xf>
    <xf numFmtId="9" fontId="56" fillId="0" borderId="21" xfId="33" applyFont="1" applyBorder="1" applyAlignment="1">
      <alignment horizontal="center"/>
    </xf>
    <xf numFmtId="0" fontId="56" fillId="0" borderId="28" xfId="1" applyNumberFormat="1" applyFont="1" applyBorder="1" applyAlignment="1">
      <alignment horizontal="right"/>
    </xf>
    <xf numFmtId="49" fontId="56" fillId="0" borderId="10" xfId="0" applyNumberFormat="1" applyFont="1" applyBorder="1" applyAlignment="1">
      <alignment horizontal="center"/>
    </xf>
    <xf numFmtId="0" fontId="61" fillId="0" borderId="10" xfId="9" applyFont="1" applyBorder="1"/>
    <xf numFmtId="0" fontId="56" fillId="0" borderId="10" xfId="0" applyFont="1" applyBorder="1"/>
    <xf numFmtId="0" fontId="56" fillId="0" borderId="0" xfId="0" applyFont="1" applyAlignment="1">
      <alignment horizontal="left" vertical="top"/>
    </xf>
    <xf numFmtId="0" fontId="56" fillId="0" borderId="0" xfId="0" applyFont="1" applyAlignment="1">
      <alignment vertical="top"/>
    </xf>
    <xf numFmtId="0" fontId="61" fillId="0" borderId="0" xfId="0" applyFont="1" applyBorder="1" applyAlignment="1">
      <alignment vertical="top" wrapText="1"/>
    </xf>
    <xf numFmtId="0" fontId="62" fillId="0" borderId="0" xfId="4" applyFont="1" applyFill="1" applyBorder="1" applyAlignment="1" applyProtection="1">
      <alignment wrapText="1"/>
    </xf>
    <xf numFmtId="9" fontId="36" fillId="2" borderId="20" xfId="33" applyFont="1" applyFill="1" applyBorder="1" applyAlignment="1">
      <alignment horizontal="center"/>
    </xf>
    <xf numFmtId="9" fontId="36" fillId="2" borderId="21" xfId="33" applyFont="1" applyFill="1" applyBorder="1" applyAlignment="1">
      <alignment horizontal="center"/>
    </xf>
    <xf numFmtId="3" fontId="36" fillId="2" borderId="17" xfId="0" applyNumberFormat="1" applyFont="1" applyFill="1" applyBorder="1"/>
    <xf numFmtId="3" fontId="36" fillId="2" borderId="18" xfId="0" applyNumberFormat="1" applyFont="1" applyFill="1" applyBorder="1"/>
    <xf numFmtId="3" fontId="36" fillId="2" borderId="19" xfId="0" applyNumberFormat="1" applyFont="1" applyFill="1" applyBorder="1"/>
    <xf numFmtId="0" fontId="36" fillId="2" borderId="17" xfId="0" applyFont="1" applyFill="1" applyBorder="1"/>
    <xf numFmtId="0" fontId="36" fillId="2" borderId="18" xfId="0" applyFont="1" applyFill="1" applyBorder="1"/>
    <xf numFmtId="0" fontId="36" fillId="2" borderId="19" xfId="0" applyFont="1" applyFill="1" applyBorder="1"/>
    <xf numFmtId="169" fontId="36" fillId="2" borderId="26" xfId="1" applyNumberFormat="1" applyFont="1" applyFill="1" applyBorder="1"/>
    <xf numFmtId="174" fontId="56" fillId="0" borderId="0" xfId="3" applyNumberFormat="1" applyFont="1"/>
    <xf numFmtId="174" fontId="36" fillId="0" borderId="0" xfId="3" applyNumberFormat="1" applyFont="1" applyAlignment="1">
      <alignment horizontal="center"/>
    </xf>
    <xf numFmtId="174" fontId="36" fillId="0" borderId="0" xfId="3" applyNumberFormat="1" applyFont="1"/>
    <xf numFmtId="49" fontId="49" fillId="9" borderId="12" xfId="0" quotePrefix="1" applyNumberFormat="1" applyFont="1" applyFill="1" applyBorder="1" applyAlignment="1">
      <alignment horizontal="center"/>
    </xf>
    <xf numFmtId="0" fontId="49" fillId="9" borderId="12" xfId="0" applyFont="1" applyFill="1" applyBorder="1" applyAlignment="1">
      <alignment horizontal="left" wrapText="1"/>
    </xf>
    <xf numFmtId="174" fontId="36" fillId="0" borderId="0" xfId="3" applyNumberFormat="1" applyFont="1" applyFill="1"/>
    <xf numFmtId="9" fontId="36" fillId="16" borderId="0" xfId="33" applyFont="1" applyFill="1"/>
    <xf numFmtId="174" fontId="36" fillId="9" borderId="11" xfId="3" applyNumberFormat="1" applyFont="1" applyFill="1" applyBorder="1"/>
    <xf numFmtId="174" fontId="36" fillId="9" borderId="12" xfId="3" applyNumberFormat="1" applyFont="1" applyFill="1" applyBorder="1"/>
    <xf numFmtId="174" fontId="56" fillId="0" borderId="32" xfId="3" applyNumberFormat="1" applyFont="1" applyBorder="1"/>
    <xf numFmtId="174" fontId="56" fillId="0" borderId="0" xfId="3" applyNumberFormat="1" applyFont="1" applyBorder="1"/>
    <xf numFmtId="174" fontId="56" fillId="0" borderId="31" xfId="3" applyNumberFormat="1" applyFont="1" applyBorder="1"/>
    <xf numFmtId="9" fontId="36" fillId="0" borderId="32" xfId="33" applyFont="1" applyBorder="1"/>
    <xf numFmtId="9" fontId="36" fillId="0" borderId="31" xfId="33" applyFont="1" applyBorder="1" applyAlignment="1">
      <alignment wrapText="1"/>
    </xf>
    <xf numFmtId="9" fontId="36" fillId="9" borderId="11" xfId="33" applyFont="1" applyFill="1" applyBorder="1"/>
    <xf numFmtId="9" fontId="36" fillId="9" borderId="12" xfId="33" applyFont="1" applyFill="1" applyBorder="1"/>
    <xf numFmtId="9" fontId="36" fillId="9" borderId="13" xfId="33" applyFont="1" applyFill="1" applyBorder="1"/>
    <xf numFmtId="9" fontId="56" fillId="0" borderId="34" xfId="33" applyFont="1" applyBorder="1"/>
    <xf numFmtId="9" fontId="56" fillId="0" borderId="10" xfId="33" applyFont="1" applyBorder="1"/>
    <xf numFmtId="9" fontId="56" fillId="0" borderId="33" xfId="33" applyFont="1" applyBorder="1"/>
    <xf numFmtId="9" fontId="36" fillId="0" borderId="0" xfId="33" applyFont="1" applyBorder="1" applyAlignment="1">
      <alignment wrapText="1"/>
    </xf>
    <xf numFmtId="9" fontId="36" fillId="0" borderId="31" xfId="33" applyFont="1" applyBorder="1"/>
    <xf numFmtId="0" fontId="56" fillId="0" borderId="0" xfId="0" applyFont="1" applyFill="1" applyBorder="1"/>
    <xf numFmtId="0" fontId="53" fillId="0" borderId="1" xfId="32" applyFont="1" applyFill="1" applyBorder="1" applyAlignment="1">
      <alignment wrapText="1"/>
    </xf>
    <xf numFmtId="0" fontId="53" fillId="0" borderId="1" xfId="25" applyFont="1" applyFill="1" applyBorder="1" applyAlignment="1">
      <alignment wrapText="1"/>
    </xf>
    <xf numFmtId="0" fontId="53" fillId="0" borderId="0" xfId="25" applyFont="1" applyFill="1" applyBorder="1" applyAlignment="1">
      <alignment wrapText="1"/>
    </xf>
    <xf numFmtId="167" fontId="53" fillId="0" borderId="0" xfId="25" applyNumberFormat="1" applyFont="1" applyFill="1" applyBorder="1" applyAlignment="1">
      <alignment horizontal="right" wrapText="1"/>
    </xf>
    <xf numFmtId="0" fontId="52" fillId="17" borderId="0" xfId="25" applyFont="1" applyFill="1" applyBorder="1" applyAlignment="1">
      <alignment horizontal="left"/>
    </xf>
    <xf numFmtId="167" fontId="53" fillId="0" borderId="1" xfId="25" applyNumberFormat="1" applyFont="1" applyFill="1" applyBorder="1" applyAlignment="1">
      <alignment wrapText="1"/>
    </xf>
    <xf numFmtId="166" fontId="44" fillId="0" borderId="0" xfId="0" applyNumberFormat="1" applyFont="1"/>
    <xf numFmtId="0" fontId="52" fillId="0" borderId="2" xfId="25" applyFont="1" applyFill="1" applyBorder="1" applyAlignment="1">
      <alignment horizontal="center"/>
    </xf>
    <xf numFmtId="167" fontId="56" fillId="0" borderId="0" xfId="0" applyNumberFormat="1" applyFont="1" applyBorder="1"/>
    <xf numFmtId="166" fontId="0" fillId="0" borderId="0" xfId="0" applyNumberFormat="1" applyFont="1"/>
    <xf numFmtId="166" fontId="56" fillId="0" borderId="0" xfId="0" applyNumberFormat="1" applyFont="1"/>
    <xf numFmtId="0" fontId="52" fillId="0" borderId="2" xfId="31" applyFont="1" applyFill="1" applyBorder="1" applyAlignment="1">
      <alignment horizontal="left"/>
    </xf>
    <xf numFmtId="0" fontId="52" fillId="0" borderId="6" xfId="31" applyFont="1" applyFill="1" applyBorder="1" applyAlignment="1">
      <alignment horizontal="left"/>
    </xf>
    <xf numFmtId="0" fontId="52" fillId="0" borderId="69" xfId="31" applyFont="1" applyFill="1" applyBorder="1" applyAlignment="1">
      <alignment horizontal="center" wrapText="1"/>
    </xf>
    <xf numFmtId="0" fontId="52" fillId="0" borderId="52" xfId="31" applyFont="1" applyFill="1" applyBorder="1" applyAlignment="1">
      <alignment horizontal="center" wrapText="1"/>
    </xf>
    <xf numFmtId="1" fontId="0" fillId="0" borderId="0" xfId="0" applyNumberFormat="1" applyFont="1"/>
    <xf numFmtId="1" fontId="56" fillId="0" borderId="0" xfId="0" applyNumberFormat="1" applyFont="1"/>
    <xf numFmtId="0" fontId="24" fillId="0" borderId="0" xfId="14" applyFont="1" applyFill="1" applyBorder="1" applyAlignment="1">
      <alignment horizontal="left" wrapText="1"/>
    </xf>
    <xf numFmtId="0" fontId="61" fillId="0" borderId="0" xfId="14" applyFont="1" applyBorder="1"/>
    <xf numFmtId="0" fontId="56" fillId="0" borderId="0" xfId="0" applyFont="1" applyAlignment="1">
      <alignment horizontal="right"/>
    </xf>
    <xf numFmtId="0" fontId="52" fillId="2" borderId="12" xfId="14" applyFont="1" applyFill="1" applyBorder="1" applyAlignment="1">
      <alignment horizontal="center"/>
    </xf>
    <xf numFmtId="0" fontId="52" fillId="2" borderId="12" xfId="14" applyFont="1" applyFill="1" applyBorder="1" applyAlignment="1">
      <alignment horizontal="left"/>
    </xf>
    <xf numFmtId="0" fontId="56" fillId="0" borderId="23" xfId="0" applyFont="1" applyBorder="1"/>
    <xf numFmtId="0" fontId="56" fillId="0" borderId="25" xfId="0" applyFont="1" applyBorder="1"/>
    <xf numFmtId="0" fontId="56" fillId="0" borderId="24" xfId="0" applyFont="1" applyBorder="1"/>
    <xf numFmtId="0" fontId="56" fillId="0" borderId="29" xfId="0" applyFont="1" applyBorder="1" applyAlignment="1">
      <alignment horizontal="right"/>
    </xf>
    <xf numFmtId="9" fontId="56" fillId="0" borderId="23" xfId="33" applyFont="1" applyBorder="1" applyAlignment="1">
      <alignment horizontal="center"/>
    </xf>
    <xf numFmtId="9" fontId="56" fillId="0" borderId="51" xfId="33" applyFont="1" applyBorder="1" applyAlignment="1">
      <alignment horizontal="center"/>
    </xf>
    <xf numFmtId="9" fontId="56" fillId="0" borderId="25" xfId="33" applyFont="1" applyBorder="1" applyAlignment="1">
      <alignment horizontal="center"/>
    </xf>
    <xf numFmtId="9" fontId="56" fillId="0" borderId="24" xfId="33" applyFont="1" applyBorder="1" applyAlignment="1">
      <alignment horizontal="center"/>
    </xf>
    <xf numFmtId="0" fontId="56" fillId="0" borderId="0" xfId="9" applyFont="1"/>
    <xf numFmtId="0" fontId="56" fillId="0" borderId="0" xfId="9" applyFont="1" applyAlignment="1">
      <alignment horizontal="right" wrapText="1"/>
    </xf>
    <xf numFmtId="0" fontId="36" fillId="0" borderId="10" xfId="9" applyFont="1" applyBorder="1" applyAlignment="1"/>
    <xf numFmtId="0" fontId="36" fillId="0" borderId="0" xfId="9" applyFont="1" applyAlignment="1">
      <alignment horizontal="center"/>
    </xf>
    <xf numFmtId="0" fontId="36" fillId="0" borderId="0" xfId="9" applyFont="1" applyAlignment="1">
      <alignment horizontal="right"/>
    </xf>
    <xf numFmtId="0" fontId="56" fillId="0" borderId="10" xfId="9" applyFont="1" applyBorder="1" applyAlignment="1"/>
    <xf numFmtId="0" fontId="56" fillId="0" borderId="10" xfId="9" applyFont="1" applyBorder="1" applyAlignment="1">
      <alignment horizontal="right"/>
    </xf>
    <xf numFmtId="0" fontId="36" fillId="0" borderId="0" xfId="9" applyFont="1" applyAlignment="1"/>
    <xf numFmtId="0" fontId="36" fillId="0" borderId="0" xfId="9" applyFont="1" applyAlignment="1">
      <alignment horizontal="right" wrapText="1"/>
    </xf>
    <xf numFmtId="49" fontId="36" fillId="0" borderId="10" xfId="9" applyNumberFormat="1" applyFont="1" applyBorder="1" applyAlignment="1">
      <alignment horizontal="center"/>
    </xf>
    <xf numFmtId="0" fontId="36" fillId="0" borderId="10" xfId="9" applyFont="1" applyBorder="1" applyAlignment="1">
      <alignment horizontal="right" wrapText="1"/>
    </xf>
    <xf numFmtId="0" fontId="36" fillId="0" borderId="10" xfId="9" applyFont="1" applyBorder="1"/>
    <xf numFmtId="49" fontId="56" fillId="0" borderId="0" xfId="9" quotePrefix="1" applyNumberFormat="1" applyFont="1" applyAlignment="1">
      <alignment horizontal="center"/>
    </xf>
    <xf numFmtId="49" fontId="56" fillId="0" borderId="0" xfId="9" applyNumberFormat="1" applyFont="1" applyAlignment="1">
      <alignment horizontal="center"/>
    </xf>
    <xf numFmtId="0" fontId="56" fillId="0" borderId="0" xfId="9" applyNumberFormat="1" applyFont="1" applyAlignment="1">
      <alignment horizontal="right"/>
    </xf>
    <xf numFmtId="49" fontId="56" fillId="0" borderId="0" xfId="9" quotePrefix="1" applyNumberFormat="1" applyFont="1" applyAlignment="1">
      <alignment horizontal="right"/>
    </xf>
    <xf numFmtId="49" fontId="56" fillId="0" borderId="0" xfId="9" applyNumberFormat="1" applyFont="1" applyAlignment="1">
      <alignment horizontal="right"/>
    </xf>
    <xf numFmtId="0" fontId="56" fillId="0" borderId="0" xfId="9" quotePrefix="1" applyNumberFormat="1" applyFont="1" applyAlignment="1">
      <alignment horizontal="center"/>
    </xf>
    <xf numFmtId="0" fontId="56" fillId="0" borderId="0" xfId="9" quotePrefix="1" applyNumberFormat="1" applyFont="1" applyAlignment="1">
      <alignment horizontal="right"/>
    </xf>
    <xf numFmtId="49" fontId="56" fillId="0" borderId="10" xfId="9" applyNumberFormat="1" applyFont="1" applyBorder="1" applyAlignment="1">
      <alignment horizontal="center"/>
    </xf>
    <xf numFmtId="0" fontId="56" fillId="0" borderId="10" xfId="9" applyNumberFormat="1" applyFont="1" applyBorder="1" applyAlignment="1">
      <alignment horizontal="right"/>
    </xf>
    <xf numFmtId="0" fontId="56" fillId="0" borderId="10" xfId="9" applyFont="1" applyBorder="1" applyAlignment="1">
      <alignment horizontal="right" wrapText="1"/>
    </xf>
    <xf numFmtId="49" fontId="56" fillId="0" borderId="10" xfId="9" applyNumberFormat="1" applyFont="1" applyBorder="1" applyAlignment="1">
      <alignment horizontal="right"/>
    </xf>
    <xf numFmtId="0" fontId="61" fillId="0" borderId="0" xfId="9" applyFont="1" applyAlignment="1">
      <alignment horizontal="right" vertical="top"/>
    </xf>
    <xf numFmtId="0" fontId="62" fillId="0" borderId="0" xfId="4" applyFont="1" applyAlignment="1" applyProtection="1">
      <alignment horizontal="right"/>
    </xf>
    <xf numFmtId="0" fontId="53" fillId="0" borderId="0" xfId="32" applyFont="1" applyFill="1" applyBorder="1" applyAlignment="1">
      <alignment wrapText="1"/>
    </xf>
    <xf numFmtId="0" fontId="52" fillId="0" borderId="6" xfId="31" applyFont="1" applyFill="1" applyBorder="1" applyAlignment="1">
      <alignment horizontal="left"/>
    </xf>
    <xf numFmtId="167" fontId="53" fillId="0" borderId="1" xfId="25" applyNumberFormat="1" applyFont="1" applyFill="1" applyBorder="1" applyAlignment="1">
      <alignment wrapText="1"/>
    </xf>
    <xf numFmtId="0" fontId="52" fillId="2" borderId="0" xfId="24" applyFont="1" applyFill="1" applyBorder="1" applyAlignment="1">
      <alignment wrapText="1"/>
    </xf>
    <xf numFmtId="0" fontId="53" fillId="0" borderId="0" xfId="24" applyFont="1" applyFill="1" applyBorder="1" applyAlignment="1">
      <alignment wrapText="1"/>
    </xf>
    <xf numFmtId="0" fontId="52" fillId="0" borderId="6" xfId="29" applyFont="1" applyFill="1" applyBorder="1" applyAlignment="1">
      <alignment horizontal="left" wrapText="1"/>
    </xf>
    <xf numFmtId="0" fontId="52" fillId="2" borderId="30" xfId="29" applyFont="1" applyFill="1" applyBorder="1" applyAlignment="1">
      <alignment wrapText="1"/>
    </xf>
    <xf numFmtId="0" fontId="53" fillId="0" borderId="30" xfId="29" applyFont="1" applyFill="1" applyBorder="1" applyAlignment="1">
      <alignment wrapText="1"/>
    </xf>
    <xf numFmtId="0" fontId="23" fillId="0" borderId="0" xfId="0" applyFont="1" applyAlignment="1">
      <alignment horizontal="left" vertical="top"/>
    </xf>
    <xf numFmtId="169" fontId="56" fillId="0" borderId="28" xfId="1" applyNumberFormat="1" applyFont="1" applyFill="1" applyBorder="1"/>
    <xf numFmtId="169" fontId="56" fillId="0" borderId="29" xfId="1" applyNumberFormat="1" applyFont="1" applyFill="1" applyBorder="1"/>
    <xf numFmtId="3" fontId="56" fillId="0" borderId="28" xfId="15" applyNumberFormat="1" applyFont="1" applyFill="1" applyBorder="1"/>
    <xf numFmtId="3" fontId="64" fillId="0" borderId="0" xfId="19" applyNumberFormat="1" applyFont="1" applyFill="1" applyBorder="1" applyAlignment="1">
      <alignment vertical="top" wrapText="1"/>
    </xf>
    <xf numFmtId="0" fontId="36" fillId="0" borderId="29" xfId="0" applyFont="1" applyBorder="1" applyAlignment="1">
      <alignment horizontal="center" wrapText="1"/>
    </xf>
    <xf numFmtId="0" fontId="56" fillId="0" borderId="28" xfId="0" applyFont="1" applyBorder="1" applyAlignment="1">
      <alignment horizontal="right"/>
    </xf>
    <xf numFmtId="0" fontId="56" fillId="0" borderId="28" xfId="1" applyNumberFormat="1" applyFont="1" applyBorder="1" applyAlignment="1">
      <alignment horizontal="right"/>
    </xf>
    <xf numFmtId="0" fontId="56" fillId="0" borderId="29" xfId="0" applyFont="1" applyBorder="1" applyAlignment="1">
      <alignment horizontal="right"/>
    </xf>
    <xf numFmtId="0" fontId="38" fillId="0" borderId="0" xfId="0" applyFont="1" applyFill="1" applyBorder="1" applyAlignment="1">
      <alignment horizontal="center"/>
    </xf>
    <xf numFmtId="164" fontId="53" fillId="0" borderId="38" xfId="16" applyNumberFormat="1" applyFont="1" applyFill="1" applyBorder="1" applyAlignment="1">
      <alignment wrapText="1"/>
    </xf>
    <xf numFmtId="0" fontId="52" fillId="0" borderId="81" xfId="11" applyFont="1" applyFill="1" applyBorder="1" applyAlignment="1">
      <alignment horizontal="center"/>
    </xf>
    <xf numFmtId="0" fontId="52" fillId="0" borderId="82" xfId="11" applyFont="1" applyFill="1" applyBorder="1" applyAlignment="1">
      <alignment horizontal="center"/>
    </xf>
    <xf numFmtId="164" fontId="52" fillId="2" borderId="83" xfId="16" applyNumberFormat="1" applyFont="1" applyFill="1" applyBorder="1" applyAlignment="1">
      <alignment wrapText="1"/>
    </xf>
    <xf numFmtId="164" fontId="53" fillId="0" borderId="36" xfId="16" applyNumberFormat="1" applyFont="1" applyFill="1" applyBorder="1" applyAlignment="1">
      <alignment wrapText="1"/>
    </xf>
    <xf numFmtId="164" fontId="53" fillId="0" borderId="84" xfId="16" applyNumberFormat="1" applyFont="1" applyFill="1" applyBorder="1" applyAlignment="1">
      <alignment wrapText="1"/>
    </xf>
    <xf numFmtId="164" fontId="52" fillId="2" borderId="52" xfId="16" applyNumberFormat="1" applyFont="1" applyFill="1" applyBorder="1" applyAlignment="1">
      <alignment wrapText="1"/>
    </xf>
    <xf numFmtId="0" fontId="37" fillId="0" borderId="0" xfId="0" applyFont="1" applyAlignment="1">
      <alignment wrapText="1"/>
    </xf>
    <xf numFmtId="3" fontId="54" fillId="0" borderId="0" xfId="0" applyNumberFormat="1" applyFont="1"/>
    <xf numFmtId="173" fontId="52" fillId="0" borderId="53" xfId="1" applyNumberFormat="1" applyFont="1" applyFill="1" applyBorder="1" applyAlignment="1">
      <alignment horizontal="center"/>
    </xf>
    <xf numFmtId="3" fontId="52" fillId="2" borderId="85" xfId="16" applyNumberFormat="1" applyFont="1" applyFill="1" applyBorder="1"/>
    <xf numFmtId="3" fontId="53" fillId="0" borderId="56" xfId="0" applyNumberFormat="1" applyFont="1" applyFill="1" applyBorder="1" applyAlignment="1">
      <alignment horizontal="right" wrapText="1"/>
    </xf>
    <xf numFmtId="3" fontId="53" fillId="0" borderId="58" xfId="0" applyNumberFormat="1" applyFont="1" applyFill="1" applyBorder="1" applyAlignment="1">
      <alignment horizontal="right" wrapText="1"/>
    </xf>
    <xf numFmtId="3" fontId="61" fillId="0" borderId="108" xfId="14" applyNumberFormat="1" applyFont="1" applyBorder="1"/>
    <xf numFmtId="169" fontId="53" fillId="0" borderId="96" xfId="1" applyNumberFormat="1" applyFont="1" applyBorder="1"/>
    <xf numFmtId="164" fontId="56" fillId="4" borderId="43" xfId="33" applyNumberFormat="1" applyFont="1" applyFill="1" applyBorder="1"/>
    <xf numFmtId="0" fontId="23" fillId="0" borderId="0" xfId="16" applyFont="1"/>
    <xf numFmtId="0" fontId="52" fillId="0" borderId="44" xfId="14" applyFont="1" applyFill="1" applyBorder="1" applyAlignment="1">
      <alignment horizontal="center" wrapText="1"/>
    </xf>
    <xf numFmtId="44" fontId="56" fillId="0" borderId="0" xfId="3" applyFont="1"/>
    <xf numFmtId="44" fontId="53" fillId="0" borderId="0" xfId="3" applyFont="1"/>
    <xf numFmtId="44" fontId="61" fillId="0" borderId="0" xfId="3" applyFont="1"/>
    <xf numFmtId="7" fontId="52" fillId="0" borderId="6" xfId="29" applyNumberFormat="1" applyFont="1" applyFill="1" applyBorder="1" applyAlignment="1">
      <alignment horizontal="center" wrapText="1"/>
    </xf>
    <xf numFmtId="7" fontId="53" fillId="0" borderId="0" xfId="16" applyNumberFormat="1" applyFont="1"/>
    <xf numFmtId="7" fontId="61" fillId="0" borderId="0" xfId="14" applyNumberFormat="1" applyFont="1"/>
    <xf numFmtId="5" fontId="52" fillId="2" borderId="66" xfId="29" applyNumberFormat="1" applyFont="1" applyFill="1" applyBorder="1" applyAlignment="1">
      <alignment wrapText="1"/>
    </xf>
    <xf numFmtId="5" fontId="52" fillId="2" borderId="54" xfId="29" applyNumberFormat="1" applyFont="1" applyFill="1" applyBorder="1" applyAlignment="1">
      <alignment wrapText="1"/>
    </xf>
    <xf numFmtId="5" fontId="52" fillId="2" borderId="67" xfId="29" applyNumberFormat="1" applyFont="1" applyFill="1" applyBorder="1" applyAlignment="1">
      <alignment wrapText="1"/>
    </xf>
    <xf numFmtId="5" fontId="52" fillId="2" borderId="68" xfId="29" applyNumberFormat="1" applyFont="1" applyFill="1" applyBorder="1" applyAlignment="1">
      <alignment wrapText="1"/>
    </xf>
    <xf numFmtId="5" fontId="53" fillId="0" borderId="66" xfId="29" applyNumberFormat="1" applyFont="1" applyFill="1" applyBorder="1" applyAlignment="1">
      <alignment wrapText="1"/>
    </xf>
    <xf numFmtId="5" fontId="53" fillId="0" borderId="67" xfId="29" applyNumberFormat="1" applyFont="1" applyFill="1" applyBorder="1" applyAlignment="1">
      <alignment wrapText="1"/>
    </xf>
    <xf numFmtId="5" fontId="53" fillId="0" borderId="68" xfId="29" applyNumberFormat="1" applyFont="1" applyFill="1" applyBorder="1" applyAlignment="1">
      <alignment wrapText="1"/>
    </xf>
    <xf numFmtId="167" fontId="54" fillId="0" borderId="0" xfId="0" applyNumberFormat="1" applyFont="1"/>
    <xf numFmtId="0" fontId="65" fillId="0" borderId="0" xfId="31" applyFont="1" applyFill="1" applyBorder="1" applyAlignment="1">
      <alignment horizontal="center"/>
    </xf>
    <xf numFmtId="0" fontId="65" fillId="0" borderId="4" xfId="31" applyFont="1" applyFill="1" applyBorder="1" applyAlignment="1">
      <alignment horizontal="center"/>
    </xf>
    <xf numFmtId="0" fontId="66" fillId="0" borderId="77" xfId="21" applyFont="1" applyFill="1" applyBorder="1" applyAlignment="1">
      <alignment horizontal="center" wrapText="1"/>
    </xf>
    <xf numFmtId="0" fontId="66" fillId="0" borderId="80" xfId="30" applyFont="1" applyFill="1" applyBorder="1" applyAlignment="1">
      <alignment horizontal="left"/>
    </xf>
    <xf numFmtId="0" fontId="66" fillId="0" borderId="87" xfId="30" applyFont="1" applyFill="1" applyBorder="1" applyAlignment="1">
      <alignment horizontal="center" wrapText="1"/>
    </xf>
    <xf numFmtId="0" fontId="66" fillId="0" borderId="83" xfId="30" applyFont="1" applyFill="1" applyBorder="1" applyAlignment="1">
      <alignment horizontal="center" wrapText="1"/>
    </xf>
    <xf numFmtId="0" fontId="66" fillId="0" borderId="86" xfId="30" applyFont="1" applyFill="1" applyBorder="1" applyAlignment="1">
      <alignment horizontal="center" wrapText="1"/>
    </xf>
    <xf numFmtId="167" fontId="54" fillId="0" borderId="0" xfId="0" applyNumberFormat="1" applyFont="1" applyBorder="1"/>
    <xf numFmtId="0" fontId="65" fillId="0" borderId="0" xfId="16" applyFont="1"/>
    <xf numFmtId="0" fontId="65" fillId="0" borderId="0" xfId="16" applyFont="1" applyAlignment="1">
      <alignment horizontal="left"/>
    </xf>
    <xf numFmtId="3" fontId="65" fillId="0" borderId="0" xfId="16" applyNumberFormat="1" applyFont="1"/>
    <xf numFmtId="0" fontId="68" fillId="17" borderId="2" xfId="32" applyFont="1" applyFill="1" applyBorder="1" applyAlignment="1">
      <alignment horizontal="left"/>
    </xf>
    <xf numFmtId="0" fontId="68" fillId="17" borderId="6" xfId="32" applyFont="1" applyFill="1" applyBorder="1" applyAlignment="1">
      <alignment horizontal="left"/>
    </xf>
    <xf numFmtId="49" fontId="31" fillId="0" borderId="0" xfId="9" applyNumberFormat="1" applyFont="1" applyAlignment="1">
      <alignment horizontal="center"/>
    </xf>
    <xf numFmtId="0" fontId="31" fillId="0" borderId="0" xfId="9" applyFont="1" applyAlignment="1">
      <alignment horizontal="center"/>
    </xf>
    <xf numFmtId="49" fontId="35" fillId="0" borderId="0" xfId="9" applyNumberFormat="1" applyAlignment="1">
      <alignment horizontal="center"/>
    </xf>
    <xf numFmtId="0" fontId="35" fillId="0" borderId="0" xfId="9"/>
    <xf numFmtId="169" fontId="32" fillId="0" borderId="0" xfId="2" applyNumberFormat="1" applyFont="1"/>
    <xf numFmtId="169" fontId="30" fillId="0" borderId="0" xfId="1" applyNumberFormat="1" applyFont="1"/>
    <xf numFmtId="0" fontId="35" fillId="0" borderId="0" xfId="9" applyFont="1"/>
    <xf numFmtId="49" fontId="69" fillId="0" borderId="0" xfId="9" applyNumberFormat="1" applyFont="1" applyAlignment="1">
      <alignment horizontal="left"/>
    </xf>
    <xf numFmtId="49" fontId="31" fillId="4" borderId="0" xfId="9" applyNumberFormat="1" applyFont="1" applyFill="1" applyAlignment="1">
      <alignment horizontal="center"/>
    </xf>
    <xf numFmtId="0" fontId="31" fillId="4" borderId="0" xfId="9" applyFont="1" applyFill="1" applyAlignment="1">
      <alignment horizontal="center"/>
    </xf>
    <xf numFmtId="0" fontId="49" fillId="0" borderId="0" xfId="9" applyFont="1" applyAlignment="1">
      <alignment horizontal="left" vertical="top" wrapText="1"/>
    </xf>
    <xf numFmtId="0" fontId="49" fillId="0" borderId="0" xfId="9" applyFont="1" applyAlignment="1">
      <alignment horizontal="left" vertical="top" wrapText="1"/>
    </xf>
    <xf numFmtId="0" fontId="49" fillId="0" borderId="0" xfId="9" applyFont="1" applyBorder="1" applyAlignment="1">
      <alignment horizontal="left"/>
    </xf>
    <xf numFmtId="49" fontId="44" fillId="0" borderId="0" xfId="9" applyNumberFormat="1" applyFont="1" applyBorder="1" applyAlignment="1">
      <alignment horizontal="center"/>
    </xf>
    <xf numFmtId="0" fontId="44" fillId="0" borderId="0" xfId="9" applyFont="1" applyBorder="1" applyAlignment="1">
      <alignment horizontal="left" wrapText="1"/>
    </xf>
    <xf numFmtId="3" fontId="44" fillId="0" borderId="0" xfId="9" applyNumberFormat="1" applyFont="1" applyBorder="1" applyAlignment="1">
      <alignment horizontal="right" indent="1"/>
    </xf>
    <xf numFmtId="3" fontId="44" fillId="0" borderId="0" xfId="9" applyNumberFormat="1" applyFont="1" applyBorder="1" applyAlignment="1">
      <alignment horizontal="right" indent="2"/>
    </xf>
    <xf numFmtId="0" fontId="49" fillId="0" borderId="10" xfId="9" applyFont="1" applyBorder="1" applyAlignment="1">
      <alignment horizontal="center" wrapText="1"/>
    </xf>
    <xf numFmtId="3" fontId="44" fillId="0" borderId="10" xfId="9" applyNumberFormat="1" applyFont="1" applyBorder="1" applyAlignment="1">
      <alignment horizontal="right" indent="1"/>
    </xf>
    <xf numFmtId="0" fontId="49" fillId="0" borderId="0" xfId="9" applyFont="1" applyBorder="1" applyAlignment="1"/>
    <xf numFmtId="0" fontId="52" fillId="0" borderId="10" xfId="14" applyFont="1" applyFill="1" applyBorder="1" applyAlignment="1">
      <alignment horizontal="center"/>
    </xf>
    <xf numFmtId="3" fontId="56" fillId="0" borderId="10" xfId="0" applyNumberFormat="1" applyFont="1" applyBorder="1"/>
    <xf numFmtId="3" fontId="53" fillId="0" borderId="22" xfId="28" applyNumberFormat="1" applyFont="1" applyFill="1" applyBorder="1" applyAlignment="1">
      <alignment horizontal="right" wrapText="1"/>
    </xf>
    <xf numFmtId="3" fontId="53" fillId="0" borderId="0" xfId="16" applyNumberFormat="1" applyFont="1" applyBorder="1"/>
    <xf numFmtId="0" fontId="52" fillId="0" borderId="46" xfId="28" applyFont="1" applyFill="1" applyBorder="1" applyAlignment="1">
      <alignment horizontal="center" wrapText="1"/>
    </xf>
    <xf numFmtId="0" fontId="41" fillId="0" borderId="0" xfId="0" applyFont="1" applyBorder="1" applyAlignment="1">
      <alignment horizontal="left" vertical="top" wrapText="1"/>
    </xf>
    <xf numFmtId="0" fontId="56" fillId="0" borderId="0" xfId="15" applyFont="1" applyAlignment="1">
      <alignment horizontal="left" wrapText="1"/>
    </xf>
    <xf numFmtId="3" fontId="56" fillId="18" borderId="0" xfId="0" applyNumberFormat="1" applyFont="1" applyFill="1"/>
    <xf numFmtId="9" fontId="56" fillId="18" borderId="0" xfId="33" applyFont="1" applyFill="1" applyBorder="1"/>
    <xf numFmtId="0" fontId="52" fillId="18" borderId="0" xfId="14" quotePrefix="1" applyFont="1" applyFill="1" applyBorder="1" applyAlignment="1">
      <alignment horizontal="right" wrapText="1" indent="1"/>
    </xf>
    <xf numFmtId="0" fontId="52" fillId="18" borderId="0" xfId="14" applyFont="1" applyFill="1" applyBorder="1" applyAlignment="1">
      <alignment horizontal="left" wrapText="1"/>
    </xf>
    <xf numFmtId="0" fontId="52" fillId="18" borderId="0" xfId="14" applyFont="1" applyFill="1" applyBorder="1" applyAlignment="1">
      <alignment horizontal="center" wrapText="1"/>
    </xf>
    <xf numFmtId="9" fontId="75" fillId="0" borderId="0" xfId="33" applyFont="1" applyAlignment="1">
      <alignment vertical="center"/>
    </xf>
    <xf numFmtId="0" fontId="48" fillId="0" borderId="0" xfId="0" applyFont="1" applyFill="1" applyBorder="1" applyAlignment="1">
      <alignment vertical="center" wrapText="1"/>
    </xf>
    <xf numFmtId="169" fontId="76" fillId="0" borderId="0" xfId="1" applyNumberFormat="1" applyFont="1" applyFill="1" applyAlignment="1">
      <alignment vertical="center"/>
    </xf>
    <xf numFmtId="0" fontId="41" fillId="0" borderId="0" xfId="0" applyFont="1" applyBorder="1" applyAlignment="1">
      <alignment horizontal="center" vertical="top" wrapText="1"/>
    </xf>
    <xf numFmtId="0" fontId="41" fillId="0" borderId="10" xfId="0" applyFont="1" applyBorder="1" applyAlignment="1">
      <alignment vertical="top" wrapText="1"/>
    </xf>
    <xf numFmtId="3" fontId="38" fillId="0" borderId="0" xfId="0" applyNumberFormat="1" applyFont="1" applyBorder="1" applyAlignment="1">
      <alignment horizontal="right" indent="1"/>
    </xf>
    <xf numFmtId="3" fontId="38" fillId="0" borderId="32" xfId="0" applyNumberFormat="1" applyFont="1" applyFill="1" applyBorder="1" applyAlignment="1">
      <alignment horizontal="right" indent="1"/>
    </xf>
    <xf numFmtId="49" fontId="63" fillId="0" borderId="0" xfId="19" applyNumberFormat="1" applyFont="1" applyBorder="1" applyAlignment="1">
      <alignment horizontal="center" wrapText="1"/>
    </xf>
    <xf numFmtId="0" fontId="23" fillId="0" borderId="0" xfId="0" applyFont="1" applyAlignment="1">
      <alignment horizontal="left" vertical="top" wrapText="1"/>
    </xf>
    <xf numFmtId="0" fontId="23" fillId="0" borderId="0" xfId="15" applyFont="1" applyAlignment="1">
      <alignment horizontal="left" wrapText="1"/>
    </xf>
    <xf numFmtId="0" fontId="85" fillId="3" borderId="124" xfId="0" applyFont="1" applyFill="1" applyBorder="1" applyAlignment="1"/>
    <xf numFmtId="0" fontId="86" fillId="0" borderId="32" xfId="0" applyFont="1" applyFill="1" applyBorder="1" applyAlignment="1"/>
    <xf numFmtId="0" fontId="86" fillId="0" borderId="34" xfId="0" applyFont="1" applyFill="1" applyBorder="1" applyAlignment="1"/>
    <xf numFmtId="0" fontId="87" fillId="0" borderId="0" xfId="0" applyFont="1" applyBorder="1" applyAlignment="1">
      <alignment horizontal="left" vertical="top" wrapText="1"/>
    </xf>
    <xf numFmtId="0" fontId="88" fillId="0" borderId="32" xfId="0" applyFont="1" applyFill="1" applyBorder="1" applyAlignment="1">
      <alignment vertical="center" wrapText="1"/>
    </xf>
    <xf numFmtId="0" fontId="85" fillId="0" borderId="32" xfId="0" applyFont="1" applyFill="1" applyBorder="1" applyAlignment="1"/>
    <xf numFmtId="37" fontId="85" fillId="3" borderId="115" xfId="1" applyNumberFormat="1" applyFont="1" applyFill="1" applyBorder="1" applyAlignment="1">
      <alignment horizontal="center"/>
    </xf>
    <xf numFmtId="9" fontId="85" fillId="3" borderId="115" xfId="33" applyNumberFormat="1" applyFont="1" applyFill="1" applyBorder="1" applyAlignment="1">
      <alignment horizontal="center"/>
    </xf>
    <xf numFmtId="9" fontId="85" fillId="3" borderId="115" xfId="33" applyFont="1" applyFill="1" applyBorder="1" applyAlignment="1">
      <alignment horizontal="center"/>
    </xf>
    <xf numFmtId="37" fontId="86" fillId="0" borderId="28" xfId="1" applyNumberFormat="1" applyFont="1" applyFill="1" applyBorder="1" applyAlignment="1">
      <alignment horizontal="center"/>
    </xf>
    <xf numFmtId="9" fontId="86" fillId="0" borderId="28" xfId="33" applyNumberFormat="1" applyFont="1" applyFill="1" applyBorder="1" applyAlignment="1">
      <alignment horizontal="center"/>
    </xf>
    <xf numFmtId="9" fontId="86" fillId="0" borderId="28" xfId="33" applyFont="1" applyBorder="1" applyAlignment="1">
      <alignment horizontal="center"/>
    </xf>
    <xf numFmtId="37" fontId="86" fillId="0" borderId="29" xfId="1" applyNumberFormat="1" applyFont="1" applyFill="1" applyBorder="1" applyAlignment="1">
      <alignment horizontal="center"/>
    </xf>
    <xf numFmtId="9" fontId="86" fillId="0" borderId="29" xfId="33" applyNumberFormat="1" applyFont="1" applyFill="1" applyBorder="1" applyAlignment="1">
      <alignment horizontal="center"/>
    </xf>
    <xf numFmtId="9" fontId="86" fillId="0" borderId="29" xfId="33" applyFont="1" applyBorder="1" applyAlignment="1">
      <alignment horizontal="center"/>
    </xf>
    <xf numFmtId="0" fontId="50" fillId="18" borderId="126" xfId="19" quotePrefix="1" applyFont="1" applyFill="1" applyBorder="1" applyAlignment="1">
      <alignment horizontal="center" vertical="top"/>
    </xf>
    <xf numFmtId="49" fontId="63" fillId="18" borderId="127" xfId="19" applyNumberFormat="1" applyFont="1" applyFill="1" applyBorder="1" applyAlignment="1">
      <alignment vertical="top" wrapText="1"/>
    </xf>
    <xf numFmtId="49" fontId="63" fillId="18" borderId="126" xfId="19" applyNumberFormat="1" applyFont="1" applyFill="1" applyBorder="1" applyAlignment="1">
      <alignment vertical="top" wrapText="1"/>
    </xf>
    <xf numFmtId="3" fontId="50" fillId="4" borderId="126" xfId="19" applyNumberFormat="1" applyFont="1" applyFill="1" applyBorder="1" applyAlignment="1">
      <alignment vertical="top"/>
    </xf>
    <xf numFmtId="0" fontId="36" fillId="0" borderId="128" xfId="15" applyFont="1" applyBorder="1" applyAlignment="1">
      <alignment horizontal="left" wrapText="1"/>
    </xf>
    <xf numFmtId="0" fontId="36" fillId="2" borderId="128" xfId="15" applyFont="1" applyFill="1" applyBorder="1" applyAlignment="1">
      <alignment horizontal="left" wrapText="1"/>
    </xf>
    <xf numFmtId="0" fontId="56" fillId="0" borderId="39" xfId="15" applyFont="1" applyFill="1" applyBorder="1" applyAlignment="1">
      <alignment vertical="top"/>
    </xf>
    <xf numFmtId="0" fontId="56" fillId="0" borderId="32" xfId="15" applyFont="1" applyFill="1" applyBorder="1" applyAlignment="1">
      <alignment vertical="top"/>
    </xf>
    <xf numFmtId="0" fontId="56" fillId="0" borderId="34" xfId="15" applyFont="1" applyFill="1" applyBorder="1" applyAlignment="1">
      <alignment vertical="top"/>
    </xf>
    <xf numFmtId="0" fontId="36" fillId="0" borderId="18" xfId="15" applyFont="1" applyFill="1" applyBorder="1" applyAlignment="1">
      <alignment horizontal="center" wrapText="1"/>
    </xf>
    <xf numFmtId="3" fontId="18" fillId="0" borderId="21" xfId="0" applyNumberFormat="1" applyFont="1" applyFill="1" applyBorder="1" applyAlignment="1" applyProtection="1">
      <alignment horizontal="right" vertical="center"/>
    </xf>
    <xf numFmtId="3" fontId="18" fillId="0" borderId="20" xfId="0" applyNumberFormat="1" applyFont="1" applyFill="1" applyBorder="1" applyAlignment="1" applyProtection="1">
      <alignment horizontal="right" vertical="center"/>
      <protection locked="0"/>
    </xf>
    <xf numFmtId="3" fontId="18" fillId="0" borderId="22" xfId="0" applyNumberFormat="1" applyFont="1" applyFill="1" applyBorder="1" applyAlignment="1" applyProtection="1">
      <alignment horizontal="right" vertical="center"/>
    </xf>
    <xf numFmtId="3" fontId="18" fillId="0" borderId="22" xfId="0" applyNumberFormat="1" applyFont="1" applyFill="1" applyBorder="1" applyAlignment="1" applyProtection="1">
      <alignment horizontal="right" vertical="center"/>
      <protection locked="0"/>
    </xf>
    <xf numFmtId="3" fontId="18" fillId="0" borderId="23" xfId="0" applyNumberFormat="1" applyFont="1" applyFill="1" applyBorder="1" applyAlignment="1" applyProtection="1">
      <alignment horizontal="right" vertical="center"/>
      <protection locked="0"/>
    </xf>
    <xf numFmtId="3" fontId="18" fillId="0" borderId="25" xfId="0" applyNumberFormat="1" applyFont="1" applyFill="1" applyBorder="1" applyAlignment="1" applyProtection="1">
      <alignment horizontal="right" vertical="center"/>
    </xf>
    <xf numFmtId="3" fontId="18" fillId="0" borderId="25" xfId="0" applyNumberFormat="1" applyFont="1" applyFill="1" applyBorder="1" applyAlignment="1" applyProtection="1">
      <alignment horizontal="right" vertical="center"/>
      <protection locked="0"/>
    </xf>
    <xf numFmtId="3" fontId="18" fillId="0" borderId="24" xfId="0" applyNumberFormat="1" applyFont="1" applyFill="1" applyBorder="1" applyAlignment="1" applyProtection="1">
      <alignment horizontal="right" vertical="center"/>
    </xf>
    <xf numFmtId="170" fontId="18" fillId="0" borderId="27" xfId="0" applyNumberFormat="1" applyFont="1" applyFill="1" applyBorder="1" applyAlignment="1" applyProtection="1">
      <alignment vertical="center"/>
    </xf>
    <xf numFmtId="49" fontId="18" fillId="0" borderId="27" xfId="0" applyNumberFormat="1" applyFont="1" applyFill="1" applyBorder="1" applyAlignment="1">
      <alignment vertical="center"/>
    </xf>
    <xf numFmtId="3" fontId="18" fillId="0" borderId="22" xfId="33" applyNumberFormat="1" applyFont="1" applyFill="1" applyBorder="1" applyAlignment="1" applyProtection="1">
      <alignment horizontal="center" vertical="center"/>
    </xf>
    <xf numFmtId="3" fontId="19" fillId="2" borderId="129" xfId="0" applyNumberFormat="1" applyFont="1" applyFill="1" applyBorder="1" applyAlignment="1" applyProtection="1">
      <alignment horizontal="right" vertical="center"/>
    </xf>
    <xf numFmtId="3" fontId="19" fillId="2" borderId="18" xfId="0" applyNumberFormat="1" applyFont="1" applyFill="1" applyBorder="1" applyAlignment="1" applyProtection="1">
      <alignment horizontal="right" vertical="center"/>
    </xf>
    <xf numFmtId="3" fontId="19" fillId="2" borderId="18" xfId="33" applyNumberFormat="1" applyFont="1" applyFill="1" applyBorder="1" applyAlignment="1" applyProtection="1">
      <alignment horizontal="right" vertical="center"/>
    </xf>
    <xf numFmtId="3" fontId="19" fillId="2" borderId="18" xfId="0" applyNumberFormat="1" applyFont="1" applyFill="1" applyBorder="1" applyAlignment="1">
      <alignment horizontal="right" vertical="center"/>
    </xf>
    <xf numFmtId="3" fontId="19" fillId="2" borderId="19" xfId="0" applyNumberFormat="1" applyFont="1" applyFill="1" applyBorder="1" applyAlignment="1">
      <alignment horizontal="right" vertical="center"/>
    </xf>
    <xf numFmtId="3" fontId="18" fillId="0" borderId="22" xfId="33" applyNumberFormat="1" applyFont="1" applyFill="1" applyBorder="1" applyAlignment="1" applyProtection="1">
      <alignment horizontal="right" vertical="center"/>
    </xf>
    <xf numFmtId="3" fontId="18" fillId="0" borderId="22" xfId="0" applyNumberFormat="1" applyFont="1" applyFill="1" applyBorder="1" applyAlignment="1">
      <alignment horizontal="right" vertical="center"/>
    </xf>
    <xf numFmtId="3" fontId="18" fillId="0" borderId="25" xfId="33" applyNumberFormat="1" applyFont="1" applyFill="1" applyBorder="1" applyAlignment="1" applyProtection="1">
      <alignment horizontal="right" vertical="center"/>
    </xf>
    <xf numFmtId="170" fontId="19" fillId="0" borderId="129" xfId="0" applyNumberFormat="1" applyFont="1" applyFill="1" applyBorder="1" applyAlignment="1" applyProtection="1">
      <alignment horizontal="center" vertical="center"/>
    </xf>
    <xf numFmtId="170" fontId="19" fillId="0" borderId="18" xfId="0" applyNumberFormat="1" applyFont="1" applyFill="1" applyBorder="1" applyAlignment="1" applyProtection="1">
      <alignment horizontal="center" vertical="center"/>
    </xf>
    <xf numFmtId="170" fontId="19" fillId="0" borderId="18" xfId="0" applyNumberFormat="1" applyFont="1" applyFill="1" applyBorder="1" applyAlignment="1">
      <alignment horizontal="center" vertical="center"/>
    </xf>
    <xf numFmtId="170" fontId="19" fillId="0" borderId="18" xfId="0" applyNumberFormat="1" applyFont="1" applyFill="1" applyBorder="1"/>
    <xf numFmtId="170" fontId="19" fillId="0" borderId="19" xfId="0" applyNumberFormat="1" applyFont="1" applyFill="1" applyBorder="1"/>
    <xf numFmtId="3" fontId="18" fillId="0" borderId="20" xfId="0" applyNumberFormat="1" applyFont="1" applyFill="1" applyBorder="1"/>
    <xf numFmtId="3" fontId="18" fillId="0" borderId="22" xfId="0" applyNumberFormat="1" applyFont="1" applyFill="1" applyBorder="1"/>
    <xf numFmtId="3" fontId="19" fillId="2" borderId="129" xfId="0" applyNumberFormat="1" applyFont="1" applyFill="1" applyBorder="1"/>
    <xf numFmtId="3" fontId="19" fillId="2" borderId="18" xfId="0" applyNumberFormat="1" applyFont="1" applyFill="1" applyBorder="1"/>
    <xf numFmtId="3" fontId="19" fillId="2" borderId="19" xfId="0" applyNumberFormat="1" applyFont="1" applyFill="1" applyBorder="1"/>
    <xf numFmtId="170" fontId="19" fillId="0" borderId="129" xfId="0" applyNumberFormat="1" applyFont="1" applyFill="1" applyBorder="1"/>
    <xf numFmtId="3" fontId="18" fillId="0" borderId="20" xfId="0" applyNumberFormat="1" applyFont="1" applyFill="1" applyBorder="1" applyAlignment="1" applyProtection="1">
      <alignment vertical="center"/>
      <protection locked="0"/>
    </xf>
    <xf numFmtId="3" fontId="18" fillId="0" borderId="22" xfId="0" applyNumberFormat="1" applyFont="1" applyFill="1" applyBorder="1" applyAlignment="1" applyProtection="1">
      <alignment vertical="center"/>
    </xf>
    <xf numFmtId="3" fontId="18" fillId="0" borderId="22" xfId="0" applyNumberFormat="1" applyFont="1" applyFill="1" applyBorder="1" applyAlignment="1" applyProtection="1">
      <alignment vertical="center"/>
      <protection locked="0"/>
    </xf>
    <xf numFmtId="49" fontId="56" fillId="0" borderId="0" xfId="9" applyNumberFormat="1" applyFont="1" applyBorder="1" applyAlignment="1">
      <alignment horizontal="center"/>
    </xf>
    <xf numFmtId="49" fontId="56" fillId="0" borderId="0" xfId="9" quotePrefix="1" applyNumberFormat="1" applyFont="1" applyBorder="1" applyAlignment="1">
      <alignment horizontal="center"/>
    </xf>
    <xf numFmtId="0" fontId="36" fillId="0" borderId="0" xfId="9" applyFont="1" applyBorder="1" applyAlignment="1">
      <alignment horizontal="right" wrapText="1"/>
    </xf>
    <xf numFmtId="0" fontId="85" fillId="24" borderId="125" xfId="0" applyFont="1" applyFill="1" applyBorder="1" applyAlignment="1">
      <alignment horizontal="center" vertical="center"/>
    </xf>
    <xf numFmtId="0" fontId="85" fillId="24" borderId="122" xfId="0" applyFont="1" applyFill="1" applyBorder="1" applyAlignment="1">
      <alignment horizontal="center"/>
    </xf>
    <xf numFmtId="165" fontId="19" fillId="2" borderId="129" xfId="33" applyNumberFormat="1" applyFont="1" applyFill="1" applyBorder="1"/>
    <xf numFmtId="165" fontId="19" fillId="2" borderId="18" xfId="33" applyNumberFormat="1" applyFont="1" applyFill="1" applyBorder="1"/>
    <xf numFmtId="165" fontId="18" fillId="0" borderId="20" xfId="33" applyNumberFormat="1" applyFont="1" applyFill="1" applyBorder="1"/>
    <xf numFmtId="165" fontId="18" fillId="0" borderId="22" xfId="33" applyNumberFormat="1" applyFont="1" applyFill="1" applyBorder="1"/>
    <xf numFmtId="165" fontId="18" fillId="0" borderId="20" xfId="0" applyNumberFormat="1" applyFont="1" applyFill="1" applyBorder="1"/>
    <xf numFmtId="165" fontId="18" fillId="0" borderId="22" xfId="0" applyNumberFormat="1" applyFont="1" applyFill="1" applyBorder="1"/>
    <xf numFmtId="165" fontId="0" fillId="0" borderId="0" xfId="33" applyNumberFormat="1" applyFont="1"/>
    <xf numFmtId="0" fontId="50" fillId="0" borderId="0" xfId="0" applyFont="1"/>
    <xf numFmtId="0" fontId="51" fillId="0" borderId="0" xfId="0" applyFont="1"/>
    <xf numFmtId="0" fontId="93" fillId="0" borderId="0" xfId="0" applyFont="1"/>
    <xf numFmtId="0" fontId="93" fillId="0" borderId="10" xfId="0" applyFont="1" applyBorder="1"/>
    <xf numFmtId="0" fontId="93" fillId="0" borderId="129" xfId="0" applyFont="1" applyBorder="1"/>
    <xf numFmtId="0" fontId="93" fillId="0" borderId="18" xfId="0" applyFont="1" applyBorder="1"/>
    <xf numFmtId="0" fontId="93" fillId="0" borderId="19" xfId="0" applyFont="1" applyBorder="1"/>
    <xf numFmtId="3" fontId="51" fillId="0" borderId="20" xfId="0" applyNumberFormat="1" applyFont="1" applyBorder="1"/>
    <xf numFmtId="3" fontId="51" fillId="0" borderId="131" xfId="0" applyNumberFormat="1" applyFont="1" applyBorder="1"/>
    <xf numFmtId="3" fontId="51" fillId="0" borderId="130" xfId="0" applyNumberFormat="1" applyFont="1" applyBorder="1"/>
    <xf numFmtId="0" fontId="94" fillId="0" borderId="0" xfId="4" applyFont="1" applyAlignment="1" applyProtection="1"/>
    <xf numFmtId="49" fontId="51" fillId="3" borderId="0" xfId="0" applyNumberFormat="1" applyFont="1" applyFill="1"/>
    <xf numFmtId="0" fontId="93" fillId="3" borderId="0" xfId="0" applyFont="1" applyFill="1"/>
    <xf numFmtId="3" fontId="93" fillId="3" borderId="20" xfId="0" applyNumberFormat="1" applyFont="1" applyFill="1" applyBorder="1"/>
    <xf numFmtId="3" fontId="93" fillId="3" borderId="22" xfId="0" applyNumberFormat="1" applyFont="1" applyFill="1" applyBorder="1"/>
    <xf numFmtId="3" fontId="93" fillId="3" borderId="130" xfId="0" applyNumberFormat="1" applyFont="1" applyFill="1" applyBorder="1"/>
    <xf numFmtId="3" fontId="93" fillId="3" borderId="131" xfId="0" applyNumberFormat="1" applyFont="1" applyFill="1" applyBorder="1"/>
    <xf numFmtId="0" fontId="51" fillId="0" borderId="10" xfId="0" applyFont="1" applyBorder="1"/>
    <xf numFmtId="3" fontId="51" fillId="0" borderId="25" xfId="0" applyNumberFormat="1" applyFont="1" applyBorder="1"/>
    <xf numFmtId="3" fontId="51" fillId="0" borderId="132" xfId="0" applyNumberFormat="1" applyFont="1" applyBorder="1"/>
    <xf numFmtId="3" fontId="51" fillId="0" borderId="133" xfId="0" applyNumberFormat="1" applyFont="1" applyBorder="1"/>
    <xf numFmtId="165" fontId="51" fillId="0" borderId="20" xfId="0" applyNumberFormat="1" applyFont="1" applyBorder="1"/>
    <xf numFmtId="165" fontId="51" fillId="0" borderId="131" xfId="0" applyNumberFormat="1" applyFont="1" applyBorder="1"/>
    <xf numFmtId="165" fontId="51" fillId="0" borderId="130" xfId="0" applyNumberFormat="1" applyFont="1" applyBorder="1"/>
    <xf numFmtId="165" fontId="93" fillId="3" borderId="20" xfId="0" applyNumberFormat="1" applyFont="1" applyFill="1" applyBorder="1" applyAlignment="1">
      <alignment horizontal="right"/>
    </xf>
    <xf numFmtId="165" fontId="93" fillId="3" borderId="131" xfId="0" applyNumberFormat="1" applyFont="1" applyFill="1" applyBorder="1" applyAlignment="1">
      <alignment horizontal="right"/>
    </xf>
    <xf numFmtId="165" fontId="93" fillId="3" borderId="130" xfId="0" applyNumberFormat="1" applyFont="1" applyFill="1" applyBorder="1" applyAlignment="1">
      <alignment horizontal="right"/>
    </xf>
    <xf numFmtId="165" fontId="51" fillId="0" borderId="20" xfId="0" applyNumberFormat="1" applyFont="1" applyBorder="1" applyAlignment="1">
      <alignment horizontal="right"/>
    </xf>
    <xf numFmtId="165" fontId="51" fillId="0" borderId="131" xfId="0" applyNumberFormat="1" applyFont="1" applyBorder="1" applyAlignment="1">
      <alignment horizontal="right"/>
    </xf>
    <xf numFmtId="165" fontId="51" fillId="0" borderId="130" xfId="0" applyNumberFormat="1" applyFont="1" applyBorder="1" applyAlignment="1">
      <alignment horizontal="right"/>
    </xf>
    <xf numFmtId="165" fontId="51" fillId="0" borderId="25" xfId="0" applyNumberFormat="1" applyFont="1" applyBorder="1" applyAlignment="1">
      <alignment horizontal="right"/>
    </xf>
    <xf numFmtId="165" fontId="51" fillId="0" borderId="132" xfId="0" applyNumberFormat="1" applyFont="1" applyBorder="1" applyAlignment="1">
      <alignment horizontal="right"/>
    </xf>
    <xf numFmtId="165" fontId="85" fillId="3" borderId="115" xfId="33" applyNumberFormat="1" applyFont="1" applyFill="1" applyBorder="1" applyAlignment="1">
      <alignment horizontal="center"/>
    </xf>
    <xf numFmtId="165" fontId="86" fillId="0" borderId="28" xfId="33" applyNumberFormat="1" applyFont="1" applyFill="1" applyBorder="1" applyAlignment="1">
      <alignment horizontal="center"/>
    </xf>
    <xf numFmtId="165" fontId="86" fillId="0" borderId="29" xfId="33" applyNumberFormat="1" applyFont="1" applyFill="1" applyBorder="1" applyAlignment="1">
      <alignment horizontal="center"/>
    </xf>
    <xf numFmtId="165" fontId="86" fillId="0" borderId="28" xfId="33" applyNumberFormat="1" applyFont="1" applyBorder="1" applyAlignment="1">
      <alignment horizontal="center"/>
    </xf>
    <xf numFmtId="165" fontId="86" fillId="0" borderId="29" xfId="33" applyNumberFormat="1" applyFont="1" applyBorder="1" applyAlignment="1">
      <alignment horizontal="center"/>
    </xf>
    <xf numFmtId="49" fontId="39" fillId="15" borderId="103" xfId="0" applyNumberFormat="1" applyFont="1" applyFill="1" applyBorder="1" applyAlignment="1">
      <alignment horizontal="center"/>
    </xf>
    <xf numFmtId="3" fontId="38" fillId="0" borderId="131" xfId="0" applyNumberFormat="1" applyFont="1" applyFill="1" applyBorder="1" applyAlignment="1">
      <alignment horizontal="right" indent="1"/>
    </xf>
    <xf numFmtId="0" fontId="38" fillId="0" borderId="121" xfId="0" applyFont="1" applyFill="1" applyBorder="1" applyAlignment="1">
      <alignment horizontal="right" indent="1"/>
    </xf>
    <xf numFmtId="0" fontId="38" fillId="0" borderId="118" xfId="0" applyFont="1" applyFill="1" applyBorder="1" applyAlignment="1">
      <alignment horizontal="right" indent="1"/>
    </xf>
    <xf numFmtId="0" fontId="56" fillId="0" borderId="0" xfId="0" applyFont="1" applyFill="1"/>
    <xf numFmtId="9" fontId="54" fillId="0" borderId="0" xfId="1" applyNumberFormat="1" applyFont="1"/>
    <xf numFmtId="169" fontId="37" fillId="2" borderId="126" xfId="1" applyNumberFormat="1" applyFont="1" applyFill="1" applyBorder="1"/>
    <xf numFmtId="0" fontId="0" fillId="0" borderId="126" xfId="0" applyBorder="1"/>
    <xf numFmtId="49" fontId="19" fillId="0" borderId="27" xfId="0" applyNumberFormat="1" applyFont="1" applyFill="1" applyBorder="1" applyAlignment="1">
      <alignment vertical="center"/>
    </xf>
    <xf numFmtId="170" fontId="19" fillId="0" borderId="27" xfId="0" applyNumberFormat="1" applyFont="1" applyFill="1" applyBorder="1" applyAlignment="1" applyProtection="1">
      <alignment vertical="center"/>
    </xf>
    <xf numFmtId="0" fontId="18" fillId="0" borderId="0" xfId="0" applyNumberFormat="1" applyFont="1" applyFill="1" applyBorder="1" applyAlignment="1">
      <alignment horizontal="left"/>
    </xf>
    <xf numFmtId="3" fontId="54" fillId="0" borderId="0" xfId="1" applyNumberFormat="1" applyFont="1"/>
    <xf numFmtId="9" fontId="95" fillId="0" borderId="0" xfId="0" applyNumberFormat="1" applyFont="1" applyAlignment="1">
      <alignment vertical="center"/>
    </xf>
    <xf numFmtId="0" fontId="69" fillId="0" borderId="0" xfId="0" applyFont="1"/>
    <xf numFmtId="0" fontId="37" fillId="2" borderId="0" xfId="0" applyFont="1" applyFill="1"/>
    <xf numFmtId="0" fontId="37" fillId="2" borderId="0" xfId="0" applyFont="1" applyFill="1" applyAlignment="1">
      <alignment horizontal="left"/>
    </xf>
    <xf numFmtId="0" fontId="52" fillId="0" borderId="83" xfId="11" applyFont="1" applyFill="1" applyBorder="1" applyAlignment="1">
      <alignment horizontal="center"/>
    </xf>
    <xf numFmtId="164" fontId="53" fillId="0" borderId="135" xfId="16" applyNumberFormat="1" applyFont="1" applyFill="1" applyBorder="1" applyAlignment="1">
      <alignment wrapText="1"/>
    </xf>
    <xf numFmtId="0" fontId="52" fillId="0" borderId="88" xfId="16" applyFont="1" applyBorder="1" applyAlignment="1">
      <alignment horizontal="center"/>
    </xf>
    <xf numFmtId="169" fontId="52" fillId="2" borderId="53" xfId="1" applyNumberFormat="1" applyFont="1" applyFill="1" applyBorder="1"/>
    <xf numFmtId="169" fontId="53" fillId="0" borderId="55" xfId="1" applyNumberFormat="1" applyFont="1" applyBorder="1"/>
    <xf numFmtId="169" fontId="53" fillId="0" borderId="136" xfId="1" applyNumberFormat="1" applyFont="1" applyBorder="1"/>
    <xf numFmtId="164" fontId="53" fillId="0" borderId="36" xfId="33" applyNumberFormat="1" applyFont="1" applyFill="1" applyBorder="1" applyAlignment="1">
      <alignment wrapText="1"/>
    </xf>
    <xf numFmtId="0" fontId="52" fillId="0" borderId="52" xfId="16" applyFont="1" applyBorder="1" applyAlignment="1">
      <alignment horizontal="center"/>
    </xf>
    <xf numFmtId="3" fontId="53" fillId="0" borderId="36" xfId="16" applyNumberFormat="1" applyFont="1" applyBorder="1"/>
    <xf numFmtId="3" fontId="53" fillId="0" borderId="137" xfId="16" applyNumberFormat="1" applyFont="1" applyBorder="1"/>
    <xf numFmtId="3" fontId="52" fillId="2" borderId="52" xfId="16" applyNumberFormat="1" applyFont="1" applyFill="1" applyBorder="1"/>
    <xf numFmtId="169" fontId="56" fillId="0" borderId="0" xfId="1" applyNumberFormat="1" applyFont="1" applyBorder="1"/>
    <xf numFmtId="164" fontId="56" fillId="0" borderId="0" xfId="33" applyNumberFormat="1" applyFont="1" applyBorder="1"/>
    <xf numFmtId="0" fontId="36" fillId="0" borderId="43" xfId="0" applyFont="1" applyBorder="1" applyAlignment="1">
      <alignment horizontal="center"/>
    </xf>
    <xf numFmtId="164" fontId="56" fillId="4" borderId="40" xfId="33" applyNumberFormat="1" applyFont="1" applyFill="1" applyBorder="1"/>
    <xf numFmtId="0" fontId="38" fillId="0" borderId="0" xfId="0" applyFont="1" applyAlignment="1">
      <alignment horizontal="left" wrapText="1"/>
    </xf>
    <xf numFmtId="0" fontId="53" fillId="0" borderId="4" xfId="32" applyFont="1" applyFill="1" applyBorder="1" applyAlignment="1">
      <alignment horizontal="center"/>
    </xf>
    <xf numFmtId="0" fontId="38" fillId="0" borderId="0" xfId="0" applyFont="1" applyAlignment="1">
      <alignment horizontal="left" wrapText="1"/>
    </xf>
    <xf numFmtId="5" fontId="56" fillId="0" borderId="0" xfId="0" applyNumberFormat="1" applyFont="1" applyFill="1" applyBorder="1" applyAlignment="1"/>
    <xf numFmtId="0" fontId="52" fillId="0" borderId="63" xfId="29" applyFont="1" applyFill="1" applyBorder="1" applyAlignment="1">
      <alignment horizontal="center" wrapText="1"/>
    </xf>
    <xf numFmtId="5" fontId="53" fillId="0" borderId="30" xfId="29" applyNumberFormat="1" applyFont="1" applyFill="1" applyBorder="1" applyAlignment="1">
      <alignment wrapText="1"/>
    </xf>
    <xf numFmtId="0" fontId="38" fillId="0" borderId="0" xfId="0" applyFont="1" applyAlignment="1">
      <alignment horizontal="left" wrapText="1"/>
    </xf>
    <xf numFmtId="167" fontId="65" fillId="0" borderId="0" xfId="31" applyNumberFormat="1" applyFont="1" applyFill="1" applyBorder="1" applyAlignment="1">
      <alignment horizontal="right" wrapText="1"/>
    </xf>
    <xf numFmtId="5" fontId="68" fillId="2" borderId="69" xfId="3" applyNumberFormat="1" applyFont="1" applyFill="1" applyBorder="1" applyAlignment="1">
      <alignment wrapText="1"/>
    </xf>
    <xf numFmtId="5" fontId="68" fillId="2" borderId="52" xfId="3" applyNumberFormat="1" applyFont="1" applyFill="1" applyBorder="1" applyAlignment="1">
      <alignment wrapText="1"/>
    </xf>
    <xf numFmtId="0" fontId="56" fillId="0" borderId="0" xfId="15" applyFont="1" applyAlignment="1">
      <alignment horizontal="left" wrapText="1"/>
    </xf>
    <xf numFmtId="0" fontId="39" fillId="11" borderId="141" xfId="0" applyFont="1" applyFill="1" applyBorder="1" applyAlignment="1"/>
    <xf numFmtId="164" fontId="38" fillId="0" borderId="0" xfId="33" applyNumberFormat="1" applyFont="1"/>
    <xf numFmtId="0" fontId="52" fillId="0" borderId="53" xfId="31" applyFont="1" applyFill="1" applyBorder="1" applyAlignment="1">
      <alignment horizontal="center" wrapText="1"/>
    </xf>
    <xf numFmtId="0" fontId="36" fillId="0" borderId="146" xfId="0" applyFont="1" applyBorder="1" applyAlignment="1">
      <alignment wrapText="1"/>
    </xf>
    <xf numFmtId="164" fontId="36" fillId="9" borderId="11" xfId="33" applyNumberFormat="1" applyFont="1" applyFill="1" applyBorder="1"/>
    <xf numFmtId="164" fontId="36" fillId="9" borderId="12" xfId="33" applyNumberFormat="1" applyFont="1" applyFill="1" applyBorder="1"/>
    <xf numFmtId="164" fontId="36" fillId="9" borderId="13" xfId="33" applyNumberFormat="1" applyFont="1" applyFill="1" applyBorder="1"/>
    <xf numFmtId="164" fontId="56" fillId="0" borderId="10" xfId="33" applyNumberFormat="1" applyFont="1" applyBorder="1"/>
    <xf numFmtId="164" fontId="56" fillId="0" borderId="32" xfId="33" applyNumberFormat="1" applyFont="1" applyBorder="1"/>
    <xf numFmtId="164" fontId="56" fillId="0" borderId="34" xfId="33" applyNumberFormat="1" applyFont="1" applyBorder="1"/>
    <xf numFmtId="164" fontId="56" fillId="0" borderId="31" xfId="33" applyNumberFormat="1" applyFont="1" applyBorder="1"/>
    <xf numFmtId="164" fontId="56" fillId="0" borderId="33" xfId="33" applyNumberFormat="1" applyFont="1" applyBorder="1"/>
    <xf numFmtId="9" fontId="36" fillId="0" borderId="32" xfId="33" applyFont="1" applyBorder="1" applyAlignment="1">
      <alignment wrapText="1"/>
    </xf>
    <xf numFmtId="0" fontId="52" fillId="0" borderId="0" xfId="14" applyFont="1" applyFill="1" applyBorder="1" applyAlignment="1">
      <alignment horizontal="center" wrapText="1"/>
    </xf>
    <xf numFmtId="0" fontId="39" fillId="0" borderId="148" xfId="0" applyFont="1" applyFill="1" applyBorder="1" applyAlignment="1"/>
    <xf numFmtId="0" fontId="38" fillId="0" borderId="152" xfId="0" applyFont="1" applyBorder="1" applyAlignment="1"/>
    <xf numFmtId="0" fontId="39" fillId="0" borderId="152" xfId="0" applyFont="1" applyFill="1" applyBorder="1" applyAlignment="1"/>
    <xf numFmtId="0" fontId="49" fillId="0" borderId="0" xfId="9" applyFont="1"/>
    <xf numFmtId="49" fontId="39" fillId="15" borderId="104" xfId="0" applyNumberFormat="1" applyFont="1" applyFill="1" applyBorder="1" applyAlignment="1">
      <alignment horizontal="center"/>
    </xf>
    <xf numFmtId="0" fontId="38" fillId="0" borderId="94" xfId="0" applyFont="1" applyBorder="1" applyAlignment="1">
      <alignment horizontal="right" indent="1"/>
    </xf>
    <xf numFmtId="3" fontId="38" fillId="0" borderId="95" xfId="0" applyNumberFormat="1" applyFont="1" applyFill="1" applyBorder="1" applyAlignment="1">
      <alignment horizontal="right" indent="1"/>
    </xf>
    <xf numFmtId="3" fontId="38" fillId="0" borderId="96" xfId="0" applyNumberFormat="1" applyFont="1" applyFill="1" applyBorder="1" applyAlignment="1">
      <alignment horizontal="right" indent="1"/>
    </xf>
    <xf numFmtId="0" fontId="38" fillId="0" borderId="109" xfId="0" applyFont="1" applyBorder="1" applyAlignment="1">
      <alignment horizontal="right" indent="1"/>
    </xf>
    <xf numFmtId="0" fontId="38" fillId="0" borderId="110" xfId="0" applyFont="1" applyFill="1" applyBorder="1" applyAlignment="1">
      <alignment horizontal="right" indent="1"/>
    </xf>
    <xf numFmtId="0" fontId="38" fillId="0" borderId="111" xfId="0" applyFont="1" applyFill="1" applyBorder="1" applyAlignment="1">
      <alignment horizontal="right" indent="1"/>
    </xf>
    <xf numFmtId="169" fontId="36" fillId="2" borderId="12" xfId="1" applyNumberFormat="1" applyFont="1" applyFill="1" applyBorder="1"/>
    <xf numFmtId="0" fontId="16" fillId="0" borderId="0" xfId="0" applyFont="1"/>
    <xf numFmtId="0" fontId="16" fillId="0" borderId="0" xfId="0" applyFont="1" applyAlignment="1">
      <alignment horizontal="left"/>
    </xf>
    <xf numFmtId="0" fontId="16" fillId="0" borderId="0" xfId="0" applyFont="1" applyAlignment="1"/>
    <xf numFmtId="0" fontId="98" fillId="5" borderId="0" xfId="0" applyFont="1" applyFill="1" applyAlignment="1">
      <alignment vertical="top" wrapText="1"/>
    </xf>
    <xf numFmtId="0" fontId="52" fillId="0" borderId="0" xfId="16" applyFont="1" applyFill="1" applyBorder="1" applyAlignment="1">
      <alignment horizontal="center" vertical="center"/>
    </xf>
    <xf numFmtId="0" fontId="52" fillId="0" borderId="0" xfId="16" applyFont="1" applyAlignment="1">
      <alignment vertical="center"/>
    </xf>
    <xf numFmtId="0" fontId="56" fillId="0" borderId="32" xfId="0" applyFont="1" applyBorder="1"/>
    <xf numFmtId="0" fontId="38" fillId="5" borderId="147" xfId="0" applyFont="1" applyFill="1" applyBorder="1" applyAlignment="1">
      <alignment horizontal="left" indent="1"/>
    </xf>
    <xf numFmtId="0" fontId="38" fillId="5" borderId="0" xfId="0" applyFont="1" applyFill="1" applyBorder="1" applyAlignment="1">
      <alignment horizontal="left" indent="1"/>
    </xf>
    <xf numFmtId="0" fontId="53" fillId="0" borderId="0" xfId="24" applyFont="1" applyFill="1" applyBorder="1" applyAlignment="1">
      <alignment horizontal="center" wrapText="1"/>
    </xf>
    <xf numFmtId="5" fontId="56" fillId="0" borderId="0" xfId="0" applyNumberFormat="1" applyFont="1" applyBorder="1" applyAlignment="1"/>
    <xf numFmtId="5" fontId="53" fillId="0" borderId="0" xfId="24" applyNumberFormat="1" applyFont="1" applyFill="1" applyBorder="1" applyAlignment="1">
      <alignment wrapText="1"/>
    </xf>
    <xf numFmtId="0" fontId="45" fillId="0" borderId="0" xfId="0" applyFont="1" applyFill="1" applyBorder="1" applyAlignment="1">
      <alignment horizontal="right"/>
    </xf>
    <xf numFmtId="0" fontId="45" fillId="0" borderId="0" xfId="0" quotePrefix="1" applyFont="1" applyFill="1" applyBorder="1" applyAlignment="1">
      <alignment horizontal="left"/>
    </xf>
    <xf numFmtId="0" fontId="45" fillId="0" borderId="0" xfId="0" applyFont="1" applyFill="1" applyBorder="1" applyAlignment="1"/>
    <xf numFmtId="0" fontId="46" fillId="0" borderId="0" xfId="0" applyFont="1" applyBorder="1"/>
    <xf numFmtId="170" fontId="19" fillId="0" borderId="40" xfId="0" applyNumberFormat="1" applyFont="1" applyFill="1" applyBorder="1"/>
    <xf numFmtId="3" fontId="19" fillId="2" borderId="40" xfId="0" applyNumberFormat="1" applyFont="1" applyFill="1" applyBorder="1" applyAlignment="1">
      <alignment horizontal="right" vertical="center"/>
    </xf>
    <xf numFmtId="3" fontId="18" fillId="0" borderId="159" xfId="0" applyNumberFormat="1" applyFont="1" applyFill="1" applyBorder="1" applyAlignment="1">
      <alignment horizontal="right" vertical="center"/>
    </xf>
    <xf numFmtId="3" fontId="18" fillId="0" borderId="130" xfId="0" applyNumberFormat="1" applyFont="1" applyFill="1" applyBorder="1" applyAlignment="1">
      <alignment horizontal="right" vertical="center"/>
    </xf>
    <xf numFmtId="3" fontId="19" fillId="2" borderId="40" xfId="0" applyNumberFormat="1" applyFont="1" applyFill="1" applyBorder="1"/>
    <xf numFmtId="3" fontId="18" fillId="0" borderId="159" xfId="0" applyNumberFormat="1" applyFont="1" applyFill="1" applyBorder="1"/>
    <xf numFmtId="3" fontId="18" fillId="0" borderId="130" xfId="0" applyNumberFormat="1" applyFont="1" applyFill="1" applyBorder="1"/>
    <xf numFmtId="165" fontId="19" fillId="2" borderId="40" xfId="33" applyNumberFormat="1" applyFont="1" applyFill="1" applyBorder="1"/>
    <xf numFmtId="165" fontId="18" fillId="0" borderId="159" xfId="33" applyNumberFormat="1" applyFont="1" applyFill="1" applyBorder="1"/>
    <xf numFmtId="165" fontId="18" fillId="0" borderId="159" xfId="0" applyNumberFormat="1" applyFont="1" applyFill="1" applyBorder="1"/>
    <xf numFmtId="177" fontId="19" fillId="2" borderId="19" xfId="0" applyNumberFormat="1" applyFont="1" applyFill="1" applyBorder="1"/>
    <xf numFmtId="177" fontId="18" fillId="0" borderId="130" xfId="0" applyNumberFormat="1" applyFont="1" applyFill="1" applyBorder="1"/>
    <xf numFmtId="169" fontId="50" fillId="18" borderId="159" xfId="14" applyNumberFormat="1" applyFont="1" applyFill="1" applyBorder="1"/>
    <xf numFmtId="169" fontId="61" fillId="0" borderId="159" xfId="1" applyNumberFormat="1" applyFont="1" applyBorder="1"/>
    <xf numFmtId="3" fontId="53" fillId="0" borderId="159" xfId="14" applyNumberFormat="1" applyFont="1" applyFill="1" applyBorder="1" applyAlignment="1">
      <alignment horizontal="right" wrapText="1"/>
    </xf>
    <xf numFmtId="0" fontId="23" fillId="0" borderId="0" xfId="15" applyFont="1" applyAlignment="1">
      <alignment horizontal="left" wrapText="1"/>
    </xf>
    <xf numFmtId="49" fontId="63" fillId="0" borderId="0" xfId="19" applyNumberFormat="1" applyFont="1" applyBorder="1" applyAlignment="1">
      <alignment horizontal="center" wrapText="1"/>
    </xf>
    <xf numFmtId="169" fontId="56" fillId="0" borderId="0" xfId="1" applyNumberFormat="1" applyFont="1" applyFill="1" applyBorder="1"/>
    <xf numFmtId="0" fontId="36" fillId="0" borderId="160" xfId="15" applyFont="1" applyFill="1" applyBorder="1" applyAlignment="1">
      <alignment horizontal="center" wrapText="1"/>
    </xf>
    <xf numFmtId="3" fontId="56" fillId="0" borderId="145" xfId="15" applyNumberFormat="1" applyFont="1" applyFill="1" applyBorder="1"/>
    <xf numFmtId="3" fontId="38" fillId="5" borderId="158" xfId="0" applyNumberFormat="1" applyFont="1" applyFill="1" applyBorder="1" applyAlignment="1">
      <alignment horizontal="right" indent="1"/>
    </xf>
    <xf numFmtId="3" fontId="38" fillId="7" borderId="158" xfId="0" applyNumberFormat="1" applyFont="1" applyFill="1" applyBorder="1" applyAlignment="1">
      <alignment horizontal="right" indent="1"/>
    </xf>
    <xf numFmtId="3" fontId="38" fillId="0" borderId="158" xfId="0" applyNumberFormat="1" applyFont="1" applyBorder="1" applyAlignment="1">
      <alignment horizontal="right" indent="1"/>
    </xf>
    <xf numFmtId="9" fontId="82" fillId="0" borderId="0" xfId="33" applyFont="1" applyFill="1" applyAlignment="1">
      <alignment vertical="center" wrapText="1"/>
    </xf>
    <xf numFmtId="0" fontId="36" fillId="0" borderId="40" xfId="15" applyFont="1" applyFill="1" applyBorder="1" applyAlignment="1">
      <alignment horizontal="center" wrapText="1"/>
    </xf>
    <xf numFmtId="169" fontId="56" fillId="0" borderId="159" xfId="1" applyNumberFormat="1" applyFont="1" applyFill="1" applyBorder="1"/>
    <xf numFmtId="0" fontId="36" fillId="0" borderId="162" xfId="15" applyFont="1" applyFill="1" applyBorder="1" applyAlignment="1">
      <alignment horizontal="center" wrapText="1"/>
    </xf>
    <xf numFmtId="169" fontId="56" fillId="0" borderId="158" xfId="1" applyNumberFormat="1" applyFont="1" applyFill="1" applyBorder="1"/>
    <xf numFmtId="169" fontId="56" fillId="0" borderId="131" xfId="1" applyNumberFormat="1" applyFont="1" applyFill="1" applyBorder="1"/>
    <xf numFmtId="169" fontId="56" fillId="0" borderId="151" xfId="1" applyNumberFormat="1" applyFont="1" applyFill="1" applyBorder="1"/>
    <xf numFmtId="169" fontId="56" fillId="0" borderId="161" xfId="1" applyNumberFormat="1" applyFont="1" applyFill="1" applyBorder="1"/>
    <xf numFmtId="0" fontId="23" fillId="0" borderId="0" xfId="15" applyFont="1" applyAlignment="1">
      <alignment horizontal="left" wrapText="1"/>
    </xf>
    <xf numFmtId="3" fontId="56" fillId="0" borderId="145" xfId="15" applyNumberFormat="1" applyFont="1" applyFill="1" applyBorder="1" applyAlignment="1">
      <alignment horizontal="right" vertical="top"/>
    </xf>
    <xf numFmtId="3" fontId="56" fillId="0" borderId="150" xfId="15" applyNumberFormat="1" applyFont="1" applyFill="1" applyBorder="1" applyAlignment="1">
      <alignment horizontal="right" vertical="top"/>
    </xf>
    <xf numFmtId="3" fontId="36" fillId="2" borderId="160" xfId="15" applyNumberFormat="1" applyFont="1" applyFill="1" applyBorder="1" applyAlignment="1">
      <alignment horizontal="right" vertical="top"/>
    </xf>
    <xf numFmtId="169" fontId="56" fillId="0" borderId="145" xfId="1" applyNumberFormat="1" applyFont="1" applyBorder="1"/>
    <xf numFmtId="169" fontId="56" fillId="0" borderId="150" xfId="1" applyNumberFormat="1" applyFont="1" applyBorder="1"/>
    <xf numFmtId="0" fontId="36" fillId="0" borderId="160" xfId="15" applyFont="1" applyBorder="1"/>
    <xf numFmtId="3" fontId="36" fillId="2" borderId="160" xfId="15" applyNumberFormat="1" applyFont="1" applyFill="1" applyBorder="1"/>
    <xf numFmtId="0" fontId="56" fillId="0" borderId="0" xfId="15" applyFont="1" applyAlignment="1">
      <alignment horizontal="left" wrapText="1"/>
    </xf>
    <xf numFmtId="167" fontId="37" fillId="0" borderId="0" xfId="0" applyNumberFormat="1" applyFont="1" applyBorder="1"/>
    <xf numFmtId="0" fontId="68" fillId="2" borderId="59" xfId="31" applyFont="1" applyFill="1" applyBorder="1" applyAlignment="1">
      <alignment horizontal="left" wrapText="1"/>
    </xf>
    <xf numFmtId="0" fontId="68" fillId="2" borderId="60" xfId="31" applyFont="1" applyFill="1" applyBorder="1" applyAlignment="1">
      <alignment wrapText="1"/>
    </xf>
    <xf numFmtId="0" fontId="68" fillId="2" borderId="61" xfId="31" applyFont="1" applyFill="1" applyBorder="1" applyAlignment="1">
      <alignment wrapText="1"/>
    </xf>
    <xf numFmtId="5" fontId="69" fillId="2" borderId="35" xfId="3" applyNumberFormat="1" applyFont="1" applyFill="1" applyBorder="1"/>
    <xf numFmtId="5" fontId="69" fillId="2" borderId="146" xfId="0" applyNumberFormat="1" applyFont="1" applyFill="1" applyBorder="1"/>
    <xf numFmtId="0" fontId="5" fillId="0" borderId="0" xfId="0" applyFont="1"/>
    <xf numFmtId="167" fontId="67" fillId="0" borderId="0" xfId="31" applyNumberFormat="1" applyFont="1" applyFill="1" applyBorder="1" applyAlignment="1">
      <alignment wrapText="1"/>
    </xf>
    <xf numFmtId="0" fontId="67" fillId="0" borderId="0" xfId="31" applyFont="1" applyFill="1" applyBorder="1" applyAlignment="1">
      <alignment wrapText="1"/>
    </xf>
    <xf numFmtId="0" fontId="99" fillId="0" borderId="0" xfId="0" applyFont="1" applyBorder="1"/>
    <xf numFmtId="167" fontId="67" fillId="0" borderId="79" xfId="32" applyNumberFormat="1" applyFont="1" applyFill="1" applyBorder="1" applyAlignment="1">
      <alignment horizontal="right" wrapText="1"/>
    </xf>
    <xf numFmtId="167" fontId="67" fillId="0" borderId="57" xfId="32" applyNumberFormat="1" applyFont="1" applyFill="1" applyBorder="1" applyAlignment="1">
      <alignment horizontal="right" wrapText="1"/>
    </xf>
    <xf numFmtId="5" fontId="67" fillId="0" borderId="58" xfId="32" applyNumberFormat="1" applyFont="1" applyFill="1" applyBorder="1" applyAlignment="1">
      <alignment horizontal="right" wrapText="1"/>
    </xf>
    <xf numFmtId="5" fontId="5" fillId="0" borderId="145" xfId="0" applyNumberFormat="1" applyFont="1" applyBorder="1"/>
    <xf numFmtId="0" fontId="5" fillId="0" borderId="0" xfId="0" applyFont="1" applyBorder="1"/>
    <xf numFmtId="167" fontId="67" fillId="0" borderId="35" xfId="32" applyNumberFormat="1" applyFont="1" applyBorder="1"/>
    <xf numFmtId="167" fontId="67" fillId="0" borderId="36" xfId="32" applyNumberFormat="1" applyFont="1" applyBorder="1"/>
    <xf numFmtId="167" fontId="67" fillId="0" borderId="35" xfId="32" applyNumberFormat="1" applyFont="1" applyFill="1" applyBorder="1" applyAlignment="1">
      <alignment horizontal="right" wrapText="1"/>
    </xf>
    <xf numFmtId="167" fontId="67" fillId="0" borderId="36" xfId="32" applyNumberFormat="1" applyFont="1" applyFill="1" applyBorder="1" applyAlignment="1">
      <alignment horizontal="right" wrapText="1"/>
    </xf>
    <xf numFmtId="0" fontId="99" fillId="0" borderId="10" xfId="0" applyFont="1" applyBorder="1"/>
    <xf numFmtId="167" fontId="67" fillId="0" borderId="73" xfId="32" applyNumberFormat="1" applyFont="1" applyFill="1" applyBorder="1" applyAlignment="1">
      <alignment horizontal="right" wrapText="1"/>
    </xf>
    <xf numFmtId="167" fontId="67" fillId="0" borderId="74" xfId="32" applyNumberFormat="1" applyFont="1" applyFill="1" applyBorder="1" applyAlignment="1">
      <alignment horizontal="right" wrapText="1"/>
    </xf>
    <xf numFmtId="166" fontId="5" fillId="0" borderId="0" xfId="0" applyNumberFormat="1" applyFont="1"/>
    <xf numFmtId="0" fontId="68" fillId="0" borderId="2" xfId="21" applyFont="1" applyFill="1" applyBorder="1" applyAlignment="1">
      <alignment horizontal="center" wrapText="1"/>
    </xf>
    <xf numFmtId="0" fontId="68" fillId="0" borderId="6" xfId="21" applyFont="1" applyFill="1" applyBorder="1" applyAlignment="1">
      <alignment horizontal="left"/>
    </xf>
    <xf numFmtId="0" fontId="68" fillId="0" borderId="2" xfId="21" applyFont="1" applyFill="1" applyBorder="1" applyAlignment="1">
      <alignment horizontal="center"/>
    </xf>
    <xf numFmtId="0" fontId="68" fillId="17" borderId="0" xfId="21" applyFont="1" applyFill="1" applyBorder="1" applyAlignment="1">
      <alignment horizontal="center"/>
    </xf>
    <xf numFmtId="0" fontId="68" fillId="17" borderId="0" xfId="21" applyFont="1" applyFill="1" applyBorder="1" applyAlignment="1">
      <alignment horizontal="left"/>
    </xf>
    <xf numFmtId="167" fontId="69" fillId="2" borderId="3" xfId="0" applyNumberFormat="1" applyFont="1" applyFill="1" applyBorder="1"/>
    <xf numFmtId="0" fontId="67" fillId="0" borderId="1" xfId="21" applyFont="1" applyFill="1" applyBorder="1" applyAlignment="1">
      <alignment horizontal="center" wrapText="1"/>
    </xf>
    <xf numFmtId="0" fontId="67" fillId="0" borderId="9" xfId="21" applyFont="1" applyFill="1" applyBorder="1" applyAlignment="1">
      <alignment wrapText="1"/>
    </xf>
    <xf numFmtId="5" fontId="100" fillId="0" borderId="76" xfId="29" applyNumberFormat="1" applyFont="1" applyFill="1" applyBorder="1" applyAlignment="1">
      <alignment horizontal="right" wrapText="1"/>
    </xf>
    <xf numFmtId="0" fontId="68" fillId="0" borderId="77" xfId="21" applyFont="1" applyFill="1" applyBorder="1" applyAlignment="1">
      <alignment horizontal="center" wrapText="1"/>
    </xf>
    <xf numFmtId="0" fontId="68" fillId="0" borderId="77" xfId="22" applyFont="1" applyFill="1" applyBorder="1" applyAlignment="1">
      <alignment horizontal="left"/>
    </xf>
    <xf numFmtId="0" fontId="68" fillId="17" borderId="3" xfId="21" applyFont="1" applyFill="1" applyBorder="1" applyAlignment="1">
      <alignment horizontal="center"/>
    </xf>
    <xf numFmtId="0" fontId="68" fillId="17" borderId="3" xfId="22" applyFont="1" applyFill="1" applyBorder="1" applyAlignment="1">
      <alignment horizontal="left"/>
    </xf>
    <xf numFmtId="0" fontId="67" fillId="0" borderId="3" xfId="21" applyFont="1" applyFill="1" applyBorder="1" applyAlignment="1">
      <alignment horizontal="center" wrapText="1"/>
    </xf>
    <xf numFmtId="0" fontId="67" fillId="0" borderId="3" xfId="22" applyFont="1" applyFill="1" applyBorder="1" applyAlignment="1">
      <alignment wrapText="1"/>
    </xf>
    <xf numFmtId="0" fontId="67" fillId="0" borderId="78" xfId="21" applyFont="1" applyFill="1" applyBorder="1" applyAlignment="1">
      <alignment horizontal="center" wrapText="1"/>
    </xf>
    <xf numFmtId="0" fontId="67" fillId="0" borderId="78" xfId="22" applyFont="1" applyFill="1" applyBorder="1" applyAlignment="1">
      <alignment wrapText="1"/>
    </xf>
    <xf numFmtId="166" fontId="101" fillId="0" borderId="0" xfId="0" applyNumberFormat="1" applyFont="1"/>
    <xf numFmtId="37" fontId="81" fillId="0" borderId="0" xfId="33" applyNumberFormat="1" applyFont="1" applyAlignment="1">
      <alignment vertical="center"/>
    </xf>
    <xf numFmtId="9" fontId="82" fillId="0" borderId="0" xfId="33" applyFont="1" applyFill="1" applyBorder="1" applyAlignment="1">
      <alignment vertical="center" wrapText="1"/>
    </xf>
    <xf numFmtId="3" fontId="56" fillId="0" borderId="163" xfId="15" applyNumberFormat="1" applyFont="1" applyFill="1" applyBorder="1"/>
    <xf numFmtId="0" fontId="36" fillId="2" borderId="160" xfId="15" applyFont="1" applyFill="1" applyBorder="1" applyAlignment="1">
      <alignment horizontal="center"/>
    </xf>
    <xf numFmtId="0" fontId="36" fillId="2" borderId="160" xfId="15" applyFont="1" applyFill="1" applyBorder="1" applyAlignment="1">
      <alignment horizontal="left" wrapText="1"/>
    </xf>
    <xf numFmtId="5" fontId="61" fillId="0" borderId="0" xfId="14" applyNumberFormat="1" applyFont="1"/>
    <xf numFmtId="167" fontId="41" fillId="0" borderId="134" xfId="0" applyNumberFormat="1" applyFont="1" applyFill="1" applyBorder="1"/>
    <xf numFmtId="167" fontId="41" fillId="0" borderId="131" xfId="0" applyNumberFormat="1" applyFont="1" applyFill="1" applyBorder="1"/>
    <xf numFmtId="167" fontId="41" fillId="0" borderId="21" xfId="0" applyNumberFormat="1" applyFont="1" applyFill="1" applyBorder="1"/>
    <xf numFmtId="167" fontId="41" fillId="0" borderId="145" xfId="0" applyNumberFormat="1" applyFont="1" applyFill="1" applyBorder="1"/>
    <xf numFmtId="0" fontId="36" fillId="0" borderId="0" xfId="0" applyFont="1" applyBorder="1" applyAlignment="1">
      <alignment horizontal="center"/>
    </xf>
    <xf numFmtId="164" fontId="53" fillId="0" borderId="164" xfId="16" applyNumberFormat="1" applyFont="1" applyFill="1" applyBorder="1" applyAlignment="1">
      <alignment wrapText="1"/>
    </xf>
    <xf numFmtId="0" fontId="52" fillId="0" borderId="167" xfId="16" applyFont="1" applyFill="1" applyBorder="1" applyAlignment="1">
      <alignment horizontal="left"/>
    </xf>
    <xf numFmtId="0" fontId="52" fillId="2" borderId="0" xfId="16" applyFont="1" applyFill="1" applyBorder="1" applyAlignment="1">
      <alignment wrapText="1"/>
    </xf>
    <xf numFmtId="0" fontId="53" fillId="0" borderId="168" xfId="16" applyFont="1" applyFill="1" applyBorder="1" applyAlignment="1">
      <alignment wrapText="1"/>
    </xf>
    <xf numFmtId="0" fontId="53" fillId="0" borderId="169" xfId="16" applyFont="1" applyFill="1" applyBorder="1" applyAlignment="1">
      <alignment wrapText="1"/>
    </xf>
    <xf numFmtId="0" fontId="53" fillId="0" borderId="164" xfId="16" applyFont="1" applyFill="1" applyBorder="1" applyAlignment="1">
      <alignment wrapText="1"/>
    </xf>
    <xf numFmtId="0" fontId="53" fillId="0" borderId="164" xfId="16" applyFont="1" applyBorder="1"/>
    <xf numFmtId="169" fontId="56" fillId="4" borderId="131" xfId="1" applyNumberFormat="1" applyFont="1" applyFill="1" applyBorder="1"/>
    <xf numFmtId="169" fontId="56" fillId="4" borderId="170" xfId="1" applyNumberFormat="1" applyFont="1" applyFill="1" applyBorder="1"/>
    <xf numFmtId="169" fontId="56" fillId="4" borderId="18" xfId="1" applyNumberFormat="1" applyFont="1" applyFill="1" applyBorder="1"/>
    <xf numFmtId="169" fontId="56" fillId="0" borderId="131" xfId="1" applyNumberFormat="1" applyFont="1" applyBorder="1"/>
    <xf numFmtId="0" fontId="36" fillId="0" borderId="40" xfId="0" applyFont="1" applyBorder="1" applyAlignment="1">
      <alignment horizontal="center"/>
    </xf>
    <xf numFmtId="164" fontId="56" fillId="0" borderId="171" xfId="33" applyNumberFormat="1" applyFont="1" applyBorder="1"/>
    <xf numFmtId="164" fontId="56" fillId="0" borderId="159" xfId="33" applyNumberFormat="1" applyFont="1" applyBorder="1"/>
    <xf numFmtId="0" fontId="53" fillId="0" borderId="172" xfId="16" applyFont="1" applyBorder="1"/>
    <xf numFmtId="164" fontId="56" fillId="0" borderId="158" xfId="33" applyNumberFormat="1" applyFont="1" applyBorder="1"/>
    <xf numFmtId="164" fontId="56" fillId="0" borderId="131" xfId="33" applyNumberFormat="1" applyFont="1" applyBorder="1"/>
    <xf numFmtId="169" fontId="56" fillId="0" borderId="158" xfId="1" applyNumberFormat="1" applyFont="1" applyBorder="1"/>
    <xf numFmtId="169" fontId="56" fillId="0" borderId="159" xfId="1" applyNumberFormat="1" applyFont="1" applyBorder="1"/>
    <xf numFmtId="164" fontId="38" fillId="0" borderId="173" xfId="0" applyNumberFormat="1" applyFont="1" applyFill="1" applyBorder="1" applyAlignment="1">
      <alignment horizontal="center"/>
    </xf>
    <xf numFmtId="164" fontId="38" fillId="0" borderId="174" xfId="33" applyNumberFormat="1" applyFont="1" applyFill="1" applyBorder="1" applyAlignment="1">
      <alignment horizontal="center"/>
    </xf>
    <xf numFmtId="0" fontId="49" fillId="0" borderId="0" xfId="9" applyFont="1" applyAlignment="1">
      <alignment horizontal="left" vertical="top" wrapText="1"/>
    </xf>
    <xf numFmtId="3" fontId="53" fillId="0" borderId="175" xfId="16" applyNumberFormat="1" applyFont="1" applyFill="1" applyBorder="1" applyAlignment="1">
      <alignment horizontal="right" vertical="center" wrapText="1"/>
    </xf>
    <xf numFmtId="3" fontId="53" fillId="0" borderId="176" xfId="16" applyNumberFormat="1" applyFont="1" applyFill="1" applyBorder="1" applyAlignment="1">
      <alignment horizontal="right" vertical="center" wrapText="1"/>
    </xf>
    <xf numFmtId="3" fontId="53" fillId="0" borderId="176" xfId="16" applyNumberFormat="1" applyFont="1" applyBorder="1"/>
    <xf numFmtId="0" fontId="53" fillId="0" borderId="0" xfId="16" applyFont="1" applyBorder="1"/>
    <xf numFmtId="0" fontId="49" fillId="0" borderId="152" xfId="9" applyFont="1" applyBorder="1" applyAlignment="1">
      <alignment horizontal="center" wrapText="1"/>
    </xf>
    <xf numFmtId="3" fontId="44" fillId="0" borderId="152" xfId="9" applyNumberFormat="1" applyFont="1" applyBorder="1" applyAlignment="1">
      <alignment horizontal="right" indent="1"/>
    </xf>
    <xf numFmtId="49" fontId="39" fillId="15" borderId="160" xfId="0" applyNumberFormat="1" applyFont="1" applyFill="1" applyBorder="1" applyAlignment="1">
      <alignment horizontal="center"/>
    </xf>
    <xf numFmtId="3" fontId="38" fillId="0" borderId="100" xfId="0" applyNumberFormat="1" applyFont="1" applyFill="1" applyBorder="1" applyAlignment="1">
      <alignment horizontal="right" indent="1"/>
    </xf>
    <xf numFmtId="3" fontId="38" fillId="0" borderId="160" xfId="0" applyNumberFormat="1" applyFont="1" applyFill="1" applyBorder="1" applyAlignment="1">
      <alignment horizontal="right" indent="1"/>
    </xf>
    <xf numFmtId="0" fontId="36" fillId="0" borderId="0" xfId="0" applyFont="1" applyAlignment="1">
      <alignment wrapText="1"/>
    </xf>
    <xf numFmtId="3" fontId="54" fillId="0" borderId="0" xfId="0" applyNumberFormat="1" applyFont="1" applyFill="1"/>
    <xf numFmtId="0" fontId="36" fillId="0" borderId="0" xfId="0" applyFont="1" applyAlignment="1">
      <alignment horizontal="center" wrapText="1"/>
    </xf>
    <xf numFmtId="0" fontId="52" fillId="0" borderId="177" xfId="16" applyFont="1" applyFill="1" applyBorder="1" applyAlignment="1">
      <alignment horizontal="center" vertical="center"/>
    </xf>
    <xf numFmtId="0" fontId="52" fillId="0" borderId="178" xfId="16" applyFont="1" applyFill="1" applyBorder="1" applyAlignment="1">
      <alignment horizontal="center" vertical="center"/>
    </xf>
    <xf numFmtId="0" fontId="52" fillId="0" borderId="179" xfId="16" applyFont="1" applyFill="1" applyBorder="1" applyAlignment="1">
      <alignment horizontal="center" vertical="center"/>
    </xf>
    <xf numFmtId="0" fontId="52" fillId="0" borderId="179" xfId="16" applyFont="1" applyBorder="1" applyAlignment="1">
      <alignment vertical="center"/>
    </xf>
    <xf numFmtId="0" fontId="52" fillId="0" borderId="180" xfId="16" applyFont="1" applyBorder="1" applyAlignment="1">
      <alignment vertical="center"/>
    </xf>
    <xf numFmtId="5" fontId="56" fillId="0" borderId="163" xfId="0" applyNumberFormat="1" applyFont="1" applyBorder="1" applyAlignment="1"/>
    <xf numFmtId="5" fontId="56" fillId="0" borderId="163" xfId="0" applyNumberFormat="1" applyFont="1" applyBorder="1"/>
    <xf numFmtId="164" fontId="52" fillId="18" borderId="163" xfId="14" applyNumberFormat="1" applyFont="1" applyFill="1" applyBorder="1" applyAlignment="1">
      <alignment horizontal="center" wrapText="1"/>
    </xf>
    <xf numFmtId="164" fontId="53" fillId="0" borderId="163" xfId="14" applyNumberFormat="1" applyFont="1" applyFill="1" applyBorder="1" applyAlignment="1">
      <alignment horizontal="center" wrapText="1"/>
    </xf>
    <xf numFmtId="164" fontId="53" fillId="0" borderId="150" xfId="14" applyNumberFormat="1" applyFont="1" applyFill="1" applyBorder="1" applyAlignment="1">
      <alignment horizontal="center" wrapText="1"/>
    </xf>
    <xf numFmtId="169" fontId="61" fillId="0" borderId="0" xfId="1" applyNumberFormat="1" applyFont="1" applyBorder="1"/>
    <xf numFmtId="169" fontId="50" fillId="18" borderId="166" xfId="1" applyNumberFormat="1" applyFont="1" applyFill="1" applyBorder="1"/>
    <xf numFmtId="169" fontId="61" fillId="0" borderId="166" xfId="1" applyNumberFormat="1" applyFont="1" applyBorder="1"/>
    <xf numFmtId="3" fontId="38" fillId="0" borderId="184" xfId="0" applyNumberFormat="1" applyFont="1" applyBorder="1" applyAlignment="1">
      <alignment horizontal="right" indent="1"/>
    </xf>
    <xf numFmtId="3" fontId="38" fillId="0" borderId="170" xfId="0" applyNumberFormat="1" applyFont="1" applyBorder="1" applyAlignment="1">
      <alignment horizontal="right" indent="1"/>
    </xf>
    <xf numFmtId="3" fontId="38" fillId="0" borderId="186" xfId="0" quotePrefix="1" applyNumberFormat="1" applyFont="1" applyFill="1" applyBorder="1" applyAlignment="1">
      <alignment horizontal="right" indent="1"/>
    </xf>
    <xf numFmtId="3" fontId="38" fillId="7" borderId="187" xfId="0" applyNumberFormat="1" applyFont="1" applyFill="1" applyBorder="1" applyAlignment="1">
      <alignment horizontal="right" indent="1"/>
    </xf>
    <xf numFmtId="3" fontId="38" fillId="7" borderId="166" xfId="0" quotePrefix="1" applyNumberFormat="1" applyFont="1" applyFill="1" applyBorder="1" applyAlignment="1">
      <alignment horizontal="right" indent="1"/>
    </xf>
    <xf numFmtId="3" fontId="38" fillId="0" borderId="187" xfId="0" applyNumberFormat="1" applyFont="1" applyBorder="1" applyAlignment="1">
      <alignment horizontal="right" indent="1"/>
    </xf>
    <xf numFmtId="3" fontId="38" fillId="0" borderId="166" xfId="0" quotePrefix="1" applyNumberFormat="1" applyFont="1" applyFill="1" applyBorder="1" applyAlignment="1">
      <alignment horizontal="right" indent="1"/>
    </xf>
    <xf numFmtId="0" fontId="29" fillId="0" borderId="0" xfId="16" applyFont="1"/>
    <xf numFmtId="0" fontId="56" fillId="0" borderId="0" xfId="15" applyFont="1" applyAlignment="1">
      <alignment horizontal="left" wrapText="1"/>
    </xf>
    <xf numFmtId="0" fontId="56" fillId="0" borderId="0" xfId="15" applyFont="1" applyAlignment="1">
      <alignment horizontal="left" wrapText="1"/>
    </xf>
    <xf numFmtId="169" fontId="56" fillId="0" borderId="163" xfId="1" applyNumberFormat="1" applyFont="1" applyFill="1" applyBorder="1"/>
    <xf numFmtId="169" fontId="56" fillId="0" borderId="150" xfId="1" applyNumberFormat="1" applyFont="1" applyFill="1" applyBorder="1"/>
    <xf numFmtId="3" fontId="56" fillId="0" borderId="163" xfId="15" applyNumberFormat="1" applyFont="1" applyBorder="1"/>
    <xf numFmtId="3" fontId="56" fillId="0" borderId="150" xfId="15" applyNumberFormat="1" applyFont="1" applyBorder="1"/>
    <xf numFmtId="0" fontId="49" fillId="0" borderId="152" xfId="0" applyFont="1" applyBorder="1" applyAlignment="1">
      <alignment horizontal="center" wrapText="1"/>
    </xf>
    <xf numFmtId="0" fontId="23" fillId="0" borderId="0" xfId="15" applyFont="1" applyAlignment="1">
      <alignment horizontal="left" wrapText="1"/>
    </xf>
    <xf numFmtId="0" fontId="22" fillId="0" borderId="0" xfId="16" applyFont="1"/>
    <xf numFmtId="5" fontId="69" fillId="2" borderId="7" xfId="3" applyNumberFormat="1" applyFont="1" applyFill="1" applyBorder="1"/>
    <xf numFmtId="170" fontId="19" fillId="0" borderId="183" xfId="0" applyNumberFormat="1" applyFont="1" applyFill="1" applyBorder="1"/>
    <xf numFmtId="3" fontId="19" fillId="2" borderId="183" xfId="0" applyNumberFormat="1" applyFont="1" applyFill="1" applyBorder="1" applyAlignment="1">
      <alignment horizontal="right" vertical="center"/>
    </xf>
    <xf numFmtId="3" fontId="18" fillId="0" borderId="0" xfId="0" applyNumberFormat="1" applyFont="1" applyFill="1" applyBorder="1" applyAlignment="1">
      <alignment horizontal="right" vertical="center"/>
    </xf>
    <xf numFmtId="3" fontId="18" fillId="0" borderId="0" xfId="0" applyNumberFormat="1" applyFont="1" applyFill="1" applyBorder="1"/>
    <xf numFmtId="3" fontId="19" fillId="2" borderId="183" xfId="0" applyNumberFormat="1" applyFont="1" applyFill="1" applyBorder="1"/>
    <xf numFmtId="170" fontId="19" fillId="0" borderId="160" xfId="0" applyNumberFormat="1" applyFont="1" applyFill="1" applyBorder="1"/>
    <xf numFmtId="0" fontId="51" fillId="0" borderId="0" xfId="0" applyFont="1" applyBorder="1"/>
    <xf numFmtId="177" fontId="18" fillId="0" borderId="163" xfId="0" applyNumberFormat="1" applyFont="1" applyFill="1" applyBorder="1"/>
    <xf numFmtId="165" fontId="18" fillId="0" borderId="190" xfId="0" applyNumberFormat="1" applyFont="1" applyFill="1" applyBorder="1"/>
    <xf numFmtId="177" fontId="18" fillId="0" borderId="187" xfId="0" applyNumberFormat="1" applyFont="1" applyFill="1" applyBorder="1"/>
    <xf numFmtId="177" fontId="19" fillId="2" borderId="160" xfId="0" applyNumberFormat="1" applyFont="1" applyFill="1" applyBorder="1"/>
    <xf numFmtId="165" fontId="0" fillId="0" borderId="0" xfId="0" applyNumberFormat="1"/>
    <xf numFmtId="0" fontId="36" fillId="0" borderId="183" xfId="15" applyFont="1" applyFill="1" applyBorder="1" applyAlignment="1">
      <alignment horizontal="center" wrapText="1"/>
    </xf>
    <xf numFmtId="169" fontId="56" fillId="0" borderId="185" xfId="1" applyNumberFormat="1" applyFont="1" applyFill="1" applyBorder="1"/>
    <xf numFmtId="0" fontId="39" fillId="14" borderId="192" xfId="0" applyFont="1" applyFill="1" applyBorder="1" applyAlignment="1">
      <alignment horizontal="center"/>
    </xf>
    <xf numFmtId="3" fontId="38" fillId="0" borderId="187" xfId="0" applyNumberFormat="1" applyFont="1" applyFill="1" applyBorder="1" applyAlignment="1">
      <alignment horizontal="right" indent="1"/>
    </xf>
    <xf numFmtId="3" fontId="38" fillId="0" borderId="151" xfId="0" applyNumberFormat="1" applyFont="1" applyFill="1" applyBorder="1" applyAlignment="1">
      <alignment horizontal="right" indent="1"/>
    </xf>
    <xf numFmtId="3" fontId="38" fillId="0" borderId="185" xfId="0" applyNumberFormat="1" applyFont="1" applyFill="1" applyBorder="1" applyAlignment="1">
      <alignment horizontal="right" indent="1"/>
    </xf>
    <xf numFmtId="3" fontId="36" fillId="2" borderId="162" xfId="15" applyNumberFormat="1" applyFont="1" applyFill="1" applyBorder="1" applyAlignment="1">
      <alignment horizontal="right" vertical="top"/>
    </xf>
    <xf numFmtId="3" fontId="36" fillId="2" borderId="18" xfId="15" applyNumberFormat="1" applyFont="1" applyFill="1" applyBorder="1" applyAlignment="1">
      <alignment horizontal="right" vertical="top"/>
    </xf>
    <xf numFmtId="3" fontId="36" fillId="2" borderId="151" xfId="15" applyNumberFormat="1" applyFont="1" applyFill="1" applyBorder="1" applyAlignment="1">
      <alignment horizontal="right" vertical="top"/>
    </xf>
    <xf numFmtId="3" fontId="36" fillId="2" borderId="185" xfId="15" applyNumberFormat="1" applyFont="1" applyFill="1" applyBorder="1" applyAlignment="1">
      <alignment horizontal="right" vertical="top"/>
    </xf>
    <xf numFmtId="3" fontId="38" fillId="5" borderId="187" xfId="0" applyNumberFormat="1" applyFont="1" applyFill="1" applyBorder="1" applyAlignment="1">
      <alignment horizontal="right" indent="1"/>
    </xf>
    <xf numFmtId="3" fontId="38" fillId="5" borderId="166" xfId="0" quotePrefix="1" applyNumberFormat="1" applyFont="1" applyFill="1" applyBorder="1" applyAlignment="1">
      <alignment horizontal="right" indent="1"/>
    </xf>
    <xf numFmtId="169" fontId="38" fillId="7" borderId="166" xfId="1" applyNumberFormat="1" applyFont="1" applyFill="1" applyBorder="1" applyAlignment="1">
      <alignment horizontal="right"/>
    </xf>
    <xf numFmtId="169" fontId="38" fillId="0" borderId="166" xfId="1" applyNumberFormat="1" applyFont="1" applyBorder="1" applyAlignment="1">
      <alignment horizontal="right"/>
    </xf>
    <xf numFmtId="169" fontId="38" fillId="7" borderId="166" xfId="1" applyNumberFormat="1" applyFont="1" applyFill="1" applyBorder="1"/>
    <xf numFmtId="0" fontId="23" fillId="0" borderId="0" xfId="15" applyFont="1" applyAlignment="1">
      <alignment horizontal="left" wrapText="1"/>
    </xf>
    <xf numFmtId="0" fontId="56" fillId="0" borderId="0" xfId="15" applyFont="1" applyAlignment="1">
      <alignment horizontal="left" wrapText="1"/>
    </xf>
    <xf numFmtId="0" fontId="38" fillId="0" borderId="193" xfId="0" applyFont="1" applyBorder="1"/>
    <xf numFmtId="0" fontId="38" fillId="0" borderId="194" xfId="0" applyFont="1" applyBorder="1"/>
    <xf numFmtId="0" fontId="38" fillId="0" borderId="195" xfId="0" applyFont="1" applyBorder="1"/>
    <xf numFmtId="0" fontId="39" fillId="15" borderId="197" xfId="0" applyFont="1" applyFill="1" applyBorder="1" applyAlignment="1">
      <alignment horizontal="center"/>
    </xf>
    <xf numFmtId="0" fontId="39" fillId="15" borderId="196" xfId="0" applyFont="1" applyFill="1" applyBorder="1" applyAlignment="1">
      <alignment horizontal="center"/>
    </xf>
    <xf numFmtId="0" fontId="39" fillId="15" borderId="162" xfId="0" applyFont="1" applyFill="1" applyBorder="1" applyAlignment="1">
      <alignment horizontal="center"/>
    </xf>
    <xf numFmtId="0" fontId="39" fillId="15" borderId="192" xfId="0" applyFont="1" applyFill="1" applyBorder="1" applyAlignment="1">
      <alignment horizontal="center"/>
    </xf>
    <xf numFmtId="0" fontId="38" fillId="0" borderId="188" xfId="0" applyFont="1" applyBorder="1"/>
    <xf numFmtId="3" fontId="38" fillId="0" borderId="162" xfId="0" applyNumberFormat="1" applyFont="1" applyFill="1" applyBorder="1" applyAlignment="1">
      <alignment horizontal="right" indent="1"/>
    </xf>
    <xf numFmtId="3" fontId="38" fillId="0" borderId="192" xfId="0" applyNumberFormat="1" applyFont="1" applyFill="1" applyBorder="1" applyAlignment="1">
      <alignment horizontal="right" indent="1"/>
    </xf>
    <xf numFmtId="3" fontId="56" fillId="0" borderId="163" xfId="15" applyNumberFormat="1" applyFont="1" applyFill="1" applyBorder="1" applyAlignment="1">
      <alignment horizontal="right" vertical="top"/>
    </xf>
    <xf numFmtId="169" fontId="56" fillId="0" borderId="163" xfId="1" applyNumberFormat="1" applyFont="1" applyBorder="1"/>
    <xf numFmtId="0" fontId="39" fillId="15" borderId="177" xfId="0" applyFont="1" applyFill="1" applyBorder="1" applyAlignment="1">
      <alignment horizontal="center"/>
    </xf>
    <xf numFmtId="0" fontId="38" fillId="0" borderId="177" xfId="0" applyFont="1" applyBorder="1"/>
    <xf numFmtId="49" fontId="39" fillId="15" borderId="181" xfId="0" applyNumberFormat="1" applyFont="1" applyFill="1" applyBorder="1" applyAlignment="1">
      <alignment horizontal="center"/>
    </xf>
    <xf numFmtId="3" fontId="38" fillId="0" borderId="181" xfId="0" applyNumberFormat="1" applyFont="1" applyFill="1" applyBorder="1" applyAlignment="1">
      <alignment horizontal="right" indent="1"/>
    </xf>
    <xf numFmtId="0" fontId="61" fillId="0" borderId="0" xfId="14" applyFont="1" applyAlignment="1">
      <alignment horizontal="left" vertical="top" wrapText="1"/>
    </xf>
    <xf numFmtId="0" fontId="23" fillId="0" borderId="0" xfId="14" applyFont="1" applyFill="1" applyBorder="1" applyAlignment="1">
      <alignment horizontal="left" wrapText="1"/>
    </xf>
    <xf numFmtId="3" fontId="52" fillId="2" borderId="158" xfId="28" applyNumberFormat="1" applyFont="1" applyFill="1" applyBorder="1" applyAlignment="1">
      <alignment horizontal="center" wrapText="1"/>
    </xf>
    <xf numFmtId="0" fontId="53" fillId="0" borderId="0" xfId="28" applyFont="1" applyFill="1" applyBorder="1" applyAlignment="1">
      <alignment horizontal="center" wrapText="1"/>
    </xf>
    <xf numFmtId="0" fontId="53" fillId="0" borderId="0" xfId="28" applyFont="1" applyFill="1" applyBorder="1" applyAlignment="1">
      <alignment wrapText="1"/>
    </xf>
    <xf numFmtId="0" fontId="52" fillId="0" borderId="167" xfId="28" applyFont="1" applyFill="1" applyBorder="1" applyAlignment="1">
      <alignment horizontal="left"/>
    </xf>
    <xf numFmtId="3" fontId="52" fillId="2" borderId="189" xfId="28" applyNumberFormat="1" applyFont="1" applyFill="1" applyBorder="1" applyAlignment="1">
      <alignment horizontal="center" wrapText="1"/>
    </xf>
    <xf numFmtId="0" fontId="52" fillId="0" borderId="201" xfId="28" applyFont="1" applyFill="1" applyBorder="1" applyAlignment="1">
      <alignment horizontal="center" wrapText="1"/>
    </xf>
    <xf numFmtId="0" fontId="52" fillId="0" borderId="202" xfId="28" applyFont="1" applyFill="1" applyBorder="1" applyAlignment="1">
      <alignment horizontal="center" wrapText="1"/>
    </xf>
    <xf numFmtId="0" fontId="52" fillId="0" borderId="203" xfId="28" applyFont="1" applyFill="1" applyBorder="1" applyAlignment="1">
      <alignment horizontal="center" wrapText="1"/>
    </xf>
    <xf numFmtId="3" fontId="52" fillId="2" borderId="187" xfId="28" applyNumberFormat="1" applyFont="1" applyFill="1" applyBorder="1" applyAlignment="1">
      <alignment horizontal="center" wrapText="1"/>
    </xf>
    <xf numFmtId="3" fontId="52" fillId="2" borderId="166" xfId="28" applyNumberFormat="1" applyFont="1" applyFill="1" applyBorder="1" applyAlignment="1">
      <alignment horizontal="center" wrapText="1"/>
    </xf>
    <xf numFmtId="3" fontId="53" fillId="0" borderId="158" xfId="28" applyNumberFormat="1" applyFont="1" applyFill="1" applyBorder="1" applyAlignment="1">
      <alignment horizontal="right" wrapText="1"/>
    </xf>
    <xf numFmtId="3" fontId="53" fillId="0" borderId="187" xfId="28" applyNumberFormat="1" applyFont="1" applyFill="1" applyBorder="1" applyAlignment="1">
      <alignment horizontal="right" wrapText="1"/>
    </xf>
    <xf numFmtId="3" fontId="53" fillId="0" borderId="166" xfId="28" applyNumberFormat="1" applyFont="1" applyFill="1" applyBorder="1" applyAlignment="1">
      <alignment horizontal="right" wrapText="1"/>
    </xf>
    <xf numFmtId="3" fontId="53" fillId="0" borderId="187" xfId="28" applyNumberFormat="1" applyFont="1" applyBorder="1"/>
    <xf numFmtId="3" fontId="53" fillId="0" borderId="187" xfId="28" applyNumberFormat="1" applyFont="1" applyFill="1" applyBorder="1"/>
    <xf numFmtId="3" fontId="53" fillId="0" borderId="166" xfId="28" applyNumberFormat="1" applyFont="1" applyBorder="1"/>
    <xf numFmtId="3" fontId="53" fillId="0" borderId="158" xfId="28" applyNumberFormat="1" applyFont="1" applyBorder="1"/>
    <xf numFmtId="0" fontId="52" fillId="0" borderId="0" xfId="14" applyFont="1" applyFill="1" applyBorder="1" applyAlignment="1">
      <alignment horizontal="center"/>
    </xf>
    <xf numFmtId="0" fontId="52" fillId="0" borderId="152" xfId="14" applyFont="1" applyFill="1" applyBorder="1" applyAlignment="1">
      <alignment horizontal="center"/>
    </xf>
    <xf numFmtId="0" fontId="52" fillId="0" borderId="12" xfId="14" applyFont="1" applyFill="1" applyBorder="1" applyAlignment="1">
      <alignment horizontal="center" wrapText="1"/>
    </xf>
    <xf numFmtId="0" fontId="38" fillId="0" borderId="181" xfId="0" applyFont="1" applyBorder="1" applyAlignment="1">
      <alignment horizontal="right" indent="1"/>
    </xf>
    <xf numFmtId="169" fontId="38" fillId="0" borderId="160" xfId="1" applyNumberFormat="1" applyFont="1" applyFill="1" applyBorder="1" applyAlignment="1">
      <alignment horizontal="right" vertical="top" wrapText="1" indent="1"/>
    </xf>
    <xf numFmtId="3" fontId="54" fillId="0" borderId="0" xfId="1" applyNumberFormat="1" applyFont="1" applyFill="1"/>
    <xf numFmtId="0" fontId="36" fillId="0" borderId="0" xfId="0" applyFont="1" applyBorder="1" applyAlignment="1">
      <alignment horizontal="center"/>
    </xf>
    <xf numFmtId="164" fontId="52" fillId="2" borderId="53" xfId="16" applyNumberFormat="1" applyFont="1" applyFill="1" applyBorder="1" applyAlignment="1">
      <alignment wrapText="1"/>
    </xf>
    <xf numFmtId="164" fontId="53" fillId="0" borderId="205" xfId="16" applyNumberFormat="1" applyFont="1" applyFill="1" applyBorder="1" applyAlignment="1">
      <alignment wrapText="1"/>
    </xf>
    <xf numFmtId="164" fontId="53" fillId="0" borderId="206" xfId="16" applyNumberFormat="1" applyFont="1" applyFill="1" applyBorder="1" applyAlignment="1">
      <alignment wrapText="1"/>
    </xf>
    <xf numFmtId="164" fontId="53" fillId="0" borderId="205" xfId="33" applyNumberFormat="1" applyFont="1" applyFill="1" applyBorder="1" applyAlignment="1">
      <alignment wrapText="1"/>
    </xf>
    <xf numFmtId="0" fontId="52" fillId="0" borderId="53" xfId="16" applyFont="1" applyBorder="1" applyAlignment="1">
      <alignment horizontal="center"/>
    </xf>
    <xf numFmtId="3" fontId="52" fillId="2" borderId="53" xfId="16" applyNumberFormat="1" applyFont="1" applyFill="1" applyBorder="1"/>
    <xf numFmtId="3" fontId="53" fillId="0" borderId="205" xfId="16" applyNumberFormat="1" applyFont="1" applyBorder="1"/>
    <xf numFmtId="3" fontId="53" fillId="0" borderId="136" xfId="16" applyNumberFormat="1" applyFont="1" applyBorder="1"/>
    <xf numFmtId="3" fontId="53" fillId="0" borderId="207" xfId="16" applyNumberFormat="1" applyFont="1" applyBorder="1"/>
    <xf numFmtId="164" fontId="56" fillId="0" borderId="207" xfId="33" applyNumberFormat="1" applyFont="1" applyBorder="1"/>
    <xf numFmtId="0" fontId="36" fillId="0" borderId="177" xfId="0" applyFont="1" applyBorder="1" applyAlignment="1">
      <alignment horizontal="center"/>
    </xf>
    <xf numFmtId="164" fontId="56" fillId="4" borderId="177" xfId="33" applyNumberFormat="1" applyFont="1" applyFill="1" applyBorder="1"/>
    <xf numFmtId="0" fontId="36" fillId="0" borderId="47" xfId="0" applyFont="1" applyFill="1" applyBorder="1" applyAlignment="1">
      <alignment horizontal="center"/>
    </xf>
    <xf numFmtId="164" fontId="56" fillId="0" borderId="47" xfId="33" applyNumberFormat="1" applyFont="1" applyFill="1" applyBorder="1"/>
    <xf numFmtId="0" fontId="36" fillId="0" borderId="177" xfId="0" applyFont="1" applyBorder="1"/>
    <xf numFmtId="169" fontId="56" fillId="4" borderId="177" xfId="1" applyNumberFormat="1" applyFont="1" applyFill="1" applyBorder="1"/>
    <xf numFmtId="169" fontId="56" fillId="0" borderId="207" xfId="1" applyNumberFormat="1" applyFont="1" applyFill="1" applyBorder="1"/>
    <xf numFmtId="169" fontId="56" fillId="0" borderId="207" xfId="1" applyNumberFormat="1" applyFont="1" applyBorder="1"/>
    <xf numFmtId="49" fontId="49" fillId="0" borderId="0" xfId="9" applyNumberFormat="1" applyFont="1"/>
    <xf numFmtId="0" fontId="49" fillId="0" borderId="0" xfId="0" applyFont="1" applyBorder="1" applyAlignment="1">
      <alignment horizontal="center"/>
    </xf>
    <xf numFmtId="170" fontId="19" fillId="0" borderId="180" xfId="0" applyNumberFormat="1" applyFont="1" applyFill="1" applyBorder="1"/>
    <xf numFmtId="3" fontId="18" fillId="0" borderId="207" xfId="0" applyNumberFormat="1" applyFont="1" applyFill="1" applyBorder="1" applyAlignment="1">
      <alignment horizontal="right" vertical="center"/>
    </xf>
    <xf numFmtId="3" fontId="18" fillId="0" borderId="207" xfId="0" applyNumberFormat="1" applyFont="1" applyFill="1" applyBorder="1"/>
    <xf numFmtId="3" fontId="18" fillId="0" borderId="187" xfId="0" applyNumberFormat="1" applyFont="1" applyFill="1" applyBorder="1"/>
    <xf numFmtId="170" fontId="19" fillId="0" borderId="177" xfId="0" applyNumberFormat="1" applyFont="1" applyFill="1" applyBorder="1"/>
    <xf numFmtId="3" fontId="19" fillId="2" borderId="177" xfId="0" applyNumberFormat="1" applyFont="1" applyFill="1" applyBorder="1"/>
    <xf numFmtId="170" fontId="19" fillId="0" borderId="192" xfId="0" applyNumberFormat="1" applyFont="1" applyFill="1" applyBorder="1"/>
    <xf numFmtId="3" fontId="19" fillId="2" borderId="192" xfId="0" applyNumberFormat="1" applyFont="1" applyFill="1" applyBorder="1"/>
    <xf numFmtId="0" fontId="49" fillId="0" borderId="152" xfId="0" applyFont="1" applyBorder="1" applyAlignment="1">
      <alignment horizontal="center"/>
    </xf>
    <xf numFmtId="17" fontId="36" fillId="0" borderId="0" xfId="15" applyNumberFormat="1" applyFont="1" applyAlignment="1">
      <alignment horizontal="center" wrapText="1"/>
    </xf>
    <xf numFmtId="0" fontId="36" fillId="0" borderId="0" xfId="15" applyFont="1" applyAlignment="1">
      <alignment wrapText="1"/>
    </xf>
    <xf numFmtId="169" fontId="56" fillId="2" borderId="180" xfId="1" applyNumberFormat="1" applyFont="1" applyFill="1" applyBorder="1" applyAlignment="1">
      <alignment horizontal="center" wrapText="1"/>
    </xf>
    <xf numFmtId="169" fontId="56" fillId="2" borderId="204" xfId="1" applyNumberFormat="1" applyFont="1" applyFill="1" applyBorder="1" applyAlignment="1">
      <alignment horizontal="center" wrapText="1"/>
    </xf>
    <xf numFmtId="169" fontId="56" fillId="2" borderId="204" xfId="1" applyNumberFormat="1" applyFont="1" applyFill="1" applyBorder="1"/>
    <xf numFmtId="3" fontId="53" fillId="0" borderId="151" xfId="14" applyNumberFormat="1" applyFont="1" applyFill="1" applyBorder="1" applyAlignment="1">
      <alignment horizontal="right" wrapText="1"/>
    </xf>
    <xf numFmtId="3" fontId="53" fillId="0" borderId="185" xfId="14" applyNumberFormat="1" applyFont="1" applyFill="1" applyBorder="1" applyAlignment="1">
      <alignment horizontal="right" wrapText="1"/>
    </xf>
    <xf numFmtId="169" fontId="61" fillId="0" borderId="151" xfId="1" applyNumberFormat="1" applyFont="1" applyBorder="1"/>
    <xf numFmtId="3" fontId="56" fillId="0" borderId="185" xfId="0" applyNumberFormat="1" applyFont="1" applyBorder="1"/>
    <xf numFmtId="169" fontId="61" fillId="0" borderId="210" xfId="1" applyNumberFormat="1" applyFont="1" applyBorder="1"/>
    <xf numFmtId="0" fontId="61" fillId="0" borderId="151" xfId="14" applyFont="1" applyBorder="1"/>
    <xf numFmtId="169" fontId="61" fillId="0" borderId="188" xfId="1" applyNumberFormat="1" applyFont="1" applyBorder="1"/>
    <xf numFmtId="3" fontId="19" fillId="2" borderId="160" xfId="0" applyNumberFormat="1" applyFont="1" applyFill="1" applyBorder="1"/>
    <xf numFmtId="3" fontId="18" fillId="0" borderId="163" xfId="0" applyNumberFormat="1" applyFont="1" applyFill="1" applyBorder="1"/>
    <xf numFmtId="3" fontId="18" fillId="0" borderId="150" xfId="0" applyNumberFormat="1" applyFont="1" applyFill="1" applyBorder="1"/>
    <xf numFmtId="177" fontId="18" fillId="0" borderId="150" xfId="0" applyNumberFormat="1" applyFont="1" applyFill="1" applyBorder="1"/>
    <xf numFmtId="165" fontId="18" fillId="0" borderId="151" xfId="0" applyNumberFormat="1" applyFont="1" applyFill="1" applyBorder="1"/>
    <xf numFmtId="165" fontId="18" fillId="0" borderId="185" xfId="0" applyNumberFormat="1" applyFont="1" applyFill="1" applyBorder="1"/>
    <xf numFmtId="165" fontId="18" fillId="0" borderId="210" xfId="0" applyNumberFormat="1" applyFont="1" applyFill="1" applyBorder="1"/>
    <xf numFmtId="177" fontId="18" fillId="0" borderId="188" xfId="0" applyNumberFormat="1" applyFont="1" applyFill="1" applyBorder="1"/>
    <xf numFmtId="3" fontId="18" fillId="0" borderId="151" xfId="0" applyNumberFormat="1" applyFont="1" applyFill="1" applyBorder="1" applyAlignment="1" applyProtection="1">
      <alignment horizontal="right" vertical="center"/>
      <protection locked="0"/>
    </xf>
    <xf numFmtId="3" fontId="18" fillId="0" borderId="185" xfId="0" applyNumberFormat="1" applyFont="1" applyFill="1" applyBorder="1" applyAlignment="1" applyProtection="1">
      <alignment horizontal="right" vertical="center"/>
    </xf>
    <xf numFmtId="3" fontId="18" fillId="0" borderId="185" xfId="0" applyNumberFormat="1" applyFont="1" applyFill="1" applyBorder="1" applyAlignment="1" applyProtection="1">
      <alignment horizontal="right" vertical="center"/>
      <protection locked="0"/>
    </xf>
    <xf numFmtId="3" fontId="18" fillId="0" borderId="185" xfId="33" applyNumberFormat="1" applyFont="1" applyFill="1" applyBorder="1" applyAlignment="1" applyProtection="1">
      <alignment horizontal="right" vertical="center"/>
    </xf>
    <xf numFmtId="3" fontId="18" fillId="0" borderId="185" xfId="0" applyNumberFormat="1" applyFont="1" applyFill="1" applyBorder="1" applyAlignment="1">
      <alignment horizontal="right" vertical="center"/>
    </xf>
    <xf numFmtId="3" fontId="18" fillId="0" borderId="210" xfId="0" applyNumberFormat="1" applyFont="1" applyFill="1" applyBorder="1" applyAlignment="1">
      <alignment horizontal="right" vertical="center"/>
    </xf>
    <xf numFmtId="3" fontId="18" fillId="0" borderId="188" xfId="0" applyNumberFormat="1" applyFont="1" applyFill="1" applyBorder="1" applyAlignment="1">
      <alignment horizontal="right" vertical="center"/>
    </xf>
    <xf numFmtId="3" fontId="18" fillId="0" borderId="152" xfId="0" applyNumberFormat="1" applyFont="1" applyFill="1" applyBorder="1" applyAlignment="1">
      <alignment horizontal="right" vertical="center"/>
    </xf>
    <xf numFmtId="3" fontId="18" fillId="0" borderId="151" xfId="0" applyNumberFormat="1" applyFont="1" applyFill="1" applyBorder="1"/>
    <xf numFmtId="3" fontId="18" fillId="0" borderId="185" xfId="0" applyNumberFormat="1" applyFont="1" applyFill="1" applyBorder="1"/>
    <xf numFmtId="3" fontId="18" fillId="0" borderId="210" xfId="0" applyNumberFormat="1" applyFont="1" applyFill="1" applyBorder="1"/>
    <xf numFmtId="3" fontId="18" fillId="0" borderId="188" xfId="0" applyNumberFormat="1" applyFont="1" applyFill="1" applyBorder="1"/>
    <xf numFmtId="17" fontId="0" fillId="0" borderId="0" xfId="0" applyNumberFormat="1"/>
    <xf numFmtId="0" fontId="56" fillId="0" borderId="211" xfId="0" applyFont="1" applyBorder="1"/>
    <xf numFmtId="5" fontId="36" fillId="2" borderId="213" xfId="0" applyNumberFormat="1" applyFont="1" applyFill="1" applyBorder="1" applyAlignment="1"/>
    <xf numFmtId="7" fontId="52" fillId="0" borderId="2" xfId="29" applyNumberFormat="1" applyFont="1" applyFill="1" applyBorder="1" applyAlignment="1">
      <alignment horizontal="center" wrapText="1"/>
    </xf>
    <xf numFmtId="5" fontId="68" fillId="2" borderId="53" xfId="3" applyNumberFormat="1" applyFont="1" applyFill="1" applyBorder="1" applyAlignment="1">
      <alignment wrapText="1"/>
    </xf>
    <xf numFmtId="0" fontId="68" fillId="0" borderId="2" xfId="32" applyFont="1" applyFill="1" applyBorder="1" applyAlignment="1">
      <alignment horizontal="left"/>
    </xf>
    <xf numFmtId="0" fontId="68" fillId="0" borderId="6" xfId="32" applyFont="1" applyFill="1" applyBorder="1" applyAlignment="1">
      <alignment horizontal="left"/>
    </xf>
    <xf numFmtId="0" fontId="68" fillId="0" borderId="69" xfId="32" applyFont="1" applyFill="1" applyBorder="1" applyAlignment="1">
      <alignment horizontal="center" wrapText="1"/>
    </xf>
    <xf numFmtId="0" fontId="68" fillId="0" borderId="52" xfId="32" applyFont="1" applyFill="1" applyBorder="1" applyAlignment="1">
      <alignment horizontal="center" wrapText="1"/>
    </xf>
    <xf numFmtId="0" fontId="68" fillId="0" borderId="70" xfId="32" applyFont="1" applyFill="1" applyBorder="1" applyAlignment="1">
      <alignment horizontal="center" wrapText="1"/>
    </xf>
    <xf numFmtId="0" fontId="68" fillId="0" borderId="63" xfId="32" applyFont="1" applyFill="1" applyBorder="1" applyAlignment="1">
      <alignment horizontal="center" wrapText="1"/>
    </xf>
    <xf numFmtId="167" fontId="67" fillId="0" borderId="239" xfId="32" applyNumberFormat="1" applyFont="1" applyFill="1" applyBorder="1" applyAlignment="1">
      <alignment wrapText="1"/>
    </xf>
    <xf numFmtId="0" fontId="35" fillId="0" borderId="240" xfId="0" applyFont="1" applyBorder="1"/>
    <xf numFmtId="5" fontId="67" fillId="0" borderId="241" xfId="3" applyNumberFormat="1" applyFont="1" applyFill="1" applyBorder="1" applyAlignment="1">
      <alignment wrapText="1"/>
    </xf>
    <xf numFmtId="5" fontId="67" fillId="0" borderId="242" xfId="3" applyNumberFormat="1" applyFont="1" applyFill="1" applyBorder="1" applyAlignment="1">
      <alignment wrapText="1"/>
    </xf>
    <xf numFmtId="5" fontId="67" fillId="0" borderId="243" xfId="3" applyNumberFormat="1" applyFont="1" applyFill="1" applyBorder="1" applyAlignment="1">
      <alignment wrapText="1"/>
    </xf>
    <xf numFmtId="5" fontId="67" fillId="0" borderId="240" xfId="3" applyNumberFormat="1" applyFont="1" applyFill="1" applyBorder="1" applyAlignment="1">
      <alignment wrapText="1"/>
    </xf>
    <xf numFmtId="167" fontId="67" fillId="0" borderId="244" xfId="32" applyNumberFormat="1" applyFont="1" applyFill="1" applyBorder="1" applyAlignment="1">
      <alignment wrapText="1"/>
    </xf>
    <xf numFmtId="0" fontId="35" fillId="0" borderId="229" xfId="0" applyFont="1" applyBorder="1"/>
    <xf numFmtId="5" fontId="67" fillId="0" borderId="230" xfId="3" applyNumberFormat="1" applyFont="1" applyFill="1" applyBorder="1" applyAlignment="1">
      <alignment wrapText="1"/>
    </xf>
    <xf numFmtId="5" fontId="67" fillId="0" borderId="231" xfId="3" applyNumberFormat="1" applyFont="1" applyFill="1" applyBorder="1" applyAlignment="1">
      <alignment wrapText="1"/>
    </xf>
    <xf numFmtId="5" fontId="67" fillId="0" borderId="233" xfId="3" applyNumberFormat="1" applyFont="1" applyFill="1" applyBorder="1" applyAlignment="1">
      <alignment wrapText="1"/>
    </xf>
    <xf numFmtId="5" fontId="67" fillId="0" borderId="229" xfId="3" applyNumberFormat="1" applyFont="1" applyFill="1" applyBorder="1" applyAlignment="1">
      <alignment wrapText="1"/>
    </xf>
    <xf numFmtId="174" fontId="67" fillId="0" borderId="244" xfId="3" applyNumberFormat="1" applyFont="1" applyFill="1" applyBorder="1" applyAlignment="1">
      <alignment wrapText="1"/>
    </xf>
    <xf numFmtId="0" fontId="35" fillId="0" borderId="246" xfId="0" applyFont="1" applyBorder="1"/>
    <xf numFmtId="5" fontId="67" fillId="0" borderId="247" xfId="3" applyNumberFormat="1" applyFont="1" applyFill="1" applyBorder="1" applyAlignment="1">
      <alignment wrapText="1"/>
    </xf>
    <xf numFmtId="5" fontId="67" fillId="0" borderId="248" xfId="3" applyNumberFormat="1" applyFont="1" applyFill="1" applyBorder="1" applyAlignment="1">
      <alignment wrapText="1"/>
    </xf>
    <xf numFmtId="5" fontId="67" fillId="0" borderId="249" xfId="3" applyNumberFormat="1" applyFont="1" applyFill="1" applyBorder="1" applyAlignment="1">
      <alignment wrapText="1"/>
    </xf>
    <xf numFmtId="5" fontId="67" fillId="0" borderId="246" xfId="3" applyNumberFormat="1" applyFont="1" applyFill="1" applyBorder="1" applyAlignment="1">
      <alignment wrapText="1"/>
    </xf>
    <xf numFmtId="0" fontId="56" fillId="0" borderId="250" xfId="0" applyFont="1" applyBorder="1"/>
    <xf numFmtId="0" fontId="56" fillId="0" borderId="229" xfId="0" applyFont="1" applyBorder="1"/>
    <xf numFmtId="0" fontId="56" fillId="0" borderId="255" xfId="0" applyFont="1" applyBorder="1"/>
    <xf numFmtId="5" fontId="56" fillId="0" borderId="158" xfId="0" applyNumberFormat="1" applyFont="1" applyBorder="1" applyAlignment="1"/>
    <xf numFmtId="5" fontId="56" fillId="0" borderId="187" xfId="0" applyNumberFormat="1" applyFont="1" applyBorder="1" applyAlignment="1"/>
    <xf numFmtId="5" fontId="56" fillId="0" borderId="166" xfId="0" applyNumberFormat="1" applyFont="1" applyBorder="1" applyAlignment="1"/>
    <xf numFmtId="0" fontId="52" fillId="0" borderId="6" xfId="24" applyFont="1" applyFill="1" applyBorder="1" applyAlignment="1">
      <alignment horizontal="left"/>
    </xf>
    <xf numFmtId="7" fontId="52" fillId="0" borderId="69" xfId="24" applyNumberFormat="1" applyFont="1" applyFill="1" applyBorder="1" applyAlignment="1">
      <alignment horizontal="center" wrapText="1"/>
    </xf>
    <xf numFmtId="7" fontId="52" fillId="0" borderId="52" xfId="24" applyNumberFormat="1" applyFont="1" applyFill="1" applyBorder="1" applyAlignment="1">
      <alignment horizontal="center" wrapText="1"/>
    </xf>
    <xf numFmtId="7" fontId="52" fillId="0" borderId="70" xfId="24" applyNumberFormat="1" applyFont="1" applyFill="1" applyBorder="1" applyAlignment="1">
      <alignment horizontal="center" wrapText="1"/>
    </xf>
    <xf numFmtId="5" fontId="36" fillId="2" borderId="214" xfId="0" applyNumberFormat="1" applyFont="1" applyFill="1" applyBorder="1" applyAlignment="1"/>
    <xf numFmtId="5" fontId="36" fillId="2" borderId="267" xfId="0" applyNumberFormat="1" applyFont="1" applyFill="1" applyBorder="1" applyAlignment="1"/>
    <xf numFmtId="5" fontId="36" fillId="2" borderId="165" xfId="0" applyNumberFormat="1" applyFont="1" applyFill="1" applyBorder="1" applyAlignment="1"/>
    <xf numFmtId="0" fontId="53" fillId="0" borderId="258" xfId="24" quotePrefix="1" applyFont="1" applyFill="1" applyBorder="1" applyAlignment="1">
      <alignment horizontal="center" wrapText="1"/>
    </xf>
    <xf numFmtId="0" fontId="53" fillId="0" borderId="259" xfId="24" applyFont="1" applyFill="1" applyBorder="1" applyAlignment="1">
      <alignment wrapText="1"/>
    </xf>
    <xf numFmtId="0" fontId="53" fillId="0" borderId="138" xfId="24" applyFont="1" applyFill="1" applyBorder="1" applyAlignment="1">
      <alignment wrapText="1"/>
    </xf>
    <xf numFmtId="5" fontId="56" fillId="0" borderId="215" xfId="0" applyNumberFormat="1" applyFont="1" applyBorder="1" applyAlignment="1"/>
    <xf numFmtId="5" fontId="56" fillId="0" borderId="216" xfId="0" applyNumberFormat="1" applyFont="1" applyBorder="1" applyAlignment="1"/>
    <xf numFmtId="5" fontId="56" fillId="0" borderId="217" xfId="0" applyNumberFormat="1" applyFont="1" applyBorder="1" applyAlignment="1"/>
    <xf numFmtId="5" fontId="56" fillId="0" borderId="272" xfId="0" applyNumberFormat="1" applyFont="1" applyFill="1" applyBorder="1" applyAlignment="1"/>
    <xf numFmtId="0" fontId="53" fillId="0" borderId="258" xfId="24" applyFont="1" applyFill="1" applyBorder="1" applyAlignment="1">
      <alignment horizontal="center" wrapText="1"/>
    </xf>
    <xf numFmtId="0" fontId="53" fillId="0" borderId="260" xfId="24" applyFont="1" applyFill="1" applyBorder="1" applyAlignment="1">
      <alignment wrapText="1"/>
    </xf>
    <xf numFmtId="5" fontId="56" fillId="0" borderId="261" xfId="0" applyNumberFormat="1" applyFont="1" applyBorder="1" applyAlignment="1"/>
    <xf numFmtId="5" fontId="56" fillId="0" borderId="263" xfId="0" applyNumberFormat="1" applyFont="1" applyBorder="1" applyAlignment="1"/>
    <xf numFmtId="5" fontId="56" fillId="0" borderId="273" xfId="0" applyNumberFormat="1" applyFont="1" applyFill="1" applyBorder="1" applyAlignment="1"/>
    <xf numFmtId="0" fontId="52" fillId="0" borderId="6" xfId="25" applyFont="1" applyFill="1" applyBorder="1" applyAlignment="1">
      <alignment horizontal="left"/>
    </xf>
    <xf numFmtId="167" fontId="53" fillId="0" borderId="259" xfId="25" applyNumberFormat="1" applyFont="1" applyFill="1" applyBorder="1" applyAlignment="1">
      <alignment wrapText="1"/>
    </xf>
    <xf numFmtId="0" fontId="52" fillId="0" borderId="69" xfId="25" applyFont="1" applyFill="1" applyBorder="1" applyAlignment="1">
      <alignment horizontal="center" wrapText="1"/>
    </xf>
    <xf numFmtId="0" fontId="52" fillId="0" borderId="52" xfId="25" applyFont="1" applyFill="1" applyBorder="1" applyAlignment="1">
      <alignment horizontal="center"/>
    </xf>
    <xf numFmtId="0" fontId="52" fillId="0" borderId="70" xfId="25" applyFont="1" applyFill="1" applyBorder="1" applyAlignment="1">
      <alignment horizontal="center"/>
    </xf>
    <xf numFmtId="167" fontId="52" fillId="2" borderId="261" xfId="25" applyNumberFormat="1" applyFont="1" applyFill="1" applyBorder="1" applyAlignment="1">
      <alignment wrapText="1"/>
    </xf>
    <xf numFmtId="167" fontId="52" fillId="2" borderId="263" xfId="25" applyNumberFormat="1" applyFont="1" applyFill="1" applyBorder="1" applyAlignment="1">
      <alignment wrapText="1"/>
    </xf>
    <xf numFmtId="167" fontId="52" fillId="2" borderId="262" xfId="25" applyNumberFormat="1" applyFont="1" applyFill="1" applyBorder="1" applyAlignment="1">
      <alignment wrapText="1"/>
    </xf>
    <xf numFmtId="167" fontId="53" fillId="0" borderId="261" xfId="25" applyNumberFormat="1" applyFont="1" applyFill="1" applyBorder="1" applyAlignment="1">
      <alignment wrapText="1"/>
    </xf>
    <xf numFmtId="167" fontId="53" fillId="0" borderId="263" xfId="25" applyNumberFormat="1" applyFont="1" applyFill="1" applyBorder="1" applyAlignment="1">
      <alignment horizontal="right" wrapText="1"/>
    </xf>
    <xf numFmtId="167" fontId="53" fillId="0" borderId="262" xfId="25" applyNumberFormat="1" applyFont="1" applyFill="1" applyBorder="1" applyAlignment="1">
      <alignment horizontal="right" wrapText="1"/>
    </xf>
    <xf numFmtId="0" fontId="56" fillId="0" borderId="214" xfId="0" applyFont="1" applyBorder="1"/>
    <xf numFmtId="0" fontId="56" fillId="0" borderId="268" xfId="0" applyFont="1" applyBorder="1"/>
    <xf numFmtId="0" fontId="56" fillId="0" borderId="269" xfId="0" applyFont="1" applyBorder="1"/>
    <xf numFmtId="0" fontId="52" fillId="0" borderId="69" xfId="20" applyFont="1" applyFill="1" applyBorder="1" applyAlignment="1">
      <alignment horizontal="center"/>
    </xf>
    <xf numFmtId="0" fontId="52" fillId="0" borderId="52" xfId="20" applyFont="1" applyFill="1" applyBorder="1" applyAlignment="1">
      <alignment horizontal="center"/>
    </xf>
    <xf numFmtId="0" fontId="52" fillId="0" borderId="70" xfId="20" applyFont="1" applyFill="1" applyBorder="1" applyAlignment="1">
      <alignment horizontal="center" wrapText="1"/>
    </xf>
    <xf numFmtId="167" fontId="24" fillId="0" borderId="261" xfId="26" applyNumberFormat="1" applyFont="1" applyFill="1" applyBorder="1" applyAlignment="1">
      <alignment horizontal="right" wrapText="1"/>
    </xf>
    <xf numFmtId="5" fontId="56" fillId="0" borderId="268" xfId="0" applyNumberFormat="1" applyFont="1" applyBorder="1"/>
    <xf numFmtId="5" fontId="56" fillId="0" borderId="269" xfId="0" applyNumberFormat="1" applyFont="1" applyBorder="1"/>
    <xf numFmtId="0" fontId="36" fillId="0" borderId="70" xfId="0" applyFont="1" applyBorder="1"/>
    <xf numFmtId="167" fontId="52" fillId="2" borderId="217" xfId="25" applyNumberFormat="1" applyFont="1" applyFill="1" applyBorder="1" applyAlignment="1">
      <alignment wrapText="1"/>
    </xf>
    <xf numFmtId="5" fontId="5" fillId="0" borderId="274" xfId="0" applyNumberFormat="1" applyFont="1" applyBorder="1" applyAlignment="1"/>
    <xf numFmtId="5" fontId="5" fillId="0" borderId="274" xfId="0" applyNumberFormat="1" applyFont="1" applyBorder="1"/>
    <xf numFmtId="5" fontId="5" fillId="0" borderId="158" xfId="0" applyNumberFormat="1" applyFont="1" applyBorder="1" applyAlignment="1">
      <alignment horizontal="right"/>
    </xf>
    <xf numFmtId="5" fontId="5" fillId="0" borderId="270" xfId="0" applyNumberFormat="1" applyFont="1" applyBorder="1" applyAlignment="1">
      <alignment horizontal="right"/>
    </xf>
    <xf numFmtId="167" fontId="5" fillId="0" borderId="270" xfId="0" applyNumberFormat="1" applyFont="1" applyBorder="1" applyAlignment="1"/>
    <xf numFmtId="167" fontId="5" fillId="0" borderId="271" xfId="0" applyNumberFormat="1" applyFont="1" applyBorder="1" applyAlignment="1"/>
    <xf numFmtId="176" fontId="5" fillId="0" borderId="158" xfId="0" applyNumberFormat="1" applyFont="1" applyBorder="1" applyAlignment="1">
      <alignment horizontal="right"/>
    </xf>
    <xf numFmtId="176" fontId="5" fillId="0" borderId="270" xfId="0" applyNumberFormat="1" applyFont="1" applyBorder="1" applyAlignment="1">
      <alignment horizontal="right"/>
    </xf>
    <xf numFmtId="0" fontId="68" fillId="0" borderId="87" xfId="22" applyFont="1" applyFill="1" applyBorder="1" applyAlignment="1">
      <alignment horizontal="center"/>
    </xf>
    <xf numFmtId="0" fontId="68" fillId="0" borderId="83" xfId="22" applyFont="1" applyFill="1" applyBorder="1" applyAlignment="1">
      <alignment horizontal="center"/>
    </xf>
    <xf numFmtId="0" fontId="68" fillId="0" borderId="86" xfId="22" applyFont="1" applyFill="1" applyBorder="1" applyAlignment="1">
      <alignment horizontal="center"/>
    </xf>
    <xf numFmtId="167" fontId="68" fillId="17" borderId="214" xfId="22" applyNumberFormat="1" applyFont="1" applyFill="1" applyBorder="1" applyAlignment="1"/>
    <xf numFmtId="167" fontId="68" fillId="17" borderId="268" xfId="22" applyNumberFormat="1" applyFont="1" applyFill="1" applyBorder="1" applyAlignment="1"/>
    <xf numFmtId="167" fontId="68" fillId="17" borderId="269" xfId="22" applyNumberFormat="1" applyFont="1" applyFill="1" applyBorder="1" applyAlignment="1"/>
    <xf numFmtId="167" fontId="100" fillId="0" borderId="214" xfId="30" applyNumberFormat="1" applyFont="1" applyFill="1" applyBorder="1" applyAlignment="1">
      <alignment horizontal="right" wrapText="1"/>
    </xf>
    <xf numFmtId="167" fontId="100" fillId="0" borderId="268" xfId="30" applyNumberFormat="1" applyFont="1" applyFill="1" applyBorder="1" applyAlignment="1">
      <alignment horizontal="right" wrapText="1"/>
    </xf>
    <xf numFmtId="167" fontId="100" fillId="0" borderId="269" xfId="30" applyNumberFormat="1" applyFont="1" applyFill="1" applyBorder="1" applyAlignment="1">
      <alignment horizontal="right" wrapText="1"/>
    </xf>
    <xf numFmtId="167" fontId="100" fillId="0" borderId="275" xfId="30" applyNumberFormat="1" applyFont="1" applyFill="1" applyBorder="1" applyAlignment="1">
      <alignment horizontal="right" wrapText="1"/>
    </xf>
    <xf numFmtId="167" fontId="100" fillId="0" borderId="137" xfId="30" applyNumberFormat="1" applyFont="1" applyFill="1" applyBorder="1" applyAlignment="1">
      <alignment horizontal="right" wrapText="1"/>
    </xf>
    <xf numFmtId="167" fontId="100" fillId="0" borderId="276" xfId="30" applyNumberFormat="1" applyFont="1" applyFill="1" applyBorder="1" applyAlignment="1">
      <alignment horizontal="right" wrapText="1"/>
    </xf>
    <xf numFmtId="5" fontId="5" fillId="0" borderId="158" xfId="0" applyNumberFormat="1" applyFont="1" applyBorder="1" applyAlignment="1"/>
    <xf numFmtId="5" fontId="5" fillId="0" borderId="270" xfId="0" applyNumberFormat="1" applyFont="1" applyBorder="1" applyAlignment="1"/>
    <xf numFmtId="5" fontId="5" fillId="0" borderId="271" xfId="0" applyNumberFormat="1" applyFont="1" applyBorder="1" applyAlignment="1"/>
    <xf numFmtId="0" fontId="68" fillId="0" borderId="80" xfId="30" applyFont="1" applyFill="1" applyBorder="1" applyAlignment="1">
      <alignment horizontal="left"/>
    </xf>
    <xf numFmtId="0" fontId="68" fillId="0" borderId="87" xfId="30" applyFont="1" applyFill="1" applyBorder="1" applyAlignment="1">
      <alignment horizontal="center" wrapText="1"/>
    </xf>
    <xf numFmtId="0" fontId="68" fillId="0" borderId="83" xfId="30" applyFont="1" applyFill="1" applyBorder="1" applyAlignment="1">
      <alignment horizontal="center" wrapText="1"/>
    </xf>
    <xf numFmtId="0" fontId="68" fillId="0" borderId="88" xfId="30" applyFont="1" applyFill="1" applyBorder="1" applyAlignment="1">
      <alignment horizontal="center" wrapText="1"/>
    </xf>
    <xf numFmtId="0" fontId="68" fillId="0" borderId="5" xfId="30" applyFont="1" applyFill="1" applyBorder="1" applyAlignment="1">
      <alignment horizontal="center" wrapText="1"/>
    </xf>
    <xf numFmtId="0" fontId="68" fillId="17" borderId="63" xfId="21" applyFont="1" applyFill="1" applyBorder="1" applyAlignment="1">
      <alignment horizontal="center"/>
    </xf>
    <xf numFmtId="0" fontId="68" fillId="2" borderId="89" xfId="30" applyFont="1" applyFill="1" applyBorder="1" applyAlignment="1">
      <alignment wrapText="1"/>
    </xf>
    <xf numFmtId="0" fontId="68" fillId="2" borderId="63" xfId="30" applyFont="1" applyFill="1" applyBorder="1" applyAlignment="1">
      <alignment wrapText="1"/>
    </xf>
    <xf numFmtId="167" fontId="68" fillId="2" borderId="69" xfId="3" applyNumberFormat="1" applyFont="1" applyFill="1" applyBorder="1" applyAlignment="1">
      <alignment horizontal="right" wrapText="1"/>
    </xf>
    <xf numFmtId="167" fontId="68" fillId="2" borderId="52" xfId="3" applyNumberFormat="1" applyFont="1" applyFill="1" applyBorder="1" applyAlignment="1">
      <alignment horizontal="right" wrapText="1"/>
    </xf>
    <xf numFmtId="167" fontId="68" fillId="2" borderId="53" xfId="3" applyNumberFormat="1" applyFont="1" applyFill="1" applyBorder="1" applyAlignment="1">
      <alignment horizontal="right" wrapText="1"/>
    </xf>
    <xf numFmtId="167" fontId="68" fillId="2" borderId="70" xfId="3" applyNumberFormat="1" applyFont="1" applyFill="1" applyBorder="1" applyAlignment="1">
      <alignment horizontal="right" wrapText="1"/>
    </xf>
    <xf numFmtId="0" fontId="67" fillId="0" borderId="218" xfId="21" applyFont="1" applyFill="1" applyBorder="1" applyAlignment="1">
      <alignment horizontal="center" wrapText="1"/>
    </xf>
    <xf numFmtId="167" fontId="67" fillId="0" borderId="219" xfId="30" applyNumberFormat="1" applyFont="1" applyFill="1" applyBorder="1" applyAlignment="1">
      <alignment wrapText="1"/>
    </xf>
    <xf numFmtId="0" fontId="99" fillId="0" borderId="220" xfId="0" applyFont="1" applyBorder="1"/>
    <xf numFmtId="167" fontId="67" fillId="0" borderId="221" xfId="3" applyNumberFormat="1" applyFont="1" applyFill="1" applyBorder="1" applyAlignment="1">
      <alignment wrapText="1"/>
    </xf>
    <xf numFmtId="167" fontId="67" fillId="0" borderId="222" xfId="3" applyNumberFormat="1" applyFont="1" applyFill="1" applyBorder="1" applyAlignment="1">
      <alignment wrapText="1"/>
    </xf>
    <xf numFmtId="167" fontId="67" fillId="0" borderId="85" xfId="3" applyNumberFormat="1" applyFont="1" applyFill="1" applyBorder="1" applyAlignment="1">
      <alignment wrapText="1"/>
    </xf>
    <xf numFmtId="167" fontId="67" fillId="0" borderId="9" xfId="30" applyNumberFormat="1" applyFont="1" applyFill="1" applyBorder="1" applyAlignment="1">
      <alignment wrapText="1"/>
    </xf>
    <xf numFmtId="0" fontId="99" fillId="0" borderId="30" xfId="0" applyFont="1" applyBorder="1"/>
    <xf numFmtId="167" fontId="67" fillId="0" borderId="66" xfId="3" applyNumberFormat="1" applyFont="1" applyFill="1" applyBorder="1" applyAlignment="1">
      <alignment wrapText="1"/>
    </xf>
    <xf numFmtId="167" fontId="67" fillId="0" borderId="54" xfId="3" applyNumberFormat="1" applyFont="1" applyFill="1" applyBorder="1" applyAlignment="1">
      <alignment wrapText="1"/>
    </xf>
    <xf numFmtId="167" fontId="67" fillId="0" borderId="56" xfId="3" applyNumberFormat="1" applyFont="1" applyFill="1" applyBorder="1" applyAlignment="1">
      <alignment wrapText="1"/>
    </xf>
    <xf numFmtId="0" fontId="67" fillId="0" borderId="234" xfId="21" applyFont="1" applyFill="1" applyBorder="1" applyAlignment="1">
      <alignment horizontal="center" wrapText="1"/>
    </xf>
    <xf numFmtId="167" fontId="67" fillId="0" borderId="235" xfId="30" applyNumberFormat="1" applyFont="1" applyFill="1" applyBorder="1" applyAlignment="1">
      <alignment wrapText="1"/>
    </xf>
    <xf numFmtId="0" fontId="99" fillId="0" borderId="224" xfId="0" applyFont="1" applyBorder="1"/>
    <xf numFmtId="167" fontId="67" fillId="0" borderId="236" xfId="3" applyNumberFormat="1" applyFont="1" applyFill="1" applyBorder="1" applyAlignment="1">
      <alignment wrapText="1"/>
    </xf>
    <xf numFmtId="167" fontId="67" fillId="0" borderId="237" xfId="3" applyNumberFormat="1" applyFont="1" applyFill="1" applyBorder="1" applyAlignment="1">
      <alignment wrapText="1"/>
    </xf>
    <xf numFmtId="167" fontId="67" fillId="0" borderId="238" xfId="3" applyNumberFormat="1" applyFont="1" applyFill="1" applyBorder="1" applyAlignment="1">
      <alignment wrapText="1"/>
    </xf>
    <xf numFmtId="0" fontId="3" fillId="0" borderId="0" xfId="0" applyFont="1" applyBorder="1"/>
    <xf numFmtId="167" fontId="3" fillId="0" borderId="214" xfId="0" applyNumberFormat="1" applyFont="1" applyBorder="1"/>
    <xf numFmtId="0" fontId="3" fillId="0" borderId="225" xfId="0" applyFont="1" applyBorder="1"/>
    <xf numFmtId="167" fontId="67" fillId="0" borderId="226" xfId="3" applyNumberFormat="1" applyFont="1" applyFill="1" applyBorder="1" applyAlignment="1">
      <alignment wrapText="1"/>
    </xf>
    <xf numFmtId="167" fontId="67" fillId="0" borderId="227" xfId="3" applyNumberFormat="1" applyFont="1" applyFill="1" applyBorder="1" applyAlignment="1">
      <alignment wrapText="1"/>
    </xf>
    <xf numFmtId="167" fontId="67" fillId="0" borderId="228" xfId="3" applyNumberFormat="1" applyFont="1" applyFill="1" applyBorder="1" applyAlignment="1">
      <alignment wrapText="1"/>
    </xf>
    <xf numFmtId="0" fontId="3" fillId="0" borderId="229" xfId="0" applyFont="1" applyBorder="1"/>
    <xf numFmtId="167" fontId="67" fillId="0" borderId="230" xfId="3" applyNumberFormat="1" applyFont="1" applyFill="1" applyBorder="1" applyAlignment="1">
      <alignment wrapText="1"/>
    </xf>
    <xf numFmtId="167" fontId="67" fillId="0" borderId="231" xfId="3" applyNumberFormat="1" applyFont="1" applyFill="1" applyBorder="1" applyAlignment="1">
      <alignment wrapText="1"/>
    </xf>
    <xf numFmtId="167" fontId="67" fillId="0" borderId="232" xfId="3" applyNumberFormat="1" applyFont="1" applyFill="1" applyBorder="1" applyAlignment="1">
      <alignment wrapText="1"/>
    </xf>
    <xf numFmtId="5" fontId="54" fillId="0" borderId="277" xfId="0" applyNumberFormat="1" applyFont="1" applyBorder="1" applyAlignment="1"/>
    <xf numFmtId="5" fontId="54" fillId="0" borderId="131" xfId="0" applyNumberFormat="1" applyFont="1" applyBorder="1" applyAlignment="1"/>
    <xf numFmtId="5" fontId="4" fillId="0" borderId="131" xfId="0" applyNumberFormat="1" applyFont="1" applyBorder="1" applyAlignment="1"/>
    <xf numFmtId="5" fontId="35" fillId="0" borderId="131" xfId="2" applyNumberFormat="1" applyFont="1" applyBorder="1"/>
    <xf numFmtId="5" fontId="71" fillId="19" borderId="131" xfId="1" applyNumberFormat="1" applyFont="1" applyFill="1" applyBorder="1"/>
    <xf numFmtId="5" fontId="71" fillId="0" borderId="130" xfId="1" applyNumberFormat="1" applyFont="1" applyBorder="1" applyAlignment="1">
      <alignment horizontal="right"/>
    </xf>
    <xf numFmtId="169" fontId="54" fillId="0" borderId="277" xfId="2" applyNumberFormat="1" applyFont="1" applyBorder="1"/>
    <xf numFmtId="169" fontId="70" fillId="0" borderId="277" xfId="2" applyNumberFormat="1" applyFont="1" applyBorder="1" applyAlignment="1">
      <alignment horizontal="center"/>
    </xf>
    <xf numFmtId="169" fontId="70" fillId="0" borderId="131" xfId="2" applyNumberFormat="1" applyFont="1" applyBorder="1" applyAlignment="1">
      <alignment horizontal="center"/>
    </xf>
    <xf numFmtId="169" fontId="70" fillId="19" borderId="131" xfId="1" applyNumberFormat="1" applyFont="1" applyFill="1" applyBorder="1" applyAlignment="1">
      <alignment horizontal="center"/>
    </xf>
    <xf numFmtId="169" fontId="70" fillId="0" borderId="130" xfId="1" applyNumberFormat="1" applyFont="1" applyBorder="1" applyAlignment="1">
      <alignment horizontal="center"/>
    </xf>
    <xf numFmtId="5" fontId="70" fillId="4" borderId="277" xfId="2" applyNumberFormat="1" applyFont="1" applyFill="1" applyBorder="1" applyAlignment="1">
      <alignment horizontal="center"/>
    </xf>
    <xf numFmtId="5" fontId="70" fillId="4" borderId="131" xfId="2" applyNumberFormat="1" applyFont="1" applyFill="1" applyBorder="1" applyAlignment="1">
      <alignment horizontal="center"/>
    </xf>
    <xf numFmtId="5" fontId="70" fillId="4" borderId="130" xfId="2" applyNumberFormat="1" applyFont="1" applyFill="1" applyBorder="1" applyAlignment="1">
      <alignment horizontal="right"/>
    </xf>
    <xf numFmtId="5" fontId="35" fillId="0" borderId="277" xfId="2" applyNumberFormat="1" applyFont="1" applyBorder="1"/>
    <xf numFmtId="5" fontId="3" fillId="0" borderId="251" xfId="0" applyNumberFormat="1" applyFont="1" applyBorder="1" applyAlignment="1"/>
    <xf numFmtId="5" fontId="3" fillId="0" borderId="252" xfId="0" applyNumberFormat="1" applyFont="1" applyBorder="1" applyAlignment="1"/>
    <xf numFmtId="5" fontId="3" fillId="0" borderId="253" xfId="0" applyNumberFormat="1" applyFont="1" applyBorder="1" applyAlignment="1"/>
    <xf numFmtId="5" fontId="3" fillId="0" borderId="254" xfId="0" applyNumberFormat="1" applyFont="1" applyBorder="1" applyAlignment="1"/>
    <xf numFmtId="5" fontId="3" fillId="0" borderId="256" xfId="0" applyNumberFormat="1" applyFont="1" applyBorder="1"/>
    <xf numFmtId="5" fontId="3" fillId="0" borderId="257" xfId="0" applyNumberFormat="1" applyFont="1" applyBorder="1"/>
    <xf numFmtId="0" fontId="67" fillId="0" borderId="90" xfId="21" applyFont="1" applyFill="1" applyBorder="1" applyAlignment="1">
      <alignment horizontal="center" wrapText="1"/>
    </xf>
    <xf numFmtId="167" fontId="67" fillId="0" borderId="41" xfId="30" applyNumberFormat="1" applyFont="1" applyFill="1" applyBorder="1" applyAlignment="1">
      <alignment wrapText="1"/>
    </xf>
    <xf numFmtId="167" fontId="67" fillId="0" borderId="35" xfId="31" applyNumberFormat="1" applyFont="1" applyFill="1" applyBorder="1" applyAlignment="1">
      <alignment horizontal="right" wrapText="1"/>
    </xf>
    <xf numFmtId="167" fontId="67" fillId="0" borderId="36" xfId="31" applyNumberFormat="1" applyFont="1" applyFill="1" applyBorder="1" applyAlignment="1">
      <alignment horizontal="right" wrapText="1"/>
    </xf>
    <xf numFmtId="167" fontId="67" fillId="0" borderId="36" xfId="31" applyNumberFormat="1" applyFont="1" applyBorder="1"/>
    <xf numFmtId="167" fontId="67" fillId="0" borderId="37" xfId="31" applyNumberFormat="1" applyFont="1" applyFill="1" applyBorder="1" applyAlignment="1">
      <alignment horizontal="right" wrapText="1"/>
    </xf>
    <xf numFmtId="167" fontId="3" fillId="0" borderId="0" xfId="0" applyNumberFormat="1" applyFont="1" applyBorder="1"/>
    <xf numFmtId="167" fontId="3" fillId="0" borderId="214" xfId="0" applyNumberFormat="1" applyFont="1" applyBorder="1" applyAlignment="1"/>
    <xf numFmtId="167" fontId="3" fillId="0" borderId="268" xfId="0" applyNumberFormat="1" applyFont="1" applyBorder="1" applyAlignment="1"/>
    <xf numFmtId="167" fontId="67" fillId="0" borderId="268" xfId="31" applyNumberFormat="1" applyFont="1" applyFill="1" applyBorder="1" applyAlignment="1">
      <alignment horizontal="right" wrapText="1"/>
    </xf>
    <xf numFmtId="167" fontId="67" fillId="0" borderId="269" xfId="31" applyNumberFormat="1" applyFont="1" applyFill="1" applyBorder="1" applyAlignment="1">
      <alignment horizontal="right" wrapText="1"/>
    </xf>
    <xf numFmtId="167" fontId="3" fillId="0" borderId="268" xfId="0" applyNumberFormat="1" applyFont="1" applyBorder="1"/>
    <xf numFmtId="0" fontId="68" fillId="0" borderId="2" xfId="26" applyFont="1" applyFill="1" applyBorder="1" applyAlignment="1">
      <alignment horizontal="left" wrapText="1"/>
    </xf>
    <xf numFmtId="0" fontId="68" fillId="0" borderId="2" xfId="23" applyFont="1" applyFill="1" applyBorder="1" applyAlignment="1">
      <alignment horizontal="left"/>
    </xf>
    <xf numFmtId="0" fontId="68" fillId="0" borderId="69" xfId="23" applyFont="1" applyFill="1" applyBorder="1" applyAlignment="1">
      <alignment horizontal="center"/>
    </xf>
    <xf numFmtId="0" fontId="68" fillId="0" borderId="52" xfId="23" applyFont="1" applyFill="1" applyBorder="1" applyAlignment="1">
      <alignment horizontal="center"/>
    </xf>
    <xf numFmtId="0" fontId="68" fillId="0" borderId="52" xfId="29" applyFont="1" applyFill="1" applyBorder="1" applyAlignment="1">
      <alignment horizontal="center" wrapText="1"/>
    </xf>
    <xf numFmtId="0" fontId="68" fillId="0" borderId="70" xfId="29" applyFont="1" applyFill="1" applyBorder="1" applyAlignment="1">
      <alignment horizontal="center" wrapText="1"/>
    </xf>
    <xf numFmtId="0" fontId="3" fillId="0" borderId="0" xfId="0" applyFont="1"/>
    <xf numFmtId="0" fontId="68" fillId="2" borderId="75" xfId="26" quotePrefix="1" applyFont="1" applyFill="1" applyBorder="1" applyAlignment="1">
      <alignment horizontal="center" wrapText="1"/>
    </xf>
    <xf numFmtId="0" fontId="68" fillId="2" borderId="2" xfId="23" applyFont="1" applyFill="1" applyBorder="1" applyAlignment="1">
      <alignment wrapText="1"/>
    </xf>
    <xf numFmtId="167" fontId="68" fillId="2" borderId="69" xfId="23" applyNumberFormat="1" applyFont="1" applyFill="1" applyBorder="1" applyAlignment="1">
      <alignment wrapText="1"/>
    </xf>
    <xf numFmtId="167" fontId="68" fillId="2" borderId="52" xfId="23" applyNumberFormat="1" applyFont="1" applyFill="1" applyBorder="1" applyAlignment="1">
      <alignment wrapText="1"/>
    </xf>
    <xf numFmtId="167" fontId="68" fillId="2" borderId="70" xfId="23" applyNumberFormat="1" applyFont="1" applyFill="1" applyBorder="1" applyAlignment="1">
      <alignment wrapText="1"/>
    </xf>
    <xf numFmtId="0" fontId="67" fillId="0" borderId="218" xfId="26" applyFont="1" applyFill="1" applyBorder="1" applyAlignment="1">
      <alignment horizontal="center" wrapText="1"/>
    </xf>
    <xf numFmtId="0" fontId="67" fillId="0" borderId="219" xfId="23" applyFont="1" applyFill="1" applyBorder="1" applyAlignment="1">
      <alignment wrapText="1"/>
    </xf>
    <xf numFmtId="0" fontId="67" fillId="0" borderId="220" xfId="23" applyFont="1" applyFill="1" applyBorder="1" applyAlignment="1">
      <alignment wrapText="1"/>
    </xf>
    <xf numFmtId="167" fontId="67" fillId="0" borderId="221" xfId="23" applyNumberFormat="1" applyFont="1" applyFill="1" applyBorder="1" applyAlignment="1">
      <alignment wrapText="1"/>
    </xf>
    <xf numFmtId="167" fontId="67" fillId="0" borderId="222" xfId="23" applyNumberFormat="1" applyFont="1" applyFill="1" applyBorder="1" applyAlignment="1">
      <alignment wrapText="1"/>
    </xf>
    <xf numFmtId="167" fontId="67" fillId="0" borderId="223" xfId="23" applyNumberFormat="1" applyFont="1" applyFill="1" applyBorder="1" applyAlignment="1">
      <alignment wrapText="1"/>
    </xf>
    <xf numFmtId="0" fontId="67" fillId="0" borderId="258" xfId="26" applyFont="1" applyFill="1" applyBorder="1" applyAlignment="1">
      <alignment horizontal="center" wrapText="1"/>
    </xf>
    <xf numFmtId="0" fontId="67" fillId="0" borderId="259" xfId="23" applyFont="1" applyFill="1" applyBorder="1" applyAlignment="1">
      <alignment wrapText="1"/>
    </xf>
    <xf numFmtId="0" fontId="67" fillId="0" borderId="260" xfId="23" applyFont="1" applyFill="1" applyBorder="1" applyAlignment="1">
      <alignment wrapText="1"/>
    </xf>
    <xf numFmtId="167" fontId="67" fillId="0" borderId="261" xfId="23" applyNumberFormat="1" applyFont="1" applyFill="1" applyBorder="1" applyAlignment="1">
      <alignment wrapText="1"/>
    </xf>
    <xf numFmtId="167" fontId="67" fillId="0" borderId="263" xfId="23" applyNumberFormat="1" applyFont="1" applyFill="1" applyBorder="1" applyAlignment="1">
      <alignment wrapText="1"/>
    </xf>
    <xf numFmtId="167" fontId="67" fillId="0" borderId="262" xfId="23" applyNumberFormat="1" applyFont="1" applyFill="1" applyBorder="1" applyAlignment="1">
      <alignment wrapText="1"/>
    </xf>
    <xf numFmtId="0" fontId="67" fillId="0" borderId="234" xfId="26" applyFont="1" applyFill="1" applyBorder="1" applyAlignment="1">
      <alignment horizontal="center" wrapText="1"/>
    </xf>
    <xf numFmtId="0" fontId="67" fillId="0" borderId="235" xfId="23" applyFont="1" applyFill="1" applyBorder="1" applyAlignment="1">
      <alignment wrapText="1"/>
    </xf>
    <xf numFmtId="0" fontId="67" fillId="0" borderId="224" xfId="23" applyFont="1" applyFill="1" applyBorder="1" applyAlignment="1">
      <alignment wrapText="1"/>
    </xf>
    <xf numFmtId="167" fontId="67" fillId="0" borderId="264" xfId="23" applyNumberFormat="1" applyFont="1" applyFill="1" applyBorder="1" applyAlignment="1">
      <alignment wrapText="1"/>
    </xf>
    <xf numFmtId="167" fontId="67" fillId="0" borderId="265" xfId="23" applyNumberFormat="1" applyFont="1" applyFill="1" applyBorder="1" applyAlignment="1">
      <alignment wrapText="1"/>
    </xf>
    <xf numFmtId="167" fontId="67" fillId="0" borderId="266" xfId="23" applyNumberFormat="1" applyFont="1" applyFill="1" applyBorder="1" applyAlignment="1">
      <alignment wrapText="1"/>
    </xf>
    <xf numFmtId="5" fontId="3" fillId="0" borderId="0" xfId="0" applyNumberFormat="1" applyFont="1" applyBorder="1" applyAlignment="1"/>
    <xf numFmtId="5" fontId="3" fillId="0" borderId="163" xfId="0" applyNumberFormat="1" applyFont="1" applyBorder="1" applyAlignment="1"/>
    <xf numFmtId="5" fontId="3" fillId="0" borderId="0" xfId="0" applyNumberFormat="1" applyFont="1"/>
    <xf numFmtId="5" fontId="3" fillId="0" borderId="163" xfId="0" applyNumberFormat="1" applyFont="1" applyBorder="1"/>
    <xf numFmtId="174" fontId="67" fillId="0" borderId="245" xfId="3" applyNumberFormat="1" applyFont="1" applyFill="1" applyBorder="1" applyAlignment="1">
      <alignment wrapText="1"/>
    </xf>
    <xf numFmtId="49" fontId="99" fillId="0" borderId="0" xfId="0" applyNumberFormat="1" applyFont="1" applyBorder="1" applyAlignment="1">
      <alignment horizontal="center"/>
    </xf>
    <xf numFmtId="0" fontId="106" fillId="0" borderId="0" xfId="9" applyFont="1" applyBorder="1"/>
    <xf numFmtId="49" fontId="105" fillId="0" borderId="278" xfId="0" applyNumberFormat="1" applyFont="1" applyBorder="1" applyAlignment="1">
      <alignment horizontal="center"/>
    </xf>
    <xf numFmtId="0" fontId="105" fillId="0" borderId="278" xfId="0" applyFont="1" applyBorder="1" applyAlignment="1">
      <alignment horizontal="left" wrapText="1"/>
    </xf>
    <xf numFmtId="49" fontId="105" fillId="9" borderId="278" xfId="0" quotePrefix="1" applyNumberFormat="1" applyFont="1" applyFill="1" applyBorder="1" applyAlignment="1">
      <alignment horizontal="center"/>
    </xf>
    <xf numFmtId="0" fontId="105" fillId="9" borderId="278" xfId="0" applyFont="1" applyFill="1" applyBorder="1" applyAlignment="1">
      <alignment horizontal="left" wrapText="1"/>
    </xf>
    <xf numFmtId="49" fontId="99" fillId="0" borderId="280" xfId="0" applyNumberFormat="1" applyFont="1" applyBorder="1" applyAlignment="1">
      <alignment horizontal="center"/>
    </xf>
    <xf numFmtId="0" fontId="106" fillId="0" borderId="280" xfId="9" applyFont="1" applyBorder="1"/>
    <xf numFmtId="0" fontId="99" fillId="0" borderId="280" xfId="0" applyFont="1" applyBorder="1"/>
    <xf numFmtId="0" fontId="69" fillId="0" borderId="281" xfId="0" applyFont="1" applyBorder="1"/>
    <xf numFmtId="0" fontId="69" fillId="0" borderId="282" xfId="0" applyFont="1" applyBorder="1"/>
    <xf numFmtId="0" fontId="69" fillId="0" borderId="283" xfId="0" applyFont="1" applyBorder="1"/>
    <xf numFmtId="5" fontId="69" fillId="9" borderId="284" xfId="3" applyNumberFormat="1" applyFont="1" applyFill="1" applyBorder="1"/>
    <xf numFmtId="5" fontId="69" fillId="9" borderId="285" xfId="3" applyNumberFormat="1" applyFont="1" applyFill="1" applyBorder="1"/>
    <xf numFmtId="5" fontId="69" fillId="24" borderId="285" xfId="3" applyNumberFormat="1" applyFont="1" applyFill="1" applyBorder="1"/>
    <xf numFmtId="5" fontId="69" fillId="9" borderId="286" xfId="3" applyNumberFormat="1" applyFont="1" applyFill="1" applyBorder="1"/>
    <xf numFmtId="5" fontId="3" fillId="0" borderId="277" xfId="3" applyNumberFormat="1" applyFont="1" applyBorder="1"/>
    <xf numFmtId="5" fontId="3" fillId="0" borderId="131" xfId="3" applyNumberFormat="1" applyFont="1" applyBorder="1"/>
    <xf numFmtId="5" fontId="3" fillId="0" borderId="130" xfId="3" applyNumberFormat="1" applyFont="1" applyBorder="1"/>
    <xf numFmtId="5" fontId="3" fillId="0" borderId="287" xfId="3" applyNumberFormat="1" applyFont="1" applyBorder="1"/>
    <xf numFmtId="5" fontId="3" fillId="0" borderId="288" xfId="3" applyNumberFormat="1" applyFont="1" applyBorder="1"/>
    <xf numFmtId="5" fontId="3" fillId="0" borderId="289" xfId="3" applyNumberFormat="1" applyFont="1" applyBorder="1"/>
    <xf numFmtId="0" fontId="99" fillId="0" borderId="0" xfId="0" applyFont="1" applyAlignment="1">
      <alignment horizontal="left" vertical="top" wrapText="1"/>
    </xf>
    <xf numFmtId="174" fontId="99" fillId="0" borderId="277" xfId="3" applyNumberFormat="1" applyFont="1" applyBorder="1"/>
    <xf numFmtId="174" fontId="99" fillId="0" borderId="131" xfId="3" applyNumberFormat="1" applyFont="1" applyBorder="1"/>
    <xf numFmtId="5" fontId="99" fillId="0" borderId="131" xfId="3" applyNumberFormat="1" applyFont="1" applyFill="1" applyBorder="1"/>
    <xf numFmtId="174" fontId="99" fillId="0" borderId="130" xfId="3" applyNumberFormat="1" applyFont="1" applyBorder="1"/>
    <xf numFmtId="174" fontId="99" fillId="0" borderId="277" xfId="0" applyNumberFormat="1" applyFont="1" applyBorder="1"/>
    <xf numFmtId="174" fontId="36" fillId="24" borderId="13" xfId="3" applyNumberFormat="1" applyFont="1" applyFill="1" applyBorder="1"/>
    <xf numFmtId="174" fontId="36" fillId="9" borderId="284" xfId="3" applyNumberFormat="1" applyFont="1" applyFill="1" applyBorder="1"/>
    <xf numFmtId="174" fontId="36" fillId="9" borderId="285" xfId="3" applyNumberFormat="1" applyFont="1" applyFill="1" applyBorder="1"/>
    <xf numFmtId="174" fontId="36" fillId="24" borderId="286" xfId="3" applyNumberFormat="1" applyFont="1" applyFill="1" applyBorder="1"/>
    <xf numFmtId="174" fontId="56" fillId="0" borderId="277" xfId="3" applyNumberFormat="1" applyFont="1" applyBorder="1"/>
    <xf numFmtId="174" fontId="56" fillId="0" borderId="131" xfId="3" applyNumberFormat="1" applyFont="1" applyBorder="1"/>
    <xf numFmtId="174" fontId="56" fillId="0" borderId="130" xfId="3" applyNumberFormat="1" applyFont="1" applyBorder="1"/>
    <xf numFmtId="174" fontId="56" fillId="0" borderId="287" xfId="3" applyNumberFormat="1" applyFont="1" applyBorder="1"/>
    <xf numFmtId="174" fontId="56" fillId="0" borderId="288" xfId="3" applyNumberFormat="1" applyFont="1" applyBorder="1"/>
    <xf numFmtId="174" fontId="56" fillId="0" borderId="289" xfId="3" applyNumberFormat="1" applyFont="1" applyBorder="1"/>
    <xf numFmtId="174" fontId="36" fillId="24" borderId="284" xfId="3" applyNumberFormat="1" applyFont="1" applyFill="1" applyBorder="1"/>
    <xf numFmtId="174" fontId="36" fillId="24" borderId="285" xfId="3" applyNumberFormat="1" applyFont="1" applyFill="1" applyBorder="1"/>
    <xf numFmtId="174" fontId="36" fillId="0" borderId="284" xfId="3" applyNumberFormat="1" applyFont="1" applyBorder="1"/>
    <xf numFmtId="174" fontId="36" fillId="0" borderId="285" xfId="3" applyNumberFormat="1" applyFont="1" applyBorder="1"/>
    <xf numFmtId="174" fontId="36" fillId="0" borderId="286" xfId="3" applyNumberFormat="1" applyFont="1" applyBorder="1"/>
    <xf numFmtId="174" fontId="36" fillId="0" borderId="285" xfId="3" applyNumberFormat="1" applyFont="1" applyBorder="1" applyAlignment="1">
      <alignment wrapText="1"/>
    </xf>
    <xf numFmtId="5" fontId="36" fillId="9" borderId="284" xfId="3" applyNumberFormat="1" applyFont="1" applyFill="1" applyBorder="1"/>
    <xf numFmtId="5" fontId="36" fillId="9" borderId="285" xfId="3" applyNumberFormat="1" applyFont="1" applyFill="1" applyBorder="1"/>
    <xf numFmtId="5" fontId="36" fillId="16" borderId="286" xfId="3" applyNumberFormat="1" applyFont="1" applyFill="1" applyBorder="1"/>
    <xf numFmtId="174" fontId="36" fillId="0" borderId="281" xfId="3" applyNumberFormat="1" applyFont="1" applyBorder="1"/>
    <xf numFmtId="174" fontId="36" fillId="0" borderId="282" xfId="3" applyNumberFormat="1" applyFont="1" applyBorder="1" applyAlignment="1">
      <alignment wrapText="1"/>
    </xf>
    <xf numFmtId="174" fontId="36" fillId="0" borderId="282" xfId="3" applyNumberFormat="1" applyFont="1" applyBorder="1"/>
    <xf numFmtId="174" fontId="36" fillId="0" borderId="283" xfId="3" applyNumberFormat="1" applyFont="1" applyBorder="1"/>
    <xf numFmtId="174" fontId="36" fillId="0" borderId="292" xfId="3" applyNumberFormat="1" applyFont="1" applyBorder="1"/>
    <xf numFmtId="174" fontId="36" fillId="0" borderId="278" xfId="3" applyNumberFormat="1" applyFont="1" applyBorder="1" applyAlignment="1">
      <alignment wrapText="1"/>
    </xf>
    <xf numFmtId="174" fontId="36" fillId="0" borderId="278" xfId="3" applyNumberFormat="1" applyFont="1" applyBorder="1"/>
    <xf numFmtId="174" fontId="36" fillId="0" borderId="293" xfId="3" applyNumberFormat="1" applyFont="1" applyBorder="1"/>
    <xf numFmtId="0" fontId="36" fillId="0" borderId="0" xfId="0" applyFont="1" applyBorder="1" applyAlignment="1">
      <alignment horizontal="center"/>
    </xf>
    <xf numFmtId="0" fontId="23" fillId="0" borderId="0" xfId="15" applyFont="1" applyAlignment="1">
      <alignment horizontal="left" wrapText="1"/>
    </xf>
    <xf numFmtId="164" fontId="53" fillId="0" borderId="279" xfId="16" applyNumberFormat="1" applyFont="1" applyFill="1" applyBorder="1" applyAlignment="1">
      <alignment wrapText="1"/>
    </xf>
    <xf numFmtId="0" fontId="52" fillId="0" borderId="294" xfId="11" applyFont="1" applyFill="1" applyBorder="1" applyAlignment="1">
      <alignment horizontal="center"/>
    </xf>
    <xf numFmtId="164" fontId="52" fillId="2" borderId="294" xfId="16" applyNumberFormat="1" applyFont="1" applyFill="1" applyBorder="1" applyAlignment="1">
      <alignment wrapText="1"/>
    </xf>
    <xf numFmtId="164" fontId="53" fillId="0" borderId="269" xfId="16" applyNumberFormat="1" applyFont="1" applyFill="1" applyBorder="1" applyAlignment="1">
      <alignment wrapText="1"/>
    </xf>
    <xf numFmtId="0" fontId="52" fillId="0" borderId="294" xfId="16" applyFont="1" applyBorder="1" applyAlignment="1">
      <alignment horizontal="center"/>
    </xf>
    <xf numFmtId="3" fontId="52" fillId="2" borderId="294" xfId="16" applyNumberFormat="1" applyFont="1" applyFill="1" applyBorder="1"/>
    <xf numFmtId="3" fontId="53" fillId="0" borderId="269" xfId="16" applyNumberFormat="1" applyFont="1" applyBorder="1"/>
    <xf numFmtId="3" fontId="53" fillId="0" borderId="295" xfId="16" applyNumberFormat="1" applyFont="1" applyBorder="1"/>
    <xf numFmtId="164" fontId="53" fillId="0" borderId="269" xfId="33" applyNumberFormat="1" applyFont="1" applyFill="1" applyBorder="1" applyAlignment="1">
      <alignment wrapText="1"/>
    </xf>
    <xf numFmtId="0" fontId="52" fillId="0" borderId="212" xfId="16" applyFont="1" applyFill="1" applyBorder="1" applyAlignment="1">
      <alignment horizontal="left"/>
    </xf>
    <xf numFmtId="169" fontId="56" fillId="0" borderId="271" xfId="1" applyNumberFormat="1" applyFont="1" applyFill="1" applyBorder="1"/>
    <xf numFmtId="0" fontId="49" fillId="0" borderId="0" xfId="9" applyFont="1" applyAlignment="1">
      <alignment horizontal="left" vertical="top" wrapText="1"/>
    </xf>
    <xf numFmtId="3" fontId="38" fillId="0" borderId="277" xfId="0" applyNumberFormat="1" applyFont="1" applyFill="1" applyBorder="1" applyAlignment="1">
      <alignment horizontal="right" indent="1"/>
    </xf>
    <xf numFmtId="3" fontId="38" fillId="0" borderId="270" xfId="0" applyNumberFormat="1" applyFont="1" applyFill="1" applyBorder="1" applyAlignment="1">
      <alignment horizontal="right" indent="1"/>
    </xf>
    <xf numFmtId="3" fontId="38" fillId="0" borderId="271" xfId="0" quotePrefix="1" applyNumberFormat="1" applyFont="1" applyFill="1" applyBorder="1" applyAlignment="1">
      <alignment horizontal="right" indent="1"/>
    </xf>
    <xf numFmtId="169" fontId="38" fillId="0" borderId="271" xfId="1" applyNumberFormat="1" applyFont="1" applyFill="1" applyBorder="1"/>
    <xf numFmtId="0" fontId="36" fillId="0" borderId="297" xfId="15" applyFont="1" applyFill="1" applyBorder="1" applyAlignment="1">
      <alignment horizontal="center" wrapText="1"/>
    </xf>
    <xf numFmtId="169" fontId="56" fillId="0" borderId="274" xfId="1" applyNumberFormat="1" applyFont="1" applyFill="1" applyBorder="1"/>
    <xf numFmtId="169" fontId="56" fillId="0" borderId="298" xfId="1" applyNumberFormat="1" applyFont="1" applyFill="1" applyBorder="1"/>
    <xf numFmtId="3" fontId="44" fillId="0" borderId="152" xfId="9" applyNumberFormat="1" applyFont="1" applyBorder="1" applyAlignment="1">
      <alignment horizontal="right" indent="2"/>
    </xf>
    <xf numFmtId="3" fontId="56" fillId="0" borderId="152" xfId="0" applyNumberFormat="1" applyFont="1" applyBorder="1"/>
    <xf numFmtId="0" fontId="52" fillId="0" borderId="152" xfId="14" applyFont="1" applyFill="1" applyBorder="1" applyAlignment="1">
      <alignment horizontal="center" wrapText="1"/>
    </xf>
    <xf numFmtId="0" fontId="52" fillId="0" borderId="10" xfId="14" applyFont="1" applyFill="1" applyBorder="1" applyAlignment="1">
      <alignment horizontal="center" wrapText="1"/>
    </xf>
    <xf numFmtId="0" fontId="74" fillId="0" borderId="32" xfId="0" applyFont="1" applyBorder="1" applyAlignment="1">
      <alignment horizontal="left"/>
    </xf>
    <xf numFmtId="0" fontId="74" fillId="0" borderId="0" xfId="0" applyFont="1" applyBorder="1" applyAlignment="1">
      <alignment horizontal="left"/>
    </xf>
    <xf numFmtId="37" fontId="76" fillId="0" borderId="0" xfId="1" applyNumberFormat="1" applyFont="1" applyFill="1" applyAlignment="1">
      <alignment horizontal="center" vertical="center"/>
    </xf>
    <xf numFmtId="0" fontId="39" fillId="15" borderId="181" xfId="0" applyFont="1" applyFill="1" applyBorder="1" applyAlignment="1">
      <alignment horizontal="center"/>
    </xf>
    <xf numFmtId="0" fontId="36" fillId="0" borderId="211" xfId="0" applyFont="1" applyBorder="1"/>
    <xf numFmtId="3" fontId="36" fillId="3" borderId="211" xfId="0" applyNumberFormat="1" applyFont="1" applyFill="1" applyBorder="1"/>
    <xf numFmtId="3" fontId="56" fillId="0" borderId="211" xfId="0" applyNumberFormat="1" applyFont="1" applyBorder="1"/>
    <xf numFmtId="0" fontId="36" fillId="0" borderId="0" xfId="0" applyFont="1" applyBorder="1" applyAlignment="1">
      <alignment wrapText="1"/>
    </xf>
    <xf numFmtId="0" fontId="36" fillId="0" borderId="211" xfId="0" applyFont="1" applyBorder="1" applyAlignment="1">
      <alignment wrapText="1"/>
    </xf>
    <xf numFmtId="3" fontId="56" fillId="18" borderId="0" xfId="0" applyNumberFormat="1" applyFont="1" applyFill="1" applyBorder="1"/>
    <xf numFmtId="3" fontId="56" fillId="18" borderId="211" xfId="0" applyNumberFormat="1" applyFont="1" applyFill="1" applyBorder="1"/>
    <xf numFmtId="164" fontId="36" fillId="3" borderId="0" xfId="33" applyNumberFormat="1" applyFont="1" applyFill="1" applyBorder="1"/>
    <xf numFmtId="164" fontId="56" fillId="18" borderId="0" xfId="33" applyNumberFormat="1" applyFont="1" applyFill="1"/>
    <xf numFmtId="164" fontId="56" fillId="18" borderId="0" xfId="33" applyNumberFormat="1" applyFont="1" applyFill="1" applyBorder="1"/>
    <xf numFmtId="165" fontId="107" fillId="0" borderId="0" xfId="0" applyNumberFormat="1" applyFont="1" applyAlignment="1"/>
    <xf numFmtId="165" fontId="108" fillId="0" borderId="0" xfId="0" applyNumberFormat="1" applyFont="1" applyAlignment="1"/>
    <xf numFmtId="0" fontId="109" fillId="0" borderId="0" xfId="0" applyFont="1"/>
    <xf numFmtId="0" fontId="110" fillId="0" borderId="0" xfId="0" applyFont="1" applyAlignment="1">
      <alignment vertical="top" wrapText="1"/>
    </xf>
    <xf numFmtId="169" fontId="38" fillId="0" borderId="281" xfId="1" applyNumberFormat="1" applyFont="1" applyBorder="1"/>
    <xf numFmtId="9" fontId="38" fillId="0" borderId="283" xfId="33" applyFont="1" applyBorder="1" applyAlignment="1">
      <alignment horizontal="right" indent="1"/>
    </xf>
    <xf numFmtId="9" fontId="38" fillId="0" borderId="291" xfId="33" applyFont="1" applyBorder="1" applyAlignment="1">
      <alignment horizontal="right" indent="1"/>
    </xf>
    <xf numFmtId="169" fontId="38" fillId="0" borderId="284" xfId="1" applyNumberFormat="1" applyFont="1" applyBorder="1"/>
    <xf numFmtId="9" fontId="38" fillId="0" borderId="286" xfId="33" applyFont="1" applyBorder="1" applyAlignment="1">
      <alignment horizontal="right" indent="1"/>
    </xf>
    <xf numFmtId="9" fontId="38" fillId="0" borderId="293" xfId="33" applyFont="1" applyBorder="1" applyAlignment="1">
      <alignment horizontal="right" indent="1"/>
    </xf>
    <xf numFmtId="37" fontId="76" fillId="0" borderId="0" xfId="1" applyNumberFormat="1" applyFont="1" applyFill="1" applyAlignment="1">
      <alignment vertical="center"/>
    </xf>
    <xf numFmtId="0" fontId="38" fillId="0" borderId="0" xfId="0" applyFont="1" applyFill="1"/>
    <xf numFmtId="169" fontId="112" fillId="0" borderId="277" xfId="1" applyNumberFormat="1" applyFont="1" applyFill="1" applyBorder="1" applyAlignment="1"/>
    <xf numFmtId="169" fontId="112" fillId="0" borderId="287" xfId="1" applyNumberFormat="1" applyFont="1" applyFill="1" applyBorder="1" applyAlignment="1"/>
    <xf numFmtId="9" fontId="112" fillId="0" borderId="271" xfId="33" applyFont="1" applyFill="1" applyBorder="1" applyAlignment="1">
      <alignment horizontal="right" indent="1"/>
    </xf>
    <xf numFmtId="9" fontId="112" fillId="0" borderId="24" xfId="33" applyFont="1" applyFill="1" applyBorder="1" applyAlignment="1">
      <alignment horizontal="right" indent="1"/>
    </xf>
    <xf numFmtId="9" fontId="112" fillId="0" borderId="211" xfId="33" applyFont="1" applyFill="1" applyBorder="1" applyAlignment="1">
      <alignment horizontal="right" indent="1"/>
    </xf>
    <xf numFmtId="9" fontId="112" fillId="0" borderId="33" xfId="33" applyFont="1" applyFill="1" applyBorder="1" applyAlignment="1">
      <alignment horizontal="right" indent="1"/>
    </xf>
    <xf numFmtId="9" fontId="112" fillId="0" borderId="274" xfId="33" applyFont="1" applyFill="1" applyBorder="1" applyAlignment="1">
      <alignment horizontal="right" indent="1"/>
    </xf>
    <xf numFmtId="9" fontId="112" fillId="0" borderId="300" xfId="33" applyFont="1" applyFill="1" applyBorder="1" applyAlignment="1">
      <alignment horizontal="right" indent="1"/>
    </xf>
    <xf numFmtId="9" fontId="38" fillId="0" borderId="28" xfId="33" applyFont="1" applyBorder="1" applyAlignment="1">
      <alignment horizontal="right" indent="1"/>
    </xf>
    <xf numFmtId="9" fontId="38" fillId="0" borderId="299" xfId="33" applyFont="1" applyBorder="1" applyAlignment="1">
      <alignment horizontal="right" indent="1"/>
    </xf>
    <xf numFmtId="9" fontId="38" fillId="0" borderId="297" xfId="33" applyFont="1" applyBorder="1" applyAlignment="1">
      <alignment horizontal="right" indent="1"/>
    </xf>
    <xf numFmtId="0" fontId="0" fillId="0" borderId="0" xfId="0" applyFont="1" applyFill="1"/>
    <xf numFmtId="0" fontId="61" fillId="0" borderId="0" xfId="14" applyFont="1" applyAlignment="1">
      <alignment horizontal="left" vertical="top" wrapText="1"/>
    </xf>
    <xf numFmtId="0" fontId="23" fillId="0" borderId="0" xfId="14" applyFont="1" applyFill="1" applyBorder="1" applyAlignment="1">
      <alignment horizontal="left" wrapText="1"/>
    </xf>
    <xf numFmtId="169" fontId="36" fillId="2" borderId="278" xfId="1" applyNumberFormat="1" applyFont="1" applyFill="1" applyBorder="1"/>
    <xf numFmtId="0" fontId="52" fillId="0" borderId="292" xfId="14" applyFont="1" applyFill="1" applyBorder="1" applyAlignment="1">
      <alignment horizontal="center"/>
    </xf>
    <xf numFmtId="0" fontId="52" fillId="0" borderId="278" xfId="14" applyFont="1" applyFill="1" applyBorder="1" applyAlignment="1">
      <alignment horizontal="center"/>
    </xf>
    <xf numFmtId="169" fontId="36" fillId="2" borderId="292" xfId="1" applyNumberFormat="1" applyFont="1" applyFill="1" applyBorder="1"/>
    <xf numFmtId="0" fontId="56" fillId="0" borderId="296" xfId="0" applyFont="1" applyBorder="1"/>
    <xf numFmtId="0" fontId="56" fillId="0" borderId="296" xfId="0" applyFont="1" applyFill="1" applyBorder="1"/>
    <xf numFmtId="0" fontId="115" fillId="0" borderId="211" xfId="0" applyFont="1" applyFill="1" applyBorder="1"/>
    <xf numFmtId="0" fontId="56" fillId="0" borderId="296" xfId="0" applyFont="1" applyBorder="1" applyAlignment="1">
      <alignment horizontal="right"/>
    </xf>
    <xf numFmtId="0" fontId="56" fillId="0" borderId="0" xfId="0" applyFont="1" applyBorder="1" applyAlignment="1">
      <alignment horizontal="right"/>
    </xf>
    <xf numFmtId="0" fontId="56" fillId="0" borderId="302" xfId="0" applyFont="1" applyBorder="1"/>
    <xf numFmtId="0" fontId="52" fillId="0" borderId="303" xfId="14" applyFont="1" applyFill="1" applyBorder="1" applyAlignment="1">
      <alignment horizontal="center"/>
    </xf>
    <xf numFmtId="0" fontId="52" fillId="0" borderId="280" xfId="14" applyFont="1" applyFill="1" applyBorder="1" applyAlignment="1">
      <alignment horizontal="center"/>
    </xf>
    <xf numFmtId="169" fontId="36" fillId="2" borderId="293" xfId="1" applyNumberFormat="1" applyFont="1" applyFill="1" applyBorder="1"/>
    <xf numFmtId="0" fontId="52" fillId="0" borderId="296" xfId="14" applyFont="1" applyFill="1" applyBorder="1" applyAlignment="1">
      <alignment horizontal="center"/>
    </xf>
    <xf numFmtId="0" fontId="38" fillId="0" borderId="293" xfId="0" applyFont="1" applyBorder="1" applyAlignment="1">
      <alignment horizontal="right" indent="1"/>
    </xf>
    <xf numFmtId="0" fontId="39" fillId="15" borderId="284" xfId="0" applyFont="1" applyFill="1" applyBorder="1" applyAlignment="1">
      <alignment horizontal="center"/>
    </xf>
    <xf numFmtId="0" fontId="39" fillId="15" borderId="286" xfId="0" applyFont="1" applyFill="1" applyBorder="1" applyAlignment="1">
      <alignment horizontal="center"/>
    </xf>
    <xf numFmtId="3" fontId="38" fillId="0" borderId="284" xfId="0" applyNumberFormat="1" applyFont="1" applyFill="1" applyBorder="1" applyAlignment="1">
      <alignment horizontal="right" indent="1"/>
    </xf>
    <xf numFmtId="3" fontId="38" fillId="0" borderId="286" xfId="0" applyNumberFormat="1" applyFont="1" applyFill="1" applyBorder="1" applyAlignment="1">
      <alignment horizontal="right" indent="1"/>
    </xf>
    <xf numFmtId="0" fontId="23" fillId="0" borderId="0" xfId="15" applyFont="1" applyAlignment="1">
      <alignment horizontal="left" wrapText="1"/>
    </xf>
    <xf numFmtId="0" fontId="56" fillId="0" borderId="0" xfId="15" applyFont="1" applyAlignment="1">
      <alignment horizontal="left" wrapText="1"/>
    </xf>
    <xf numFmtId="49" fontId="63" fillId="0" borderId="0" xfId="19" applyNumberFormat="1" applyFont="1" applyBorder="1" applyAlignment="1">
      <alignment horizontal="center" wrapText="1"/>
    </xf>
    <xf numFmtId="49" fontId="63" fillId="0" borderId="0" xfId="19" applyNumberFormat="1" applyFont="1" applyBorder="1" applyAlignment="1">
      <alignment horizontal="center" wrapText="1"/>
    </xf>
    <xf numFmtId="0" fontId="23" fillId="0" borderId="0" xfId="0" applyFont="1" applyAlignment="1">
      <alignment horizontal="left" vertical="top" wrapText="1"/>
    </xf>
    <xf numFmtId="0" fontId="38" fillId="0" borderId="24" xfId="0" applyFont="1" applyBorder="1"/>
    <xf numFmtId="0" fontId="39" fillId="14" borderId="284" xfId="0" applyFont="1" applyFill="1" applyBorder="1" applyAlignment="1">
      <alignment horizontal="center"/>
    </xf>
    <xf numFmtId="0" fontId="39" fillId="14" borderId="286" xfId="0" applyFont="1" applyFill="1" applyBorder="1" applyAlignment="1">
      <alignment horizontal="center"/>
    </xf>
    <xf numFmtId="0" fontId="39" fillId="14" borderId="292" xfId="0" applyFont="1" applyFill="1" applyBorder="1" applyAlignment="1">
      <alignment horizontal="center"/>
    </xf>
    <xf numFmtId="3" fontId="38" fillId="0" borderId="292" xfId="0" applyNumberFormat="1" applyFont="1" applyFill="1" applyBorder="1" applyAlignment="1">
      <alignment horizontal="right" indent="1"/>
    </xf>
    <xf numFmtId="3" fontId="38" fillId="0" borderId="296" xfId="0" applyNumberFormat="1" applyFont="1" applyFill="1" applyBorder="1" applyAlignment="1">
      <alignment horizontal="right" indent="1"/>
    </xf>
    <xf numFmtId="0" fontId="39" fillId="14" borderId="278" xfId="0" applyFont="1" applyFill="1" applyBorder="1" applyAlignment="1">
      <alignment horizontal="center"/>
    </xf>
    <xf numFmtId="3" fontId="38" fillId="0" borderId="278" xfId="0" applyNumberFormat="1" applyFont="1" applyFill="1" applyBorder="1" applyAlignment="1">
      <alignment horizontal="right" indent="1"/>
    </xf>
    <xf numFmtId="3" fontId="38" fillId="0" borderId="282" xfId="0" applyNumberFormat="1" applyFont="1" applyFill="1" applyBorder="1" applyAlignment="1">
      <alignment horizontal="right" indent="1"/>
    </xf>
    <xf numFmtId="3" fontId="38" fillId="0" borderId="281" xfId="0" applyNumberFormat="1" applyFont="1" applyFill="1" applyBorder="1" applyAlignment="1">
      <alignment horizontal="right" indent="1"/>
    </xf>
    <xf numFmtId="0" fontId="38" fillId="0" borderId="301" xfId="0" applyFont="1" applyFill="1" applyBorder="1" applyAlignment="1">
      <alignment horizontal="left"/>
    </xf>
    <xf numFmtId="0" fontId="38" fillId="0" borderId="149" xfId="0" applyFont="1" applyFill="1" applyBorder="1" applyAlignment="1">
      <alignment horizontal="left"/>
    </xf>
    <xf numFmtId="0" fontId="38" fillId="0" borderId="296" xfId="0" applyFont="1" applyFill="1" applyBorder="1" applyAlignment="1">
      <alignment horizontal="left"/>
    </xf>
    <xf numFmtId="0" fontId="38" fillId="0" borderId="211" xfId="0" applyFont="1" applyFill="1" applyBorder="1" applyAlignment="1">
      <alignment horizontal="left"/>
    </xf>
    <xf numFmtId="3" fontId="63" fillId="18" borderId="278" xfId="19" applyNumberFormat="1" applyFont="1" applyFill="1" applyBorder="1" applyAlignment="1">
      <alignment vertical="top" wrapText="1"/>
    </xf>
    <xf numFmtId="49" fontId="63" fillId="0" borderId="296" xfId="19" applyNumberFormat="1" applyFont="1" applyBorder="1" applyAlignment="1">
      <alignment horizontal="center" wrapText="1"/>
    </xf>
    <xf numFmtId="49" fontId="63" fillId="0" borderId="211" xfId="19" applyNumberFormat="1" applyFont="1" applyBorder="1" applyAlignment="1">
      <alignment horizontal="center" wrapText="1"/>
    </xf>
    <xf numFmtId="3" fontId="50" fillId="4" borderId="292" xfId="19" applyNumberFormat="1" applyFont="1" applyFill="1" applyBorder="1" applyAlignment="1">
      <alignment vertical="top"/>
    </xf>
    <xf numFmtId="3" fontId="50" fillId="4" borderId="278" xfId="19" applyNumberFormat="1" applyFont="1" applyFill="1" applyBorder="1" applyAlignment="1">
      <alignment vertical="top"/>
    </xf>
    <xf numFmtId="3" fontId="50" fillId="4" borderId="293" xfId="19" applyNumberFormat="1" applyFont="1" applyFill="1" applyBorder="1" applyAlignment="1">
      <alignment vertical="top"/>
    </xf>
    <xf numFmtId="3" fontId="61" fillId="0" borderId="296" xfId="19" applyNumberFormat="1" applyFont="1" applyBorder="1" applyAlignment="1">
      <alignment vertical="top"/>
    </xf>
    <xf numFmtId="3" fontId="61" fillId="0" borderId="211" xfId="19" applyNumberFormat="1" applyFont="1" applyBorder="1" applyAlignment="1">
      <alignment vertical="top"/>
    </xf>
    <xf numFmtId="3" fontId="63" fillId="18" borderId="292" xfId="19" applyNumberFormat="1" applyFont="1" applyFill="1" applyBorder="1" applyAlignment="1">
      <alignment vertical="top" wrapText="1"/>
    </xf>
    <xf numFmtId="3" fontId="64" fillId="0" borderId="296" xfId="19" applyNumberFormat="1" applyFont="1" applyFill="1" applyBorder="1" applyAlignment="1">
      <alignment vertical="top" wrapText="1"/>
    </xf>
    <xf numFmtId="3" fontId="64" fillId="0" borderId="211" xfId="19" applyNumberFormat="1" applyFont="1" applyFill="1" applyBorder="1" applyAlignment="1">
      <alignment vertical="top" wrapText="1"/>
    </xf>
    <xf numFmtId="0" fontId="23" fillId="0" borderId="0" xfId="0" applyFont="1" applyAlignment="1">
      <alignment horizontal="left" vertical="top" wrapText="1"/>
    </xf>
    <xf numFmtId="49" fontId="63" fillId="0" borderId="296"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11" xfId="19" applyNumberFormat="1" applyFont="1" applyBorder="1" applyAlignment="1">
      <alignment horizontal="center" wrapText="1"/>
    </xf>
    <xf numFmtId="3" fontId="63" fillId="18" borderId="293" xfId="19" applyNumberFormat="1" applyFont="1" applyFill="1" applyBorder="1" applyAlignment="1">
      <alignment vertical="top" wrapText="1"/>
    </xf>
    <xf numFmtId="3" fontId="38" fillId="0" borderId="304" xfId="0" applyNumberFormat="1" applyFont="1" applyFill="1" applyBorder="1" applyAlignment="1">
      <alignment horizontal="right" indent="1"/>
    </xf>
    <xf numFmtId="0" fontId="39" fillId="14" borderId="177" xfId="0" applyFont="1" applyFill="1" applyBorder="1" applyAlignment="1">
      <alignment horizontal="center"/>
    </xf>
    <xf numFmtId="3" fontId="38" fillId="0" borderId="210" xfId="0" applyNumberFormat="1" applyFont="1" applyFill="1" applyBorder="1" applyAlignment="1">
      <alignment horizontal="right" indent="1"/>
    </xf>
    <xf numFmtId="3" fontId="38" fillId="0" borderId="305" xfId="0" applyNumberFormat="1" applyFont="1" applyFill="1" applyBorder="1" applyAlignment="1">
      <alignment horizontal="right" indent="1"/>
    </xf>
    <xf numFmtId="3" fontId="38" fillId="0" borderId="190" xfId="0" applyNumberFormat="1" applyFont="1" applyFill="1" applyBorder="1" applyAlignment="1">
      <alignment horizontal="right" indent="1"/>
    </xf>
    <xf numFmtId="3" fontId="38" fillId="0" borderId="177" xfId="0" applyNumberFormat="1" applyFont="1" applyFill="1" applyBorder="1" applyAlignment="1">
      <alignment horizontal="right" indent="1"/>
    </xf>
    <xf numFmtId="0" fontId="39" fillId="14" borderId="297" xfId="0" applyFont="1" applyFill="1" applyBorder="1" applyAlignment="1">
      <alignment horizontal="center" wrapText="1"/>
    </xf>
    <xf numFmtId="3" fontId="38" fillId="0" borderId="300" xfId="0" applyNumberFormat="1" applyFont="1" applyFill="1" applyBorder="1" applyAlignment="1">
      <alignment horizontal="right" indent="1"/>
    </xf>
    <xf numFmtId="3" fontId="38" fillId="0" borderId="274" xfId="0" applyNumberFormat="1" applyFont="1" applyFill="1" applyBorder="1" applyAlignment="1">
      <alignment horizontal="right" indent="1"/>
    </xf>
    <xf numFmtId="3" fontId="38" fillId="0" borderId="297" xfId="0" applyNumberFormat="1" applyFont="1" applyFill="1" applyBorder="1" applyAlignment="1">
      <alignment horizontal="right" indent="1"/>
    </xf>
    <xf numFmtId="0" fontId="23" fillId="0" borderId="0" xfId="15" applyFont="1" applyAlignment="1">
      <alignment horizontal="left" wrapText="1"/>
    </xf>
    <xf numFmtId="49" fontId="63" fillId="0" borderId="296"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11" xfId="19" applyNumberFormat="1" applyFont="1" applyBorder="1" applyAlignment="1">
      <alignment horizontal="center" wrapText="1"/>
    </xf>
    <xf numFmtId="3" fontId="50" fillId="4" borderId="297" xfId="19" applyNumberFormat="1" applyFont="1" applyFill="1" applyBorder="1" applyAlignment="1">
      <alignment vertical="top"/>
    </xf>
    <xf numFmtId="3" fontId="61" fillId="0" borderId="274" xfId="19" applyNumberFormat="1" applyFont="1" applyBorder="1" applyAlignment="1">
      <alignment vertical="top"/>
    </xf>
    <xf numFmtId="0" fontId="61" fillId="0" borderId="274" xfId="19" applyFont="1" applyBorder="1" applyAlignment="1">
      <alignment vertical="top"/>
    </xf>
    <xf numFmtId="169" fontId="64" fillId="0" borderId="0" xfId="1" applyNumberFormat="1" applyFont="1" applyFill="1" applyBorder="1" applyAlignment="1">
      <alignment vertical="top" wrapText="1"/>
    </xf>
    <xf numFmtId="169" fontId="63" fillId="18" borderId="278" xfId="1" applyNumberFormat="1" applyFont="1" applyFill="1" applyBorder="1" applyAlignment="1">
      <alignment vertical="top" wrapText="1"/>
    </xf>
    <xf numFmtId="169" fontId="50" fillId="4" borderId="297" xfId="1" applyNumberFormat="1" applyFont="1" applyFill="1" applyBorder="1" applyAlignment="1">
      <alignment vertical="top"/>
    </xf>
    <xf numFmtId="0" fontId="36" fillId="0" borderId="297" xfId="15" applyFont="1" applyBorder="1" applyAlignment="1">
      <alignment horizontal="center" wrapText="1"/>
    </xf>
    <xf numFmtId="3" fontId="56" fillId="0" borderId="274" xfId="15" applyNumberFormat="1" applyFont="1" applyBorder="1"/>
    <xf numFmtId="3" fontId="56" fillId="0" borderId="300" xfId="15" applyNumberFormat="1" applyFont="1" applyBorder="1"/>
    <xf numFmtId="3" fontId="56" fillId="0" borderId="274" xfId="15" applyNumberFormat="1" applyFont="1" applyFill="1" applyBorder="1"/>
    <xf numFmtId="0" fontId="23" fillId="0" borderId="0" xfId="15" applyFont="1" applyAlignment="1">
      <alignment horizontal="left" wrapText="1"/>
    </xf>
    <xf numFmtId="0" fontId="56" fillId="0" borderId="0" xfId="15" applyFont="1" applyAlignment="1">
      <alignment horizontal="left" wrapText="1"/>
    </xf>
    <xf numFmtId="0" fontId="23" fillId="0" borderId="0" xfId="0" applyFont="1" applyAlignment="1">
      <alignment horizontal="left" vertical="top" wrapText="1"/>
    </xf>
    <xf numFmtId="49" fontId="63" fillId="0" borderId="296"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11" xfId="19" applyNumberFormat="1" applyFont="1" applyBorder="1" applyAlignment="1">
      <alignment horizontal="center" wrapText="1"/>
    </xf>
    <xf numFmtId="37" fontId="56" fillId="0" borderId="0" xfId="1" applyNumberFormat="1" applyFont="1"/>
    <xf numFmtId="49" fontId="63" fillId="0" borderId="296" xfId="19" applyNumberFormat="1" applyFont="1" applyBorder="1" applyAlignment="1">
      <alignment wrapText="1"/>
    </xf>
    <xf numFmtId="0" fontId="50" fillId="0" borderId="0" xfId="19" applyFont="1" applyAlignment="1">
      <alignment horizontal="center" vertical="top" wrapText="1"/>
    </xf>
    <xf numFmtId="0" fontId="56" fillId="0" borderId="274" xfId="15" applyFont="1" applyBorder="1"/>
    <xf numFmtId="0" fontId="56" fillId="0" borderId="274" xfId="15" applyFont="1" applyFill="1" applyBorder="1" applyAlignment="1">
      <alignment vertical="top"/>
    </xf>
    <xf numFmtId="0" fontId="23" fillId="0" borderId="0" xfId="15" applyFont="1" applyAlignment="1">
      <alignment horizontal="left" wrapText="1"/>
    </xf>
    <xf numFmtId="3" fontId="36" fillId="2" borderId="297" xfId="15" applyNumberFormat="1" applyFont="1" applyFill="1" applyBorder="1" applyAlignment="1">
      <alignment horizontal="right" vertical="top"/>
    </xf>
    <xf numFmtId="3" fontId="56" fillId="0" borderId="274" xfId="15" applyNumberFormat="1" applyFont="1" applyFill="1" applyBorder="1" applyAlignment="1">
      <alignment horizontal="right" vertical="top"/>
    </xf>
    <xf numFmtId="3" fontId="56" fillId="0" borderId="300" xfId="15" applyNumberFormat="1" applyFont="1" applyFill="1" applyBorder="1" applyAlignment="1">
      <alignment horizontal="right" vertical="top"/>
    </xf>
    <xf numFmtId="169" fontId="56" fillId="0" borderId="274" xfId="1" applyNumberFormat="1" applyFont="1" applyBorder="1"/>
    <xf numFmtId="169" fontId="56" fillId="0" borderId="300" xfId="1" applyNumberFormat="1" applyFont="1" applyBorder="1"/>
    <xf numFmtId="0" fontId="36" fillId="0" borderId="297" xfId="15" applyFont="1" applyBorder="1"/>
    <xf numFmtId="3" fontId="36" fillId="2" borderId="297" xfId="15" applyNumberFormat="1" applyFont="1" applyFill="1" applyBorder="1"/>
    <xf numFmtId="169" fontId="36" fillId="2" borderId="297" xfId="1" applyNumberFormat="1" applyFont="1" applyFill="1" applyBorder="1" applyAlignment="1">
      <alignment horizontal="center" wrapText="1"/>
    </xf>
    <xf numFmtId="3" fontId="56" fillId="0" borderId="300" xfId="15" applyNumberFormat="1" applyFont="1" applyFill="1" applyBorder="1"/>
    <xf numFmtId="169" fontId="56" fillId="0" borderId="300" xfId="1" applyNumberFormat="1" applyFont="1" applyFill="1" applyBorder="1"/>
    <xf numFmtId="0" fontId="23" fillId="0" borderId="0" xfId="15" applyFont="1" applyBorder="1" applyAlignment="1">
      <alignment horizontal="left" wrapText="1"/>
    </xf>
    <xf numFmtId="0" fontId="36" fillId="0" borderId="211" xfId="15" applyFont="1" applyBorder="1" applyAlignment="1">
      <alignment horizontal="center"/>
    </xf>
    <xf numFmtId="169" fontId="56" fillId="0" borderId="211" xfId="1" applyNumberFormat="1" applyFont="1" applyFill="1" applyBorder="1"/>
    <xf numFmtId="0" fontId="36" fillId="0" borderId="302" xfId="15" applyFont="1" applyFill="1" applyBorder="1" applyAlignment="1">
      <alignment horizontal="center" wrapText="1"/>
    </xf>
    <xf numFmtId="3" fontId="36" fillId="0" borderId="211" xfId="15" applyNumberFormat="1" applyFont="1" applyFill="1" applyBorder="1" applyAlignment="1">
      <alignment horizontal="right" vertical="top"/>
    </xf>
    <xf numFmtId="169" fontId="56" fillId="0" borderId="270" xfId="1" applyNumberFormat="1" applyFont="1" applyFill="1" applyBorder="1"/>
    <xf numFmtId="0" fontId="23" fillId="0" borderId="0" xfId="15" applyFont="1" applyAlignment="1">
      <alignment horizontal="left" wrapText="1"/>
    </xf>
    <xf numFmtId="0" fontId="56" fillId="0" borderId="0" xfId="15" applyFont="1" applyAlignment="1">
      <alignment horizontal="left" wrapText="1"/>
    </xf>
    <xf numFmtId="0" fontId="41" fillId="0" borderId="0" xfId="0" applyFont="1" applyBorder="1" applyAlignment="1">
      <alignment horizontal="left" vertical="top" wrapText="1"/>
    </xf>
    <xf numFmtId="0" fontId="23" fillId="0" borderId="0" xfId="15" applyFont="1" applyAlignment="1">
      <alignment horizontal="left" wrapText="1"/>
    </xf>
    <xf numFmtId="0" fontId="56" fillId="0" borderId="0" xfId="15" applyFont="1" applyAlignment="1">
      <alignment horizontal="left" wrapText="1"/>
    </xf>
    <xf numFmtId="0" fontId="36" fillId="13" borderId="0" xfId="0" applyFont="1" applyFill="1"/>
    <xf numFmtId="169" fontId="36" fillId="13" borderId="0" xfId="1" applyNumberFormat="1" applyFont="1" applyFill="1"/>
    <xf numFmtId="0" fontId="36" fillId="13" borderId="0" xfId="0" applyFont="1" applyFill="1" applyAlignment="1">
      <alignment horizontal="center"/>
    </xf>
    <xf numFmtId="0" fontId="56" fillId="0" borderId="274" xfId="15" applyFont="1" applyBorder="1" applyAlignment="1">
      <alignment horizontal="center"/>
    </xf>
    <xf numFmtId="0" fontId="36" fillId="13" borderId="297" xfId="15" applyFont="1" applyFill="1" applyBorder="1" applyAlignment="1">
      <alignment horizontal="center"/>
    </xf>
    <xf numFmtId="0" fontId="36" fillId="13" borderId="297" xfId="15" applyFont="1" applyFill="1" applyBorder="1" applyAlignment="1">
      <alignment horizontal="left" wrapText="1"/>
    </xf>
    <xf numFmtId="169" fontId="36" fillId="13" borderId="297" xfId="1" applyNumberFormat="1" applyFont="1" applyFill="1" applyBorder="1" applyAlignment="1">
      <alignment horizontal="center" wrapText="1"/>
    </xf>
    <xf numFmtId="9" fontId="39" fillId="14" borderId="282" xfId="33" applyFont="1" applyFill="1" applyBorder="1" applyAlignment="1">
      <alignment horizontal="center" vertical="center"/>
    </xf>
    <xf numFmtId="0" fontId="73" fillId="14" borderId="305" xfId="0" applyFont="1" applyFill="1" applyBorder="1" applyAlignment="1">
      <alignment horizontal="center" vertical="center" wrapText="1"/>
    </xf>
    <xf numFmtId="3" fontId="38" fillId="0" borderId="282" xfId="0" applyNumberFormat="1" applyFont="1" applyBorder="1" applyAlignment="1">
      <alignment horizontal="right" indent="1"/>
    </xf>
    <xf numFmtId="3" fontId="38" fillId="7" borderId="270" xfId="0" applyNumberFormat="1" applyFont="1" applyFill="1" applyBorder="1" applyAlignment="1">
      <alignment horizontal="right" indent="1"/>
    </xf>
    <xf numFmtId="3" fontId="38" fillId="0" borderId="270" xfId="0" applyNumberFormat="1" applyFont="1" applyBorder="1" applyAlignment="1">
      <alignment horizontal="right" indent="1"/>
    </xf>
    <xf numFmtId="9" fontId="39" fillId="14" borderId="290" xfId="33" applyFont="1" applyFill="1" applyBorder="1" applyAlignment="1">
      <alignment horizontal="center" vertical="center"/>
    </xf>
    <xf numFmtId="3" fontId="38" fillId="0" borderId="290" xfId="0" applyNumberFormat="1" applyFont="1" applyBorder="1" applyAlignment="1">
      <alignment horizontal="right" indent="1"/>
    </xf>
    <xf numFmtId="3" fontId="38" fillId="7" borderId="296" xfId="0" applyNumberFormat="1" applyFont="1" applyFill="1" applyBorder="1" applyAlignment="1">
      <alignment horizontal="right" indent="1"/>
    </xf>
    <xf numFmtId="3" fontId="38" fillId="0" borderId="296" xfId="0" applyNumberFormat="1" applyFont="1" applyBorder="1" applyAlignment="1">
      <alignment horizontal="right" indent="1"/>
    </xf>
    <xf numFmtId="3" fontId="38" fillId="0" borderId="303" xfId="0" applyNumberFormat="1" applyFont="1" applyFill="1" applyBorder="1" applyAlignment="1">
      <alignment horizontal="right" indent="1"/>
    </xf>
    <xf numFmtId="3" fontId="38" fillId="0" borderId="210" xfId="0" quotePrefix="1" applyNumberFormat="1" applyFont="1" applyFill="1" applyBorder="1" applyAlignment="1">
      <alignment horizontal="right" indent="1"/>
    </xf>
    <xf numFmtId="3" fontId="38" fillId="0" borderId="305" xfId="0" quotePrefix="1" applyNumberFormat="1" applyFont="1" applyFill="1" applyBorder="1" applyAlignment="1">
      <alignment horizontal="right" indent="1"/>
    </xf>
    <xf numFmtId="3" fontId="38" fillId="7" borderId="190" xfId="0" quotePrefix="1" applyNumberFormat="1" applyFont="1" applyFill="1" applyBorder="1" applyAlignment="1">
      <alignment horizontal="right" indent="1"/>
    </xf>
    <xf numFmtId="3" fontId="38" fillId="0" borderId="190" xfId="0" quotePrefix="1" applyNumberFormat="1" applyFont="1" applyFill="1" applyBorder="1" applyAlignment="1">
      <alignment horizontal="right" indent="1"/>
    </xf>
    <xf numFmtId="0" fontId="78" fillId="14" borderId="283" xfId="0" applyFont="1" applyFill="1" applyBorder="1" applyAlignment="1">
      <alignment horizontal="center" wrapText="1"/>
    </xf>
    <xf numFmtId="169" fontId="38" fillId="0" borderId="283" xfId="1" applyNumberFormat="1" applyFont="1" applyBorder="1"/>
    <xf numFmtId="169" fontId="38" fillId="7" borderId="271" xfId="1" applyNumberFormat="1" applyFont="1" applyFill="1" applyBorder="1"/>
    <xf numFmtId="169" fontId="38" fillId="0" borderId="271" xfId="1" applyNumberFormat="1" applyFont="1" applyBorder="1"/>
    <xf numFmtId="169" fontId="38" fillId="0" borderId="304" xfId="1" applyNumberFormat="1" applyFont="1" applyFill="1" applyBorder="1"/>
    <xf numFmtId="0" fontId="45" fillId="10" borderId="26" xfId="0" quotePrefix="1" applyFont="1" applyFill="1" applyBorder="1" applyAlignment="1">
      <alignment horizontal="center"/>
    </xf>
    <xf numFmtId="0" fontId="45" fillId="10" borderId="26" xfId="0" applyFont="1" applyFill="1" applyBorder="1" applyAlignment="1">
      <alignment horizontal="center"/>
    </xf>
    <xf numFmtId="169" fontId="24" fillId="0" borderId="0" xfId="1" applyNumberFormat="1" applyFont="1" applyFill="1" applyBorder="1" applyAlignment="1">
      <alignment horizontal="right" wrapText="1"/>
    </xf>
    <xf numFmtId="0" fontId="49" fillId="0" borderId="0" xfId="0" applyFont="1" applyBorder="1" applyAlignment="1">
      <alignment horizontal="center"/>
    </xf>
    <xf numFmtId="0" fontId="49" fillId="0" borderId="152" xfId="0" applyFont="1" applyBorder="1" applyAlignment="1">
      <alignment horizontal="center"/>
    </xf>
    <xf numFmtId="170" fontId="19" fillId="0" borderId="306" xfId="0" applyNumberFormat="1" applyFont="1" applyFill="1" applyBorder="1"/>
    <xf numFmtId="3" fontId="19" fillId="2" borderId="306" xfId="0" applyNumberFormat="1" applyFont="1" applyFill="1" applyBorder="1" applyAlignment="1">
      <alignment horizontal="right" vertical="center"/>
    </xf>
    <xf numFmtId="170" fontId="19" fillId="0" borderId="285" xfId="0" applyNumberFormat="1" applyFont="1" applyFill="1" applyBorder="1"/>
    <xf numFmtId="170" fontId="19" fillId="0" borderId="286" xfId="0" applyNumberFormat="1" applyFont="1" applyFill="1" applyBorder="1"/>
    <xf numFmtId="3" fontId="19" fillId="2" borderId="285" xfId="0" applyNumberFormat="1" applyFont="1" applyFill="1" applyBorder="1" applyAlignment="1">
      <alignment horizontal="right" vertical="center"/>
    </xf>
    <xf numFmtId="3" fontId="18" fillId="0" borderId="270" xfId="0" applyNumberFormat="1" applyFont="1" applyFill="1" applyBorder="1" applyAlignment="1">
      <alignment horizontal="right" vertical="center"/>
    </xf>
    <xf numFmtId="0" fontId="49" fillId="0" borderId="280" xfId="0" applyFont="1" applyBorder="1" applyAlignment="1">
      <alignment horizontal="center"/>
    </xf>
    <xf numFmtId="3" fontId="19" fillId="2" borderId="306" xfId="0" applyNumberFormat="1" applyFont="1" applyFill="1" applyBorder="1"/>
    <xf numFmtId="164" fontId="19" fillId="2" borderId="129" xfId="33" applyNumberFormat="1" applyFont="1" applyFill="1" applyBorder="1"/>
    <xf numFmtId="164" fontId="19" fillId="2" borderId="18" xfId="33" applyNumberFormat="1" applyFont="1" applyFill="1" applyBorder="1"/>
    <xf numFmtId="164" fontId="19" fillId="2" borderId="40" xfId="33" applyNumberFormat="1" applyFont="1" applyFill="1" applyBorder="1"/>
    <xf numFmtId="164" fontId="19" fillId="2" borderId="19" xfId="33" applyNumberFormat="1" applyFont="1" applyFill="1" applyBorder="1"/>
    <xf numFmtId="164" fontId="19" fillId="2" borderId="180" xfId="33" applyNumberFormat="1" applyFont="1" applyFill="1" applyBorder="1"/>
    <xf numFmtId="164" fontId="19" fillId="2" borderId="306" xfId="33" applyNumberFormat="1" applyFont="1" applyFill="1" applyBorder="1"/>
    <xf numFmtId="164" fontId="18" fillId="0" borderId="20" xfId="33" applyNumberFormat="1" applyFont="1" applyFill="1" applyBorder="1"/>
    <xf numFmtId="164" fontId="18" fillId="0" borderId="22" xfId="33" applyNumberFormat="1" applyFont="1" applyFill="1" applyBorder="1"/>
    <xf numFmtId="164" fontId="18" fillId="0" borderId="159" xfId="33" applyNumberFormat="1" applyFont="1" applyFill="1" applyBorder="1"/>
    <xf numFmtId="164" fontId="18" fillId="0" borderId="130" xfId="33" applyNumberFormat="1" applyFont="1" applyFill="1" applyBorder="1"/>
    <xf numFmtId="164" fontId="18" fillId="0" borderId="147" xfId="33" applyNumberFormat="1" applyFont="1" applyFill="1" applyBorder="1"/>
    <xf numFmtId="164" fontId="18" fillId="0" borderId="207" xfId="33" applyNumberFormat="1" applyFont="1" applyFill="1" applyBorder="1"/>
    <xf numFmtId="164" fontId="18" fillId="0" borderId="20" xfId="0" applyNumberFormat="1" applyFont="1" applyFill="1" applyBorder="1"/>
    <xf numFmtId="164" fontId="18" fillId="0" borderId="22" xfId="0" applyNumberFormat="1" applyFont="1" applyFill="1" applyBorder="1"/>
    <xf numFmtId="164" fontId="18" fillId="0" borderId="159" xfId="0" applyNumberFormat="1" applyFont="1" applyFill="1" applyBorder="1"/>
    <xf numFmtId="164" fontId="18" fillId="0" borderId="130" xfId="0" applyNumberFormat="1" applyFont="1" applyFill="1" applyBorder="1"/>
    <xf numFmtId="164" fontId="18" fillId="0" borderId="147" xfId="0" applyNumberFormat="1" applyFont="1" applyFill="1" applyBorder="1"/>
    <xf numFmtId="164" fontId="18" fillId="0" borderId="207" xfId="0" applyNumberFormat="1" applyFont="1" applyFill="1" applyBorder="1"/>
    <xf numFmtId="164" fontId="0" fillId="0" borderId="0" xfId="33" applyNumberFormat="1" applyFont="1"/>
    <xf numFmtId="0" fontId="21" fillId="0" borderId="0" xfId="14" applyFont="1" applyFill="1" applyBorder="1" applyAlignment="1">
      <alignment horizontal="left" vertical="top" wrapText="1"/>
    </xf>
    <xf numFmtId="0" fontId="61" fillId="0" borderId="0" xfId="14" applyFont="1" applyFill="1" applyBorder="1" applyAlignment="1">
      <alignment horizontal="left" vertical="top" wrapText="1"/>
    </xf>
    <xf numFmtId="170" fontId="19" fillId="0" borderId="292" xfId="0" applyNumberFormat="1" applyFont="1" applyFill="1" applyBorder="1"/>
    <xf numFmtId="3" fontId="19" fillId="2" borderId="292" xfId="0" applyNumberFormat="1" applyFont="1" applyFill="1" applyBorder="1"/>
    <xf numFmtId="3" fontId="18" fillId="0" borderId="296" xfId="0" applyNumberFormat="1" applyFont="1" applyFill="1" applyBorder="1"/>
    <xf numFmtId="3" fontId="18" fillId="0" borderId="301" xfId="0" applyNumberFormat="1" applyFont="1" applyFill="1" applyBorder="1"/>
    <xf numFmtId="3" fontId="19" fillId="2" borderId="292" xfId="0" applyNumberFormat="1" applyFont="1" applyFill="1" applyBorder="1" applyAlignment="1">
      <alignment horizontal="right" vertical="center"/>
    </xf>
    <xf numFmtId="3" fontId="18" fillId="0" borderId="296" xfId="0" applyNumberFormat="1" applyFont="1" applyFill="1" applyBorder="1" applyAlignment="1">
      <alignment horizontal="right" vertical="center"/>
    </xf>
    <xf numFmtId="3" fontId="18" fillId="0" borderId="301" xfId="0" applyNumberFormat="1" applyFont="1" applyFill="1" applyBorder="1" applyAlignment="1">
      <alignment horizontal="right" vertical="center"/>
    </xf>
    <xf numFmtId="170" fontId="19" fillId="0" borderId="308" xfId="0" applyNumberFormat="1" applyFont="1" applyFill="1" applyBorder="1"/>
    <xf numFmtId="177" fontId="19" fillId="2" borderId="292" xfId="0" applyNumberFormat="1" applyFont="1" applyFill="1" applyBorder="1"/>
    <xf numFmtId="177" fontId="18" fillId="0" borderId="296" xfId="0" applyNumberFormat="1" applyFont="1" applyFill="1" applyBorder="1"/>
    <xf numFmtId="177" fontId="18" fillId="0" borderId="301" xfId="0" applyNumberFormat="1" applyFont="1" applyFill="1" applyBorder="1"/>
    <xf numFmtId="177" fontId="18" fillId="0" borderId="270" xfId="0" applyNumberFormat="1" applyFont="1" applyFill="1" applyBorder="1"/>
    <xf numFmtId="3" fontId="19" fillId="2" borderId="17" xfId="0" applyNumberFormat="1" applyFont="1" applyFill="1" applyBorder="1" applyAlignment="1" applyProtection="1">
      <alignment horizontal="right" vertical="center"/>
    </xf>
    <xf numFmtId="3" fontId="19" fillId="2" borderId="19" xfId="0" applyNumberFormat="1" applyFont="1" applyFill="1" applyBorder="1" applyAlignment="1" applyProtection="1">
      <alignment horizontal="right" vertical="center"/>
    </xf>
    <xf numFmtId="1" fontId="38" fillId="0" borderId="286" xfId="0" applyNumberFormat="1" applyFont="1" applyBorder="1" applyAlignment="1">
      <alignment horizontal="right" indent="1"/>
    </xf>
    <xf numFmtId="1" fontId="38" fillId="0" borderId="271" xfId="0" applyNumberFormat="1" applyFont="1" applyBorder="1" applyAlignment="1">
      <alignment horizontal="right" indent="1"/>
    </xf>
    <xf numFmtId="0" fontId="39" fillId="13" borderId="284" xfId="0" applyFont="1" applyFill="1" applyBorder="1" applyAlignment="1">
      <alignment horizontal="center"/>
    </xf>
    <xf numFmtId="0" fontId="39" fillId="13" borderId="286" xfId="0" applyFont="1" applyFill="1" applyBorder="1" applyAlignment="1">
      <alignment horizontal="center"/>
    </xf>
    <xf numFmtId="0" fontId="38" fillId="12" borderId="296" xfId="0" applyFont="1" applyFill="1" applyBorder="1" applyAlignment="1">
      <alignment horizontal="left" indent="1"/>
    </xf>
    <xf numFmtId="164" fontId="38" fillId="12" borderId="277" xfId="0" applyNumberFormat="1" applyFont="1" applyFill="1" applyBorder="1" applyAlignment="1">
      <alignment horizontal="center"/>
    </xf>
    <xf numFmtId="164" fontId="38" fillId="12" borderId="271" xfId="0" applyNumberFormat="1" applyFont="1" applyFill="1" applyBorder="1" applyAlignment="1">
      <alignment horizontal="center"/>
    </xf>
    <xf numFmtId="164" fontId="38" fillId="12" borderId="271" xfId="33" applyNumberFormat="1" applyFont="1" applyFill="1" applyBorder="1" applyAlignment="1">
      <alignment horizontal="center"/>
    </xf>
    <xf numFmtId="0" fontId="38" fillId="0" borderId="296" xfId="0" applyFont="1" applyBorder="1" applyAlignment="1">
      <alignment horizontal="left" indent="1"/>
    </xf>
    <xf numFmtId="164" fontId="38" fillId="0" borderId="277" xfId="0" applyNumberFormat="1" applyFont="1" applyBorder="1" applyAlignment="1">
      <alignment horizontal="center"/>
    </xf>
    <xf numFmtId="164" fontId="38" fillId="0" borderId="271" xfId="0" applyNumberFormat="1" applyFont="1" applyBorder="1" applyAlignment="1">
      <alignment horizontal="center"/>
    </xf>
    <xf numFmtId="164" fontId="38" fillId="0" borderId="271" xfId="33" applyNumberFormat="1" applyFont="1" applyBorder="1" applyAlignment="1">
      <alignment horizontal="center"/>
    </xf>
    <xf numFmtId="164" fontId="38" fillId="0" borderId="277" xfId="0" applyNumberFormat="1" applyFont="1" applyFill="1" applyBorder="1" applyAlignment="1">
      <alignment horizontal="center"/>
    </xf>
    <xf numFmtId="164" fontId="38" fillId="0" borderId="271" xfId="33" applyNumberFormat="1" applyFont="1" applyFill="1" applyBorder="1" applyAlignment="1">
      <alignment horizontal="center"/>
    </xf>
    <xf numFmtId="0" fontId="52" fillId="0" borderId="309" xfId="14" applyFont="1" applyFill="1" applyBorder="1" applyAlignment="1">
      <alignment horizontal="left" wrapText="1"/>
    </xf>
    <xf numFmtId="0" fontId="53" fillId="0" borderId="296" xfId="14" applyFont="1" applyFill="1" applyBorder="1" applyAlignment="1">
      <alignment wrapText="1"/>
    </xf>
    <xf numFmtId="0" fontId="52" fillId="0" borderId="310" xfId="14" applyFont="1" applyFill="1" applyBorder="1" applyAlignment="1">
      <alignment horizontal="center" wrapText="1"/>
    </xf>
    <xf numFmtId="164" fontId="52" fillId="18" borderId="211" xfId="14" applyNumberFormat="1" applyFont="1" applyFill="1" applyBorder="1" applyAlignment="1">
      <alignment horizontal="center" wrapText="1"/>
    </xf>
    <xf numFmtId="164" fontId="53" fillId="0" borderId="211" xfId="14" applyNumberFormat="1" applyFont="1" applyFill="1" applyBorder="1" applyAlignment="1">
      <alignment horizontal="center" wrapText="1"/>
    </xf>
    <xf numFmtId="164" fontId="53" fillId="0" borderId="149" xfId="14" applyNumberFormat="1" applyFont="1" applyFill="1" applyBorder="1" applyAlignment="1">
      <alignment horizontal="center" wrapText="1"/>
    </xf>
    <xf numFmtId="164" fontId="52" fillId="18" borderId="274" xfId="14" applyNumberFormat="1" applyFont="1" applyFill="1" applyBorder="1" applyAlignment="1">
      <alignment horizontal="center" wrapText="1"/>
    </xf>
    <xf numFmtId="164" fontId="53" fillId="0" borderId="274" xfId="14" applyNumberFormat="1" applyFont="1" applyFill="1" applyBorder="1" applyAlignment="1">
      <alignment horizontal="center" wrapText="1"/>
    </xf>
    <xf numFmtId="164" fontId="53" fillId="0" borderId="300" xfId="14" applyNumberFormat="1" applyFont="1" applyFill="1" applyBorder="1" applyAlignment="1">
      <alignment horizontal="center" wrapText="1"/>
    </xf>
    <xf numFmtId="0" fontId="53" fillId="0" borderId="152" xfId="14" applyFont="1" applyFill="1" applyBorder="1" applyAlignment="1">
      <alignment wrapText="1"/>
    </xf>
    <xf numFmtId="0" fontId="52" fillId="0" borderId="201" xfId="14" applyFont="1" applyFill="1" applyBorder="1" applyAlignment="1">
      <alignment horizontal="center" wrapText="1"/>
    </xf>
    <xf numFmtId="0" fontId="52" fillId="0" borderId="202" xfId="14" applyFont="1" applyFill="1" applyBorder="1" applyAlignment="1">
      <alignment horizontal="center" wrapText="1"/>
    </xf>
    <xf numFmtId="0" fontId="52" fillId="0" borderId="209" xfId="14" applyFont="1" applyFill="1" applyBorder="1" applyAlignment="1">
      <alignment horizontal="center" wrapText="1"/>
    </xf>
    <xf numFmtId="169" fontId="52" fillId="18" borderId="277" xfId="1" applyNumberFormat="1" applyFont="1" applyFill="1" applyBorder="1" applyAlignment="1">
      <alignment horizontal="center" wrapText="1"/>
    </xf>
    <xf numFmtId="169" fontId="52" fillId="18" borderId="270" xfId="1" applyNumberFormat="1" applyFont="1" applyFill="1" applyBorder="1" applyAlignment="1">
      <alignment horizontal="center" wrapText="1"/>
    </xf>
    <xf numFmtId="169" fontId="53" fillId="0" borderId="311" xfId="1" applyNumberFormat="1" applyFont="1" applyFill="1" applyBorder="1" applyAlignment="1">
      <alignment wrapText="1"/>
    </xf>
    <xf numFmtId="169" fontId="53" fillId="0" borderId="312" xfId="1" applyNumberFormat="1" applyFont="1" applyFill="1" applyBorder="1" applyAlignment="1">
      <alignment wrapText="1"/>
    </xf>
    <xf numFmtId="164" fontId="53" fillId="0" borderId="274" xfId="33" applyNumberFormat="1" applyFont="1" applyFill="1" applyBorder="1" applyAlignment="1">
      <alignment wrapText="1"/>
    </xf>
    <xf numFmtId="169" fontId="53" fillId="0" borderId="277" xfId="1" applyNumberFormat="1" applyFont="1" applyFill="1" applyBorder="1" applyAlignment="1">
      <alignment wrapText="1"/>
    </xf>
    <xf numFmtId="169" fontId="53" fillId="0" borderId="270" xfId="1" applyNumberFormat="1" applyFont="1" applyFill="1" applyBorder="1" applyAlignment="1">
      <alignment wrapText="1"/>
    </xf>
    <xf numFmtId="169" fontId="53" fillId="0" borderId="313" xfId="1" applyNumberFormat="1" applyFont="1" applyFill="1" applyBorder="1" applyAlignment="1">
      <alignment wrapText="1"/>
    </xf>
    <xf numFmtId="169" fontId="53" fillId="0" borderId="314" xfId="1" applyNumberFormat="1" applyFont="1" applyFill="1" applyBorder="1" applyAlignment="1">
      <alignment wrapText="1"/>
    </xf>
    <xf numFmtId="164" fontId="53" fillId="0" borderId="300" xfId="33" applyNumberFormat="1" applyFont="1" applyFill="1" applyBorder="1" applyAlignment="1">
      <alignment wrapText="1"/>
    </xf>
    <xf numFmtId="0" fontId="53" fillId="0" borderId="211" xfId="14" applyFont="1" applyFill="1" applyBorder="1" applyAlignment="1">
      <alignment wrapText="1"/>
    </xf>
    <xf numFmtId="3" fontId="53" fillId="0" borderId="277" xfId="14" applyNumberFormat="1" applyFont="1" applyFill="1" applyBorder="1" applyAlignment="1">
      <alignment horizontal="right" wrapText="1"/>
    </xf>
    <xf numFmtId="3" fontId="53" fillId="0" borderId="270" xfId="14" applyNumberFormat="1" applyFont="1" applyFill="1" applyBorder="1" applyAlignment="1">
      <alignment horizontal="right" wrapText="1"/>
    </xf>
    <xf numFmtId="3" fontId="52" fillId="18" borderId="277" xfId="14" applyNumberFormat="1" applyFont="1" applyFill="1" applyBorder="1" applyAlignment="1">
      <alignment horizontal="right" wrapText="1"/>
    </xf>
    <xf numFmtId="3" fontId="52" fillId="18" borderId="270" xfId="14" applyNumberFormat="1" applyFont="1" applyFill="1" applyBorder="1" applyAlignment="1">
      <alignment horizontal="right" wrapText="1"/>
    </xf>
    <xf numFmtId="3" fontId="53" fillId="0" borderId="311" xfId="14" applyNumberFormat="1" applyFont="1" applyFill="1" applyBorder="1" applyAlignment="1">
      <alignment horizontal="right" wrapText="1"/>
    </xf>
    <xf numFmtId="3" fontId="53" fillId="0" borderId="312" xfId="14" applyNumberFormat="1" applyFont="1" applyFill="1" applyBorder="1" applyAlignment="1">
      <alignment horizontal="right" wrapText="1"/>
    </xf>
    <xf numFmtId="3" fontId="61" fillId="0" borderId="277" xfId="14" applyNumberFormat="1" applyFont="1" applyBorder="1"/>
    <xf numFmtId="3" fontId="61" fillId="0" borderId="270" xfId="14" applyNumberFormat="1" applyFont="1" applyBorder="1"/>
    <xf numFmtId="3" fontId="53" fillId="0" borderId="313" xfId="14" applyNumberFormat="1" applyFont="1" applyFill="1" applyBorder="1" applyAlignment="1">
      <alignment horizontal="right" wrapText="1"/>
    </xf>
    <xf numFmtId="3" fontId="53" fillId="0" borderId="314" xfId="14" applyNumberFormat="1" applyFont="1" applyFill="1" applyBorder="1" applyAlignment="1">
      <alignment horizontal="right" wrapText="1"/>
    </xf>
    <xf numFmtId="3" fontId="53" fillId="0" borderId="296" xfId="14" applyNumberFormat="1" applyFont="1" applyFill="1" applyBorder="1" applyAlignment="1">
      <alignment horizontal="right" wrapText="1"/>
    </xf>
    <xf numFmtId="164" fontId="53" fillId="0" borderId="271" xfId="14" applyNumberFormat="1" applyFont="1" applyFill="1" applyBorder="1" applyAlignment="1">
      <alignment horizontal="center" wrapText="1"/>
    </xf>
    <xf numFmtId="164" fontId="52" fillId="18" borderId="271" xfId="14" applyNumberFormat="1" applyFont="1" applyFill="1" applyBorder="1" applyAlignment="1">
      <alignment horizontal="center" wrapText="1"/>
    </xf>
    <xf numFmtId="164" fontId="53" fillId="0" borderId="307" xfId="14" applyNumberFormat="1" applyFont="1" applyFill="1" applyBorder="1" applyAlignment="1">
      <alignment horizontal="center" wrapText="1"/>
    </xf>
    <xf numFmtId="169" fontId="50" fillId="18" borderId="189" xfId="1" applyNumberFormat="1" applyFont="1" applyFill="1" applyBorder="1"/>
    <xf numFmtId="169" fontId="61" fillId="0" borderId="189" xfId="1" applyNumberFormat="1" applyFont="1" applyBorder="1"/>
    <xf numFmtId="169" fontId="61" fillId="0" borderId="191" xfId="1" applyNumberFormat="1" applyFont="1" applyBorder="1"/>
    <xf numFmtId="3" fontId="52" fillId="0" borderId="296" xfId="14" applyNumberFormat="1" applyFont="1" applyFill="1" applyBorder="1" applyAlignment="1">
      <alignment horizontal="right" wrapText="1"/>
    </xf>
    <xf numFmtId="164" fontId="52" fillId="0" borderId="211" xfId="14" applyNumberFormat="1" applyFont="1" applyFill="1" applyBorder="1" applyAlignment="1">
      <alignment horizontal="center" wrapText="1"/>
    </xf>
    <xf numFmtId="169" fontId="50" fillId="18" borderId="277" xfId="1" applyNumberFormat="1" applyFont="1" applyFill="1" applyBorder="1"/>
    <xf numFmtId="3" fontId="36" fillId="18" borderId="270" xfId="0" applyNumberFormat="1" applyFont="1" applyFill="1" applyBorder="1"/>
    <xf numFmtId="169" fontId="61" fillId="0" borderId="277" xfId="1" applyNumberFormat="1" applyFont="1" applyBorder="1"/>
    <xf numFmtId="3" fontId="56" fillId="0" borderId="270" xfId="0" applyNumberFormat="1" applyFont="1" applyBorder="1"/>
    <xf numFmtId="0" fontId="61" fillId="0" borderId="296" xfId="14" applyFont="1" applyBorder="1"/>
    <xf numFmtId="169" fontId="50" fillId="18" borderId="277" xfId="14" applyNumberFormat="1" applyFont="1" applyFill="1" applyBorder="1"/>
    <xf numFmtId="0" fontId="52" fillId="0" borderId="203" xfId="14" applyFont="1" applyFill="1" applyBorder="1" applyAlignment="1">
      <alignment horizontal="center" wrapText="1"/>
    </xf>
    <xf numFmtId="169" fontId="50" fillId="18" borderId="270" xfId="1" applyNumberFormat="1" applyFont="1" applyFill="1" applyBorder="1"/>
    <xf numFmtId="0" fontId="61" fillId="0" borderId="277" xfId="14" applyFont="1" applyBorder="1"/>
    <xf numFmtId="0" fontId="61" fillId="0" borderId="270" xfId="14" applyFont="1" applyBorder="1"/>
    <xf numFmtId="0" fontId="61" fillId="0" borderId="185" xfId="14" applyFont="1" applyBorder="1"/>
    <xf numFmtId="164" fontId="52" fillId="0" borderId="271" xfId="14" applyNumberFormat="1" applyFont="1" applyFill="1" applyBorder="1" applyAlignment="1">
      <alignment horizontal="center" wrapText="1"/>
    </xf>
    <xf numFmtId="169" fontId="61" fillId="0" borderId="270" xfId="1" applyNumberFormat="1" applyFont="1" applyBorder="1"/>
    <xf numFmtId="169" fontId="61" fillId="0" borderId="185" xfId="1" applyNumberFormat="1" applyFont="1" applyBorder="1"/>
    <xf numFmtId="0" fontId="38" fillId="12" borderId="274" xfId="0" applyFont="1" applyFill="1" applyBorder="1" applyAlignment="1">
      <alignment horizontal="left" indent="1"/>
    </xf>
    <xf numFmtId="0" fontId="38" fillId="0" borderId="274" xfId="0" applyFont="1" applyBorder="1" applyAlignment="1">
      <alignment horizontal="left" indent="1"/>
    </xf>
    <xf numFmtId="37" fontId="38" fillId="0" borderId="277" xfId="1" applyNumberFormat="1" applyFont="1" applyBorder="1" applyAlignment="1">
      <alignment horizontal="center"/>
    </xf>
    <xf numFmtId="37" fontId="38" fillId="12" borderId="277" xfId="1" applyNumberFormat="1" applyFont="1" applyFill="1" applyBorder="1" applyAlignment="1">
      <alignment horizontal="center"/>
    </xf>
    <xf numFmtId="37" fontId="38" fillId="5" borderId="277" xfId="1" applyNumberFormat="1" applyFont="1" applyFill="1" applyBorder="1" applyAlignment="1">
      <alignment horizontal="center"/>
    </xf>
    <xf numFmtId="164" fontId="38" fillId="5" borderId="271" xfId="33" applyNumberFormat="1" applyFont="1" applyFill="1" applyBorder="1" applyAlignment="1">
      <alignment horizontal="center"/>
    </xf>
    <xf numFmtId="164" fontId="38" fillId="12" borderId="274" xfId="0" applyNumberFormat="1" applyFont="1" applyFill="1" applyBorder="1" applyAlignment="1">
      <alignment horizontal="center"/>
    </xf>
    <xf numFmtId="164" fontId="38" fillId="0" borderId="274" xfId="0" applyNumberFormat="1" applyFont="1" applyBorder="1" applyAlignment="1">
      <alignment horizontal="center"/>
    </xf>
    <xf numFmtId="164" fontId="38" fillId="5" borderId="274" xfId="0" applyNumberFormat="1" applyFont="1" applyFill="1" applyBorder="1" applyAlignment="1">
      <alignment horizontal="center"/>
    </xf>
    <xf numFmtId="0" fontId="39" fillId="13" borderId="162" xfId="0" applyFont="1" applyFill="1" applyBorder="1" applyAlignment="1">
      <alignment horizontal="center"/>
    </xf>
    <xf numFmtId="0" fontId="39" fillId="13" borderId="181" xfId="0" applyFont="1" applyFill="1" applyBorder="1" applyAlignment="1">
      <alignment horizontal="center"/>
    </xf>
    <xf numFmtId="0" fontId="39" fillId="13" borderId="179" xfId="0" applyFont="1" applyFill="1" applyBorder="1" applyAlignment="1">
      <alignment horizontal="center"/>
    </xf>
    <xf numFmtId="9" fontId="38" fillId="6" borderId="319" xfId="33" applyFont="1" applyFill="1" applyBorder="1" applyAlignment="1">
      <alignment horizontal="center"/>
    </xf>
    <xf numFmtId="9" fontId="38" fillId="6" borderId="320" xfId="33" applyFont="1" applyFill="1" applyBorder="1" applyAlignment="1">
      <alignment horizontal="center"/>
    </xf>
    <xf numFmtId="164" fontId="56" fillId="0" borderId="0" xfId="33" applyNumberFormat="1" applyFont="1"/>
    <xf numFmtId="3" fontId="38" fillId="0" borderId="323" xfId="0" applyNumberFormat="1" applyFont="1" applyFill="1" applyBorder="1" applyAlignment="1">
      <alignment horizontal="center"/>
    </xf>
    <xf numFmtId="9" fontId="38" fillId="6" borderId="324" xfId="33" applyFont="1" applyFill="1" applyBorder="1" applyAlignment="1">
      <alignment horizontal="center"/>
    </xf>
    <xf numFmtId="9" fontId="38" fillId="6" borderId="325" xfId="33" applyFont="1" applyFill="1" applyBorder="1" applyAlignment="1">
      <alignment horizontal="center"/>
    </xf>
    <xf numFmtId="9" fontId="38" fillId="6" borderId="321" xfId="33" applyFont="1" applyFill="1" applyBorder="1" applyAlignment="1">
      <alignment horizontal="center"/>
    </xf>
    <xf numFmtId="0" fontId="39" fillId="6" borderId="324" xfId="0" applyFont="1" applyFill="1" applyBorder="1" applyAlignment="1">
      <alignment horizontal="center" vertical="center"/>
    </xf>
    <xf numFmtId="0" fontId="39" fillId="6" borderId="97" xfId="0" applyFont="1" applyFill="1" applyBorder="1" applyAlignment="1">
      <alignment horizontal="center" vertical="center" wrapText="1"/>
    </xf>
    <xf numFmtId="3" fontId="38" fillId="0" borderId="211" xfId="0" applyNumberFormat="1" applyFont="1" applyFill="1" applyBorder="1" applyAlignment="1">
      <alignment horizontal="center"/>
    </xf>
    <xf numFmtId="9" fontId="39" fillId="6" borderId="293" xfId="33" applyFont="1" applyFill="1" applyBorder="1" applyAlignment="1">
      <alignment horizontal="center"/>
    </xf>
    <xf numFmtId="0" fontId="39" fillId="6" borderId="98" xfId="0" applyFont="1" applyFill="1" applyBorder="1" applyAlignment="1">
      <alignment horizontal="center" vertical="center" wrapText="1"/>
    </xf>
    <xf numFmtId="0" fontId="39" fillId="6" borderId="324" xfId="0" applyFont="1" applyFill="1" applyBorder="1" applyAlignment="1">
      <alignment horizontal="center" vertical="center" wrapText="1"/>
    </xf>
    <xf numFmtId="0" fontId="39" fillId="6" borderId="325" xfId="0" applyFont="1" applyFill="1" applyBorder="1" applyAlignment="1">
      <alignment horizontal="center" vertical="center" wrapText="1"/>
    </xf>
    <xf numFmtId="164" fontId="36" fillId="0" borderId="0" xfId="33" applyNumberFormat="1" applyFont="1"/>
    <xf numFmtId="1" fontId="38" fillId="0" borderId="95" xfId="0" applyNumberFormat="1" applyFont="1" applyFill="1" applyBorder="1" applyAlignment="1">
      <alignment horizontal="center"/>
    </xf>
    <xf numFmtId="1" fontId="38" fillId="0" borderId="96" xfId="0" applyNumberFormat="1" applyFont="1" applyFill="1" applyBorder="1" applyAlignment="1">
      <alignment horizontal="center"/>
    </xf>
    <xf numFmtId="1" fontId="36" fillId="0" borderId="0" xfId="0" applyNumberFormat="1" applyFont="1"/>
    <xf numFmtId="9" fontId="38" fillId="6" borderId="329" xfId="33" applyFont="1" applyFill="1" applyBorder="1" applyAlignment="1">
      <alignment horizontal="center"/>
    </xf>
    <xf numFmtId="1" fontId="38" fillId="0" borderId="94" xfId="0" applyNumberFormat="1" applyFont="1" applyBorder="1" applyAlignment="1">
      <alignment horizontal="right" indent="2"/>
    </xf>
    <xf numFmtId="9" fontId="38" fillId="6" borderId="318" xfId="33" applyFont="1" applyFill="1" applyBorder="1" applyAlignment="1">
      <alignment horizontal="center"/>
    </xf>
    <xf numFmtId="0" fontId="61" fillId="0" borderId="296" xfId="19" applyFont="1" applyBorder="1" applyAlignment="1">
      <alignment vertical="top"/>
    </xf>
    <xf numFmtId="0" fontId="61" fillId="0" borderId="211" xfId="19" applyFont="1" applyBorder="1" applyAlignment="1">
      <alignment vertical="top"/>
    </xf>
    <xf numFmtId="0" fontId="39" fillId="14" borderId="281" xfId="0" applyFont="1" applyFill="1" applyBorder="1" applyAlignment="1">
      <alignment horizontal="center" vertical="center"/>
    </xf>
    <xf numFmtId="0" fontId="39" fillId="14" borderId="330" xfId="0" applyFont="1" applyFill="1" applyBorder="1" applyAlignment="1">
      <alignment horizontal="center" vertical="center"/>
    </xf>
    <xf numFmtId="169" fontId="38" fillId="0" borderId="331" xfId="1" applyNumberFormat="1" applyFont="1" applyBorder="1" applyAlignment="1">
      <alignment horizontal="right"/>
    </xf>
    <xf numFmtId="169" fontId="38" fillId="0" borderId="330" xfId="1" applyNumberFormat="1" applyFont="1" applyBorder="1" applyAlignment="1">
      <alignment horizontal="right"/>
    </xf>
    <xf numFmtId="169" fontId="38" fillId="7" borderId="277" xfId="1" applyNumberFormat="1" applyFont="1" applyFill="1" applyBorder="1" applyAlignment="1">
      <alignment horizontal="right"/>
    </xf>
    <xf numFmtId="169" fontId="38" fillId="0" borderId="277" xfId="1" applyNumberFormat="1" applyFont="1" applyBorder="1" applyAlignment="1">
      <alignment horizontal="right"/>
    </xf>
    <xf numFmtId="169" fontId="38" fillId="0" borderId="277" xfId="1" applyNumberFormat="1" applyFont="1" applyFill="1" applyBorder="1" applyAlignment="1">
      <alignment horizontal="right"/>
    </xf>
    <xf numFmtId="169" fontId="38" fillId="0" borderId="166" xfId="1" applyNumberFormat="1" applyFont="1" applyFill="1" applyBorder="1" applyAlignment="1">
      <alignment horizontal="right"/>
    </xf>
    <xf numFmtId="169" fontId="38" fillId="7" borderId="277" xfId="1" applyNumberFormat="1" applyFont="1" applyFill="1" applyBorder="1"/>
    <xf numFmtId="169" fontId="38" fillId="0" borderId="332" xfId="1" applyNumberFormat="1" applyFont="1" applyFill="1" applyBorder="1"/>
    <xf numFmtId="169" fontId="38" fillId="0" borderId="333" xfId="1" applyNumberFormat="1" applyFont="1" applyFill="1" applyBorder="1"/>
    <xf numFmtId="0" fontId="68" fillId="0" borderId="334" xfId="30" applyFont="1" applyFill="1" applyBorder="1" applyAlignment="1">
      <alignment horizontal="center" wrapText="1"/>
    </xf>
    <xf numFmtId="167" fontId="67" fillId="0" borderId="335" xfId="3" applyNumberFormat="1" applyFont="1" applyFill="1" applyBorder="1" applyAlignment="1">
      <alignment wrapText="1"/>
    </xf>
    <xf numFmtId="167" fontId="67" fillId="0" borderId="336" xfId="3" applyNumberFormat="1" applyFont="1" applyFill="1" applyBorder="1" applyAlignment="1">
      <alignment wrapText="1"/>
    </xf>
    <xf numFmtId="167" fontId="67" fillId="0" borderId="337" xfId="3" applyNumberFormat="1" applyFont="1" applyFill="1" applyBorder="1" applyAlignment="1">
      <alignment wrapText="1"/>
    </xf>
    <xf numFmtId="0" fontId="68" fillId="0" borderId="338" xfId="32" applyFont="1" applyFill="1" applyBorder="1" applyAlignment="1">
      <alignment horizontal="center" wrapText="1"/>
    </xf>
    <xf numFmtId="5" fontId="67" fillId="0" borderId="339" xfId="3" applyNumberFormat="1" applyFont="1" applyFill="1" applyBorder="1" applyAlignment="1">
      <alignment wrapText="1"/>
    </xf>
    <xf numFmtId="5" fontId="67" fillId="0" borderId="340" xfId="3" applyNumberFormat="1" applyFont="1" applyFill="1" applyBorder="1" applyAlignment="1">
      <alignment wrapText="1"/>
    </xf>
    <xf numFmtId="5" fontId="67" fillId="0" borderId="341" xfId="3" applyNumberFormat="1" applyFont="1" applyFill="1" applyBorder="1" applyAlignment="1">
      <alignment wrapText="1"/>
    </xf>
    <xf numFmtId="5" fontId="3" fillId="0" borderId="342" xfId="0" applyNumberFormat="1" applyFont="1" applyBorder="1" applyAlignment="1"/>
    <xf numFmtId="167" fontId="41" fillId="5" borderId="277" xfId="0" applyNumberFormat="1" applyFont="1" applyFill="1" applyBorder="1"/>
    <xf numFmtId="167" fontId="41" fillId="5" borderId="270" xfId="0" applyNumberFormat="1" applyFont="1" applyFill="1" applyBorder="1"/>
    <xf numFmtId="9" fontId="59" fillId="11" borderId="332" xfId="0" applyNumberFormat="1" applyFont="1" applyFill="1" applyBorder="1"/>
    <xf numFmtId="174" fontId="36" fillId="0" borderId="345" xfId="3" applyNumberFormat="1" applyFont="1" applyBorder="1"/>
    <xf numFmtId="174" fontId="36" fillId="9" borderId="306" xfId="3" applyNumberFormat="1" applyFont="1" applyFill="1" applyBorder="1"/>
    <xf numFmtId="174" fontId="56" fillId="0" borderId="207" xfId="3" applyNumberFormat="1" applyFont="1" applyBorder="1"/>
    <xf numFmtId="174" fontId="56" fillId="0" borderId="346" xfId="3" applyNumberFormat="1" applyFont="1" applyBorder="1"/>
    <xf numFmtId="174" fontId="36" fillId="0" borderId="306" xfId="3" applyNumberFormat="1" applyFont="1" applyBorder="1"/>
    <xf numFmtId="174" fontId="36" fillId="24" borderId="306" xfId="3" applyNumberFormat="1" applyFont="1" applyFill="1" applyBorder="1"/>
    <xf numFmtId="174" fontId="36" fillId="9" borderId="278" xfId="3" applyNumberFormat="1" applyFont="1" applyFill="1" applyBorder="1"/>
    <xf numFmtId="5" fontId="36" fillId="9" borderId="306" xfId="3" applyNumberFormat="1" applyFont="1" applyFill="1" applyBorder="1"/>
    <xf numFmtId="9" fontId="36" fillId="9" borderId="278" xfId="33" applyFont="1" applyFill="1" applyBorder="1"/>
    <xf numFmtId="9" fontId="56" fillId="0" borderId="280" xfId="33" applyFont="1" applyBorder="1"/>
    <xf numFmtId="5" fontId="41" fillId="5" borderId="271" xfId="3" applyNumberFormat="1" applyFont="1" applyFill="1" applyBorder="1"/>
    <xf numFmtId="167" fontId="41" fillId="5" borderId="343" xfId="0" applyNumberFormat="1" applyFont="1" applyFill="1" applyBorder="1"/>
    <xf numFmtId="167" fontId="41" fillId="5" borderId="270" xfId="0" applyNumberFormat="1" applyFont="1" applyFill="1" applyBorder="1" applyAlignment="1">
      <alignment horizontal="right"/>
    </xf>
    <xf numFmtId="0" fontId="41" fillId="5" borderId="271" xfId="0" applyFont="1" applyFill="1" applyBorder="1" applyAlignment="1">
      <alignment horizontal="right"/>
    </xf>
    <xf numFmtId="0" fontId="38" fillId="5" borderId="0" xfId="0" applyFont="1" applyFill="1" applyBorder="1" applyAlignment="1">
      <alignment horizontal="left" indent="1"/>
    </xf>
    <xf numFmtId="0" fontId="60" fillId="0" borderId="0" xfId="0" applyFont="1" applyAlignment="1">
      <alignment horizontal="center" vertical="center" wrapText="1"/>
    </xf>
    <xf numFmtId="9" fontId="59" fillId="11" borderId="185" xfId="0" applyNumberFormat="1" applyFont="1" applyFill="1" applyBorder="1"/>
    <xf numFmtId="167" fontId="41" fillId="5" borderId="271" xfId="0" applyNumberFormat="1" applyFont="1" applyFill="1" applyBorder="1"/>
    <xf numFmtId="164" fontId="59" fillId="11" borderId="139" xfId="33" applyNumberFormat="1" applyFont="1" applyFill="1" applyBorder="1"/>
    <xf numFmtId="164" fontId="59" fillId="11" borderId="347" xfId="33" applyNumberFormat="1" applyFont="1" applyFill="1" applyBorder="1"/>
    <xf numFmtId="164" fontId="59" fillId="11" borderId="344" xfId="33" applyNumberFormat="1" applyFont="1" applyFill="1" applyBorder="1"/>
    <xf numFmtId="9" fontId="59" fillId="0" borderId="139" xfId="33" applyNumberFormat="1" applyFont="1" applyFill="1" applyBorder="1"/>
    <xf numFmtId="9" fontId="59" fillId="0" borderId="347" xfId="33" applyNumberFormat="1" applyFont="1" applyFill="1" applyBorder="1"/>
    <xf numFmtId="9" fontId="59" fillId="0" borderId="344" xfId="33" applyNumberFormat="1" applyFont="1" applyFill="1" applyBorder="1"/>
    <xf numFmtId="9" fontId="59" fillId="11" borderId="139" xfId="33" applyNumberFormat="1" applyFont="1" applyFill="1" applyBorder="1"/>
    <xf numFmtId="9" fontId="59" fillId="11" borderId="347" xfId="33" applyNumberFormat="1" applyFont="1" applyFill="1" applyBorder="1"/>
    <xf numFmtId="9" fontId="59" fillId="11" borderId="332" xfId="33" applyNumberFormat="1" applyFont="1" applyFill="1" applyBorder="1"/>
    <xf numFmtId="9" fontId="59" fillId="11" borderId="185" xfId="33" applyNumberFormat="1" applyFont="1" applyFill="1" applyBorder="1"/>
    <xf numFmtId="164" fontId="38" fillId="0" borderId="0" xfId="0" applyNumberFormat="1" applyFont="1"/>
    <xf numFmtId="167" fontId="96" fillId="28" borderId="277" xfId="0" applyNumberFormat="1" applyFont="1" applyFill="1" applyBorder="1"/>
    <xf numFmtId="167" fontId="96" fillId="28" borderId="270" xfId="0" applyNumberFormat="1" applyFont="1" applyFill="1" applyBorder="1"/>
    <xf numFmtId="167" fontId="96" fillId="28" borderId="271" xfId="0" applyNumberFormat="1" applyFont="1" applyFill="1" applyBorder="1"/>
    <xf numFmtId="167" fontId="96" fillId="28" borderId="331" xfId="0" applyNumberFormat="1" applyFont="1" applyFill="1" applyBorder="1"/>
    <xf numFmtId="167" fontId="96" fillId="28" borderId="282" xfId="0" applyNumberFormat="1" applyFont="1" applyFill="1" applyBorder="1"/>
    <xf numFmtId="167" fontId="96" fillId="28" borderId="358" xfId="0" applyNumberFormat="1" applyFont="1" applyFill="1" applyBorder="1"/>
    <xf numFmtId="167" fontId="41" fillId="5" borderId="358" xfId="0" applyNumberFormat="1" applyFont="1" applyFill="1" applyBorder="1"/>
    <xf numFmtId="9" fontId="59" fillId="11" borderId="360" xfId="33" applyFont="1" applyFill="1" applyBorder="1"/>
    <xf numFmtId="9" fontId="59" fillId="11" borderId="362" xfId="0" applyNumberFormat="1" applyFont="1" applyFill="1" applyBorder="1"/>
    <xf numFmtId="0" fontId="57" fillId="11" borderId="359" xfId="0" applyFont="1" applyFill="1" applyBorder="1" applyAlignment="1"/>
    <xf numFmtId="9" fontId="59" fillId="11" borderId="362" xfId="33" applyNumberFormat="1" applyFont="1" applyFill="1" applyBorder="1"/>
    <xf numFmtId="0" fontId="38" fillId="5" borderId="357" xfId="0" applyFont="1" applyFill="1" applyBorder="1" applyAlignment="1">
      <alignment horizontal="left" indent="1"/>
    </xf>
    <xf numFmtId="9" fontId="59" fillId="11" borderId="362" xfId="33" applyFont="1" applyFill="1" applyBorder="1"/>
    <xf numFmtId="167" fontId="97" fillId="28" borderId="364" xfId="0" applyNumberFormat="1" applyFont="1" applyFill="1" applyBorder="1"/>
    <xf numFmtId="0" fontId="39" fillId="0" borderId="365" xfId="0" applyFont="1" applyFill="1" applyBorder="1" applyAlignment="1"/>
    <xf numFmtId="0" fontId="38" fillId="0" borderId="366" xfId="0" applyFont="1" applyBorder="1" applyAlignment="1"/>
    <xf numFmtId="0" fontId="39" fillId="0" borderId="366" xfId="0" applyFont="1" applyFill="1" applyBorder="1" applyAlignment="1"/>
    <xf numFmtId="9" fontId="41" fillId="0" borderId="367" xfId="33" applyFont="1" applyFill="1" applyBorder="1"/>
    <xf numFmtId="9" fontId="41" fillId="0" borderId="368" xfId="33" applyFont="1" applyFill="1" applyBorder="1"/>
    <xf numFmtId="9" fontId="41" fillId="0" borderId="369" xfId="33" applyFont="1" applyFill="1" applyBorder="1"/>
    <xf numFmtId="0" fontId="45" fillId="0" borderId="0" xfId="0" quotePrefix="1" applyFont="1" applyFill="1" applyBorder="1" applyAlignment="1"/>
    <xf numFmtId="0" fontId="45" fillId="0" borderId="0" xfId="0" applyFont="1" applyFill="1" applyBorder="1" applyAlignment="1" applyProtection="1">
      <alignment vertical="center"/>
      <protection locked="0"/>
    </xf>
    <xf numFmtId="167" fontId="41" fillId="0" borderId="207" xfId="0" applyNumberFormat="1" applyFont="1" applyFill="1" applyBorder="1"/>
    <xf numFmtId="0" fontId="41" fillId="0" borderId="0" xfId="0" applyFont="1" applyAlignment="1"/>
    <xf numFmtId="0" fontId="60" fillId="0" borderId="0" xfId="0" applyFont="1" applyAlignment="1">
      <alignment vertical="center" wrapText="1"/>
    </xf>
    <xf numFmtId="167" fontId="41" fillId="0" borderId="207" xfId="0" applyNumberFormat="1" applyFont="1" applyFill="1" applyBorder="1" applyAlignment="1">
      <alignment horizontal="right"/>
    </xf>
    <xf numFmtId="167" fontId="41" fillId="0" borderId="131" xfId="0" applyNumberFormat="1" applyFont="1" applyFill="1" applyBorder="1" applyAlignment="1">
      <alignment horizontal="right"/>
    </xf>
    <xf numFmtId="167" fontId="41" fillId="5" borderId="271" xfId="0" applyNumberFormat="1" applyFont="1" applyFill="1" applyBorder="1" applyAlignment="1">
      <alignment horizontal="right"/>
    </xf>
    <xf numFmtId="164" fontId="59" fillId="11" borderId="332" xfId="33" applyNumberFormat="1" applyFont="1" applyFill="1" applyBorder="1"/>
    <xf numFmtId="164" fontId="59" fillId="11" borderId="185" xfId="33" applyNumberFormat="1" applyFont="1" applyFill="1" applyBorder="1"/>
    <xf numFmtId="167" fontId="96" fillId="27" borderId="99" xfId="0" applyNumberFormat="1" applyFont="1" applyFill="1" applyBorder="1"/>
    <xf numFmtId="167" fontId="97" fillId="27" borderId="105" xfId="0" applyNumberFormat="1" applyFont="1" applyFill="1" applyBorder="1"/>
    <xf numFmtId="9" fontId="59" fillId="29" borderId="139" xfId="33" applyFont="1" applyFill="1" applyBorder="1"/>
    <xf numFmtId="9" fontId="59" fillId="29" borderId="142" xfId="33" applyFont="1" applyFill="1" applyBorder="1"/>
    <xf numFmtId="0" fontId="57" fillId="29" borderId="140" xfId="0" applyFont="1" applyFill="1" applyBorder="1" applyAlignment="1"/>
    <xf numFmtId="0" fontId="39" fillId="29" borderId="141" xfId="0" applyFont="1" applyFill="1" applyBorder="1" applyAlignment="1"/>
    <xf numFmtId="9" fontId="59" fillId="29" borderId="143" xfId="33" applyFont="1" applyFill="1" applyBorder="1"/>
    <xf numFmtId="9" fontId="59" fillId="29" borderId="144" xfId="33" applyFont="1" applyFill="1" applyBorder="1"/>
    <xf numFmtId="164" fontId="59" fillId="29" borderId="151" xfId="33" applyNumberFormat="1" applyFont="1" applyFill="1" applyBorder="1"/>
    <xf numFmtId="164" fontId="59" fillId="29" borderId="150" xfId="33" applyNumberFormat="1" applyFont="1" applyFill="1" applyBorder="1"/>
    <xf numFmtId="167" fontId="96" fillId="28" borderId="134" xfId="0" applyNumberFormat="1" applyFont="1" applyFill="1" applyBorder="1"/>
    <xf numFmtId="167" fontId="96" fillId="28" borderId="296" xfId="0" applyNumberFormat="1" applyFont="1" applyFill="1" applyBorder="1"/>
    <xf numFmtId="167" fontId="96" fillId="28" borderId="145" xfId="0" applyNumberFormat="1" applyFont="1" applyFill="1" applyBorder="1"/>
    <xf numFmtId="167" fontId="96" fillId="28" borderId="14" xfId="0" applyNumberFormat="1" applyFont="1" applyFill="1" applyBorder="1"/>
    <xf numFmtId="167" fontId="96" fillId="28" borderId="15" xfId="0" applyNumberFormat="1" applyFont="1" applyFill="1" applyBorder="1"/>
    <xf numFmtId="167" fontId="96" fillId="28" borderId="16" xfId="0" applyNumberFormat="1" applyFont="1" applyFill="1" applyBorder="1"/>
    <xf numFmtId="174" fontId="38" fillId="0" borderId="0" xfId="3" applyNumberFormat="1" applyFont="1"/>
    <xf numFmtId="174" fontId="38" fillId="0" borderId="0" xfId="33" applyNumberFormat="1" applyFont="1"/>
    <xf numFmtId="174" fontId="38" fillId="0" borderId="0" xfId="0" applyNumberFormat="1" applyFont="1"/>
    <xf numFmtId="0" fontId="36" fillId="0" borderId="0" xfId="0" applyFont="1" applyBorder="1" applyAlignment="1">
      <alignment horizontal="center"/>
    </xf>
    <xf numFmtId="0" fontId="52" fillId="0" borderId="372" xfId="16" applyFont="1" applyBorder="1" applyAlignment="1">
      <alignment horizontal="center"/>
    </xf>
    <xf numFmtId="3" fontId="52" fillId="2" borderId="372" xfId="16" applyNumberFormat="1" applyFont="1" applyFill="1" applyBorder="1"/>
    <xf numFmtId="3" fontId="53" fillId="0" borderId="373" xfId="16" applyNumberFormat="1" applyFont="1" applyBorder="1"/>
    <xf numFmtId="0" fontId="36" fillId="0" borderId="375" xfId="0" applyFont="1" applyBorder="1" applyAlignment="1">
      <alignment horizontal="center"/>
    </xf>
    <xf numFmtId="164" fontId="56" fillId="4" borderId="375" xfId="33" applyNumberFormat="1" applyFont="1" applyFill="1" applyBorder="1"/>
    <xf numFmtId="164" fontId="56" fillId="0" borderId="190" xfId="33" applyNumberFormat="1" applyFont="1" applyBorder="1"/>
    <xf numFmtId="0" fontId="36" fillId="0" borderId="375" xfId="0" applyFont="1" applyBorder="1"/>
    <xf numFmtId="169" fontId="56" fillId="4" borderId="375" xfId="1" applyNumberFormat="1" applyFont="1" applyFill="1" applyBorder="1"/>
    <xf numFmtId="169" fontId="56" fillId="0" borderId="190" xfId="1" applyNumberFormat="1" applyFont="1" applyFill="1" applyBorder="1"/>
    <xf numFmtId="169" fontId="56" fillId="0" borderId="190" xfId="1" applyNumberFormat="1" applyFont="1" applyBorder="1"/>
    <xf numFmtId="164" fontId="56" fillId="0" borderId="270" xfId="33" applyNumberFormat="1" applyFont="1" applyBorder="1"/>
    <xf numFmtId="0" fontId="38" fillId="12" borderId="376" xfId="0" applyFont="1" applyFill="1" applyBorder="1" applyAlignment="1">
      <alignment horizontal="left" indent="1"/>
    </xf>
    <xf numFmtId="164" fontId="38" fillId="12" borderId="173" xfId="0" applyNumberFormat="1" applyFont="1" applyFill="1" applyBorder="1" applyAlignment="1">
      <alignment horizontal="center"/>
    </xf>
    <xf numFmtId="164" fontId="38" fillId="12" borderId="174" xfId="33" applyNumberFormat="1" applyFont="1" applyFill="1" applyBorder="1" applyAlignment="1">
      <alignment horizontal="center"/>
    </xf>
    <xf numFmtId="0" fontId="38" fillId="12" borderId="112" xfId="0" applyFont="1" applyFill="1" applyBorder="1" applyAlignment="1">
      <alignment horizontal="left" indent="1"/>
    </xf>
    <xf numFmtId="164" fontId="38" fillId="12" borderId="109" xfId="0" applyNumberFormat="1" applyFont="1" applyFill="1" applyBorder="1" applyAlignment="1">
      <alignment horizontal="center"/>
    </xf>
    <xf numFmtId="164" fontId="38" fillId="12" borderId="111" xfId="33" applyNumberFormat="1" applyFont="1" applyFill="1" applyBorder="1" applyAlignment="1">
      <alignment horizontal="center"/>
    </xf>
    <xf numFmtId="0" fontId="23" fillId="0" borderId="0" xfId="15" applyFont="1" applyAlignment="1">
      <alignment horizontal="left" wrapText="1"/>
    </xf>
    <xf numFmtId="0" fontId="61" fillId="0" borderId="211" xfId="0" applyFont="1" applyBorder="1"/>
    <xf numFmtId="0" fontId="61" fillId="0" borderId="211" xfId="0" applyFont="1" applyFill="1" applyBorder="1"/>
    <xf numFmtId="0" fontId="61" fillId="0" borderId="302" xfId="0" applyFont="1" applyBorder="1"/>
    <xf numFmtId="0" fontId="37" fillId="0" borderId="377" xfId="0" applyFont="1" applyBorder="1" applyAlignment="1">
      <alignment wrapText="1"/>
    </xf>
    <xf numFmtId="0" fontId="37" fillId="0" borderId="378" xfId="0" applyFont="1" applyBorder="1" applyAlignment="1">
      <alignment wrapText="1"/>
    </xf>
    <xf numFmtId="0" fontId="37" fillId="0" borderId="379" xfId="0" applyFont="1" applyBorder="1" applyAlignment="1">
      <alignment wrapText="1"/>
    </xf>
    <xf numFmtId="169" fontId="37" fillId="2" borderId="377" xfId="1" applyNumberFormat="1" applyFont="1" applyFill="1" applyBorder="1"/>
    <xf numFmtId="169" fontId="37" fillId="2" borderId="378" xfId="1" applyNumberFormat="1" applyFont="1" applyFill="1" applyBorder="1"/>
    <xf numFmtId="169" fontId="37" fillId="2" borderId="379" xfId="1" applyNumberFormat="1" applyFont="1" applyFill="1" applyBorder="1"/>
    <xf numFmtId="169" fontId="54" fillId="0" borderId="277" xfId="1" applyNumberFormat="1" applyFont="1" applyBorder="1"/>
    <xf numFmtId="169" fontId="54" fillId="0" borderId="270" xfId="1" applyNumberFormat="1" applyFont="1" applyBorder="1"/>
    <xf numFmtId="169" fontId="54" fillId="0" borderId="271" xfId="1" applyNumberFormat="1" applyFont="1" applyBorder="1"/>
    <xf numFmtId="0" fontId="37" fillId="0" borderId="380" xfId="0" applyFont="1" applyBorder="1" applyAlignment="1">
      <alignment wrapText="1"/>
    </xf>
    <xf numFmtId="0" fontId="37" fillId="0" borderId="381" xfId="0" applyFont="1" applyBorder="1" applyAlignment="1">
      <alignment wrapText="1"/>
    </xf>
    <xf numFmtId="0" fontId="37" fillId="0" borderId="382" xfId="0" applyFont="1" applyBorder="1" applyAlignment="1">
      <alignment wrapText="1"/>
    </xf>
    <xf numFmtId="9" fontId="37" fillId="2" borderId="377" xfId="33" applyFont="1" applyFill="1" applyBorder="1"/>
    <xf numFmtId="9" fontId="37" fillId="2" borderId="378" xfId="33" applyFont="1" applyFill="1" applyBorder="1"/>
    <xf numFmtId="9" fontId="37" fillId="2" borderId="379" xfId="33" applyFont="1" applyFill="1" applyBorder="1"/>
    <xf numFmtId="9" fontId="54" fillId="0" borderId="277" xfId="1" applyNumberFormat="1" applyFont="1" applyBorder="1"/>
    <xf numFmtId="9" fontId="54" fillId="0" borderId="270" xfId="1" applyNumberFormat="1" applyFont="1" applyBorder="1"/>
    <xf numFmtId="9" fontId="54" fillId="0" borderId="271" xfId="1" applyNumberFormat="1" applyFont="1" applyBorder="1"/>
    <xf numFmtId="3" fontId="52" fillId="2" borderId="177" xfId="16" applyNumberFormat="1" applyFont="1" applyFill="1" applyBorder="1" applyAlignment="1">
      <alignment horizontal="center" vertical="center"/>
    </xf>
    <xf numFmtId="3" fontId="53" fillId="0" borderId="22" xfId="28" applyNumberFormat="1" applyFont="1" applyFill="1" applyBorder="1"/>
    <xf numFmtId="3" fontId="38" fillId="7" borderId="277" xfId="0" applyNumberFormat="1" applyFont="1" applyFill="1" applyBorder="1" applyAlignment="1">
      <alignment horizontal="right" indent="1"/>
    </xf>
    <xf numFmtId="3" fontId="38" fillId="7" borderId="271" xfId="0" applyNumberFormat="1" applyFont="1" applyFill="1" applyBorder="1" applyAlignment="1">
      <alignment horizontal="right" indent="1"/>
    </xf>
    <xf numFmtId="0" fontId="48" fillId="0" borderId="0" xfId="0" applyFont="1" applyFill="1" applyBorder="1" applyAlignment="1">
      <alignment horizontal="left" vertical="center" wrapText="1"/>
    </xf>
    <xf numFmtId="169" fontId="56" fillId="0" borderId="374" xfId="1" applyNumberFormat="1" applyFont="1" applyBorder="1"/>
    <xf numFmtId="169" fontId="56" fillId="0" borderId="386" xfId="1" applyNumberFormat="1" applyFont="1" applyBorder="1"/>
    <xf numFmtId="0" fontId="36" fillId="0" borderId="385" xfId="15" applyFont="1" applyBorder="1"/>
    <xf numFmtId="3" fontId="36" fillId="2" borderId="385" xfId="15" applyNumberFormat="1" applyFont="1" applyFill="1" applyBorder="1"/>
    <xf numFmtId="3" fontId="56" fillId="0" borderId="374" xfId="15" applyNumberFormat="1" applyFont="1" applyFill="1" applyBorder="1" applyAlignment="1">
      <alignment horizontal="right" vertical="top"/>
    </xf>
    <xf numFmtId="0" fontId="36" fillId="0" borderId="385" xfId="15" applyFont="1" applyFill="1" applyBorder="1" applyAlignment="1">
      <alignment horizontal="center" wrapText="1"/>
    </xf>
    <xf numFmtId="3" fontId="36" fillId="2" borderId="385" xfId="15" applyNumberFormat="1" applyFont="1" applyFill="1" applyBorder="1" applyAlignment="1">
      <alignment horizontal="right" vertical="top"/>
    </xf>
    <xf numFmtId="3" fontId="56" fillId="0" borderId="386" xfId="15" applyNumberFormat="1" applyFont="1" applyFill="1" applyBorder="1" applyAlignment="1">
      <alignment horizontal="right" vertical="top"/>
    </xf>
    <xf numFmtId="3" fontId="36" fillId="7" borderId="374" xfId="15" applyNumberFormat="1" applyFont="1" applyFill="1" applyBorder="1" applyAlignment="1">
      <alignment horizontal="right" vertical="top"/>
    </xf>
    <xf numFmtId="169" fontId="56" fillId="0" borderId="374" xfId="1" applyNumberFormat="1" applyFont="1" applyFill="1" applyBorder="1"/>
    <xf numFmtId="169" fontId="56" fillId="0" borderId="386" xfId="1" applyNumberFormat="1" applyFont="1" applyFill="1" applyBorder="1"/>
    <xf numFmtId="3" fontId="36" fillId="7" borderId="386" xfId="15" applyNumberFormat="1" applyFont="1" applyFill="1" applyBorder="1" applyAlignment="1">
      <alignment horizontal="right" vertical="top"/>
    </xf>
    <xf numFmtId="0" fontId="23" fillId="0" borderId="0" xfId="15" applyFont="1" applyAlignment="1">
      <alignment horizontal="left" wrapText="1"/>
    </xf>
    <xf numFmtId="0" fontId="36" fillId="0" borderId="278" xfId="15" applyFont="1" applyFill="1" applyBorder="1" applyAlignment="1">
      <alignment horizontal="center" wrapText="1"/>
    </xf>
    <xf numFmtId="3" fontId="36" fillId="2" borderId="378" xfId="15" applyNumberFormat="1" applyFont="1" applyFill="1" applyBorder="1" applyAlignment="1">
      <alignment horizontal="right" vertical="top"/>
    </xf>
    <xf numFmtId="3" fontId="36" fillId="2" borderId="379" xfId="15" applyNumberFormat="1" applyFont="1" applyFill="1" applyBorder="1" applyAlignment="1">
      <alignment horizontal="right" vertical="top"/>
    </xf>
    <xf numFmtId="3" fontId="36" fillId="2" borderId="375" xfId="15" applyNumberFormat="1" applyFont="1" applyFill="1" applyBorder="1" applyAlignment="1">
      <alignment horizontal="right" vertical="top"/>
    </xf>
    <xf numFmtId="169" fontId="56" fillId="0" borderId="390" xfId="1" applyNumberFormat="1" applyFont="1" applyFill="1" applyBorder="1"/>
    <xf numFmtId="0" fontId="36" fillId="0" borderId="185" xfId="15" applyFont="1" applyFill="1" applyBorder="1" applyAlignment="1">
      <alignment horizontal="center" wrapText="1"/>
    </xf>
    <xf numFmtId="1" fontId="38" fillId="0" borderId="0" xfId="1" applyNumberFormat="1" applyFont="1" applyFill="1" applyBorder="1" applyAlignment="1">
      <alignment horizontal="right" indent="1"/>
    </xf>
    <xf numFmtId="1" fontId="38" fillId="0" borderId="0" xfId="0" applyNumberFormat="1" applyFont="1" applyFill="1" applyBorder="1" applyAlignment="1">
      <alignment horizontal="right" indent="1"/>
    </xf>
    <xf numFmtId="0" fontId="39" fillId="0" borderId="0" xfId="0" applyFont="1" applyFill="1" applyBorder="1" applyAlignment="1">
      <alignment vertical="center"/>
    </xf>
    <xf numFmtId="1" fontId="38" fillId="0" borderId="380" xfId="1" applyNumberFormat="1" applyFont="1" applyBorder="1" applyAlignment="1">
      <alignment horizontal="right" indent="1"/>
    </xf>
    <xf numFmtId="1" fontId="38" fillId="0" borderId="381" xfId="1" applyNumberFormat="1" applyFont="1" applyBorder="1" applyAlignment="1">
      <alignment horizontal="right" indent="1"/>
    </xf>
    <xf numFmtId="1" fontId="38" fillId="0" borderId="382" xfId="1" applyNumberFormat="1" applyFont="1" applyBorder="1" applyAlignment="1">
      <alignment horizontal="right" indent="1"/>
    </xf>
    <xf numFmtId="1" fontId="38" fillId="7" borderId="277" xfId="1" applyNumberFormat="1" applyFont="1" applyFill="1" applyBorder="1" applyAlignment="1">
      <alignment horizontal="right" indent="1"/>
    </xf>
    <xf numFmtId="1" fontId="38" fillId="7" borderId="270" xfId="1" applyNumberFormat="1" applyFont="1" applyFill="1" applyBorder="1" applyAlignment="1">
      <alignment horizontal="right" indent="1"/>
    </xf>
    <xf numFmtId="1" fontId="38" fillId="7" borderId="271" xfId="1" applyNumberFormat="1" applyFont="1" applyFill="1" applyBorder="1" applyAlignment="1">
      <alignment horizontal="right" indent="1"/>
    </xf>
    <xf numFmtId="1" fontId="38" fillId="0" borderId="277" xfId="1" applyNumberFormat="1" applyFont="1" applyBorder="1" applyAlignment="1">
      <alignment horizontal="right" indent="1"/>
    </xf>
    <xf numFmtId="1" fontId="38" fillId="0" borderId="270" xfId="1" applyNumberFormat="1" applyFont="1" applyBorder="1" applyAlignment="1">
      <alignment horizontal="right" indent="1"/>
    </xf>
    <xf numFmtId="1" fontId="38" fillId="0" borderId="271" xfId="1" applyNumberFormat="1" applyFont="1" applyBorder="1" applyAlignment="1">
      <alignment horizontal="right" indent="1"/>
    </xf>
    <xf numFmtId="1" fontId="38" fillId="5" borderId="277" xfId="1" applyNumberFormat="1" applyFont="1" applyFill="1" applyBorder="1" applyAlignment="1">
      <alignment horizontal="right" indent="1"/>
    </xf>
    <xf numFmtId="1" fontId="38" fillId="5" borderId="270" xfId="1" applyNumberFormat="1" applyFont="1" applyFill="1" applyBorder="1" applyAlignment="1">
      <alignment horizontal="right" indent="1"/>
    </xf>
    <xf numFmtId="1" fontId="38" fillId="5" borderId="271" xfId="1" applyNumberFormat="1" applyFont="1" applyFill="1" applyBorder="1" applyAlignment="1">
      <alignment horizontal="right" indent="1"/>
    </xf>
    <xf numFmtId="1" fontId="38" fillId="0" borderId="277" xfId="1" applyNumberFormat="1" applyFont="1" applyFill="1" applyBorder="1" applyAlignment="1">
      <alignment horizontal="right" indent="1"/>
    </xf>
    <xf numFmtId="1" fontId="38" fillId="0" borderId="270" xfId="1" applyNumberFormat="1" applyFont="1" applyFill="1" applyBorder="1" applyAlignment="1">
      <alignment horizontal="right" indent="1"/>
    </xf>
    <xf numFmtId="1" fontId="38" fillId="0" borderId="271" xfId="1" applyNumberFormat="1" applyFont="1" applyFill="1" applyBorder="1" applyAlignment="1">
      <alignment horizontal="right" indent="1"/>
    </xf>
    <xf numFmtId="1" fontId="38" fillId="7" borderId="277" xfId="0" applyNumberFormat="1" applyFont="1" applyFill="1" applyBorder="1" applyAlignment="1">
      <alignment horizontal="right" indent="1"/>
    </xf>
    <xf numFmtId="1" fontId="38" fillId="7" borderId="270" xfId="0" applyNumberFormat="1" applyFont="1" applyFill="1" applyBorder="1" applyAlignment="1">
      <alignment horizontal="right" indent="1"/>
    </xf>
    <xf numFmtId="1" fontId="38" fillId="7" borderId="271" xfId="0" applyNumberFormat="1" applyFont="1" applyFill="1" applyBorder="1" applyAlignment="1">
      <alignment horizontal="right" indent="1"/>
    </xf>
    <xf numFmtId="0" fontId="23" fillId="0" borderId="0" xfId="15" applyFont="1" applyAlignment="1">
      <alignment horizontal="left" wrapText="1"/>
    </xf>
    <xf numFmtId="0" fontId="56" fillId="0" borderId="0" xfId="15" applyFont="1" applyAlignment="1">
      <alignment horizontal="left" wrapText="1"/>
    </xf>
    <xf numFmtId="0" fontId="36" fillId="0" borderId="392" xfId="15" applyFont="1" applyFill="1" applyBorder="1" applyAlignment="1">
      <alignment horizontal="center" wrapText="1"/>
    </xf>
    <xf numFmtId="0" fontId="36" fillId="0" borderId="392" xfId="15" applyFont="1" applyBorder="1" applyAlignment="1">
      <alignment horizontal="center" wrapText="1"/>
    </xf>
    <xf numFmtId="3" fontId="56" fillId="0" borderId="374" xfId="15" applyNumberFormat="1" applyFont="1" applyBorder="1"/>
    <xf numFmtId="3" fontId="56" fillId="0" borderId="374" xfId="15" applyNumberFormat="1" applyFont="1" applyFill="1" applyBorder="1"/>
    <xf numFmtId="3" fontId="56" fillId="0" borderId="150" xfId="15" applyNumberFormat="1" applyFont="1" applyFill="1" applyBorder="1"/>
    <xf numFmtId="0" fontId="23" fillId="0" borderId="0" xfId="15" applyFont="1" applyAlignment="1">
      <alignment horizontal="left" wrapText="1"/>
    </xf>
    <xf numFmtId="0" fontId="36" fillId="13" borderId="297" xfId="15" applyFont="1" applyFill="1" applyBorder="1" applyAlignment="1">
      <alignment horizontal="left"/>
    </xf>
    <xf numFmtId="0" fontId="49" fillId="0" borderId="0" xfId="0" applyFont="1" applyBorder="1" applyAlignment="1">
      <alignment horizontal="center"/>
    </xf>
    <xf numFmtId="169" fontId="61" fillId="0" borderId="296" xfId="1" applyNumberFormat="1" applyFont="1" applyBorder="1"/>
    <xf numFmtId="0" fontId="38" fillId="0" borderId="274" xfId="0" applyFont="1" applyFill="1" applyBorder="1" applyAlignment="1">
      <alignment horizontal="left" indent="1"/>
    </xf>
    <xf numFmtId="37" fontId="38" fillId="0" borderId="277" xfId="1" applyNumberFormat="1" applyFont="1" applyFill="1" applyBorder="1" applyAlignment="1">
      <alignment horizontal="center"/>
    </xf>
    <xf numFmtId="164" fontId="38" fillId="0" borderId="274" xfId="0" applyNumberFormat="1" applyFont="1" applyFill="1" applyBorder="1" applyAlignment="1">
      <alignment horizontal="center"/>
    </xf>
    <xf numFmtId="0" fontId="39" fillId="13" borderId="297" xfId="0" applyFont="1" applyFill="1" applyBorder="1" applyAlignment="1">
      <alignment horizontal="center"/>
    </xf>
    <xf numFmtId="164" fontId="38" fillId="0" borderId="274" xfId="33" applyNumberFormat="1" applyFont="1" applyBorder="1" applyAlignment="1">
      <alignment horizontal="center"/>
    </xf>
    <xf numFmtId="164" fontId="38" fillId="12" borderId="274" xfId="33" applyNumberFormat="1" applyFont="1" applyFill="1" applyBorder="1" applyAlignment="1">
      <alignment horizontal="center"/>
    </xf>
    <xf numFmtId="164" fontId="38" fillId="0" borderId="274" xfId="33" applyNumberFormat="1" applyFont="1" applyFill="1" applyBorder="1" applyAlignment="1">
      <alignment horizontal="center"/>
    </xf>
    <xf numFmtId="0" fontId="38" fillId="12" borderId="383" xfId="0" applyFont="1" applyFill="1" applyBorder="1" applyAlignment="1">
      <alignment horizontal="left" indent="1"/>
    </xf>
    <xf numFmtId="37" fontId="38" fillId="12" borderId="391" xfId="1" applyNumberFormat="1" applyFont="1" applyFill="1" applyBorder="1" applyAlignment="1">
      <alignment horizontal="center"/>
    </xf>
    <xf numFmtId="164" fontId="38" fillId="12" borderId="389" xfId="33" applyNumberFormat="1" applyFont="1" applyFill="1" applyBorder="1" applyAlignment="1">
      <alignment horizontal="center"/>
    </xf>
    <xf numFmtId="164" fontId="38" fillId="12" borderId="386" xfId="0" applyNumberFormat="1" applyFont="1" applyFill="1" applyBorder="1" applyAlignment="1">
      <alignment horizontal="center"/>
    </xf>
    <xf numFmtId="164" fontId="38" fillId="12" borderId="386" xfId="33" applyNumberFormat="1" applyFont="1" applyFill="1" applyBorder="1" applyAlignment="1">
      <alignment horizontal="center"/>
    </xf>
    <xf numFmtId="3" fontId="38" fillId="7" borderId="303" xfId="0" applyNumberFormat="1" applyFont="1" applyFill="1" applyBorder="1" applyAlignment="1">
      <alignment horizontal="right" indent="1"/>
    </xf>
    <xf numFmtId="3" fontId="38" fillId="7" borderId="185" xfId="0" applyNumberFormat="1" applyFont="1" applyFill="1" applyBorder="1" applyAlignment="1">
      <alignment horizontal="right" indent="1"/>
    </xf>
    <xf numFmtId="3" fontId="38" fillId="7" borderId="210" xfId="0" quotePrefix="1" applyNumberFormat="1" applyFont="1" applyFill="1" applyBorder="1" applyAlignment="1">
      <alignment horizontal="right" indent="1"/>
    </xf>
    <xf numFmtId="169" fontId="38" fillId="7" borderId="304" xfId="1" applyNumberFormat="1" applyFont="1" applyFill="1" applyBorder="1"/>
    <xf numFmtId="169" fontId="38" fillId="7" borderId="332" xfId="1" applyNumberFormat="1" applyFont="1" applyFill="1" applyBorder="1"/>
    <xf numFmtId="169" fontId="38" fillId="7" borderId="333" xfId="1" applyNumberFormat="1" applyFont="1" applyFill="1" applyBorder="1"/>
    <xf numFmtId="170" fontId="19" fillId="0" borderId="375" xfId="0" applyNumberFormat="1" applyFont="1" applyFill="1" applyBorder="1"/>
    <xf numFmtId="3" fontId="19" fillId="2" borderId="375" xfId="0" applyNumberFormat="1" applyFont="1" applyFill="1" applyBorder="1"/>
    <xf numFmtId="3" fontId="18" fillId="0" borderId="190" xfId="0" applyNumberFormat="1" applyFont="1" applyFill="1" applyBorder="1"/>
    <xf numFmtId="3" fontId="19" fillId="2" borderId="375" xfId="0" applyNumberFormat="1" applyFont="1" applyFill="1" applyBorder="1" applyAlignment="1">
      <alignment horizontal="right" vertical="center"/>
    </xf>
    <xf numFmtId="3" fontId="18" fillId="0" borderId="190" xfId="0" applyNumberFormat="1" applyFont="1" applyFill="1" applyBorder="1" applyAlignment="1">
      <alignment horizontal="right" vertical="center"/>
    </xf>
    <xf numFmtId="3" fontId="18" fillId="0" borderId="270" xfId="0" applyNumberFormat="1" applyFont="1" applyFill="1" applyBorder="1"/>
    <xf numFmtId="0" fontId="56" fillId="0" borderId="0" xfId="0" applyFont="1" applyAlignment="1">
      <alignment horizontal="center"/>
    </xf>
    <xf numFmtId="177" fontId="19" fillId="2" borderId="375" xfId="0" applyNumberFormat="1" applyFont="1" applyFill="1" applyBorder="1"/>
    <xf numFmtId="177" fontId="18" fillId="0" borderId="190" xfId="0" applyNumberFormat="1" applyFont="1" applyFill="1" applyBorder="1"/>
    <xf numFmtId="177" fontId="18" fillId="0" borderId="210" xfId="0" applyNumberFormat="1" applyFont="1" applyFill="1" applyBorder="1"/>
    <xf numFmtId="177" fontId="19" fillId="2" borderId="382" xfId="0" applyNumberFormat="1" applyFont="1" applyFill="1" applyBorder="1"/>
    <xf numFmtId="0" fontId="43" fillId="0" borderId="0" xfId="0" applyFont="1" applyAlignment="1">
      <alignment horizontal="left"/>
    </xf>
    <xf numFmtId="0" fontId="23" fillId="0" borderId="0" xfId="15" applyFont="1" applyAlignment="1">
      <alignment horizontal="left" wrapText="1"/>
    </xf>
    <xf numFmtId="169" fontId="56" fillId="0" borderId="210" xfId="1" applyNumberFormat="1" applyFont="1" applyFill="1" applyBorder="1"/>
    <xf numFmtId="169" fontId="56" fillId="0" borderId="393" xfId="1" applyNumberFormat="1" applyFont="1" applyFill="1" applyBorder="1"/>
    <xf numFmtId="0" fontId="36" fillId="0" borderId="152" xfId="15" applyFont="1" applyFill="1" applyBorder="1" applyAlignment="1">
      <alignment horizontal="center" wrapText="1"/>
    </xf>
    <xf numFmtId="3" fontId="36" fillId="2" borderId="345" xfId="15" applyNumberFormat="1" applyFont="1" applyFill="1" applyBorder="1" applyAlignment="1">
      <alignment horizontal="right" vertical="top"/>
    </xf>
    <xf numFmtId="49" fontId="6" fillId="0" borderId="0" xfId="9" applyNumberFormat="1" applyFont="1" applyAlignment="1">
      <alignment horizontal="left"/>
    </xf>
    <xf numFmtId="0" fontId="36" fillId="0" borderId="0" xfId="0" applyFont="1" applyBorder="1" applyAlignment="1">
      <alignment horizontal="center"/>
    </xf>
    <xf numFmtId="0" fontId="36" fillId="0" borderId="0" xfId="0" applyFont="1" applyBorder="1" applyAlignment="1">
      <alignment horizontal="center" wrapText="1"/>
    </xf>
    <xf numFmtId="0" fontId="36" fillId="0" borderId="211" xfId="0" applyFont="1" applyBorder="1" applyAlignment="1">
      <alignment horizontal="center" wrapText="1"/>
    </xf>
    <xf numFmtId="0" fontId="49" fillId="0" borderId="0" xfId="0" applyFont="1" applyBorder="1" applyAlignment="1">
      <alignment horizontal="center"/>
    </xf>
    <xf numFmtId="0" fontId="36" fillId="0" borderId="376" xfId="0" applyFont="1" applyBorder="1" applyAlignment="1"/>
    <xf numFmtId="0" fontId="36" fillId="0" borderId="376" xfId="0" applyFont="1" applyBorder="1"/>
    <xf numFmtId="0" fontId="36" fillId="0" borderId="376" xfId="0" applyFont="1" applyBorder="1" applyAlignment="1">
      <alignment wrapText="1"/>
    </xf>
    <xf numFmtId="0" fontId="36" fillId="0" borderId="376" xfId="0" applyFont="1" applyBorder="1" applyAlignment="1">
      <alignment horizontal="center" wrapText="1"/>
    </xf>
    <xf numFmtId="3" fontId="36" fillId="3" borderId="376" xfId="0" applyNumberFormat="1" applyFont="1" applyFill="1" applyBorder="1"/>
    <xf numFmtId="164" fontId="36" fillId="3" borderId="376" xfId="33" applyNumberFormat="1" applyFont="1" applyFill="1" applyBorder="1"/>
    <xf numFmtId="164" fontId="36" fillId="3" borderId="211" xfId="33" applyNumberFormat="1" applyFont="1" applyFill="1" applyBorder="1"/>
    <xf numFmtId="9" fontId="36" fillId="3" borderId="376" xfId="33" applyFont="1" applyFill="1" applyBorder="1"/>
    <xf numFmtId="9" fontId="36" fillId="3" borderId="211" xfId="33" applyFont="1" applyFill="1" applyBorder="1"/>
    <xf numFmtId="9" fontId="36" fillId="9" borderId="0" xfId="33" applyFont="1" applyFill="1"/>
    <xf numFmtId="3" fontId="56" fillId="0" borderId="376" xfId="0" applyNumberFormat="1" applyFont="1" applyBorder="1"/>
    <xf numFmtId="164" fontId="56" fillId="0" borderId="376" xfId="33" applyNumberFormat="1" applyFont="1" applyBorder="1"/>
    <xf numFmtId="164" fontId="56" fillId="0" borderId="211" xfId="33" applyNumberFormat="1" applyFont="1" applyBorder="1"/>
    <xf numFmtId="9" fontId="56" fillId="0" borderId="376" xfId="33" applyFont="1" applyBorder="1"/>
    <xf numFmtId="9" fontId="56" fillId="0" borderId="211" xfId="33" applyFont="1" applyBorder="1"/>
    <xf numFmtId="3" fontId="56" fillId="18" borderId="376" xfId="0" applyNumberFormat="1" applyFont="1" applyFill="1" applyBorder="1"/>
    <xf numFmtId="164" fontId="56" fillId="18" borderId="376" xfId="33" applyNumberFormat="1" applyFont="1" applyFill="1" applyBorder="1"/>
    <xf numFmtId="164" fontId="56" fillId="18" borderId="211" xfId="33" applyNumberFormat="1" applyFont="1" applyFill="1" applyBorder="1"/>
    <xf numFmtId="9" fontId="56" fillId="18" borderId="376" xfId="33" applyFont="1" applyFill="1" applyBorder="1"/>
    <xf numFmtId="9" fontId="56" fillId="18" borderId="211" xfId="33" applyFont="1" applyFill="1" applyBorder="1"/>
    <xf numFmtId="9" fontId="56" fillId="18" borderId="0" xfId="33" applyFont="1" applyFill="1"/>
    <xf numFmtId="170" fontId="19" fillId="0" borderId="388" xfId="0" applyNumberFormat="1" applyFont="1" applyFill="1" applyBorder="1"/>
    <xf numFmtId="164" fontId="19" fillId="2" borderId="388" xfId="33" applyNumberFormat="1" applyFont="1" applyFill="1" applyBorder="1"/>
    <xf numFmtId="164" fontId="18" fillId="0" borderId="211" xfId="33" applyNumberFormat="1" applyFont="1" applyFill="1" applyBorder="1"/>
    <xf numFmtId="164" fontId="18" fillId="0" borderId="211" xfId="0" applyNumberFormat="1" applyFont="1" applyFill="1" applyBorder="1"/>
    <xf numFmtId="164" fontId="18" fillId="0" borderId="149" xfId="0" applyNumberFormat="1" applyFont="1" applyFill="1" applyBorder="1"/>
    <xf numFmtId="164" fontId="19" fillId="2" borderId="285" xfId="33" applyNumberFormat="1" applyFont="1" applyFill="1" applyBorder="1"/>
    <xf numFmtId="164" fontId="19" fillId="2" borderId="381" xfId="33" applyNumberFormat="1" applyFont="1" applyFill="1" applyBorder="1"/>
    <xf numFmtId="164" fontId="18" fillId="0" borderId="394" xfId="33" applyNumberFormat="1" applyFont="1" applyFill="1" applyBorder="1"/>
    <xf numFmtId="164" fontId="18" fillId="0" borderId="394" xfId="0" applyNumberFormat="1" applyFont="1" applyFill="1" applyBorder="1"/>
    <xf numFmtId="3" fontId="19" fillId="2" borderId="286" xfId="0" applyNumberFormat="1" applyFont="1" applyFill="1" applyBorder="1" applyAlignment="1">
      <alignment horizontal="right" vertical="center"/>
    </xf>
    <xf numFmtId="3" fontId="18" fillId="0" borderId="395" xfId="0" applyNumberFormat="1" applyFont="1" applyFill="1" applyBorder="1" applyAlignment="1">
      <alignment horizontal="right" vertical="center"/>
    </xf>
    <xf numFmtId="3" fontId="19" fillId="2" borderId="286" xfId="0" applyNumberFormat="1" applyFont="1" applyFill="1" applyBorder="1"/>
    <xf numFmtId="3" fontId="18" fillId="0" borderId="395" xfId="0" applyNumberFormat="1" applyFont="1" applyFill="1" applyBorder="1"/>
    <xf numFmtId="3" fontId="18" fillId="0" borderId="382" xfId="0" applyNumberFormat="1" applyFont="1" applyFill="1" applyBorder="1"/>
    <xf numFmtId="164" fontId="18" fillId="0" borderId="395" xfId="0" applyNumberFormat="1" applyFont="1" applyFill="1" applyBorder="1"/>
    <xf numFmtId="0" fontId="56" fillId="0" borderId="10" xfId="0" applyFont="1" applyFill="1" applyBorder="1"/>
    <xf numFmtId="0" fontId="56" fillId="0" borderId="303" xfId="0" applyFont="1" applyFill="1" applyBorder="1"/>
    <xf numFmtId="0" fontId="56" fillId="0" borderId="280" xfId="0" applyFont="1" applyFill="1" applyBorder="1"/>
    <xf numFmtId="3" fontId="18" fillId="0" borderId="390" xfId="0" applyNumberFormat="1" applyFont="1" applyFill="1" applyBorder="1" applyAlignment="1">
      <alignment horizontal="right" vertical="center"/>
    </xf>
    <xf numFmtId="3" fontId="18" fillId="0" borderId="390" xfId="0" applyNumberFormat="1" applyFont="1" applyFill="1" applyBorder="1"/>
    <xf numFmtId="3" fontId="18" fillId="0" borderId="394" xfId="0" applyNumberFormat="1" applyFont="1" applyFill="1" applyBorder="1"/>
    <xf numFmtId="170" fontId="19" fillId="0" borderId="345" xfId="0" applyNumberFormat="1" applyFont="1" applyFill="1" applyBorder="1"/>
    <xf numFmtId="177" fontId="19" fillId="2" borderId="345" xfId="0" applyNumberFormat="1" applyFont="1" applyFill="1" applyBorder="1"/>
    <xf numFmtId="177" fontId="18" fillId="0" borderId="207" xfId="0" applyNumberFormat="1" applyFont="1" applyFill="1" applyBorder="1"/>
    <xf numFmtId="177" fontId="18" fillId="0" borderId="390" xfId="0" applyNumberFormat="1" applyFont="1" applyFill="1" applyBorder="1"/>
    <xf numFmtId="177" fontId="18" fillId="0" borderId="395" xfId="0" applyNumberFormat="1" applyFont="1" applyFill="1" applyBorder="1"/>
    <xf numFmtId="177" fontId="18" fillId="0" borderId="394" xfId="0" applyNumberFormat="1" applyFont="1" applyFill="1" applyBorder="1"/>
    <xf numFmtId="0" fontId="38" fillId="0" borderId="101" xfId="0" applyFont="1" applyFill="1" applyBorder="1" applyAlignment="1">
      <alignment horizontal="left" indent="1"/>
    </xf>
    <xf numFmtId="164" fontId="38" fillId="0" borderId="94" xfId="0" applyNumberFormat="1" applyFont="1" applyFill="1" applyBorder="1" applyAlignment="1">
      <alignment horizontal="center"/>
    </xf>
    <xf numFmtId="164" fontId="38" fillId="0" borderId="96" xfId="33" applyNumberFormat="1" applyFont="1" applyFill="1" applyBorder="1" applyAlignment="1">
      <alignment horizontal="center"/>
    </xf>
    <xf numFmtId="0" fontId="36" fillId="0" borderId="0" xfId="0" applyFont="1" applyBorder="1" applyAlignment="1">
      <alignment horizontal="center"/>
    </xf>
    <xf numFmtId="164" fontId="53" fillId="0" borderId="396" xfId="16" applyNumberFormat="1" applyFont="1" applyFill="1" applyBorder="1" applyAlignment="1">
      <alignment wrapText="1"/>
    </xf>
    <xf numFmtId="0" fontId="52" fillId="0" borderId="397" xfId="11" applyFont="1" applyFill="1" applyBorder="1" applyAlignment="1">
      <alignment horizontal="center"/>
    </xf>
    <xf numFmtId="164" fontId="52" fillId="2" borderId="397" xfId="16" applyNumberFormat="1" applyFont="1" applyFill="1" applyBorder="1" applyAlignment="1">
      <alignment wrapText="1"/>
    </xf>
    <xf numFmtId="164" fontId="53" fillId="0" borderId="398" xfId="16" applyNumberFormat="1" applyFont="1" applyFill="1" applyBorder="1" applyAlignment="1">
      <alignment wrapText="1"/>
    </xf>
    <xf numFmtId="0" fontId="52" fillId="0" borderId="399" xfId="11" applyFont="1" applyFill="1" applyBorder="1" applyAlignment="1">
      <alignment horizontal="center"/>
    </xf>
    <xf numFmtId="164" fontId="52" fillId="2" borderId="268" xfId="16" applyNumberFormat="1" applyFont="1" applyFill="1" applyBorder="1" applyAlignment="1">
      <alignment wrapText="1"/>
    </xf>
    <xf numFmtId="164" fontId="53" fillId="0" borderId="268" xfId="16" applyNumberFormat="1" applyFont="1" applyFill="1" applyBorder="1" applyAlignment="1">
      <alignment wrapText="1"/>
    </xf>
    <xf numFmtId="164" fontId="53" fillId="0" borderId="400" xfId="16" applyNumberFormat="1" applyFont="1" applyFill="1" applyBorder="1" applyAlignment="1">
      <alignment wrapText="1"/>
    </xf>
    <xf numFmtId="0" fontId="52" fillId="0" borderId="401" xfId="11" applyFont="1" applyFill="1" applyBorder="1" applyAlignment="1">
      <alignment horizontal="center"/>
    </xf>
    <xf numFmtId="164" fontId="52" fillId="2" borderId="401" xfId="16" applyNumberFormat="1" applyFont="1" applyFill="1" applyBorder="1" applyAlignment="1">
      <alignment wrapText="1"/>
    </xf>
    <xf numFmtId="164" fontId="53" fillId="0" borderId="268" xfId="33" applyNumberFormat="1" applyFont="1" applyFill="1" applyBorder="1" applyAlignment="1">
      <alignment wrapText="1"/>
    </xf>
    <xf numFmtId="0" fontId="52" fillId="0" borderId="397" xfId="16" applyFont="1" applyBorder="1" applyAlignment="1">
      <alignment horizontal="center"/>
    </xf>
    <xf numFmtId="3" fontId="52" fillId="2" borderId="205" xfId="16" applyNumberFormat="1" applyFont="1" applyFill="1" applyBorder="1"/>
    <xf numFmtId="3" fontId="53" fillId="0" borderId="402" xfId="16" applyNumberFormat="1" applyFont="1" applyBorder="1"/>
    <xf numFmtId="3" fontId="53" fillId="0" borderId="403" xfId="16" applyNumberFormat="1" applyFont="1" applyBorder="1"/>
    <xf numFmtId="0" fontId="52" fillId="0" borderId="401" xfId="16" applyFont="1" applyBorder="1" applyAlignment="1">
      <alignment horizontal="center"/>
    </xf>
    <xf numFmtId="3" fontId="52" fillId="2" borderId="401" xfId="16" applyNumberFormat="1" applyFont="1" applyFill="1" applyBorder="1"/>
    <xf numFmtId="3" fontId="53" fillId="0" borderId="394" xfId="16" applyNumberFormat="1" applyFont="1" applyBorder="1"/>
    <xf numFmtId="3" fontId="53" fillId="0" borderId="395" xfId="16" applyNumberFormat="1" applyFont="1" applyBorder="1"/>
    <xf numFmtId="0" fontId="36" fillId="0" borderId="404" xfId="0" applyFont="1" applyBorder="1" applyAlignment="1">
      <alignment horizontal="center"/>
    </xf>
    <xf numFmtId="164" fontId="56" fillId="4" borderId="207" xfId="33" applyNumberFormat="1" applyFont="1" applyFill="1" applyBorder="1"/>
    <xf numFmtId="0" fontId="36" fillId="0" borderId="404" xfId="0" applyFont="1" applyBorder="1"/>
    <xf numFmtId="169" fontId="56" fillId="4" borderId="207" xfId="1" applyNumberFormat="1" applyFont="1" applyFill="1" applyBorder="1"/>
    <xf numFmtId="0" fontId="37" fillId="0" borderId="376" xfId="0" applyFont="1" applyBorder="1" applyAlignment="1">
      <alignment wrapText="1"/>
    </xf>
    <xf numFmtId="0" fontId="37" fillId="0" borderId="0" xfId="0" applyFont="1" applyBorder="1" applyAlignment="1">
      <alignment wrapText="1"/>
    </xf>
    <xf numFmtId="0" fontId="37" fillId="0" borderId="211" xfId="0" applyFont="1" applyBorder="1" applyAlignment="1">
      <alignment wrapText="1"/>
    </xf>
    <xf numFmtId="3" fontId="37" fillId="2" borderId="376" xfId="0" applyNumberFormat="1" applyFont="1" applyFill="1" applyBorder="1"/>
    <xf numFmtId="3" fontId="37" fillId="2" borderId="0" xfId="0" applyNumberFormat="1" applyFont="1" applyFill="1" applyBorder="1"/>
    <xf numFmtId="164" fontId="37" fillId="2" borderId="211" xfId="33" applyNumberFormat="1" applyFont="1" applyFill="1" applyBorder="1"/>
    <xf numFmtId="3" fontId="54" fillId="0" borderId="376" xfId="0" applyNumberFormat="1" applyFont="1" applyBorder="1"/>
    <xf numFmtId="3" fontId="54" fillId="0" borderId="0" xfId="0" applyNumberFormat="1" applyFont="1" applyBorder="1"/>
    <xf numFmtId="164" fontId="54" fillId="0" borderId="211" xfId="33" applyNumberFormat="1" applyFont="1" applyBorder="1"/>
    <xf numFmtId="0" fontId="54" fillId="0" borderId="376" xfId="0" applyFont="1" applyBorder="1"/>
    <xf numFmtId="0" fontId="54" fillId="0" borderId="211" xfId="0" applyFont="1" applyBorder="1"/>
    <xf numFmtId="169" fontId="54" fillId="0" borderId="376" xfId="1" applyNumberFormat="1" applyFont="1" applyBorder="1"/>
    <xf numFmtId="169" fontId="54" fillId="0" borderId="376" xfId="1" applyNumberFormat="1" applyFont="1" applyFill="1" applyBorder="1"/>
    <xf numFmtId="3" fontId="56" fillId="0" borderId="392" xfId="15" applyNumberFormat="1" applyFont="1" applyFill="1" applyBorder="1" applyAlignment="1">
      <alignment horizontal="right" vertical="top"/>
    </xf>
    <xf numFmtId="3" fontId="56" fillId="0" borderId="405" xfId="15" applyNumberFormat="1" applyFont="1" applyFill="1" applyBorder="1" applyAlignment="1">
      <alignment horizontal="right" vertical="top"/>
    </xf>
    <xf numFmtId="0" fontId="56" fillId="16" borderId="0" xfId="0" applyFont="1" applyFill="1"/>
    <xf numFmtId="0" fontId="56" fillId="30" borderId="0" xfId="0" applyFont="1" applyFill="1"/>
    <xf numFmtId="0" fontId="56" fillId="30" borderId="0" xfId="0" applyFont="1" applyFill="1" applyBorder="1"/>
    <xf numFmtId="0" fontId="23" fillId="0" borderId="0" xfId="15" applyFont="1" applyAlignment="1">
      <alignment horizontal="left" wrapText="1"/>
    </xf>
    <xf numFmtId="0" fontId="56" fillId="0" borderId="0" xfId="15" applyFont="1" applyAlignment="1">
      <alignment horizontal="left" wrapText="1"/>
    </xf>
    <xf numFmtId="0" fontId="23" fillId="0" borderId="0" xfId="15" applyFont="1" applyAlignment="1">
      <alignment horizontal="left" wrapText="1"/>
    </xf>
    <xf numFmtId="0" fontId="36" fillId="0" borderId="0" xfId="15" applyFont="1" applyFill="1" applyBorder="1" applyAlignment="1">
      <alignment horizontal="center" wrapText="1"/>
    </xf>
    <xf numFmtId="169" fontId="36" fillId="13" borderId="0" xfId="1" applyNumberFormat="1" applyFont="1" applyFill="1" applyBorder="1" applyAlignment="1">
      <alignment horizontal="center" wrapText="1"/>
    </xf>
    <xf numFmtId="0" fontId="43" fillId="0" borderId="0" xfId="0" applyFont="1" applyAlignment="1">
      <alignment horizontal="left" vertical="top" wrapText="1"/>
    </xf>
    <xf numFmtId="0" fontId="49" fillId="0" borderId="0" xfId="0" applyFont="1" applyBorder="1" applyAlignment="1">
      <alignment horizontal="center"/>
    </xf>
    <xf numFmtId="0" fontId="38" fillId="5" borderId="383" xfId="0" applyFont="1" applyFill="1" applyBorder="1" applyAlignment="1">
      <alignment horizontal="left" indent="1"/>
    </xf>
    <xf numFmtId="37" fontId="38" fillId="5" borderId="391" xfId="1" applyNumberFormat="1" applyFont="1" applyFill="1" applyBorder="1" applyAlignment="1">
      <alignment horizontal="center"/>
    </xf>
    <xf numFmtId="164" fontId="38" fillId="5" borderId="389" xfId="33" applyNumberFormat="1" applyFont="1" applyFill="1" applyBorder="1" applyAlignment="1">
      <alignment horizontal="center"/>
    </xf>
    <xf numFmtId="164" fontId="38" fillId="5" borderId="386" xfId="0" applyNumberFormat="1" applyFont="1" applyFill="1" applyBorder="1" applyAlignment="1">
      <alignment horizontal="center"/>
    </xf>
    <xf numFmtId="164" fontId="38" fillId="5" borderId="386" xfId="33" applyNumberFormat="1" applyFont="1" applyFill="1" applyBorder="1" applyAlignment="1">
      <alignment horizontal="center"/>
    </xf>
    <xf numFmtId="164" fontId="19" fillId="2" borderId="183" xfId="33" applyNumberFormat="1" applyFont="1" applyFill="1" applyBorder="1"/>
    <xf numFmtId="164" fontId="18" fillId="0" borderId="0" xfId="33" applyNumberFormat="1" applyFont="1" applyFill="1" applyBorder="1"/>
    <xf numFmtId="164" fontId="18" fillId="0" borderId="0" xfId="0" applyNumberFormat="1" applyFont="1" applyFill="1" applyBorder="1"/>
    <xf numFmtId="164" fontId="18" fillId="0" borderId="280" xfId="0" applyNumberFormat="1" applyFont="1" applyFill="1" applyBorder="1"/>
    <xf numFmtId="177" fontId="19" fillId="2" borderId="279" xfId="0" applyNumberFormat="1" applyFont="1" applyFill="1" applyBorder="1"/>
    <xf numFmtId="177" fontId="18" fillId="0" borderId="0" xfId="0" applyNumberFormat="1" applyFont="1" applyFill="1" applyBorder="1"/>
    <xf numFmtId="169" fontId="71" fillId="19" borderId="131" xfId="1" applyNumberFormat="1" applyFont="1" applyFill="1" applyBorder="1"/>
    <xf numFmtId="5" fontId="56" fillId="19" borderId="268" xfId="0" applyNumberFormat="1" applyFont="1" applyFill="1" applyBorder="1" applyAlignment="1"/>
    <xf numFmtId="5" fontId="56" fillId="19" borderId="269" xfId="0" applyNumberFormat="1" applyFont="1" applyFill="1" applyBorder="1" applyAlignment="1"/>
    <xf numFmtId="167" fontId="24" fillId="19" borderId="263" xfId="26" applyNumberFormat="1" applyFont="1" applyFill="1" applyBorder="1" applyAlignment="1">
      <alignment horizontal="right" wrapText="1"/>
    </xf>
    <xf numFmtId="167" fontId="24" fillId="19" borderId="262" xfId="26" applyNumberFormat="1" applyFont="1" applyFill="1" applyBorder="1" applyAlignment="1">
      <alignment horizontal="right" wrapText="1"/>
    </xf>
    <xf numFmtId="167" fontId="56" fillId="19" borderId="269" xfId="3" applyNumberFormat="1" applyFont="1" applyFill="1" applyBorder="1"/>
    <xf numFmtId="0" fontId="23" fillId="0" borderId="0" xfId="15" applyFont="1" applyAlignment="1">
      <alignment horizontal="left" wrapText="1"/>
    </xf>
    <xf numFmtId="0" fontId="36" fillId="0" borderId="385" xfId="15" applyFont="1" applyBorder="1" applyAlignment="1">
      <alignment horizontal="center" wrapText="1"/>
    </xf>
    <xf numFmtId="169" fontId="36" fillId="13" borderId="385" xfId="1" applyNumberFormat="1" applyFont="1" applyFill="1" applyBorder="1" applyAlignment="1">
      <alignment horizontal="center" wrapText="1"/>
    </xf>
    <xf numFmtId="3" fontId="56" fillId="0" borderId="386" xfId="15" applyNumberFormat="1" applyFont="1" applyBorder="1"/>
    <xf numFmtId="3" fontId="56" fillId="0" borderId="386" xfId="15" applyNumberFormat="1" applyFont="1" applyFill="1" applyBorder="1"/>
    <xf numFmtId="3" fontId="38" fillId="0" borderId="394" xfId="0" applyNumberFormat="1" applyFont="1" applyFill="1" applyBorder="1" applyAlignment="1">
      <alignment horizontal="right" indent="1"/>
    </xf>
    <xf numFmtId="3" fontId="38" fillId="0" borderId="395" xfId="0" applyNumberFormat="1" applyFont="1" applyFill="1" applyBorder="1" applyAlignment="1">
      <alignment horizontal="right" indent="1"/>
    </xf>
    <xf numFmtId="1" fontId="38" fillId="0" borderId="277" xfId="0" applyNumberFormat="1" applyFont="1" applyFill="1" applyBorder="1" applyAlignment="1">
      <alignment horizontal="right" indent="1"/>
    </xf>
    <xf numFmtId="1" fontId="38" fillId="0" borderId="394" xfId="0" applyNumberFormat="1" applyFont="1" applyFill="1" applyBorder="1" applyAlignment="1">
      <alignment horizontal="right" indent="1"/>
    </xf>
    <xf numFmtId="1" fontId="38" fillId="0" borderId="395" xfId="0" applyNumberFormat="1" applyFont="1" applyFill="1" applyBorder="1" applyAlignment="1">
      <alignment horizontal="right" indent="1"/>
    </xf>
    <xf numFmtId="3" fontId="38" fillId="7" borderId="391" xfId="0" applyNumberFormat="1" applyFont="1" applyFill="1" applyBorder="1" applyAlignment="1">
      <alignment horizontal="right" indent="1"/>
    </xf>
    <xf numFmtId="3" fontId="38" fillId="7" borderId="406" xfId="0" applyNumberFormat="1" applyFont="1" applyFill="1" applyBorder="1" applyAlignment="1">
      <alignment horizontal="right" indent="1"/>
    </xf>
    <xf numFmtId="1" fontId="38" fillId="7" borderId="151" xfId="0" applyNumberFormat="1" applyFont="1" applyFill="1" applyBorder="1" applyAlignment="1">
      <alignment horizontal="right" indent="1"/>
    </xf>
    <xf numFmtId="1" fontId="38" fillId="7" borderId="185" xfId="0" applyNumberFormat="1" applyFont="1" applyFill="1" applyBorder="1" applyAlignment="1">
      <alignment horizontal="right" indent="1"/>
    </xf>
    <xf numFmtId="1" fontId="38" fillId="7" borderId="406" xfId="0" applyNumberFormat="1" applyFont="1" applyFill="1" applyBorder="1" applyAlignment="1">
      <alignment horizontal="right" indent="1"/>
    </xf>
    <xf numFmtId="3" fontId="38" fillId="0" borderId="378" xfId="0" applyNumberFormat="1" applyFont="1" applyFill="1" applyBorder="1" applyAlignment="1">
      <alignment horizontal="right" indent="1"/>
    </xf>
    <xf numFmtId="1" fontId="38" fillId="0" borderId="378" xfId="0" applyNumberFormat="1" applyFont="1" applyFill="1" applyBorder="1" applyAlignment="1">
      <alignment horizontal="right" indent="1"/>
    </xf>
    <xf numFmtId="1" fontId="38" fillId="0" borderId="379" xfId="0" applyNumberFormat="1" applyFont="1" applyFill="1" applyBorder="1" applyAlignment="1">
      <alignment horizontal="right" indent="1"/>
    </xf>
    <xf numFmtId="1" fontId="38" fillId="0" borderId="162" xfId="0" applyNumberFormat="1" applyFont="1" applyFill="1" applyBorder="1" applyAlignment="1">
      <alignment horizontal="right" indent="1"/>
    </xf>
    <xf numFmtId="0" fontId="36" fillId="0" borderId="0" xfId="0" applyFont="1" applyBorder="1" applyAlignment="1">
      <alignment horizontal="center"/>
    </xf>
    <xf numFmtId="0" fontId="23" fillId="0" borderId="0" xfId="15" applyFont="1" applyAlignment="1">
      <alignment horizontal="left" wrapText="1"/>
    </xf>
    <xf numFmtId="3" fontId="53" fillId="0" borderId="408" xfId="16" applyNumberFormat="1" applyFont="1" applyBorder="1"/>
    <xf numFmtId="3" fontId="53" fillId="0" borderId="409" xfId="16" applyNumberFormat="1" applyFont="1" applyBorder="1"/>
    <xf numFmtId="0" fontId="52" fillId="0" borderId="407" xfId="16" applyFont="1" applyBorder="1" applyAlignment="1">
      <alignment horizontal="center"/>
    </xf>
    <xf numFmtId="3" fontId="52" fillId="2" borderId="407" xfId="16" applyNumberFormat="1" applyFont="1" applyFill="1" applyBorder="1"/>
    <xf numFmtId="164" fontId="53" fillId="0" borderId="211" xfId="16" applyNumberFormat="1" applyFont="1" applyFill="1" applyBorder="1" applyAlignment="1">
      <alignment wrapText="1"/>
    </xf>
    <xf numFmtId="164" fontId="53" fillId="0" borderId="291" xfId="16" applyNumberFormat="1" applyFont="1" applyFill="1" applyBorder="1" applyAlignment="1">
      <alignment wrapText="1"/>
    </xf>
    <xf numFmtId="164" fontId="53" fillId="0" borderId="211" xfId="33" applyNumberFormat="1" applyFont="1" applyFill="1" applyBorder="1" applyAlignment="1">
      <alignment wrapText="1"/>
    </xf>
    <xf numFmtId="0" fontId="52" fillId="0" borderId="410" xfId="11" applyFont="1" applyFill="1" applyBorder="1" applyAlignment="1">
      <alignment horizontal="center"/>
    </xf>
    <xf numFmtId="164" fontId="52" fillId="2" borderId="411" xfId="16" applyNumberFormat="1" applyFont="1" applyFill="1" applyBorder="1" applyAlignment="1">
      <alignment wrapText="1"/>
    </xf>
    <xf numFmtId="0" fontId="36" fillId="0" borderId="412" xfId="0" applyFont="1" applyBorder="1" applyAlignment="1">
      <alignment horizontal="center"/>
    </xf>
    <xf numFmtId="164" fontId="56" fillId="4" borderId="412" xfId="33" applyNumberFormat="1" applyFont="1" applyFill="1" applyBorder="1"/>
    <xf numFmtId="164" fontId="56" fillId="0" borderId="413" xfId="33" applyNumberFormat="1" applyFont="1" applyBorder="1"/>
    <xf numFmtId="0" fontId="53" fillId="0" borderId="413" xfId="16" applyFont="1" applyBorder="1"/>
    <xf numFmtId="0" fontId="36" fillId="0" borderId="414" xfId="0" applyFont="1" applyBorder="1" applyAlignment="1">
      <alignment horizontal="center"/>
    </xf>
    <xf numFmtId="164" fontId="56" fillId="4" borderId="414" xfId="33" applyNumberFormat="1" applyFont="1" applyFill="1" applyBorder="1"/>
    <xf numFmtId="0" fontId="36" fillId="0" borderId="412" xfId="0" applyFont="1" applyBorder="1"/>
    <xf numFmtId="169" fontId="56" fillId="4" borderId="412" xfId="1" applyNumberFormat="1" applyFont="1" applyFill="1" applyBorder="1"/>
    <xf numFmtId="169" fontId="56" fillId="0" borderId="413" xfId="1" applyNumberFormat="1" applyFont="1" applyFill="1" applyBorder="1"/>
    <xf numFmtId="169" fontId="56" fillId="0" borderId="413" xfId="1" applyNumberFormat="1" applyFont="1" applyBorder="1"/>
    <xf numFmtId="0" fontId="36" fillId="0" borderId="414" xfId="0" applyFont="1" applyBorder="1"/>
    <xf numFmtId="169" fontId="56" fillId="4" borderId="414" xfId="1" applyNumberFormat="1" applyFont="1" applyFill="1" applyBorder="1"/>
    <xf numFmtId="0" fontId="39" fillId="15" borderId="293" xfId="0" applyFont="1" applyFill="1" applyBorder="1" applyAlignment="1">
      <alignment horizontal="center"/>
    </xf>
    <xf numFmtId="0" fontId="61" fillId="0" borderId="0" xfId="14" applyFont="1" applyAlignment="1">
      <alignment horizontal="left" vertical="top" wrapText="1"/>
    </xf>
    <xf numFmtId="0" fontId="23" fillId="0" borderId="0" xfId="14" applyFont="1" applyFill="1" applyBorder="1" applyAlignment="1">
      <alignment horizontal="left" wrapText="1"/>
    </xf>
    <xf numFmtId="0" fontId="39" fillId="12" borderId="112" xfId="0" applyFont="1" applyFill="1" applyBorder="1" applyAlignment="1">
      <alignment horizontal="left" indent="1"/>
    </xf>
    <xf numFmtId="164" fontId="39" fillId="12" borderId="109" xfId="0" applyNumberFormat="1" applyFont="1" applyFill="1" applyBorder="1" applyAlignment="1">
      <alignment horizontal="center"/>
    </xf>
    <xf numFmtId="164" fontId="39" fillId="12" borderId="111" xfId="33" applyNumberFormat="1" applyFont="1" applyFill="1" applyBorder="1" applyAlignment="1">
      <alignment horizontal="center"/>
    </xf>
    <xf numFmtId="0" fontId="36" fillId="0" borderId="149" xfId="15" applyFont="1" applyFill="1" applyBorder="1" applyAlignment="1">
      <alignment horizontal="center" wrapText="1"/>
    </xf>
    <xf numFmtId="3" fontId="36" fillId="2" borderId="211" xfId="15" applyNumberFormat="1" applyFont="1" applyFill="1" applyBorder="1" applyAlignment="1">
      <alignment horizontal="right" vertical="top"/>
    </xf>
    <xf numFmtId="0" fontId="36" fillId="0" borderId="151" xfId="15" applyFont="1" applyFill="1" applyBorder="1" applyAlignment="1">
      <alignment horizontal="center" wrapText="1"/>
    </xf>
    <xf numFmtId="0" fontId="36" fillId="0" borderId="210" xfId="15" applyFont="1" applyFill="1" applyBorder="1" applyAlignment="1">
      <alignment horizontal="center" wrapText="1"/>
    </xf>
    <xf numFmtId="0" fontId="36" fillId="0" borderId="415" xfId="15" applyFont="1" applyFill="1" applyBorder="1" applyAlignment="1">
      <alignment horizontal="center" wrapText="1"/>
    </xf>
    <xf numFmtId="3" fontId="36" fillId="2" borderId="282" xfId="15" applyNumberFormat="1" applyFont="1" applyFill="1" applyBorder="1" applyAlignment="1">
      <alignment horizontal="right" vertical="top"/>
    </xf>
    <xf numFmtId="3" fontId="36" fillId="2" borderId="395" xfId="15" applyNumberFormat="1" applyFont="1" applyFill="1" applyBorder="1" applyAlignment="1">
      <alignment horizontal="right" vertical="top"/>
    </xf>
    <xf numFmtId="169" fontId="56" fillId="0" borderId="394" xfId="1" applyNumberFormat="1" applyFont="1" applyFill="1" applyBorder="1"/>
    <xf numFmtId="169" fontId="56" fillId="0" borderId="395" xfId="1" applyNumberFormat="1" applyFont="1" applyFill="1" applyBorder="1"/>
    <xf numFmtId="169" fontId="56" fillId="0" borderId="415" xfId="1" applyNumberFormat="1" applyFont="1" applyFill="1" applyBorder="1"/>
    <xf numFmtId="3" fontId="36" fillId="2" borderId="278" xfId="15" applyNumberFormat="1" applyFont="1" applyFill="1" applyBorder="1" applyAlignment="1">
      <alignment horizontal="right" vertical="top"/>
    </xf>
    <xf numFmtId="169" fontId="56" fillId="0" borderId="152" xfId="1" applyNumberFormat="1" applyFont="1" applyFill="1" applyBorder="1"/>
    <xf numFmtId="3" fontId="36" fillId="2" borderId="152" xfId="15" applyNumberFormat="1" applyFont="1" applyFill="1" applyBorder="1" applyAlignment="1">
      <alignment horizontal="right" vertical="top"/>
    </xf>
    <xf numFmtId="0" fontId="50" fillId="0" borderId="33" xfId="14" applyFont="1" applyFill="1" applyBorder="1" applyAlignment="1">
      <alignment horizontal="center"/>
    </xf>
    <xf numFmtId="169" fontId="50" fillId="2" borderId="293" xfId="1" applyNumberFormat="1" applyFont="1" applyFill="1" applyBorder="1"/>
    <xf numFmtId="0" fontId="50" fillId="0" borderId="211" xfId="14" applyFont="1" applyFill="1" applyBorder="1" applyAlignment="1">
      <alignment horizontal="center"/>
    </xf>
    <xf numFmtId="0" fontId="50" fillId="0" borderId="0" xfId="14" applyFont="1" applyFill="1" applyBorder="1" applyAlignment="1">
      <alignment horizontal="center" wrapText="1"/>
    </xf>
    <xf numFmtId="170" fontId="18" fillId="0" borderId="0" xfId="0" applyNumberFormat="1" applyFont="1" applyFill="1" applyAlignment="1">
      <alignment wrapText="1"/>
    </xf>
    <xf numFmtId="169" fontId="18" fillId="0" borderId="0" xfId="1" applyNumberFormat="1" applyFont="1" applyFill="1"/>
    <xf numFmtId="164" fontId="18" fillId="0" borderId="0" xfId="33" applyNumberFormat="1" applyFont="1" applyFill="1"/>
    <xf numFmtId="177" fontId="18" fillId="0" borderId="0" xfId="0" applyNumberFormat="1" applyFont="1" applyFill="1"/>
    <xf numFmtId="0" fontId="87" fillId="0" borderId="0" xfId="0" applyFont="1" applyBorder="1" applyAlignment="1">
      <alignment horizontal="left" vertical="top" wrapText="1"/>
    </xf>
    <xf numFmtId="3" fontId="0" fillId="0" borderId="0" xfId="0" applyNumberFormat="1"/>
    <xf numFmtId="3" fontId="37" fillId="0" borderId="376" xfId="0" applyNumberFormat="1" applyFont="1" applyBorder="1"/>
    <xf numFmtId="3" fontId="37" fillId="0" borderId="0" xfId="0" applyNumberFormat="1" applyFont="1" applyBorder="1"/>
    <xf numFmtId="164" fontId="37" fillId="0" borderId="0" xfId="33" applyNumberFormat="1" applyFont="1" applyBorder="1"/>
    <xf numFmtId="164" fontId="37" fillId="0" borderId="211" xfId="33" applyNumberFormat="1" applyFont="1" applyBorder="1"/>
    <xf numFmtId="9" fontId="0" fillId="0" borderId="0" xfId="33" applyFont="1"/>
    <xf numFmtId="9" fontId="0" fillId="0" borderId="0" xfId="33" applyNumberFormat="1" applyFont="1"/>
    <xf numFmtId="0" fontId="119" fillId="0" borderId="0" xfId="0" applyFont="1" applyFill="1" applyAlignment="1">
      <alignment vertical="top"/>
    </xf>
    <xf numFmtId="3" fontId="54" fillId="0" borderId="0" xfId="33" applyNumberFormat="1" applyFont="1"/>
    <xf numFmtId="0" fontId="37" fillId="0" borderId="0" xfId="0" applyFont="1" applyFill="1" applyBorder="1" applyAlignment="1">
      <alignment wrapText="1"/>
    </xf>
    <xf numFmtId="169" fontId="120" fillId="0" borderId="0" xfId="1" applyNumberFormat="1" applyFont="1" applyFill="1" applyBorder="1" applyAlignment="1">
      <alignment vertical="center"/>
    </xf>
    <xf numFmtId="164" fontId="59" fillId="29" borderId="134" xfId="0" applyNumberFormat="1" applyFont="1" applyFill="1" applyBorder="1"/>
    <xf numFmtId="164" fontId="59" fillId="29" borderId="145" xfId="0" applyNumberFormat="1" applyFont="1" applyFill="1" applyBorder="1"/>
    <xf numFmtId="164" fontId="59" fillId="29" borderId="139" xfId="33" applyNumberFormat="1" applyFont="1" applyFill="1" applyBorder="1"/>
    <xf numFmtId="164" fontId="59" fillId="29" borderId="134" xfId="33" applyNumberFormat="1" applyFont="1" applyFill="1" applyBorder="1"/>
    <xf numFmtId="164" fontId="59" fillId="29" borderId="145" xfId="33" applyNumberFormat="1" applyFont="1" applyFill="1" applyBorder="1"/>
    <xf numFmtId="164" fontId="41" fillId="0" borderId="151" xfId="33" applyNumberFormat="1" applyFont="1" applyFill="1" applyBorder="1"/>
    <xf numFmtId="164" fontId="41" fillId="0" borderId="25" xfId="33" applyNumberFormat="1" applyFont="1" applyFill="1" applyBorder="1"/>
    <xf numFmtId="0" fontId="41" fillId="0" borderId="0" xfId="0" applyFont="1" applyBorder="1" applyAlignment="1">
      <alignment horizontal="center" vertical="top" wrapText="1"/>
    </xf>
    <xf numFmtId="0" fontId="1" fillId="0" borderId="0" xfId="0" applyFont="1"/>
    <xf numFmtId="0" fontId="69" fillId="0" borderId="0" xfId="0" applyFont="1" applyAlignment="1">
      <alignment wrapText="1"/>
    </xf>
    <xf numFmtId="0" fontId="69" fillId="0" borderId="0" xfId="0" applyFont="1" applyFill="1" applyBorder="1" applyAlignment="1">
      <alignment wrapText="1"/>
    </xf>
    <xf numFmtId="3" fontId="1" fillId="0" borderId="0" xfId="0" applyNumberFormat="1" applyFont="1"/>
    <xf numFmtId="164" fontId="1" fillId="0" borderId="0" xfId="33" applyNumberFormat="1" applyFont="1"/>
    <xf numFmtId="169" fontId="0" fillId="0" borderId="0" xfId="1" applyNumberFormat="1" applyFont="1"/>
    <xf numFmtId="169" fontId="69" fillId="0" borderId="0" xfId="1" applyNumberFormat="1" applyFont="1" applyAlignment="1">
      <alignment wrapText="1"/>
    </xf>
    <xf numFmtId="169" fontId="1" fillId="0" borderId="0" xfId="1" applyNumberFormat="1" applyFont="1"/>
    <xf numFmtId="49" fontId="20" fillId="3" borderId="17" xfId="0" applyNumberFormat="1" applyFont="1" applyFill="1" applyBorder="1" applyAlignment="1">
      <alignment horizontal="center"/>
    </xf>
    <xf numFmtId="170" fontId="20" fillId="3" borderId="18" xfId="0" applyNumberFormat="1" applyFont="1" applyFill="1" applyBorder="1" applyAlignment="1" applyProtection="1">
      <alignment horizontal="left" vertical="center"/>
    </xf>
    <xf numFmtId="170" fontId="20" fillId="3" borderId="19" xfId="0" applyNumberFormat="1" applyFont="1" applyFill="1" applyBorder="1" applyAlignment="1" applyProtection="1">
      <alignment horizontal="left" vertical="center"/>
    </xf>
    <xf numFmtId="169" fontId="1" fillId="3" borderId="0" xfId="1" applyNumberFormat="1" applyFont="1" applyFill="1"/>
    <xf numFmtId="164" fontId="1" fillId="3" borderId="0" xfId="33" applyNumberFormat="1" applyFont="1" applyFill="1"/>
    <xf numFmtId="0" fontId="0" fillId="0" borderId="0" xfId="0" applyAlignment="1">
      <alignment wrapText="1"/>
    </xf>
    <xf numFmtId="169" fontId="61" fillId="0" borderId="0" xfId="14" applyNumberFormat="1" applyFont="1"/>
    <xf numFmtId="0" fontId="41" fillId="0" borderId="0" xfId="0" applyFont="1" applyBorder="1" applyAlignment="1">
      <alignment horizontal="left" vertical="top" wrapText="1"/>
    </xf>
    <xf numFmtId="0" fontId="89" fillId="0" borderId="0" xfId="0" applyFont="1" applyBorder="1" applyAlignment="1">
      <alignment horizontal="left" vertical="top" wrapText="1"/>
    </xf>
    <xf numFmtId="3" fontId="120" fillId="0" borderId="0" xfId="0" applyNumberFormat="1" applyFont="1" applyBorder="1" applyAlignment="1">
      <alignment horizontal="center" vertical="center" wrapText="1"/>
    </xf>
    <xf numFmtId="0" fontId="119" fillId="0" borderId="0" xfId="0" applyFont="1" applyFill="1" applyAlignment="1">
      <alignment horizontal="left" vertical="top" wrapText="1"/>
    </xf>
    <xf numFmtId="0" fontId="48" fillId="3" borderId="0" xfId="0" applyFont="1" applyFill="1" applyBorder="1" applyAlignment="1">
      <alignment horizontal="center" vertical="center" wrapText="1"/>
    </xf>
    <xf numFmtId="0" fontId="48" fillId="3" borderId="93" xfId="0" applyFont="1" applyFill="1" applyBorder="1" applyAlignment="1">
      <alignment horizontal="center" vertical="center" wrapText="1"/>
    </xf>
    <xf numFmtId="9" fontId="75" fillId="0" borderId="0" xfId="33" applyFont="1" applyAlignment="1">
      <alignment horizontal="center" vertical="center"/>
    </xf>
    <xf numFmtId="0" fontId="41" fillId="0" borderId="0" xfId="0" applyFont="1" applyBorder="1" applyAlignment="1">
      <alignment horizontal="center" vertical="top" wrapText="1"/>
    </xf>
    <xf numFmtId="0" fontId="41" fillId="0" borderId="0" xfId="0" applyFont="1" applyFill="1" applyBorder="1" applyAlignment="1">
      <alignment horizontal="left" vertical="top" wrapText="1"/>
    </xf>
    <xf numFmtId="0" fontId="38" fillId="0" borderId="112" xfId="0" applyFont="1" applyFill="1" applyBorder="1" applyAlignment="1">
      <alignment horizontal="left"/>
    </xf>
    <xf numFmtId="0" fontId="38" fillId="0" borderId="113" xfId="0" applyFont="1" applyFill="1" applyBorder="1" applyAlignment="1">
      <alignment horizontal="left"/>
    </xf>
    <xf numFmtId="0" fontId="38" fillId="0" borderId="101" xfId="0" applyFont="1" applyFill="1" applyBorder="1" applyAlignment="1">
      <alignment horizontal="left"/>
    </xf>
    <xf numFmtId="0" fontId="38" fillId="0" borderId="0" xfId="0" applyFont="1" applyFill="1" applyBorder="1" applyAlignment="1">
      <alignment horizontal="left"/>
    </xf>
    <xf numFmtId="0" fontId="38" fillId="0" borderId="31" xfId="0" applyFont="1" applyFill="1" applyBorder="1" applyAlignment="1">
      <alignment horizontal="left"/>
    </xf>
    <xf numFmtId="0" fontId="38" fillId="0" borderId="153" xfId="0" applyFont="1" applyFill="1" applyBorder="1" applyAlignment="1">
      <alignment horizontal="left"/>
    </xf>
    <xf numFmtId="0" fontId="38" fillId="0" borderId="154" xfId="0" applyFont="1" applyFill="1" applyBorder="1" applyAlignment="1">
      <alignment horizontal="left"/>
    </xf>
    <xf numFmtId="0" fontId="38" fillId="0" borderId="155" xfId="0" applyFont="1" applyFill="1" applyBorder="1" applyAlignment="1">
      <alignment horizontal="left"/>
    </xf>
    <xf numFmtId="0" fontId="72" fillId="21" borderId="114" xfId="0" applyFont="1" applyFill="1" applyBorder="1" applyAlignment="1">
      <alignment horizontal="left" vertical="center" wrapText="1"/>
    </xf>
    <xf numFmtId="0" fontId="72" fillId="21" borderId="117" xfId="0" applyFont="1" applyFill="1" applyBorder="1" applyAlignment="1">
      <alignment horizontal="left" vertical="center" wrapText="1"/>
    </xf>
    <xf numFmtId="0" fontId="72" fillId="21" borderId="157" xfId="0" applyFont="1" applyFill="1" applyBorder="1" applyAlignment="1">
      <alignment horizontal="left" vertical="center" wrapText="1"/>
    </xf>
    <xf numFmtId="0" fontId="72" fillId="21" borderId="280" xfId="0" applyFont="1" applyFill="1" applyBorder="1" applyAlignment="1">
      <alignment horizontal="left" vertical="center" wrapText="1"/>
    </xf>
    <xf numFmtId="0" fontId="38" fillId="0" borderId="153" xfId="0" applyFont="1" applyFill="1" applyBorder="1" applyAlignment="1">
      <alignment horizontal="center"/>
    </xf>
    <xf numFmtId="0" fontId="38" fillId="0" borderId="154" xfId="0" applyFont="1" applyFill="1" applyBorder="1" applyAlignment="1">
      <alignment horizontal="center"/>
    </xf>
    <xf numFmtId="0" fontId="39" fillId="15" borderId="115" xfId="0" applyFont="1" applyFill="1" applyBorder="1" applyAlignment="1">
      <alignment horizontal="center" wrapText="1"/>
    </xf>
    <xf numFmtId="0" fontId="39" fillId="15" borderId="150" xfId="0" applyFont="1" applyFill="1" applyBorder="1" applyAlignment="1">
      <alignment horizontal="center" wrapText="1"/>
    </xf>
    <xf numFmtId="0" fontId="85" fillId="24" borderId="125" xfId="0" applyFont="1" applyFill="1" applyBorder="1" applyAlignment="1">
      <alignment horizontal="center" vertical="center" wrapText="1"/>
    </xf>
    <xf numFmtId="0" fontId="88" fillId="24" borderId="128" xfId="0" applyFont="1" applyFill="1" applyBorder="1" applyAlignment="1">
      <alignment horizontal="center" vertical="top"/>
    </xf>
    <xf numFmtId="0" fontId="88" fillId="24" borderId="126" xfId="0" applyFont="1" applyFill="1" applyBorder="1" applyAlignment="1">
      <alignment horizontal="center" vertical="top"/>
    </xf>
    <xf numFmtId="0" fontId="88" fillId="24" borderId="13" xfId="0" applyFont="1" applyFill="1" applyBorder="1" applyAlignment="1">
      <alignment horizontal="center" vertical="top"/>
    </xf>
    <xf numFmtId="9" fontId="95" fillId="0" borderId="0" xfId="0" applyNumberFormat="1" applyFont="1" applyAlignment="1">
      <alignment horizontal="center" vertical="center"/>
    </xf>
    <xf numFmtId="0" fontId="38" fillId="0" borderId="147" xfId="0" quotePrefix="1" applyFont="1" applyFill="1" applyBorder="1" applyAlignment="1">
      <alignment horizontal="left"/>
    </xf>
    <xf numFmtId="0" fontId="38" fillId="0" borderId="0" xfId="0" quotePrefix="1" applyFont="1" applyFill="1" applyBorder="1" applyAlignment="1">
      <alignment horizontal="left"/>
    </xf>
    <xf numFmtId="0" fontId="38" fillId="7" borderId="147" xfId="0" quotePrefix="1" applyFont="1" applyFill="1" applyBorder="1" applyAlignment="1">
      <alignment horizontal="left"/>
    </xf>
    <xf numFmtId="0" fontId="38" fillId="7" borderId="0" xfId="0" quotePrefix="1" applyFont="1" applyFill="1" applyBorder="1" applyAlignment="1">
      <alignment horizontal="left"/>
    </xf>
    <xf numFmtId="0" fontId="72" fillId="21" borderId="119" xfId="0" applyFont="1" applyFill="1" applyBorder="1" applyAlignment="1">
      <alignment horizontal="left" vertical="center"/>
    </xf>
    <xf numFmtId="0" fontId="72" fillId="21" borderId="116" xfId="0" applyFont="1" applyFill="1" applyBorder="1" applyAlignment="1">
      <alignment horizontal="left" vertical="center"/>
    </xf>
    <xf numFmtId="0" fontId="38" fillId="7" borderId="376" xfId="0" quotePrefix="1" applyFont="1" applyFill="1" applyBorder="1" applyAlignment="1">
      <alignment horizontal="left"/>
    </xf>
    <xf numFmtId="9" fontId="39" fillId="15" borderId="153" xfId="0" applyNumberFormat="1" applyFont="1" applyFill="1" applyBorder="1" applyAlignment="1">
      <alignment horizontal="center"/>
    </xf>
    <xf numFmtId="9" fontId="39" fillId="15" borderId="154" xfId="0" applyNumberFormat="1" applyFont="1" applyFill="1" applyBorder="1" applyAlignment="1">
      <alignment horizontal="center"/>
    </xf>
    <xf numFmtId="9" fontId="39" fillId="15" borderId="200" xfId="0" applyNumberFormat="1" applyFont="1" applyFill="1" applyBorder="1" applyAlignment="1">
      <alignment horizontal="center"/>
    </xf>
    <xf numFmtId="9" fontId="39" fillId="15" borderId="182" xfId="0" applyNumberFormat="1" applyFont="1" applyFill="1" applyBorder="1" applyAlignment="1">
      <alignment horizontal="center"/>
    </xf>
    <xf numFmtId="9" fontId="39" fillId="15" borderId="164" xfId="0" applyNumberFormat="1" applyFont="1" applyFill="1" applyBorder="1" applyAlignment="1">
      <alignment horizontal="center"/>
    </xf>
    <xf numFmtId="9" fontId="39" fillId="15" borderId="199" xfId="0" applyNumberFormat="1" applyFont="1" applyFill="1" applyBorder="1" applyAlignment="1">
      <alignment horizontal="center"/>
    </xf>
    <xf numFmtId="0" fontId="57" fillId="11" borderId="361" xfId="0" applyFont="1" applyFill="1" applyBorder="1" applyAlignment="1"/>
    <xf numFmtId="0" fontId="57" fillId="11" borderId="280" xfId="0" applyFont="1" applyFill="1" applyBorder="1" applyAlignment="1"/>
    <xf numFmtId="0" fontId="77" fillId="26" borderId="348" xfId="0" applyFont="1" applyFill="1" applyBorder="1" applyAlignment="1">
      <alignment horizontal="left" wrapText="1"/>
    </xf>
    <xf numFmtId="0" fontId="77" fillId="26" borderId="349" xfId="0" applyFont="1" applyFill="1" applyBorder="1" applyAlignment="1">
      <alignment horizontal="left" wrapText="1"/>
    </xf>
    <xf numFmtId="0" fontId="77" fillId="26" borderId="350" xfId="0" applyFont="1" applyFill="1" applyBorder="1" applyAlignment="1">
      <alignment horizontal="left" wrapText="1"/>
    </xf>
    <xf numFmtId="0" fontId="38" fillId="5" borderId="357" xfId="0" applyFont="1" applyFill="1" applyBorder="1" applyAlignment="1">
      <alignment horizontal="left" indent="1"/>
    </xf>
    <xf numFmtId="0" fontId="38" fillId="5" borderId="0" xfId="0" applyFont="1" applyFill="1" applyBorder="1" applyAlignment="1">
      <alignment horizontal="left" indent="1"/>
    </xf>
    <xf numFmtId="0" fontId="39" fillId="28" borderId="357" xfId="0" applyFont="1" applyFill="1" applyBorder="1" applyAlignment="1">
      <alignment horizontal="left"/>
    </xf>
    <xf numFmtId="0" fontId="39" fillId="28" borderId="0" xfId="0" applyFont="1" applyFill="1" applyBorder="1" applyAlignment="1">
      <alignment horizontal="left"/>
    </xf>
    <xf numFmtId="0" fontId="102" fillId="26" borderId="355" xfId="0" applyFont="1" applyFill="1" applyBorder="1" applyAlignment="1">
      <alignment horizontal="left" wrapText="1"/>
    </xf>
    <xf numFmtId="0" fontId="102" fillId="26" borderId="113" xfId="0" applyFont="1" applyFill="1" applyBorder="1" applyAlignment="1">
      <alignment horizontal="left" wrapText="1"/>
    </xf>
    <xf numFmtId="0" fontId="102" fillId="26" borderId="208" xfId="0" applyFont="1" applyFill="1" applyBorder="1" applyAlignment="1">
      <alignment horizontal="left" wrapText="1"/>
    </xf>
    <xf numFmtId="0" fontId="39" fillId="27" borderId="353" xfId="0" applyFont="1" applyFill="1" applyBorder="1" applyAlignment="1">
      <alignment horizontal="center" vertical="center" wrapText="1"/>
    </xf>
    <xf numFmtId="0" fontId="39" fillId="27" borderId="333" xfId="0" applyFont="1" applyFill="1" applyBorder="1" applyAlignment="1">
      <alignment horizontal="center" vertical="center" wrapText="1"/>
    </xf>
    <xf numFmtId="0" fontId="39" fillId="15" borderId="387" xfId="0" applyFont="1" applyFill="1" applyBorder="1" applyAlignment="1">
      <alignment horizontal="center"/>
    </xf>
    <xf numFmtId="0" fontId="39" fillId="15" borderId="183" xfId="0" applyFont="1" applyFill="1" applyBorder="1" applyAlignment="1">
      <alignment horizontal="center"/>
    </xf>
    <xf numFmtId="0" fontId="39" fillId="15" borderId="388" xfId="0" applyFont="1" applyFill="1" applyBorder="1" applyAlignment="1">
      <alignment horizontal="center"/>
    </xf>
    <xf numFmtId="0" fontId="57" fillId="11" borderId="359" xfId="0" applyFont="1" applyFill="1" applyBorder="1" applyAlignment="1"/>
    <xf numFmtId="0" fontId="57" fillId="11" borderId="141" xfId="0" applyFont="1" applyFill="1" applyBorder="1" applyAlignment="1"/>
    <xf numFmtId="0" fontId="39" fillId="27" borderId="354" xfId="0" applyFont="1" applyFill="1" applyBorder="1" applyAlignment="1">
      <alignment horizontal="center" vertical="center"/>
    </xf>
    <xf numFmtId="0" fontId="39" fillId="27" borderId="356" xfId="0" applyFont="1" applyFill="1" applyBorder="1" applyAlignment="1">
      <alignment horizontal="center" vertical="center"/>
    </xf>
    <xf numFmtId="0" fontId="39" fillId="27" borderId="351" xfId="0" applyFont="1" applyFill="1" applyBorder="1" applyAlignment="1">
      <alignment horizontal="center" vertical="center"/>
    </xf>
    <xf numFmtId="0" fontId="39" fillId="27" borderId="121" xfId="0" applyFont="1" applyFill="1" applyBorder="1" applyAlignment="1">
      <alignment horizontal="center" vertical="center"/>
    </xf>
    <xf numFmtId="0" fontId="39" fillId="27" borderId="352" xfId="0" applyFont="1" applyFill="1" applyBorder="1" applyAlignment="1">
      <alignment horizontal="center" vertical="center"/>
    </xf>
    <xf numFmtId="0" fontId="39" fillId="27" borderId="118" xfId="0" applyFont="1" applyFill="1" applyBorder="1" applyAlignment="1">
      <alignment horizontal="center" vertical="center"/>
    </xf>
    <xf numFmtId="0" fontId="39" fillId="27" borderId="352" xfId="0" applyFont="1" applyFill="1" applyBorder="1" applyAlignment="1">
      <alignment horizontal="center" vertical="center" wrapText="1"/>
    </xf>
    <xf numFmtId="0" fontId="39" fillId="27" borderId="118" xfId="0" applyFont="1" applyFill="1" applyBorder="1" applyAlignment="1">
      <alignment horizontal="center" vertical="center" wrapText="1"/>
    </xf>
    <xf numFmtId="0" fontId="39" fillId="13" borderId="99" xfId="0" applyFont="1" applyFill="1" applyBorder="1" applyAlignment="1">
      <alignment horizontal="center" vertical="center" wrapText="1"/>
    </xf>
    <xf numFmtId="0" fontId="39" fillId="13" borderId="105" xfId="0" applyFont="1" applyFill="1" applyBorder="1" applyAlignment="1">
      <alignment horizontal="center" vertical="center" wrapText="1"/>
    </xf>
    <xf numFmtId="0" fontId="39" fillId="13" borderId="277" xfId="0" applyFont="1" applyFill="1" applyBorder="1" applyAlignment="1">
      <alignment horizontal="center" vertical="center" wrapText="1"/>
    </xf>
    <xf numFmtId="0" fontId="39" fillId="13" borderId="271" xfId="0" applyFont="1" applyFill="1" applyBorder="1" applyAlignment="1">
      <alignment horizontal="center" vertical="center" wrapText="1"/>
    </xf>
    <xf numFmtId="0" fontId="38" fillId="7" borderId="296" xfId="0" quotePrefix="1" applyFont="1" applyFill="1" applyBorder="1" applyAlignment="1">
      <alignment horizontal="left"/>
    </xf>
    <xf numFmtId="0" fontId="104" fillId="0" borderId="0" xfId="0" applyFont="1" applyBorder="1" applyAlignment="1">
      <alignment horizontal="center" vertical="center" wrapText="1"/>
    </xf>
    <xf numFmtId="0" fontId="39" fillId="15" borderId="180" xfId="0" applyFont="1" applyFill="1" applyBorder="1" applyAlignment="1">
      <alignment horizontal="center" wrapText="1"/>
    </xf>
    <xf numFmtId="0" fontId="39" fillId="15" borderId="183" xfId="0" applyFont="1" applyFill="1" applyBorder="1" applyAlignment="1">
      <alignment horizontal="center" wrapText="1"/>
    </xf>
    <xf numFmtId="0" fontId="39" fillId="15" borderId="178" xfId="0" applyFont="1" applyFill="1" applyBorder="1" applyAlignment="1">
      <alignment horizontal="center" wrapText="1"/>
    </xf>
    <xf numFmtId="0" fontId="39" fillId="15" borderId="180" xfId="0" applyFont="1" applyFill="1" applyBorder="1" applyAlignment="1">
      <alignment horizontal="center"/>
    </xf>
    <xf numFmtId="0" fontId="38" fillId="0" borderId="147" xfId="0" quotePrefix="1" applyFont="1" applyBorder="1" applyAlignment="1">
      <alignment horizontal="left"/>
    </xf>
    <xf numFmtId="0" fontId="38" fillId="0" borderId="0" xfId="0" quotePrefix="1" applyFont="1" applyBorder="1" applyAlignment="1">
      <alignment horizontal="left"/>
    </xf>
    <xf numFmtId="0" fontId="38" fillId="0" borderId="296" xfId="0" quotePrefix="1" applyFont="1" applyFill="1" applyBorder="1" applyAlignment="1">
      <alignment horizontal="left"/>
    </xf>
    <xf numFmtId="0" fontId="38" fillId="0" borderId="211" xfId="0" quotePrefix="1" applyFont="1" applyFill="1" applyBorder="1" applyAlignment="1">
      <alignment horizontal="left"/>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72" fillId="21" borderId="156" xfId="0" applyFont="1" applyFill="1" applyBorder="1" applyAlignment="1">
      <alignment horizontal="left" vertical="center" wrapText="1"/>
    </xf>
    <xf numFmtId="0" fontId="72" fillId="21" borderId="152" xfId="0" applyFont="1" applyFill="1" applyBorder="1" applyAlignment="1">
      <alignment horizontal="left" vertical="center" wrapText="1"/>
    </xf>
    <xf numFmtId="0" fontId="72" fillId="21" borderId="149" xfId="0" applyFont="1" applyFill="1" applyBorder="1" applyAlignment="1">
      <alignment horizontal="left" vertical="center" wrapText="1"/>
    </xf>
    <xf numFmtId="2" fontId="104" fillId="0" borderId="0" xfId="0" applyNumberFormat="1" applyFont="1" applyBorder="1" applyAlignment="1">
      <alignment horizontal="center" vertical="center" wrapText="1"/>
    </xf>
    <xf numFmtId="0" fontId="38" fillId="0" borderId="376" xfId="0" quotePrefix="1" applyFont="1" applyFill="1" applyBorder="1" applyAlignment="1">
      <alignment horizontal="left"/>
    </xf>
    <xf numFmtId="0" fontId="41" fillId="0" borderId="38" xfId="0" applyFont="1" applyFill="1" applyBorder="1" applyAlignment="1">
      <alignment horizontal="left" vertical="top" wrapText="1"/>
    </xf>
    <xf numFmtId="0" fontId="103" fillId="25" borderId="0" xfId="0" applyFont="1" applyFill="1" applyBorder="1" applyAlignment="1">
      <alignment horizontal="center" vertical="center" wrapText="1"/>
    </xf>
    <xf numFmtId="0" fontId="114" fillId="0" borderId="0" xfId="0" applyFont="1" applyBorder="1" applyAlignment="1">
      <alignment horizontal="left" vertical="top" wrapText="1"/>
    </xf>
    <xf numFmtId="0" fontId="39" fillId="15" borderId="198" xfId="0" applyFont="1" applyFill="1" applyBorder="1" applyAlignment="1">
      <alignment horizontal="center" wrapText="1"/>
    </xf>
    <xf numFmtId="0" fontId="39" fillId="15" borderId="122" xfId="0" applyFont="1" applyFill="1" applyBorder="1" applyAlignment="1">
      <alignment horizontal="center" wrapText="1"/>
    </xf>
    <xf numFmtId="0" fontId="39" fillId="28" borderId="357" xfId="0" applyFont="1" applyFill="1" applyBorder="1" applyAlignment="1"/>
    <xf numFmtId="0" fontId="39" fillId="28" borderId="0" xfId="0" applyFont="1" applyFill="1" applyBorder="1" applyAlignment="1"/>
    <xf numFmtId="0" fontId="41" fillId="0" borderId="0" xfId="0" applyFont="1" applyBorder="1" applyAlignment="1">
      <alignment horizontal="left"/>
    </xf>
    <xf numFmtId="0" fontId="39" fillId="28" borderId="363" xfId="0" applyFont="1" applyFill="1" applyBorder="1" applyAlignment="1"/>
    <xf numFmtId="0" fontId="39" fillId="28" borderId="279" xfId="0" applyFont="1" applyFill="1" applyBorder="1" applyAlignment="1"/>
    <xf numFmtId="0" fontId="38" fillId="5" borderId="211" xfId="0" applyFont="1" applyFill="1" applyBorder="1" applyAlignment="1">
      <alignment horizontal="left" indent="1"/>
    </xf>
    <xf numFmtId="0" fontId="74" fillId="0" borderId="32" xfId="0" applyFont="1" applyBorder="1" applyAlignment="1">
      <alignment horizontal="left"/>
    </xf>
    <xf numFmtId="0" fontId="74" fillId="0" borderId="0" xfId="0" applyFont="1" applyBorder="1" applyAlignment="1">
      <alignment horizontal="left"/>
    </xf>
    <xf numFmtId="0" fontId="98" fillId="5" borderId="0" xfId="0" applyFont="1" applyFill="1" applyAlignment="1">
      <alignment horizontal="left" vertical="top" wrapText="1"/>
    </xf>
    <xf numFmtId="0" fontId="38" fillId="0" borderId="0" xfId="0" applyFont="1" applyBorder="1" applyAlignment="1">
      <alignment horizontal="center"/>
    </xf>
    <xf numFmtId="0" fontId="38" fillId="6" borderId="292" xfId="0" applyFont="1" applyFill="1" applyBorder="1" applyAlignment="1">
      <alignment horizontal="left"/>
    </xf>
    <xf numFmtId="0" fontId="38" fillId="6" borderId="322" xfId="0" applyFont="1" applyFill="1" applyBorder="1" applyAlignment="1">
      <alignment horizontal="left"/>
    </xf>
    <xf numFmtId="0" fontId="38" fillId="6" borderId="327" xfId="0" applyFont="1" applyFill="1" applyBorder="1" applyAlignment="1">
      <alignment horizontal="left"/>
    </xf>
    <xf numFmtId="0" fontId="39" fillId="6" borderId="316" xfId="0" applyFont="1" applyFill="1" applyBorder="1" applyAlignment="1">
      <alignment horizontal="center" vertical="center" wrapText="1"/>
    </xf>
    <xf numFmtId="0" fontId="39" fillId="6" borderId="302" xfId="0" applyFont="1" applyFill="1" applyBorder="1" applyAlignment="1">
      <alignment horizontal="center" vertical="center" wrapText="1"/>
    </xf>
    <xf numFmtId="0" fontId="38" fillId="0" borderId="0" xfId="0" applyNumberFormat="1" applyFont="1" applyAlignment="1">
      <alignment horizontal="left" wrapText="1"/>
    </xf>
    <xf numFmtId="0" fontId="38" fillId="0" borderId="0" xfId="0" applyFont="1" applyAlignment="1">
      <alignment horizontal="left" wrapText="1"/>
    </xf>
    <xf numFmtId="49" fontId="38" fillId="0" borderId="0" xfId="0" applyNumberFormat="1" applyFont="1" applyAlignment="1">
      <alignment horizontal="left" wrapText="1"/>
    </xf>
    <xf numFmtId="0" fontId="77" fillId="23" borderId="292" xfId="0" applyFont="1" applyFill="1" applyBorder="1" applyAlignment="1">
      <alignment horizontal="left" vertical="center" wrapText="1"/>
    </xf>
    <xf numFmtId="0" fontId="77" fillId="23" borderId="322" xfId="0" applyFont="1" applyFill="1" applyBorder="1" applyAlignment="1">
      <alignment horizontal="left" vertical="center" wrapText="1"/>
    </xf>
    <xf numFmtId="0" fontId="77" fillId="23" borderId="327" xfId="0" applyFont="1" applyFill="1" applyBorder="1" applyAlignment="1">
      <alignment horizontal="left" vertical="center" wrapText="1"/>
    </xf>
    <xf numFmtId="0" fontId="38" fillId="0" borderId="0" xfId="0" applyFont="1" applyFill="1" applyBorder="1" applyAlignment="1">
      <alignment horizontal="left" vertical="top" wrapText="1"/>
    </xf>
    <xf numFmtId="0" fontId="39" fillId="6" borderId="328" xfId="0" applyFont="1" applyFill="1" applyBorder="1" applyAlignment="1">
      <alignment horizontal="center" vertical="center"/>
    </xf>
    <xf numFmtId="0" fontId="39" fillId="6" borderId="322" xfId="0" applyFont="1" applyFill="1" applyBorder="1" applyAlignment="1">
      <alignment horizontal="center" vertical="center"/>
    </xf>
    <xf numFmtId="0" fontId="39" fillId="6" borderId="327" xfId="0" applyFont="1" applyFill="1" applyBorder="1" applyAlignment="1">
      <alignment horizontal="center" vertical="center"/>
    </xf>
    <xf numFmtId="0" fontId="39" fillId="6" borderId="317" xfId="0" applyFont="1" applyFill="1" applyBorder="1" applyAlignment="1">
      <alignment horizontal="center" vertical="center" wrapText="1"/>
    </xf>
    <xf numFmtId="0" fontId="39" fillId="6" borderId="322" xfId="0" applyFont="1" applyFill="1" applyBorder="1" applyAlignment="1">
      <alignment horizontal="center" vertical="center" wrapText="1"/>
    </xf>
    <xf numFmtId="0" fontId="39" fillId="6" borderId="326" xfId="0" applyFont="1" applyFill="1" applyBorder="1" applyAlignment="1">
      <alignment horizontal="center" vertical="center" wrapText="1"/>
    </xf>
    <xf numFmtId="0" fontId="60" fillId="0" borderId="0" xfId="0" applyFont="1" applyAlignment="1">
      <alignment horizontal="center" vertical="center" wrapText="1"/>
    </xf>
    <xf numFmtId="0" fontId="38" fillId="0" borderId="0" xfId="0" applyFont="1" applyAlignment="1">
      <alignment horizontal="center"/>
    </xf>
    <xf numFmtId="0" fontId="72" fillId="20" borderId="39" xfId="0" applyFont="1" applyFill="1" applyBorder="1" applyAlignment="1">
      <alignment horizontal="left" vertical="center" wrapText="1"/>
    </xf>
    <xf numFmtId="0" fontId="72" fillId="20" borderId="32" xfId="0" applyFont="1" applyFill="1" applyBorder="1" applyAlignment="1">
      <alignment horizontal="left" vertical="center" wrapText="1"/>
    </xf>
    <xf numFmtId="0" fontId="39" fillId="13" borderId="27" xfId="0" applyFont="1" applyFill="1" applyBorder="1" applyAlignment="1">
      <alignment horizontal="center" vertical="center" wrapText="1"/>
    </xf>
    <xf numFmtId="0" fontId="39" fillId="13" borderId="274" xfId="0" applyFont="1" applyFill="1" applyBorder="1" applyAlignment="1">
      <alignment horizontal="center" vertical="center" wrapText="1"/>
    </xf>
    <xf numFmtId="0" fontId="89" fillId="8" borderId="0" xfId="0" applyFont="1" applyFill="1" applyAlignment="1">
      <alignment horizontal="center" vertical="top" wrapText="1"/>
    </xf>
    <xf numFmtId="0" fontId="48" fillId="0" borderId="10" xfId="0" applyFont="1" applyBorder="1" applyAlignment="1">
      <alignment horizontal="center"/>
    </xf>
    <xf numFmtId="0" fontId="45" fillId="10" borderId="128" xfId="0" applyFont="1" applyFill="1" applyBorder="1" applyAlignment="1" applyProtection="1">
      <alignment horizontal="center" vertical="center"/>
      <protection locked="0"/>
    </xf>
    <xf numFmtId="0" fontId="45" fillId="10" borderId="126" xfId="0" applyFont="1" applyFill="1" applyBorder="1" applyAlignment="1" applyProtection="1">
      <alignment horizontal="center" vertical="center"/>
      <protection locked="0"/>
    </xf>
    <xf numFmtId="0" fontId="45" fillId="10" borderId="13" xfId="0" applyFont="1" applyFill="1" applyBorder="1" applyAlignment="1" applyProtection="1">
      <alignment horizontal="center" vertical="center"/>
      <protection locked="0"/>
    </xf>
    <xf numFmtId="0" fontId="39" fillId="0" borderId="0" xfId="0" applyFont="1" applyAlignment="1">
      <alignment horizontal="right"/>
    </xf>
    <xf numFmtId="0" fontId="38" fillId="10" borderId="0" xfId="0" applyFont="1" applyFill="1" applyAlignment="1">
      <alignment horizontal="left"/>
    </xf>
    <xf numFmtId="0" fontId="45" fillId="0" borderId="0" xfId="0" applyFont="1" applyAlignment="1">
      <alignment horizontal="right"/>
    </xf>
    <xf numFmtId="0" fontId="48" fillId="12" borderId="38" xfId="0" applyFont="1" applyFill="1" applyBorder="1" applyAlignment="1">
      <alignment horizontal="center" vertical="center" wrapText="1"/>
    </xf>
    <xf numFmtId="0" fontId="48" fillId="12" borderId="0" xfId="0" applyFont="1" applyFill="1" applyBorder="1" applyAlignment="1">
      <alignment horizontal="center" vertical="center" wrapText="1"/>
    </xf>
    <xf numFmtId="0" fontId="48" fillId="12" borderId="91" xfId="0" applyFont="1" applyFill="1" applyBorder="1" applyAlignment="1">
      <alignment horizontal="center" vertical="center" wrapText="1"/>
    </xf>
    <xf numFmtId="0" fontId="48" fillId="12" borderId="92" xfId="0" applyFont="1" applyFill="1" applyBorder="1" applyAlignment="1">
      <alignment horizontal="center" vertical="center" wrapText="1"/>
    </xf>
    <xf numFmtId="0" fontId="39" fillId="0" borderId="0" xfId="0" applyFont="1" applyAlignment="1">
      <alignment horizontal="center"/>
    </xf>
    <xf numFmtId="0" fontId="74" fillId="0" borderId="290" xfId="0" applyFont="1" applyBorder="1" applyAlignment="1">
      <alignment horizontal="left"/>
    </xf>
    <xf numFmtId="0" fontId="74" fillId="0" borderId="279" xfId="0" applyFont="1" applyBorder="1" applyAlignment="1">
      <alignment horizontal="left"/>
    </xf>
    <xf numFmtId="169" fontId="76" fillId="0" borderId="0" xfId="1" applyNumberFormat="1" applyFont="1" applyAlignment="1">
      <alignment horizontal="center" vertical="center"/>
    </xf>
    <xf numFmtId="0" fontId="77" fillId="22" borderId="39" xfId="0" applyFont="1" applyFill="1" applyBorder="1" applyAlignment="1">
      <alignment horizontal="left" vertical="center"/>
    </xf>
    <xf numFmtId="0" fontId="77" fillId="22" borderId="38" xfId="0" applyFont="1" applyFill="1" applyBorder="1" applyAlignment="1">
      <alignment horizontal="left" vertical="center"/>
    </xf>
    <xf numFmtId="0" fontId="77" fillId="22" borderId="32" xfId="0" applyFont="1" applyFill="1" applyBorder="1" applyAlignment="1">
      <alignment horizontal="left" vertical="center"/>
    </xf>
    <xf numFmtId="0" fontId="77" fillId="22" borderId="0" xfId="0" applyFont="1" applyFill="1" applyBorder="1" applyAlignment="1">
      <alignment horizontal="left" vertical="center"/>
    </xf>
    <xf numFmtId="0" fontId="77" fillId="22" borderId="34" xfId="0" applyFont="1" applyFill="1" applyBorder="1" applyAlignment="1">
      <alignment horizontal="left" vertical="center"/>
    </xf>
    <xf numFmtId="0" fontId="77" fillId="22" borderId="10" xfId="0" applyFont="1" applyFill="1" applyBorder="1" applyAlignment="1">
      <alignment horizontal="left" vertical="center"/>
    </xf>
    <xf numFmtId="0" fontId="45" fillId="2" borderId="27" xfId="0" applyFont="1" applyFill="1" applyBorder="1" applyAlignment="1">
      <alignment horizontal="center" vertical="center"/>
    </xf>
    <xf numFmtId="0" fontId="45" fillId="2" borderId="29" xfId="0" applyFont="1" applyFill="1" applyBorder="1" applyAlignment="1">
      <alignment horizontal="center" vertical="center"/>
    </xf>
    <xf numFmtId="0" fontId="39" fillId="2" borderId="39" xfId="0" applyFont="1" applyFill="1" applyBorder="1" applyAlignment="1">
      <alignment horizontal="center" vertical="center" wrapText="1"/>
    </xf>
    <xf numFmtId="0" fontId="39" fillId="2" borderId="62"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74" fillId="0" borderId="292" xfId="0" applyFont="1" applyBorder="1" applyAlignment="1">
      <alignment horizontal="left"/>
    </xf>
    <xf numFmtId="0" fontId="74" fillId="0" borderId="278" xfId="0" applyFont="1" applyBorder="1" applyAlignment="1">
      <alignment horizontal="left"/>
    </xf>
    <xf numFmtId="9" fontId="39" fillId="15" borderId="162" xfId="33" applyFont="1" applyFill="1" applyBorder="1" applyAlignment="1">
      <alignment horizontal="center" vertical="center"/>
    </xf>
    <xf numFmtId="9" fontId="39" fillId="15" borderId="192" xfId="33" applyFont="1" applyFill="1" applyBorder="1" applyAlignment="1">
      <alignment horizontal="center" vertical="center"/>
    </xf>
    <xf numFmtId="0" fontId="73" fillId="15" borderId="181" xfId="0" applyFont="1" applyFill="1" applyBorder="1" applyAlignment="1">
      <alignment horizontal="center" vertical="center" wrapText="1"/>
    </xf>
    <xf numFmtId="0" fontId="113" fillId="0" borderId="296" xfId="0" applyFont="1" applyFill="1" applyBorder="1" applyAlignment="1">
      <alignment horizontal="left"/>
    </xf>
    <xf numFmtId="0" fontId="113" fillId="0" borderId="211" xfId="0" applyFont="1" applyFill="1" applyBorder="1" applyAlignment="1">
      <alignment horizontal="left"/>
    </xf>
    <xf numFmtId="0" fontId="113" fillId="0" borderId="301" xfId="0" applyFont="1" applyFill="1" applyBorder="1" applyAlignment="1">
      <alignment horizontal="left"/>
    </xf>
    <xf numFmtId="0" fontId="113" fillId="0" borderId="33" xfId="0" applyFont="1" applyFill="1" applyBorder="1" applyAlignment="1">
      <alignment horizontal="left"/>
    </xf>
    <xf numFmtId="0" fontId="48" fillId="12" borderId="93" xfId="0" applyFont="1" applyFill="1" applyBorder="1" applyAlignment="1">
      <alignment horizontal="center" vertical="center" wrapText="1"/>
    </xf>
    <xf numFmtId="0" fontId="41" fillId="0" borderId="0" xfId="0" applyFont="1" applyFill="1" applyAlignment="1">
      <alignment horizontal="left" vertical="top" wrapText="1"/>
    </xf>
    <xf numFmtId="0" fontId="39" fillId="14" borderId="278" xfId="0" applyFont="1" applyFill="1" applyBorder="1" applyAlignment="1">
      <alignment horizontal="center"/>
    </xf>
    <xf numFmtId="0" fontId="38" fillId="21" borderId="296" xfId="0" applyFont="1" applyFill="1" applyBorder="1" applyAlignment="1">
      <alignment horizontal="center"/>
    </xf>
    <xf numFmtId="0" fontId="38" fillId="21" borderId="211" xfId="0" applyFont="1" applyFill="1" applyBorder="1" applyAlignment="1">
      <alignment horizontal="center"/>
    </xf>
    <xf numFmtId="0" fontId="39" fillId="14" borderId="299" xfId="0" applyFont="1" applyFill="1" applyBorder="1" applyAlignment="1">
      <alignment horizontal="center" wrapText="1"/>
    </xf>
    <xf numFmtId="0" fontId="39" fillId="14" borderId="300" xfId="0" applyFont="1" applyFill="1" applyBorder="1" applyAlignment="1">
      <alignment horizontal="center" wrapText="1"/>
    </xf>
    <xf numFmtId="0" fontId="87" fillId="0" borderId="0" xfId="0" applyFont="1" applyBorder="1" applyAlignment="1">
      <alignment horizontal="left" vertical="top" wrapText="1"/>
    </xf>
    <xf numFmtId="0" fontId="88" fillId="22" borderId="39" xfId="0" applyFont="1" applyFill="1" applyBorder="1" applyAlignment="1">
      <alignment horizontal="center" vertical="center" wrapText="1"/>
    </xf>
    <xf numFmtId="0" fontId="88" fillId="22" borderId="32" xfId="0" applyFont="1" applyFill="1" applyBorder="1" applyAlignment="1">
      <alignment horizontal="center" vertical="center" wrapText="1"/>
    </xf>
    <xf numFmtId="0" fontId="88" fillId="22" borderId="123" xfId="0" applyFont="1" applyFill="1" applyBorder="1" applyAlignment="1">
      <alignment horizontal="center" vertical="center" wrapText="1"/>
    </xf>
    <xf numFmtId="0" fontId="84" fillId="21" borderId="292" xfId="0" applyFont="1" applyFill="1" applyBorder="1" applyAlignment="1">
      <alignment horizontal="left" vertical="center" wrapText="1"/>
    </xf>
    <xf numFmtId="0" fontId="84" fillId="21" borderId="293" xfId="0" applyFont="1" applyFill="1" applyBorder="1" applyAlignment="1">
      <alignment horizontal="left" vertical="center" wrapText="1"/>
    </xf>
    <xf numFmtId="9" fontId="39" fillId="14" borderId="292" xfId="33" applyFont="1" applyFill="1" applyBorder="1" applyAlignment="1">
      <alignment horizontal="center"/>
    </xf>
    <xf numFmtId="9" fontId="39" fillId="14" borderId="278" xfId="33" applyFont="1" applyFill="1" applyBorder="1" applyAlignment="1">
      <alignment horizontal="center"/>
    </xf>
    <xf numFmtId="9" fontId="39" fillId="14" borderId="293" xfId="33" applyFont="1" applyFill="1" applyBorder="1" applyAlignment="1">
      <alignment horizontal="center"/>
    </xf>
    <xf numFmtId="0" fontId="38" fillId="0" borderId="296" xfId="0" quotePrefix="1" applyFont="1" applyBorder="1" applyAlignment="1">
      <alignment horizontal="left"/>
    </xf>
    <xf numFmtId="0" fontId="72" fillId="20" borderId="114" xfId="0" applyFont="1" applyFill="1" applyBorder="1" applyAlignment="1">
      <alignment horizontal="left" vertical="center" wrapText="1"/>
    </xf>
    <xf numFmtId="0" fontId="72" fillId="20" borderId="101" xfId="0" applyFont="1" applyFill="1" applyBorder="1" applyAlignment="1">
      <alignment horizontal="left" vertical="center" wrapText="1"/>
    </xf>
    <xf numFmtId="0" fontId="39" fillId="14" borderId="292" xfId="0" applyFont="1" applyFill="1" applyBorder="1" applyAlignment="1">
      <alignment horizontal="center"/>
    </xf>
    <xf numFmtId="0" fontId="39" fillId="14" borderId="293" xfId="0" applyFont="1" applyFill="1" applyBorder="1" applyAlignment="1">
      <alignment horizontal="center"/>
    </xf>
    <xf numFmtId="0" fontId="39" fillId="13" borderId="99" xfId="0" applyFont="1" applyFill="1" applyBorder="1" applyAlignment="1">
      <alignment horizontal="center" vertical="center"/>
    </xf>
    <xf numFmtId="0" fontId="39" fillId="13" borderId="105" xfId="0" applyFont="1" applyFill="1" applyBorder="1" applyAlignment="1">
      <alignment horizontal="center" vertical="center"/>
    </xf>
    <xf numFmtId="0" fontId="39" fillId="13" borderId="277" xfId="0" applyFont="1" applyFill="1" applyBorder="1" applyAlignment="1">
      <alignment horizontal="center" vertical="center"/>
    </xf>
    <xf numFmtId="0" fontId="39" fillId="13" borderId="271" xfId="0" applyFont="1" applyFill="1" applyBorder="1" applyAlignment="1">
      <alignment horizontal="center" vertical="center"/>
    </xf>
    <xf numFmtId="0" fontId="39" fillId="13" borderId="315" xfId="0" applyFont="1" applyFill="1" applyBorder="1" applyAlignment="1">
      <alignment horizontal="center" vertical="center" wrapText="1"/>
    </xf>
    <xf numFmtId="0" fontId="39" fillId="13" borderId="392" xfId="0" applyFont="1" applyFill="1" applyBorder="1" applyAlignment="1">
      <alignment horizontal="center" vertical="center" wrapText="1"/>
    </xf>
    <xf numFmtId="0" fontId="41" fillId="0" borderId="38" xfId="0" applyFont="1" applyBorder="1" applyAlignment="1">
      <alignment horizontal="center" vertical="top" wrapText="1"/>
    </xf>
    <xf numFmtId="0" fontId="88" fillId="24" borderId="26" xfId="0" applyFont="1" applyFill="1" applyBorder="1" applyAlignment="1">
      <alignment horizontal="center" vertical="top" wrapText="1"/>
    </xf>
    <xf numFmtId="0" fontId="38" fillId="7" borderId="383" xfId="0" quotePrefix="1" applyFont="1" applyFill="1" applyBorder="1" applyAlignment="1">
      <alignment horizontal="left"/>
    </xf>
    <xf numFmtId="0" fontId="38" fillId="7" borderId="280" xfId="0" quotePrefix="1" applyFont="1" applyFill="1" applyBorder="1" applyAlignment="1">
      <alignment horizontal="left"/>
    </xf>
    <xf numFmtId="0" fontId="38" fillId="0" borderId="162" xfId="0" quotePrefix="1" applyFont="1" applyFill="1" applyBorder="1" applyAlignment="1">
      <alignment horizontal="left"/>
    </xf>
    <xf numFmtId="0" fontId="38" fillId="0" borderId="378" xfId="0" quotePrefix="1" applyFont="1" applyFill="1" applyBorder="1" applyAlignment="1">
      <alignment horizontal="left"/>
    </xf>
    <xf numFmtId="0" fontId="72" fillId="21" borderId="182" xfId="0" applyFont="1" applyFill="1" applyBorder="1" applyAlignment="1">
      <alignment horizontal="left" vertical="center" wrapText="1"/>
    </xf>
    <xf numFmtId="0" fontId="72" fillId="21" borderId="172" xfId="0" applyFont="1" applyFill="1" applyBorder="1" applyAlignment="1">
      <alignment horizontal="left" vertical="center" wrapText="1"/>
    </xf>
    <xf numFmtId="0" fontId="72" fillId="21" borderId="147" xfId="0" applyFont="1" applyFill="1" applyBorder="1" applyAlignment="1">
      <alignment horizontal="left" vertical="center" wrapText="1"/>
    </xf>
    <xf numFmtId="0" fontId="72" fillId="21" borderId="0" xfId="0" applyFont="1" applyFill="1" applyBorder="1" applyAlignment="1">
      <alignment horizontal="left" vertical="center" wrapText="1"/>
    </xf>
    <xf numFmtId="0" fontId="38" fillId="0" borderId="303" xfId="0" quotePrefix="1" applyFont="1" applyFill="1" applyBorder="1" applyAlignment="1">
      <alignment horizontal="left"/>
    </xf>
    <xf numFmtId="0" fontId="38" fillId="0" borderId="280" xfId="0" quotePrefix="1" applyFont="1" applyFill="1" applyBorder="1" applyAlignment="1">
      <alignment horizontal="left"/>
    </xf>
    <xf numFmtId="0" fontId="116" fillId="21" borderId="0" xfId="0" applyFont="1" applyFill="1" applyAlignment="1">
      <alignment horizontal="center" wrapText="1"/>
    </xf>
    <xf numFmtId="37" fontId="117" fillId="0" borderId="0" xfId="33" applyNumberFormat="1" applyFont="1" applyAlignment="1">
      <alignment horizontal="center" vertical="center"/>
    </xf>
    <xf numFmtId="0" fontId="39" fillId="14" borderId="292" xfId="0" applyFont="1" applyFill="1" applyBorder="1" applyAlignment="1">
      <alignment horizontal="center" vertical="center"/>
    </xf>
    <xf numFmtId="0" fontId="39" fillId="14" borderId="293" xfId="0" applyFont="1" applyFill="1" applyBorder="1" applyAlignment="1">
      <alignment horizontal="center" vertical="center"/>
    </xf>
    <xf numFmtId="0" fontId="72" fillId="21" borderId="290" xfId="0" applyFont="1" applyFill="1" applyBorder="1" applyAlignment="1">
      <alignment horizontal="left" vertical="center" wrapText="1"/>
    </xf>
    <xf numFmtId="0" fontId="72" fillId="21" borderId="279" xfId="0" applyFont="1" applyFill="1" applyBorder="1" applyAlignment="1">
      <alignment horizontal="left" vertical="center" wrapText="1"/>
    </xf>
    <xf numFmtId="0" fontId="72" fillId="21" borderId="296" xfId="0" applyFont="1" applyFill="1" applyBorder="1" applyAlignment="1">
      <alignment horizontal="left" vertical="center" wrapText="1"/>
    </xf>
    <xf numFmtId="0" fontId="39" fillId="15" borderId="387" xfId="0" applyFont="1" applyFill="1" applyBorder="1" applyAlignment="1">
      <alignment horizontal="center" vertical="center"/>
    </xf>
    <xf numFmtId="0" fontId="39" fillId="15" borderId="278" xfId="0" applyFont="1" applyFill="1" applyBorder="1" applyAlignment="1">
      <alignment horizontal="center" vertical="center"/>
    </xf>
    <xf numFmtId="0" fontId="39" fillId="15" borderId="388" xfId="0" applyFont="1" applyFill="1" applyBorder="1" applyAlignment="1">
      <alignment horizontal="center" vertical="center"/>
    </xf>
    <xf numFmtId="0" fontId="38" fillId="7" borderId="387" xfId="0" quotePrefix="1" applyFont="1" applyFill="1" applyBorder="1" applyAlignment="1">
      <alignment horizontal="left"/>
    </xf>
    <xf numFmtId="0" fontId="38" fillId="7" borderId="278" xfId="0" quotePrefix="1" applyFont="1" applyFill="1" applyBorder="1" applyAlignment="1">
      <alignment horizontal="left"/>
    </xf>
    <xf numFmtId="0" fontId="78" fillId="15" borderId="380" xfId="0" applyFont="1" applyFill="1" applyBorder="1" applyAlignment="1">
      <alignment horizontal="center" vertical="center" wrapText="1"/>
    </xf>
    <xf numFmtId="0" fontId="78" fillId="15" borderId="391" xfId="0" applyFont="1" applyFill="1" applyBorder="1" applyAlignment="1">
      <alignment horizontal="center" vertical="center" wrapText="1"/>
    </xf>
    <xf numFmtId="0" fontId="39" fillId="15" borderId="381" xfId="0" applyFont="1" applyFill="1" applyBorder="1" applyAlignment="1">
      <alignment horizontal="center" vertical="center"/>
    </xf>
    <xf numFmtId="0" fontId="39" fillId="15" borderId="384" xfId="0" applyFont="1" applyFill="1" applyBorder="1" applyAlignment="1">
      <alignment horizontal="center" vertical="center"/>
    </xf>
    <xf numFmtId="0" fontId="39" fillId="15" borderId="382" xfId="0" applyFont="1" applyFill="1" applyBorder="1" applyAlignment="1">
      <alignment horizontal="center" vertical="center"/>
    </xf>
    <xf numFmtId="0" fontId="39" fillId="15" borderId="389" xfId="0" applyFont="1" applyFill="1" applyBorder="1" applyAlignment="1">
      <alignment horizontal="center" vertical="center"/>
    </xf>
    <xf numFmtId="9" fontId="39" fillId="15" borderId="182" xfId="33" applyFont="1" applyFill="1" applyBorder="1" applyAlignment="1">
      <alignment horizontal="center"/>
    </xf>
    <xf numFmtId="9" fontId="39" fillId="15" borderId="164" xfId="33" applyFont="1" applyFill="1" applyBorder="1" applyAlignment="1">
      <alignment horizontal="center"/>
    </xf>
    <xf numFmtId="9" fontId="39" fillId="15" borderId="172" xfId="33" applyFont="1" applyFill="1" applyBorder="1" applyAlignment="1">
      <alignment horizontal="center"/>
    </xf>
    <xf numFmtId="0" fontId="45" fillId="10" borderId="370" xfId="0" applyFont="1" applyFill="1" applyBorder="1" applyAlignment="1" applyProtection="1">
      <alignment horizontal="center" vertical="center"/>
      <protection locked="0"/>
    </xf>
    <xf numFmtId="0" fontId="45" fillId="10" borderId="371" xfId="0" applyFont="1" applyFill="1" applyBorder="1" applyAlignment="1" applyProtection="1">
      <alignment horizontal="center" vertical="center"/>
      <protection locked="0"/>
    </xf>
    <xf numFmtId="0" fontId="45" fillId="0" borderId="0" xfId="0" applyFont="1" applyAlignment="1">
      <alignment horizontal="center"/>
    </xf>
    <xf numFmtId="0" fontId="45" fillId="0" borderId="211" xfId="0" applyFont="1" applyBorder="1" applyAlignment="1">
      <alignment horizontal="center"/>
    </xf>
    <xf numFmtId="0" fontId="39" fillId="27" borderId="282" xfId="0" applyFont="1" applyFill="1" applyBorder="1" applyAlignment="1">
      <alignment horizontal="center" vertical="center" wrapText="1"/>
    </xf>
    <xf numFmtId="0" fontId="39" fillId="27" borderId="16" xfId="0" applyFont="1" applyFill="1" applyBorder="1" applyAlignment="1">
      <alignment horizontal="center" vertical="center"/>
    </xf>
    <xf numFmtId="0" fontId="39" fillId="27" borderId="120" xfId="0" applyFont="1" applyFill="1" applyBorder="1" applyAlignment="1">
      <alignment horizontal="center" vertical="center"/>
    </xf>
    <xf numFmtId="0" fontId="38" fillId="5" borderId="147" xfId="0" applyFont="1" applyFill="1" applyBorder="1" applyAlignment="1">
      <alignment horizontal="left" indent="1"/>
    </xf>
    <xf numFmtId="0" fontId="57" fillId="29" borderId="140" xfId="0" applyFont="1" applyFill="1" applyBorder="1" applyAlignment="1"/>
    <xf numFmtId="0" fontId="57" fillId="29" borderId="141" xfId="0" applyFont="1" applyFill="1" applyBorder="1" applyAlignment="1"/>
    <xf numFmtId="0" fontId="57" fillId="29" borderId="147" xfId="0" applyFont="1" applyFill="1" applyBorder="1" applyAlignment="1"/>
    <xf numFmtId="0" fontId="57" fillId="29" borderId="0" xfId="0" applyFont="1" applyFill="1" applyBorder="1" applyAlignment="1"/>
    <xf numFmtId="0" fontId="39" fillId="28" borderId="39" xfId="0" applyFont="1" applyFill="1" applyBorder="1" applyAlignment="1"/>
    <xf numFmtId="0" fontId="39" fillId="28" borderId="38" xfId="0" applyFont="1" applyFill="1" applyBorder="1" applyAlignment="1"/>
    <xf numFmtId="0" fontId="57" fillId="29" borderId="148" xfId="0" applyFont="1" applyFill="1" applyBorder="1" applyAlignment="1"/>
    <xf numFmtId="0" fontId="57" fillId="29" borderId="152" xfId="0" applyFont="1" applyFill="1" applyBorder="1" applyAlignment="1"/>
    <xf numFmtId="0" fontId="39" fillId="28" borderId="147" xfId="0" applyFont="1" applyFill="1" applyBorder="1" applyAlignment="1">
      <alignment horizontal="left"/>
    </xf>
    <xf numFmtId="0" fontId="39" fillId="27" borderId="14" xfId="0" applyFont="1" applyFill="1" applyBorder="1" applyAlignment="1">
      <alignment horizontal="center" vertical="center"/>
    </xf>
    <xf numFmtId="0" fontId="39" fillId="27" borderId="15" xfId="0" applyFont="1" applyFill="1" applyBorder="1" applyAlignment="1">
      <alignment horizontal="center" vertical="center"/>
    </xf>
    <xf numFmtId="0" fontId="39" fillId="27" borderId="15" xfId="0" applyFont="1" applyFill="1" applyBorder="1" applyAlignment="1">
      <alignment horizontal="center" vertical="center" wrapText="1"/>
    </xf>
    <xf numFmtId="0" fontId="77" fillId="26" borderId="182" xfId="0" applyFont="1" applyFill="1" applyBorder="1" applyAlignment="1">
      <alignment horizontal="left" wrapText="1"/>
    </xf>
    <xf numFmtId="0" fontId="77" fillId="26" borderId="164" xfId="0" applyFont="1" applyFill="1" applyBorder="1" applyAlignment="1">
      <alignment horizontal="left" wrapText="1"/>
    </xf>
    <xf numFmtId="0" fontId="77" fillId="26" borderId="172" xfId="0" applyFont="1" applyFill="1" applyBorder="1" applyAlignment="1">
      <alignment horizontal="left" wrapText="1"/>
    </xf>
    <xf numFmtId="0" fontId="102" fillId="26" borderId="123" xfId="0" applyFont="1" applyFill="1" applyBorder="1" applyAlignment="1">
      <alignment horizontal="left" wrapText="1"/>
    </xf>
    <xf numFmtId="0" fontId="39" fillId="27" borderId="124" xfId="0" applyFont="1" applyFill="1" applyBorder="1" applyAlignment="1"/>
    <xf numFmtId="0" fontId="39" fillId="27" borderId="117" xfId="0" applyFont="1" applyFill="1" applyBorder="1" applyAlignment="1"/>
    <xf numFmtId="0" fontId="41" fillId="0" borderId="38" xfId="0" applyFont="1" applyBorder="1" applyAlignment="1">
      <alignment horizontal="left"/>
    </xf>
    <xf numFmtId="0" fontId="41" fillId="0" borderId="279" xfId="0" applyFont="1" applyBorder="1" applyAlignment="1">
      <alignment horizontal="left"/>
    </xf>
    <xf numFmtId="0" fontId="39" fillId="28" borderId="147" xfId="0" applyFont="1" applyFill="1" applyBorder="1" applyAlignment="1"/>
    <xf numFmtId="9" fontId="36" fillId="0" borderId="39" xfId="33" applyFont="1" applyBorder="1" applyAlignment="1">
      <alignment horizontal="center"/>
    </xf>
    <xf numFmtId="9" fontId="36" fillId="0" borderId="38" xfId="33" applyFont="1" applyBorder="1" applyAlignment="1">
      <alignment horizontal="center"/>
    </xf>
    <xf numFmtId="9" fontId="36" fillId="0" borderId="62" xfId="33" applyFont="1" applyBorder="1" applyAlignment="1">
      <alignment horizontal="center"/>
    </xf>
    <xf numFmtId="174" fontId="36" fillId="0" borderId="39" xfId="3" applyNumberFormat="1" applyFont="1" applyBorder="1" applyAlignment="1">
      <alignment horizontal="center"/>
    </xf>
    <xf numFmtId="174" fontId="36" fillId="0" borderId="38" xfId="3" applyNumberFormat="1" applyFont="1" applyBorder="1" applyAlignment="1">
      <alignment horizontal="center"/>
    </xf>
    <xf numFmtId="174" fontId="36" fillId="0" borderId="279" xfId="3" applyNumberFormat="1" applyFont="1" applyBorder="1" applyAlignment="1">
      <alignment horizontal="center"/>
    </xf>
    <xf numFmtId="174" fontId="36" fillId="0" borderId="62" xfId="3" applyNumberFormat="1" applyFont="1" applyBorder="1" applyAlignment="1">
      <alignment horizontal="center"/>
    </xf>
    <xf numFmtId="0" fontId="36" fillId="0" borderId="39" xfId="0" applyFont="1" applyBorder="1" applyAlignment="1">
      <alignment horizontal="center"/>
    </xf>
    <xf numFmtId="0" fontId="36" fillId="0" borderId="38" xfId="0" applyFont="1" applyBorder="1" applyAlignment="1">
      <alignment horizontal="center"/>
    </xf>
    <xf numFmtId="0" fontId="36" fillId="0" borderId="279" xfId="0" applyFont="1" applyBorder="1" applyAlignment="1">
      <alignment horizontal="center"/>
    </xf>
    <xf numFmtId="0" fontId="36" fillId="0" borderId="62" xfId="0" applyFont="1" applyBorder="1" applyAlignment="1">
      <alignment horizontal="center"/>
    </xf>
    <xf numFmtId="174" fontId="36" fillId="0" borderId="281" xfId="3" applyNumberFormat="1" applyFont="1" applyBorder="1" applyAlignment="1">
      <alignment horizontal="center"/>
    </xf>
    <xf numFmtId="174" fontId="36" fillId="0" borderId="282" xfId="3" applyNumberFormat="1" applyFont="1" applyBorder="1" applyAlignment="1">
      <alignment horizontal="center"/>
    </xf>
    <xf numFmtId="174" fontId="36" fillId="0" borderId="345" xfId="3" applyNumberFormat="1" applyFont="1" applyBorder="1" applyAlignment="1">
      <alignment horizontal="center"/>
    </xf>
    <xf numFmtId="174" fontId="36" fillId="0" borderId="283" xfId="3" applyNumberFormat="1" applyFont="1" applyBorder="1" applyAlignment="1">
      <alignment horizontal="center"/>
    </xf>
    <xf numFmtId="9" fontId="36" fillId="0" borderId="279" xfId="33" applyFont="1" applyBorder="1" applyAlignment="1">
      <alignment horizontal="center"/>
    </xf>
    <xf numFmtId="174" fontId="36" fillId="0" borderId="128" xfId="3" applyNumberFormat="1" applyFont="1" applyBorder="1" applyAlignment="1">
      <alignment horizontal="center"/>
    </xf>
    <xf numFmtId="174" fontId="36" fillId="0" borderId="126" xfId="3" applyNumberFormat="1" applyFont="1" applyBorder="1" applyAlignment="1">
      <alignment horizontal="center"/>
    </xf>
    <xf numFmtId="174" fontId="36" fillId="0" borderId="278" xfId="3" applyNumberFormat="1" applyFont="1" applyBorder="1" applyAlignment="1">
      <alignment horizontal="center"/>
    </xf>
    <xf numFmtId="174" fontId="36" fillId="0" borderId="13" xfId="3" applyNumberFormat="1" applyFont="1" applyBorder="1" applyAlignment="1">
      <alignment horizontal="center"/>
    </xf>
    <xf numFmtId="174" fontId="36" fillId="0" borderId="290" xfId="3" applyNumberFormat="1" applyFont="1" applyBorder="1" applyAlignment="1">
      <alignment horizontal="center"/>
    </xf>
    <xf numFmtId="174" fontId="36" fillId="0" borderId="291" xfId="3" applyNumberFormat="1" applyFont="1" applyBorder="1" applyAlignment="1">
      <alignment horizontal="center"/>
    </xf>
    <xf numFmtId="0" fontId="0" fillId="0" borderId="0" xfId="0" applyAlignment="1">
      <alignment horizontal="center"/>
    </xf>
    <xf numFmtId="0" fontId="36" fillId="0" borderId="376" xfId="0" applyFont="1" applyBorder="1" applyAlignment="1">
      <alignment horizontal="center"/>
    </xf>
    <xf numFmtId="0" fontId="36" fillId="0" borderId="0" xfId="0" applyFont="1" applyBorder="1" applyAlignment="1">
      <alignment horizontal="center"/>
    </xf>
    <xf numFmtId="0" fontId="36" fillId="0" borderId="211" xfId="0" applyFont="1" applyBorder="1" applyAlignment="1">
      <alignment horizontal="center"/>
    </xf>
    <xf numFmtId="0" fontId="36" fillId="0" borderId="0" xfId="0" applyFont="1" applyBorder="1" applyAlignment="1">
      <alignment horizontal="center" wrapText="1"/>
    </xf>
    <xf numFmtId="0" fontId="36" fillId="0" borderId="211" xfId="0" applyFont="1" applyBorder="1" applyAlignment="1">
      <alignment horizontal="center" wrapText="1"/>
    </xf>
    <xf numFmtId="9" fontId="36" fillId="0" borderId="376" xfId="33" applyFont="1" applyBorder="1" applyAlignment="1">
      <alignment horizontal="center" wrapText="1"/>
    </xf>
    <xf numFmtId="9" fontId="36" fillId="0" borderId="0" xfId="33" applyFont="1" applyBorder="1" applyAlignment="1">
      <alignment horizontal="center" wrapText="1"/>
    </xf>
    <xf numFmtId="9" fontId="36" fillId="0" borderId="211" xfId="33" applyFont="1" applyBorder="1" applyAlignment="1">
      <alignment horizontal="center" wrapText="1"/>
    </xf>
    <xf numFmtId="0" fontId="107" fillId="0" borderId="0" xfId="0" applyFont="1" applyAlignment="1">
      <alignment horizontal="left" vertical="top" wrapText="1"/>
    </xf>
    <xf numFmtId="0" fontId="37" fillId="0" borderId="376" xfId="0" applyFont="1" applyBorder="1" applyAlignment="1">
      <alignment horizontal="center"/>
    </xf>
    <xf numFmtId="0" fontId="37" fillId="0" borderId="0" xfId="0" applyFont="1" applyBorder="1" applyAlignment="1">
      <alignment horizontal="center"/>
    </xf>
    <xf numFmtId="0" fontId="37" fillId="0" borderId="211" xfId="0" applyFont="1" applyBorder="1" applyAlignment="1">
      <alignment horizontal="center"/>
    </xf>
    <xf numFmtId="0" fontId="52" fillId="0" borderId="4" xfId="16" applyFont="1" applyBorder="1" applyAlignment="1">
      <alignment horizontal="center"/>
    </xf>
    <xf numFmtId="0" fontId="36" fillId="0" borderId="152" xfId="0" applyFont="1" applyBorder="1" applyAlignment="1">
      <alignment horizontal="center"/>
    </xf>
    <xf numFmtId="0" fontId="37" fillId="0" borderId="376" xfId="0" applyFont="1" applyBorder="1" applyAlignment="1">
      <alignment horizontal="center" wrapText="1"/>
    </xf>
    <xf numFmtId="0" fontId="37" fillId="0" borderId="0" xfId="0" applyFont="1" applyBorder="1" applyAlignment="1">
      <alignment horizontal="center" wrapText="1"/>
    </xf>
    <xf numFmtId="0" fontId="37" fillId="0" borderId="211" xfId="0" applyFont="1" applyBorder="1" applyAlignment="1">
      <alignment horizontal="center" wrapText="1"/>
    </xf>
    <xf numFmtId="49" fontId="19" fillId="0" borderId="27" xfId="0" applyNumberFormat="1" applyFont="1" applyFill="1" applyBorder="1" applyAlignment="1">
      <alignment horizontal="center" vertical="center"/>
    </xf>
    <xf numFmtId="49" fontId="19" fillId="0" borderId="29" xfId="0" applyNumberFormat="1" applyFont="1" applyFill="1" applyBorder="1" applyAlignment="1">
      <alignment horizontal="center" vertical="center"/>
    </xf>
    <xf numFmtId="170" fontId="19" fillId="0" borderId="27" xfId="0" applyNumberFormat="1" applyFont="1" applyFill="1" applyBorder="1" applyAlignment="1" applyProtection="1">
      <alignment horizontal="center" vertical="center"/>
    </xf>
    <xf numFmtId="170" fontId="19" fillId="0" borderId="29" xfId="0" applyNumberFormat="1" applyFont="1" applyFill="1" applyBorder="1" applyAlignment="1" applyProtection="1">
      <alignment horizontal="center" vertical="center"/>
    </xf>
    <xf numFmtId="0" fontId="50" fillId="0" borderId="152" xfId="14" applyFont="1" applyFill="1" applyBorder="1" applyAlignment="1">
      <alignment horizontal="center"/>
    </xf>
    <xf numFmtId="0" fontId="50" fillId="0" borderId="301" xfId="14" applyFont="1" applyFill="1" applyBorder="1" applyAlignment="1">
      <alignment horizontal="center"/>
    </xf>
    <xf numFmtId="0" fontId="50" fillId="0" borderId="149" xfId="14" applyFont="1" applyFill="1" applyBorder="1" applyAlignment="1">
      <alignment horizontal="center"/>
    </xf>
    <xf numFmtId="0" fontId="50" fillId="0" borderId="151" xfId="14" applyFont="1" applyFill="1" applyBorder="1" applyAlignment="1">
      <alignment horizontal="center"/>
    </xf>
    <xf numFmtId="0" fontId="50" fillId="0" borderId="185" xfId="14" applyFont="1" applyFill="1" applyBorder="1" applyAlignment="1">
      <alignment horizontal="center"/>
    </xf>
    <xf numFmtId="0" fontId="50" fillId="0" borderId="307" xfId="14" applyFont="1" applyFill="1" applyBorder="1" applyAlignment="1">
      <alignment horizontal="center"/>
    </xf>
    <xf numFmtId="0" fontId="50" fillId="0" borderId="296" xfId="14" applyFont="1" applyFill="1" applyBorder="1" applyAlignment="1">
      <alignment horizontal="center"/>
    </xf>
    <xf numFmtId="0" fontId="50" fillId="0" borderId="0" xfId="14" applyFont="1" applyFill="1" applyBorder="1" applyAlignment="1">
      <alignment horizontal="center"/>
    </xf>
    <xf numFmtId="0" fontId="50" fillId="0" borderId="211" xfId="14" applyFont="1" applyFill="1" applyBorder="1" applyAlignment="1">
      <alignment horizontal="center"/>
    </xf>
    <xf numFmtId="0" fontId="43" fillId="0" borderId="0" xfId="0" applyFont="1" applyAlignment="1">
      <alignment horizontal="left" vertical="top" wrapText="1"/>
    </xf>
    <xf numFmtId="170" fontId="18" fillId="0" borderId="11" xfId="0" applyNumberFormat="1" applyFont="1" applyFill="1" applyBorder="1" applyAlignment="1" applyProtection="1">
      <alignment horizontal="center" vertical="center"/>
    </xf>
    <xf numFmtId="170" fontId="18" fillId="0" borderId="12" xfId="0" applyNumberFormat="1" applyFont="1" applyFill="1" applyBorder="1" applyAlignment="1" applyProtection="1">
      <alignment horizontal="center" vertical="center"/>
    </xf>
    <xf numFmtId="170" fontId="18" fillId="0" borderId="13" xfId="0" applyNumberFormat="1" applyFont="1" applyFill="1" applyBorder="1" applyAlignment="1" applyProtection="1">
      <alignment horizontal="center" vertical="center"/>
    </xf>
    <xf numFmtId="0" fontId="42" fillId="0" borderId="10" xfId="0" applyFont="1" applyBorder="1" applyAlignment="1">
      <alignment horizontal="center" wrapText="1"/>
    </xf>
    <xf numFmtId="49" fontId="18" fillId="0" borderId="27" xfId="0" applyNumberFormat="1" applyFont="1" applyFill="1" applyBorder="1" applyAlignment="1">
      <alignment horizontal="center" vertical="center"/>
    </xf>
    <xf numFmtId="49" fontId="18" fillId="0" borderId="29" xfId="0" applyNumberFormat="1" applyFont="1" applyFill="1" applyBorder="1" applyAlignment="1">
      <alignment horizontal="center" vertical="center"/>
    </xf>
    <xf numFmtId="170" fontId="18" fillId="0" borderId="27" xfId="0" applyNumberFormat="1" applyFont="1" applyFill="1" applyBorder="1" applyAlignment="1" applyProtection="1">
      <alignment horizontal="center" vertical="center"/>
    </xf>
    <xf numFmtId="170" fontId="18" fillId="0" borderId="29" xfId="0" applyNumberFormat="1" applyFont="1" applyFill="1" applyBorder="1" applyAlignment="1" applyProtection="1">
      <alignment horizontal="center" vertical="center"/>
    </xf>
    <xf numFmtId="0" fontId="69" fillId="0" borderId="417" xfId="0" applyFont="1" applyBorder="1" applyAlignment="1">
      <alignment horizontal="center"/>
    </xf>
    <xf numFmtId="0" fontId="69" fillId="0" borderId="0" xfId="0" applyFont="1" applyAlignment="1">
      <alignment horizontal="center"/>
    </xf>
    <xf numFmtId="0" fontId="69" fillId="0" borderId="0" xfId="0" applyFont="1" applyBorder="1" applyAlignment="1">
      <alignment horizontal="center"/>
    </xf>
    <xf numFmtId="0" fontId="69" fillId="0" borderId="211" xfId="0" applyFont="1" applyBorder="1" applyAlignment="1">
      <alignment horizontal="center"/>
    </xf>
    <xf numFmtId="0" fontId="93" fillId="0" borderId="129" xfId="0" applyFont="1" applyBorder="1" applyAlignment="1">
      <alignment horizontal="center"/>
    </xf>
    <xf numFmtId="0" fontId="93" fillId="0" borderId="18" xfId="0" applyFont="1" applyBorder="1" applyAlignment="1">
      <alignment horizontal="center"/>
    </xf>
    <xf numFmtId="0" fontId="93" fillId="0" borderId="19" xfId="0" applyFont="1" applyBorder="1" applyAlignment="1">
      <alignment horizontal="center"/>
    </xf>
    <xf numFmtId="0" fontId="93" fillId="0" borderId="126" xfId="0" applyFont="1" applyBorder="1" applyAlignment="1">
      <alignment horizontal="center"/>
    </xf>
    <xf numFmtId="0" fontId="49" fillId="0" borderId="0" xfId="0" applyFont="1" applyBorder="1" applyAlignment="1">
      <alignment horizontal="center"/>
    </xf>
    <xf numFmtId="0" fontId="49" fillId="0" borderId="280" xfId="0" applyFont="1" applyBorder="1" applyAlignment="1">
      <alignment horizontal="center" wrapText="1"/>
    </xf>
    <xf numFmtId="0" fontId="49" fillId="0" borderId="280" xfId="0" applyFont="1" applyBorder="1" applyAlignment="1">
      <alignment horizontal="center"/>
    </xf>
    <xf numFmtId="0" fontId="49" fillId="0" borderId="152" xfId="0" applyFont="1" applyBorder="1" applyAlignment="1">
      <alignment horizontal="center"/>
    </xf>
    <xf numFmtId="0" fontId="23" fillId="0" borderId="0" xfId="15" applyFont="1" applyAlignment="1">
      <alignment horizontal="left" wrapText="1"/>
    </xf>
    <xf numFmtId="0" fontId="56" fillId="0" borderId="0" xfId="15" applyFont="1" applyAlignment="1">
      <alignment horizontal="left" wrapText="1"/>
    </xf>
    <xf numFmtId="0" fontId="36" fillId="0" borderId="0" xfId="0" applyFont="1" applyAlignment="1">
      <alignment horizontal="center"/>
    </xf>
    <xf numFmtId="0" fontId="36" fillId="0" borderId="387" xfId="15" applyFont="1" applyBorder="1" applyAlignment="1">
      <alignment horizontal="center" wrapText="1"/>
    </xf>
    <xf numFmtId="0" fontId="36" fillId="0" borderId="388" xfId="15" applyFont="1" applyBorder="1" applyAlignment="1">
      <alignment horizontal="center" wrapText="1"/>
    </xf>
    <xf numFmtId="0" fontId="36" fillId="0" borderId="290" xfId="15" applyFont="1" applyBorder="1" applyAlignment="1">
      <alignment horizontal="center"/>
    </xf>
    <xf numFmtId="0" fontId="36" fillId="0" borderId="279" xfId="15" applyFont="1" applyBorder="1" applyAlignment="1">
      <alignment horizontal="center"/>
    </xf>
    <xf numFmtId="0" fontId="36" fillId="0" borderId="291" xfId="15" applyFont="1" applyBorder="1" applyAlignment="1">
      <alignment horizontal="center"/>
    </xf>
    <xf numFmtId="0" fontId="36" fillId="0" borderId="412" xfId="15" applyFont="1" applyBorder="1" applyAlignment="1">
      <alignment horizontal="center"/>
    </xf>
    <xf numFmtId="0" fontId="36" fillId="0" borderId="278" xfId="15" applyFont="1" applyBorder="1" applyAlignment="1">
      <alignment horizontal="center"/>
    </xf>
    <xf numFmtId="0" fontId="36" fillId="0" borderId="416" xfId="15" applyFont="1" applyBorder="1" applyAlignment="1">
      <alignment horizontal="center"/>
    </xf>
    <xf numFmtId="0" fontId="23" fillId="0" borderId="0" xfId="0" applyFont="1" applyAlignment="1">
      <alignment horizontal="left" vertical="top" wrapText="1"/>
    </xf>
    <xf numFmtId="49" fontId="63" fillId="0" borderId="296"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11" xfId="19" applyNumberFormat="1" applyFont="1" applyBorder="1" applyAlignment="1">
      <alignment horizontal="center" wrapText="1"/>
    </xf>
    <xf numFmtId="0" fontId="50" fillId="0" borderId="296" xfId="19" applyFont="1" applyBorder="1" applyAlignment="1">
      <alignment horizontal="center" vertical="top" wrapText="1"/>
    </xf>
    <xf numFmtId="0" fontId="50" fillId="0" borderId="274" xfId="19" applyFont="1" applyBorder="1" applyAlignment="1">
      <alignment horizontal="center" vertical="top" wrapText="1"/>
    </xf>
    <xf numFmtId="49" fontId="63" fillId="0" borderId="274" xfId="19" applyNumberFormat="1" applyFont="1" applyBorder="1" applyAlignment="1">
      <alignment horizontal="center" wrapText="1"/>
    </xf>
    <xf numFmtId="49" fontId="63" fillId="0" borderId="300" xfId="19" applyNumberFormat="1" applyFont="1" applyBorder="1" applyAlignment="1">
      <alignment horizontal="center" wrapText="1"/>
    </xf>
    <xf numFmtId="0" fontId="49" fillId="0" borderId="10" xfId="9" applyFont="1" applyBorder="1" applyAlignment="1">
      <alignment horizontal="center" wrapText="1"/>
    </xf>
    <xf numFmtId="0" fontId="49" fillId="0" borderId="0" xfId="9" applyFont="1" applyAlignment="1">
      <alignment horizontal="left" vertical="top" wrapText="1"/>
    </xf>
    <xf numFmtId="0" fontId="21" fillId="0" borderId="0" xfId="9" applyFont="1" applyAlignment="1">
      <alignment horizontal="left" vertical="top" wrapText="1"/>
    </xf>
    <xf numFmtId="0" fontId="49" fillId="0" borderId="278" xfId="9" applyFont="1" applyBorder="1" applyAlignment="1">
      <alignment horizontal="center"/>
    </xf>
    <xf numFmtId="0" fontId="23" fillId="0" borderId="0" xfId="16" applyFont="1" applyAlignment="1">
      <alignment horizontal="left" wrapText="1"/>
    </xf>
    <xf numFmtId="0" fontId="53" fillId="0" borderId="0" xfId="16" applyFont="1" applyAlignment="1">
      <alignment horizontal="left" wrapText="1"/>
    </xf>
    <xf numFmtId="0" fontId="24" fillId="0" borderId="0" xfId="14" applyFont="1" applyFill="1" applyBorder="1" applyAlignment="1">
      <alignment horizontal="left" wrapText="1"/>
    </xf>
    <xf numFmtId="0" fontId="61" fillId="0" borderId="0" xfId="14" applyFont="1" applyAlignment="1">
      <alignment horizontal="left" vertical="top" wrapText="1"/>
    </xf>
    <xf numFmtId="0" fontId="23" fillId="0" borderId="0" xfId="14" applyFont="1" applyFill="1" applyBorder="1" applyAlignment="1">
      <alignment horizontal="left" wrapText="1"/>
    </xf>
    <xf numFmtId="0" fontId="36" fillId="0" borderId="303" xfId="0" applyFont="1" applyBorder="1" applyAlignment="1">
      <alignment horizontal="center"/>
    </xf>
    <xf numFmtId="0" fontId="36" fillId="0" borderId="280" xfId="0" applyFont="1" applyBorder="1" applyAlignment="1">
      <alignment horizontal="center"/>
    </xf>
    <xf numFmtId="0" fontId="36" fillId="0" borderId="302" xfId="0" applyFont="1" applyBorder="1" applyAlignment="1">
      <alignment horizontal="center"/>
    </xf>
    <xf numFmtId="0" fontId="36" fillId="0" borderId="301" xfId="0" applyFont="1" applyBorder="1" applyAlignment="1">
      <alignment horizontal="center"/>
    </xf>
    <xf numFmtId="0" fontId="49" fillId="0" borderId="0" xfId="9" applyFont="1" applyBorder="1" applyAlignment="1">
      <alignment horizontal="left"/>
    </xf>
    <xf numFmtId="0" fontId="36" fillId="0" borderId="17" xfId="0" applyFont="1" applyBorder="1" applyAlignment="1">
      <alignment horizontal="center"/>
    </xf>
    <xf numFmtId="0" fontId="36" fillId="0" borderId="18" xfId="0" applyFont="1" applyBorder="1" applyAlignment="1">
      <alignment horizontal="center"/>
    </xf>
    <xf numFmtId="0" fontId="36" fillId="0" borderId="19" xfId="0" applyFont="1" applyBorder="1" applyAlignment="1">
      <alignment horizontal="center"/>
    </xf>
    <xf numFmtId="0" fontId="36" fillId="0" borderId="27" xfId="0" applyFont="1" applyBorder="1" applyAlignment="1">
      <alignment horizontal="center" wrapText="1"/>
    </xf>
    <xf numFmtId="0" fontId="36" fillId="0" borderId="29" xfId="0" applyFont="1" applyBorder="1" applyAlignment="1">
      <alignment horizontal="center" wrapText="1"/>
    </xf>
    <xf numFmtId="0" fontId="36" fillId="0" borderId="26" xfId="0" applyFont="1" applyBorder="1" applyAlignment="1">
      <alignment horizontal="center" wrapText="1"/>
    </xf>
    <xf numFmtId="0" fontId="36" fillId="0" borderId="39" xfId="0" applyFont="1" applyBorder="1" applyAlignment="1">
      <alignment horizontal="center" wrapText="1"/>
    </xf>
    <xf numFmtId="0" fontId="36" fillId="0" borderId="38" xfId="0" applyFont="1" applyBorder="1" applyAlignment="1">
      <alignment horizontal="center" wrapText="1"/>
    </xf>
    <xf numFmtId="0" fontId="36" fillId="0" borderId="62" xfId="0" applyFont="1" applyBorder="1" applyAlignment="1">
      <alignment horizontal="center" wrapText="1"/>
    </xf>
    <xf numFmtId="0" fontId="56" fillId="0" borderId="0" xfId="0" applyFont="1" applyAlignment="1">
      <alignment horizontal="center"/>
    </xf>
    <xf numFmtId="0" fontId="36" fillId="0" borderId="72" xfId="0" applyFont="1" applyBorder="1" applyAlignment="1">
      <alignment horizontal="center"/>
    </xf>
    <xf numFmtId="0" fontId="56" fillId="0" borderId="0" xfId="9" applyFont="1" applyAlignment="1">
      <alignment horizontal="left" vertical="top" wrapText="1"/>
    </xf>
    <xf numFmtId="0" fontId="61" fillId="0" borderId="0" xfId="9" applyFont="1" applyAlignment="1">
      <alignment horizontal="left" vertical="top" wrapText="1"/>
    </xf>
  </cellXfs>
  <cellStyles count="36">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34"/>
    <cellStyle name="Normal 14" xfId="35"/>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5 Medicaid &amp; FAMIS 2011" xfId="20"/>
    <cellStyle name="Normal_6 SNAP LASER 2011" xfId="21"/>
    <cellStyle name="Normal_7 LIHEAP LASER 2011" xfId="22"/>
    <cellStyle name="Normal_Sheet1" xfId="23"/>
    <cellStyle name="Normal_Sheet2" xfId="24"/>
    <cellStyle name="Normal_Sheet2_1" xfId="25"/>
    <cellStyle name="Normal_Sheet4" xfId="26"/>
    <cellStyle name="Normal_Sheet4_1" xfId="27"/>
    <cellStyle name="Normal_Sheet4_2" xfId="28"/>
    <cellStyle name="Normal_Sheet5" xfId="29"/>
    <cellStyle name="Normal_Sheet6" xfId="30"/>
    <cellStyle name="Normal_Sheet7" xfId="31"/>
    <cellStyle name="Normal_Sheet8" xfId="32"/>
    <cellStyle name="Percent" xfId="3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Unemployment Rate (unadjusted) in Locality, 2000-2019</a:t>
            </a:r>
          </a:p>
        </c:rich>
      </c:tx>
      <c:layout>
        <c:manualLayout>
          <c:xMode val="edge"/>
          <c:yMode val="edge"/>
          <c:x val="0.13318706419182633"/>
          <c:y val="2.8542182227221592E-2"/>
        </c:manualLayout>
      </c:layout>
      <c:overlay val="0"/>
    </c:title>
    <c:autoTitleDeleted val="0"/>
    <c:plotArea>
      <c:layout>
        <c:manualLayout>
          <c:layoutTarget val="inner"/>
          <c:xMode val="edge"/>
          <c:yMode val="edge"/>
          <c:x val="0.13897504893237494"/>
          <c:y val="0.1526807893783152"/>
          <c:w val="0.80175410152944593"/>
          <c:h val="0.55575478065241846"/>
        </c:manualLayout>
      </c:layout>
      <c:lineChart>
        <c:grouping val="standard"/>
        <c:varyColors val="0"/>
        <c:ser>
          <c:idx val="0"/>
          <c:order val="0"/>
          <c:tx>
            <c:strRef>
              <c:f>Profile!$D$3</c:f>
              <c:strCache>
                <c:ptCount val="1"/>
                <c:pt idx="0">
                  <c:v>Accomack</c:v>
                </c:pt>
              </c:strCache>
            </c:strRef>
          </c:tx>
          <c:marker>
            <c:symbol val="none"/>
          </c:marker>
          <c:cat>
            <c:numRef>
              <c:f>Profile!$B$60:$B$72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Profile!$D$60:$D$72</c:f>
              <c:numCache>
                <c:formatCode>0.0%</c:formatCode>
                <c:ptCount val="13"/>
                <c:pt idx="0">
                  <c:v>4.1107561235356763E-2</c:v>
                </c:pt>
                <c:pt idx="1">
                  <c:v>4.9865725870149015E-2</c:v>
                </c:pt>
                <c:pt idx="2">
                  <c:v>6.4910678034916763E-2</c:v>
                </c:pt>
                <c:pt idx="3">
                  <c:v>8.0803279662527483E-2</c:v>
                </c:pt>
                <c:pt idx="4">
                  <c:v>8.3735812605650814E-2</c:v>
                </c:pt>
                <c:pt idx="5">
                  <c:v>7.7190627288259706E-2</c:v>
                </c:pt>
                <c:pt idx="6">
                  <c:v>7.0442499691852581E-2</c:v>
                </c:pt>
                <c:pt idx="7">
                  <c:v>6.5541211519364442E-2</c:v>
                </c:pt>
                <c:pt idx="8">
                  <c:v>5.3708118960973772E-2</c:v>
                </c:pt>
                <c:pt idx="9">
                  <c:v>4.804045512010114E-2</c:v>
                </c:pt>
                <c:pt idx="10">
                  <c:v>4.4932392006700968E-2</c:v>
                </c:pt>
                <c:pt idx="11">
                  <c:v>3.7690981511206229E-2</c:v>
                </c:pt>
                <c:pt idx="12">
                  <c:v>3.4160373966199212E-2</c:v>
                </c:pt>
              </c:numCache>
            </c:numRef>
          </c:val>
          <c:smooth val="0"/>
          <c:extLst>
            <c:ext xmlns:c16="http://schemas.microsoft.com/office/drawing/2014/chart" uri="{C3380CC4-5D6E-409C-BE32-E72D297353CC}">
              <c16:uniqueId val="{00000000-4BAF-469D-8304-B3688D2A69D9}"/>
            </c:ext>
          </c:extLst>
        </c:ser>
        <c:ser>
          <c:idx val="1"/>
          <c:order val="1"/>
          <c:tx>
            <c:strRef>
              <c:f>Profile!$E$57</c:f>
              <c:strCache>
                <c:ptCount val="1"/>
                <c:pt idx="0">
                  <c:v>Eastern</c:v>
                </c:pt>
              </c:strCache>
            </c:strRef>
          </c:tx>
          <c:spPr>
            <a:ln>
              <a:prstDash val="sysDot"/>
            </a:ln>
          </c:spPr>
          <c:marker>
            <c:symbol val="none"/>
          </c:marker>
          <c:cat>
            <c:numRef>
              <c:f>Profile!$B$60:$B$72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Profile!$E$60:$E$72</c:f>
              <c:numCache>
                <c:formatCode>0.0%</c:formatCode>
                <c:ptCount val="13"/>
                <c:pt idx="0">
                  <c:v>3.2849552788217003E-2</c:v>
                </c:pt>
                <c:pt idx="1">
                  <c:v>4.265544974347197E-2</c:v>
                </c:pt>
                <c:pt idx="2">
                  <c:v>6.9850717351953584E-2</c:v>
                </c:pt>
                <c:pt idx="3">
                  <c:v>7.8988639067662014E-2</c:v>
                </c:pt>
                <c:pt idx="4">
                  <c:v>7.3967227866569188E-2</c:v>
                </c:pt>
                <c:pt idx="5">
                  <c:v>6.7494036682550426E-2</c:v>
                </c:pt>
                <c:pt idx="6">
                  <c:v>6.199677496298462E-2</c:v>
                </c:pt>
                <c:pt idx="7">
                  <c:v>5.6429855869048674E-2</c:v>
                </c:pt>
                <c:pt idx="8">
                  <c:v>4.9061825427575138E-2</c:v>
                </c:pt>
                <c:pt idx="9">
                  <c:v>4.5757755922467898E-2</c:v>
                </c:pt>
                <c:pt idx="10">
                  <c:v>4.1001379424564215E-2</c:v>
                </c:pt>
                <c:pt idx="11">
                  <c:v>4.1001379424564215E-2</c:v>
                </c:pt>
                <c:pt idx="12">
                  <c:v>4.1001379424564215E-2</c:v>
                </c:pt>
              </c:numCache>
            </c:numRef>
          </c:val>
          <c:smooth val="0"/>
          <c:extLst>
            <c:ext xmlns:c16="http://schemas.microsoft.com/office/drawing/2014/chart" uri="{C3380CC4-5D6E-409C-BE32-E72D297353CC}">
              <c16:uniqueId val="{00000001-4BAF-469D-8304-B3688D2A69D9}"/>
            </c:ext>
          </c:extLst>
        </c:ser>
        <c:ser>
          <c:idx val="2"/>
          <c:order val="2"/>
          <c:tx>
            <c:strRef>
              <c:f>Profile!$F$57</c:f>
              <c:strCache>
                <c:ptCount val="1"/>
                <c:pt idx="0">
                  <c:v>Statewide</c:v>
                </c:pt>
              </c:strCache>
            </c:strRef>
          </c:tx>
          <c:marker>
            <c:symbol val="none"/>
          </c:marker>
          <c:cat>
            <c:numRef>
              <c:f>Profile!$B$60:$B$72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Profile!$F$60:$F$72</c:f>
              <c:numCache>
                <c:formatCode>0.0%</c:formatCode>
                <c:ptCount val="13"/>
                <c:pt idx="0">
                  <c:v>3.2873085056396793E-2</c:v>
                </c:pt>
                <c:pt idx="1">
                  <c:v>4.2597119742362341E-2</c:v>
                </c:pt>
                <c:pt idx="2">
                  <c:v>6.8380628917558348E-2</c:v>
                </c:pt>
                <c:pt idx="3">
                  <c:v>7.3217762958312088E-2</c:v>
                </c:pt>
                <c:pt idx="4">
                  <c:v>6.5675128603171706E-2</c:v>
                </c:pt>
                <c:pt idx="5">
                  <c:v>5.9366041110802084E-2</c:v>
                </c:pt>
                <c:pt idx="6">
                  <c:v>5.5757191962866916E-2</c:v>
                </c:pt>
                <c:pt idx="7">
                  <c:v>5.1175245183213522E-2</c:v>
                </c:pt>
                <c:pt idx="8">
                  <c:v>4.3906668452220264E-2</c:v>
                </c:pt>
                <c:pt idx="9">
                  <c:v>3.9847704043016699E-2</c:v>
                </c:pt>
                <c:pt idx="10">
                  <c:v>3.6714190378525163E-2</c:v>
                </c:pt>
                <c:pt idx="11">
                  <c:v>2.9441612261078953E-2</c:v>
                </c:pt>
                <c:pt idx="12">
                  <c:v>2.6814306926645312E-2</c:v>
                </c:pt>
              </c:numCache>
            </c:numRef>
          </c:val>
          <c:smooth val="0"/>
          <c:extLst>
            <c:ext xmlns:c16="http://schemas.microsoft.com/office/drawing/2014/chart" uri="{C3380CC4-5D6E-409C-BE32-E72D297353CC}">
              <c16:uniqueId val="{00000002-4BAF-469D-8304-B3688D2A69D9}"/>
            </c:ext>
          </c:extLst>
        </c:ser>
        <c:dLbls>
          <c:showLegendKey val="0"/>
          <c:showVal val="0"/>
          <c:showCatName val="0"/>
          <c:showSerName val="0"/>
          <c:showPercent val="0"/>
          <c:showBubbleSize val="0"/>
        </c:dLbls>
        <c:smooth val="0"/>
        <c:axId val="58059776"/>
        <c:axId val="58061568"/>
      </c:lineChart>
      <c:catAx>
        <c:axId val="58059776"/>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58061568"/>
        <c:crosses val="autoZero"/>
        <c:auto val="1"/>
        <c:lblAlgn val="ctr"/>
        <c:lblOffset val="100"/>
        <c:tickLblSkip val="1"/>
        <c:tickMarkSkip val="1"/>
        <c:noMultiLvlLbl val="0"/>
      </c:catAx>
      <c:valAx>
        <c:axId val="58061568"/>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58059776"/>
        <c:crosses val="autoZero"/>
        <c:crossBetween val="midCat"/>
      </c:valAx>
      <c:spPr>
        <a:noFill/>
        <a:ln>
          <a:solidFill>
            <a:schemeClr val="accent5">
              <a:lumMod val="75000"/>
            </a:schemeClr>
          </a:solidFill>
        </a:ln>
      </c:spPr>
    </c:plotArea>
    <c:legend>
      <c:legendPos val="b"/>
      <c:layout>
        <c:manualLayout>
          <c:xMode val="edge"/>
          <c:yMode val="edge"/>
          <c:x val="1.9698765199260272E-2"/>
          <c:y val="0.8283025871766028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Medicaid Applications Received &amp; Disposed in Locality, SFY 2020</a:t>
            </a:r>
          </a:p>
        </c:rich>
      </c:tx>
      <c:layout>
        <c:manualLayout>
          <c:xMode val="edge"/>
          <c:yMode val="edge"/>
          <c:x val="0.11138579231206602"/>
          <c:y val="3.4353187965699562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65348321644888618"/>
        </c:manualLayout>
      </c:layout>
      <c:barChart>
        <c:barDir val="col"/>
        <c:grouping val="clustered"/>
        <c:varyColors val="0"/>
        <c:ser>
          <c:idx val="0"/>
          <c:order val="0"/>
          <c:tx>
            <c:strRef>
              <c:f>'Data for Graphs'!$P$3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Graphs'!$P$4:$P$15</c:f>
              <c:numCache>
                <c:formatCode>General</c:formatCode>
                <c:ptCount val="12"/>
                <c:pt idx="0">
                  <c:v>152</c:v>
                </c:pt>
                <c:pt idx="1">
                  <c:v>157</c:v>
                </c:pt>
                <c:pt idx="2">
                  <c:v>189</c:v>
                </c:pt>
                <c:pt idx="3">
                  <c:v>223</c:v>
                </c:pt>
                <c:pt idx="4">
                  <c:v>247</c:v>
                </c:pt>
                <c:pt idx="5">
                  <c:v>267</c:v>
                </c:pt>
                <c:pt idx="6">
                  <c:v>165</c:v>
                </c:pt>
                <c:pt idx="7">
                  <c:v>181</c:v>
                </c:pt>
                <c:pt idx="8">
                  <c:v>147</c:v>
                </c:pt>
                <c:pt idx="9">
                  <c:v>132</c:v>
                </c:pt>
                <c:pt idx="10">
                  <c:v>87</c:v>
                </c:pt>
                <c:pt idx="11">
                  <c:v>93</c:v>
                </c:pt>
              </c:numCache>
            </c:numRef>
          </c:val>
          <c:extLst>
            <c:ext xmlns:c16="http://schemas.microsoft.com/office/drawing/2014/chart" uri="{C3380CC4-5D6E-409C-BE32-E72D297353CC}">
              <c16:uniqueId val="{00000000-43AC-417B-97BE-93B3C711C734}"/>
            </c:ext>
          </c:extLst>
        </c:ser>
        <c:ser>
          <c:idx val="1"/>
          <c:order val="1"/>
          <c:tx>
            <c:strRef>
              <c:f>'Data for Graphs'!$Q$3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Graphs'!$Q$4:$Q$15</c:f>
              <c:numCache>
                <c:formatCode>General</c:formatCode>
                <c:ptCount val="12"/>
                <c:pt idx="0">
                  <c:v>178</c:v>
                </c:pt>
                <c:pt idx="1">
                  <c:v>164</c:v>
                </c:pt>
                <c:pt idx="2">
                  <c:v>134</c:v>
                </c:pt>
                <c:pt idx="3">
                  <c:v>224</c:v>
                </c:pt>
                <c:pt idx="4">
                  <c:v>254</c:v>
                </c:pt>
                <c:pt idx="5">
                  <c:v>306</c:v>
                </c:pt>
                <c:pt idx="6">
                  <c:v>161</c:v>
                </c:pt>
                <c:pt idx="7">
                  <c:v>172</c:v>
                </c:pt>
                <c:pt idx="8">
                  <c:v>168</c:v>
                </c:pt>
                <c:pt idx="9">
                  <c:v>152</c:v>
                </c:pt>
                <c:pt idx="10">
                  <c:v>96</c:v>
                </c:pt>
                <c:pt idx="11">
                  <c:v>84</c:v>
                </c:pt>
              </c:numCache>
            </c:numRef>
          </c:val>
          <c:extLst>
            <c:ext xmlns:c16="http://schemas.microsoft.com/office/drawing/2014/chart" uri="{C3380CC4-5D6E-409C-BE32-E72D297353CC}">
              <c16:uniqueId val="{00000001-43AC-417B-97BE-93B3C711C734}"/>
            </c:ext>
          </c:extLst>
        </c:ser>
        <c:dLbls>
          <c:showLegendKey val="0"/>
          <c:showVal val="0"/>
          <c:showCatName val="0"/>
          <c:showSerName val="0"/>
          <c:showPercent val="0"/>
          <c:showBubbleSize val="0"/>
        </c:dLbls>
        <c:gapWidth val="150"/>
        <c:axId val="80999168"/>
        <c:axId val="81000704"/>
      </c:barChart>
      <c:catAx>
        <c:axId val="8099916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000704"/>
        <c:crosses val="autoZero"/>
        <c:auto val="1"/>
        <c:lblAlgn val="ctr"/>
        <c:lblOffset val="100"/>
        <c:tickLblSkip val="1"/>
        <c:noMultiLvlLbl val="1"/>
      </c:catAx>
      <c:valAx>
        <c:axId val="81000704"/>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99168"/>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Child Care Applications Received &amp; Disposed in Locality, SFY 2020</a:t>
            </a:r>
          </a:p>
          <a:p>
            <a:pPr>
              <a:defRPr sz="1200"/>
            </a:pPr>
            <a:endParaRPr lang="en-US" sz="1200"/>
          </a:p>
        </c:rich>
      </c:tx>
      <c:layout>
        <c:manualLayout>
          <c:xMode val="edge"/>
          <c:yMode val="edge"/>
          <c:x val="0.11365762236101748"/>
          <c:y val="2.195148341902478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66226380981649602"/>
        </c:manualLayout>
      </c:layout>
      <c:barChart>
        <c:barDir val="col"/>
        <c:grouping val="clustered"/>
        <c:varyColors val="0"/>
        <c:ser>
          <c:idx val="0"/>
          <c:order val="0"/>
          <c:tx>
            <c:strRef>
              <c:f>'Data for Graphs'!$R$3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Graphs'!$R$4:$R$15</c:f>
              <c:numCache>
                <c:formatCode>General</c:formatCode>
                <c:ptCount val="12"/>
                <c:pt idx="0">
                  <c:v>4</c:v>
                </c:pt>
                <c:pt idx="1">
                  <c:v>2</c:v>
                </c:pt>
                <c:pt idx="2">
                  <c:v>3</c:v>
                </c:pt>
                <c:pt idx="3">
                  <c:v>3</c:v>
                </c:pt>
                <c:pt idx="4">
                  <c:v>3</c:v>
                </c:pt>
                <c:pt idx="5">
                  <c:v>7</c:v>
                </c:pt>
                <c:pt idx="6">
                  <c:v>8</c:v>
                </c:pt>
                <c:pt idx="7">
                  <c:v>1</c:v>
                </c:pt>
                <c:pt idx="8">
                  <c:v>6</c:v>
                </c:pt>
                <c:pt idx="9">
                  <c:v>2</c:v>
                </c:pt>
                <c:pt idx="10">
                  <c:v>2</c:v>
                </c:pt>
                <c:pt idx="11">
                  <c:v>6</c:v>
                </c:pt>
              </c:numCache>
            </c:numRef>
          </c:val>
          <c:extLst>
            <c:ext xmlns:c16="http://schemas.microsoft.com/office/drawing/2014/chart" uri="{C3380CC4-5D6E-409C-BE32-E72D297353CC}">
              <c16:uniqueId val="{00000000-DB8A-4A0D-ADF5-9D30E840E845}"/>
            </c:ext>
          </c:extLst>
        </c:ser>
        <c:ser>
          <c:idx val="1"/>
          <c:order val="1"/>
          <c:tx>
            <c:strRef>
              <c:f>'Data for Graphs'!$S$3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Graphs'!$S$4:$S$15</c:f>
              <c:numCache>
                <c:formatCode>General</c:formatCode>
                <c:ptCount val="12"/>
                <c:pt idx="0">
                  <c:v>5</c:v>
                </c:pt>
                <c:pt idx="1">
                  <c:v>9</c:v>
                </c:pt>
                <c:pt idx="2">
                  <c:v>0</c:v>
                </c:pt>
                <c:pt idx="3">
                  <c:v>4</c:v>
                </c:pt>
                <c:pt idx="4">
                  <c:v>2</c:v>
                </c:pt>
                <c:pt idx="5">
                  <c:v>6</c:v>
                </c:pt>
                <c:pt idx="6">
                  <c:v>6</c:v>
                </c:pt>
                <c:pt idx="7">
                  <c:v>6</c:v>
                </c:pt>
                <c:pt idx="8">
                  <c:v>2</c:v>
                </c:pt>
                <c:pt idx="9">
                  <c:v>5</c:v>
                </c:pt>
                <c:pt idx="10">
                  <c:v>2</c:v>
                </c:pt>
                <c:pt idx="11">
                  <c:v>4</c:v>
                </c:pt>
              </c:numCache>
            </c:numRef>
          </c:val>
          <c:extLst>
            <c:ext xmlns:c16="http://schemas.microsoft.com/office/drawing/2014/chart" uri="{C3380CC4-5D6E-409C-BE32-E72D297353CC}">
              <c16:uniqueId val="{00000001-DB8A-4A0D-ADF5-9D30E840E845}"/>
            </c:ext>
          </c:extLst>
        </c:ser>
        <c:dLbls>
          <c:showLegendKey val="0"/>
          <c:showVal val="0"/>
          <c:showCatName val="0"/>
          <c:showSerName val="0"/>
          <c:showPercent val="0"/>
          <c:showBubbleSize val="0"/>
        </c:dLbls>
        <c:gapWidth val="150"/>
        <c:axId val="81091584"/>
        <c:axId val="81101568"/>
      </c:barChart>
      <c:catAx>
        <c:axId val="8109158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101568"/>
        <c:crosses val="autoZero"/>
        <c:auto val="1"/>
        <c:lblAlgn val="ctr"/>
        <c:lblOffset val="100"/>
        <c:tickLblSkip val="1"/>
        <c:noMultiLvlLbl val="1"/>
      </c:catAx>
      <c:valAx>
        <c:axId val="81101568"/>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091584"/>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TANF Clients in Locality</a:t>
            </a:r>
          </a:p>
        </c:rich>
      </c:tx>
      <c:layout>
        <c:manualLayout>
          <c:xMode val="edge"/>
          <c:yMode val="edge"/>
          <c:x val="0.27352291278599439"/>
          <c:y val="2.91632798728481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870127345192964"/>
          <c:y val="0.16463268228884667"/>
          <c:w val="0.78993810958815336"/>
          <c:h val="0.64352878758683019"/>
        </c:manualLayout>
      </c:layout>
      <c:barChart>
        <c:barDir val="col"/>
        <c:grouping val="clustered"/>
        <c:varyColors val="0"/>
        <c:ser>
          <c:idx val="0"/>
          <c:order val="0"/>
          <c:tx>
            <c:strRef>
              <c:f>Profile!$E$178</c:f>
              <c:strCache>
                <c:ptCount val="1"/>
                <c:pt idx="0">
                  <c:v>TANF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Profile!$B$179:$C$186</c:f>
              <c:strCache>
                <c:ptCount val="8"/>
                <c:pt idx="0">
                  <c:v>2013</c:v>
                </c:pt>
                <c:pt idx="1">
                  <c:v>2014</c:v>
                </c:pt>
                <c:pt idx="2">
                  <c:v>2015</c:v>
                </c:pt>
                <c:pt idx="3">
                  <c:v>2016</c:v>
                </c:pt>
                <c:pt idx="4">
                  <c:v>2017</c:v>
                </c:pt>
                <c:pt idx="5">
                  <c:v>2018</c:v>
                </c:pt>
                <c:pt idx="6">
                  <c:v>2019</c:v>
                </c:pt>
                <c:pt idx="7">
                  <c:v>2020</c:v>
                </c:pt>
              </c:strCache>
            </c:strRef>
          </c:cat>
          <c:val>
            <c:numRef>
              <c:f>Profile!$E$179:$E$186</c:f>
              <c:numCache>
                <c:formatCode>#,##0</c:formatCode>
                <c:ptCount val="8"/>
                <c:pt idx="0">
                  <c:v>835</c:v>
                </c:pt>
                <c:pt idx="1">
                  <c:v>728</c:v>
                </c:pt>
                <c:pt idx="2">
                  <c:v>640</c:v>
                </c:pt>
                <c:pt idx="3">
                  <c:v>581</c:v>
                </c:pt>
                <c:pt idx="4">
                  <c:v>520</c:v>
                </c:pt>
                <c:pt idx="5">
                  <c:v>382</c:v>
                </c:pt>
                <c:pt idx="6">
                  <c:v>374</c:v>
                </c:pt>
                <c:pt idx="7">
                  <c:v>314</c:v>
                </c:pt>
              </c:numCache>
            </c:numRef>
          </c:val>
          <c:extLst>
            <c:ext xmlns:c16="http://schemas.microsoft.com/office/drawing/2014/chart" uri="{C3380CC4-5D6E-409C-BE32-E72D297353CC}">
              <c16:uniqueId val="{00000000-B2DD-4A2A-89CA-CB1A4A2F42E0}"/>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Medicaid Clients in Locality</a:t>
            </a:r>
          </a:p>
        </c:rich>
      </c:tx>
      <c:layout>
        <c:manualLayout>
          <c:xMode val="edge"/>
          <c:yMode val="edge"/>
          <c:x val="0.20527435597734156"/>
          <c:y val="2.354687750139967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5217747463096"/>
          <c:y val="0.16463268228884667"/>
          <c:w val="0.79111790962435424"/>
          <c:h val="0.64352878758683019"/>
        </c:manualLayout>
      </c:layout>
      <c:barChart>
        <c:barDir val="col"/>
        <c:grouping val="clustered"/>
        <c:varyColors val="0"/>
        <c:ser>
          <c:idx val="0"/>
          <c:order val="0"/>
          <c:tx>
            <c:v>Medical Assistance</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Profile!$B$179:$C$186</c:f>
              <c:strCache>
                <c:ptCount val="8"/>
                <c:pt idx="0">
                  <c:v>2013</c:v>
                </c:pt>
                <c:pt idx="1">
                  <c:v>2014</c:v>
                </c:pt>
                <c:pt idx="2">
                  <c:v>2015</c:v>
                </c:pt>
                <c:pt idx="3">
                  <c:v>2016</c:v>
                </c:pt>
                <c:pt idx="4">
                  <c:v>2017</c:v>
                </c:pt>
                <c:pt idx="5">
                  <c:v>2018</c:v>
                </c:pt>
                <c:pt idx="6">
                  <c:v>2019</c:v>
                </c:pt>
                <c:pt idx="7">
                  <c:v>2020</c:v>
                </c:pt>
              </c:strCache>
            </c:strRef>
          </c:cat>
          <c:val>
            <c:numRef>
              <c:f>Profile!$F$179:$F$186</c:f>
              <c:numCache>
                <c:formatCode>#,##0</c:formatCode>
                <c:ptCount val="8"/>
                <c:pt idx="0">
                  <c:v>8722</c:v>
                </c:pt>
                <c:pt idx="1">
                  <c:v>8891</c:v>
                </c:pt>
                <c:pt idx="2">
                  <c:v>9155</c:v>
                </c:pt>
                <c:pt idx="3">
                  <c:v>9712</c:v>
                </c:pt>
                <c:pt idx="4">
                  <c:v>9581</c:v>
                </c:pt>
                <c:pt idx="5">
                  <c:v>9533</c:v>
                </c:pt>
                <c:pt idx="6">
                  <c:v>10729</c:v>
                </c:pt>
                <c:pt idx="7">
                  <c:v>11409</c:v>
                </c:pt>
              </c:numCache>
            </c:numRef>
          </c:val>
          <c:extLst>
            <c:ext xmlns:c16="http://schemas.microsoft.com/office/drawing/2014/chart" uri="{C3380CC4-5D6E-409C-BE32-E72D297353CC}">
              <c16:uniqueId val="{00000000-A7F1-44C2-8C7D-BD3513433E02}"/>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Households by Income Group</a:t>
            </a:r>
            <a:r>
              <a:rPr lang="en-US" sz="1200" b="1" baseline="0"/>
              <a:t> in Locality</a:t>
            </a:r>
            <a:r>
              <a:rPr lang="en-US" sz="1200" b="1"/>
              <a:t>, 2018</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083989501312339E-2"/>
          <c:y val="0.25917213473315837"/>
          <c:w val="0.41449343832020996"/>
          <c:h val="0.69082239720034999"/>
        </c:manualLayout>
      </c:layout>
      <c:pieChart>
        <c:varyColors val="1"/>
        <c:ser>
          <c:idx val="0"/>
          <c:order val="0"/>
          <c:spPr>
            <a:ln w="12700">
              <a:solidFill>
                <a:schemeClr val="tx1"/>
              </a:solidFill>
            </a:ln>
          </c:spPr>
          <c:dPt>
            <c:idx val="0"/>
            <c:bubble3D val="0"/>
            <c:spPr>
              <a:solidFill>
                <a:schemeClr val="accent6"/>
              </a:solidFill>
              <a:ln w="12700">
                <a:solidFill>
                  <a:schemeClr val="tx1"/>
                </a:solidFill>
              </a:ln>
              <a:effectLst/>
            </c:spPr>
            <c:extLst>
              <c:ext xmlns:c16="http://schemas.microsoft.com/office/drawing/2014/chart" uri="{C3380CC4-5D6E-409C-BE32-E72D297353CC}">
                <c16:uniqueId val="{00000001-8CE8-41BB-A73D-FA4C075B3ABE}"/>
              </c:ext>
            </c:extLst>
          </c:dPt>
          <c:dPt>
            <c:idx val="1"/>
            <c:bubble3D val="0"/>
            <c:spPr>
              <a:solidFill>
                <a:schemeClr val="accent5"/>
              </a:solidFill>
              <a:ln w="12700">
                <a:solidFill>
                  <a:schemeClr val="tx1"/>
                </a:solidFill>
              </a:ln>
              <a:effectLst/>
            </c:spPr>
            <c:extLst>
              <c:ext xmlns:c16="http://schemas.microsoft.com/office/drawing/2014/chart" uri="{C3380CC4-5D6E-409C-BE32-E72D297353CC}">
                <c16:uniqueId val="{00000003-8CE8-41BB-A73D-FA4C075B3ABE}"/>
              </c:ext>
            </c:extLst>
          </c:dPt>
          <c:dPt>
            <c:idx val="2"/>
            <c:bubble3D val="0"/>
            <c:spPr>
              <a:solidFill>
                <a:schemeClr val="accent4"/>
              </a:solidFill>
              <a:ln w="12700">
                <a:solidFill>
                  <a:schemeClr val="tx1"/>
                </a:solidFill>
              </a:ln>
              <a:effectLst/>
            </c:spPr>
            <c:extLst>
              <c:ext xmlns:c16="http://schemas.microsoft.com/office/drawing/2014/chart" uri="{C3380CC4-5D6E-409C-BE32-E72D297353CC}">
                <c16:uniqueId val="{00000006-4E43-43C1-8252-5553241B6551}"/>
              </c:ext>
            </c:extLst>
          </c:dPt>
          <c:dLbls>
            <c:dLbl>
              <c:idx val="2"/>
              <c:layout>
                <c:manualLayout>
                  <c:x val="2.7777777777777779E-3"/>
                  <c:y val="-0.2638888888888889"/>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4E43-43C1-8252-5553241B65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'Data for Graphs'!$B$35:$D$35</c:f>
              <c:strCache>
                <c:ptCount val="3"/>
                <c:pt idx="0">
                  <c:v>Households Below Poverty</c:v>
                </c:pt>
                <c:pt idx="1">
                  <c:v>ALICE Households</c:v>
                </c:pt>
                <c:pt idx="2">
                  <c:v>Households Above ALICE</c:v>
                </c:pt>
              </c:strCache>
            </c:strRef>
          </c:cat>
          <c:val>
            <c:numRef>
              <c:f>'Data for Graphs'!$B$40:$D$40</c:f>
              <c:numCache>
                <c:formatCode>#,##0</c:formatCode>
                <c:ptCount val="3"/>
                <c:pt idx="0">
                  <c:v>2085</c:v>
                </c:pt>
                <c:pt idx="1">
                  <c:v>4645</c:v>
                </c:pt>
                <c:pt idx="2">
                  <c:v>6671</c:v>
                </c:pt>
              </c:numCache>
            </c:numRef>
          </c:val>
          <c:extLst>
            <c:ext xmlns:c16="http://schemas.microsoft.com/office/drawing/2014/chart" uri="{C3380CC4-5D6E-409C-BE32-E72D297353CC}">
              <c16:uniqueId val="{00000000-4E43-43C1-8252-5553241B655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306484508499437"/>
          <c:y val="0.2049876057159522"/>
          <c:w val="0.32244947506561683"/>
          <c:h val="0.58277406963202449"/>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Households Below Poverty &amp; ALICE Households in Locality, 2010-2018</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'Data for Graphs'!$B$35</c:f>
              <c:strCache>
                <c:ptCount val="1"/>
                <c:pt idx="0">
                  <c:v>Households Below Poverty</c:v>
                </c:pt>
              </c:strCache>
            </c:strRef>
          </c:tx>
          <c:spPr>
            <a:solidFill>
              <a:schemeClr val="accent6"/>
            </a:solidFill>
            <a:ln>
              <a:noFill/>
            </a:ln>
            <a:effectLst/>
          </c:spPr>
          <c:invertIfNegative val="0"/>
          <c:cat>
            <c:numRef>
              <c:f>'Data for Graphs'!$A$36:$A$40</c:f>
              <c:numCache>
                <c:formatCode>General</c:formatCode>
                <c:ptCount val="5"/>
                <c:pt idx="0">
                  <c:v>2010</c:v>
                </c:pt>
                <c:pt idx="1">
                  <c:v>2012</c:v>
                </c:pt>
                <c:pt idx="2">
                  <c:v>2014</c:v>
                </c:pt>
                <c:pt idx="3">
                  <c:v>2016</c:v>
                </c:pt>
                <c:pt idx="4">
                  <c:v>2018</c:v>
                </c:pt>
              </c:numCache>
            </c:numRef>
          </c:cat>
          <c:val>
            <c:numRef>
              <c:f>'Data for Graphs'!$B$36:$B$40</c:f>
              <c:numCache>
                <c:formatCode>#,##0</c:formatCode>
                <c:ptCount val="5"/>
                <c:pt idx="0">
                  <c:v>2856</c:v>
                </c:pt>
                <c:pt idx="1">
                  <c:v>2942</c:v>
                </c:pt>
                <c:pt idx="2">
                  <c:v>2754</c:v>
                </c:pt>
                <c:pt idx="3">
                  <c:v>2561</c:v>
                </c:pt>
                <c:pt idx="4">
                  <c:v>2085</c:v>
                </c:pt>
              </c:numCache>
            </c:numRef>
          </c:val>
          <c:extLst>
            <c:ext xmlns:c16="http://schemas.microsoft.com/office/drawing/2014/chart" uri="{C3380CC4-5D6E-409C-BE32-E72D297353CC}">
              <c16:uniqueId val="{00000000-5B68-4BBA-89BF-8351F04F4081}"/>
            </c:ext>
          </c:extLst>
        </c:ser>
        <c:ser>
          <c:idx val="1"/>
          <c:order val="1"/>
          <c:tx>
            <c:strRef>
              <c:f>'Data for Graphs'!$C$35</c:f>
              <c:strCache>
                <c:ptCount val="1"/>
                <c:pt idx="0">
                  <c:v>ALICE Households</c:v>
                </c:pt>
              </c:strCache>
            </c:strRef>
          </c:tx>
          <c:spPr>
            <a:solidFill>
              <a:schemeClr val="accent5"/>
            </a:solidFill>
            <a:ln>
              <a:noFill/>
            </a:ln>
            <a:effectLst/>
          </c:spPr>
          <c:invertIfNegative val="0"/>
          <c:cat>
            <c:numRef>
              <c:f>'Data for Graphs'!$A$36:$A$40</c:f>
              <c:numCache>
                <c:formatCode>General</c:formatCode>
                <c:ptCount val="5"/>
                <c:pt idx="0">
                  <c:v>2010</c:v>
                </c:pt>
                <c:pt idx="1">
                  <c:v>2012</c:v>
                </c:pt>
                <c:pt idx="2">
                  <c:v>2014</c:v>
                </c:pt>
                <c:pt idx="3">
                  <c:v>2016</c:v>
                </c:pt>
                <c:pt idx="4">
                  <c:v>2018</c:v>
                </c:pt>
              </c:numCache>
            </c:numRef>
          </c:cat>
          <c:val>
            <c:numRef>
              <c:f>'Data for Graphs'!$C$36:$C$40</c:f>
              <c:numCache>
                <c:formatCode>#,##0</c:formatCode>
                <c:ptCount val="5"/>
                <c:pt idx="0">
                  <c:v>3210</c:v>
                </c:pt>
                <c:pt idx="1">
                  <c:v>3555</c:v>
                </c:pt>
                <c:pt idx="2">
                  <c:v>4310</c:v>
                </c:pt>
                <c:pt idx="3">
                  <c:v>4612</c:v>
                </c:pt>
                <c:pt idx="4">
                  <c:v>4645</c:v>
                </c:pt>
              </c:numCache>
            </c:numRef>
          </c:val>
          <c:extLst>
            <c:ext xmlns:c16="http://schemas.microsoft.com/office/drawing/2014/chart" uri="{C3380CC4-5D6E-409C-BE32-E72D297353CC}">
              <c16:uniqueId val="{00000001-5B68-4BBA-89BF-8351F04F4081}"/>
            </c:ext>
          </c:extLst>
        </c:ser>
        <c:dLbls>
          <c:showLegendKey val="0"/>
          <c:showVal val="0"/>
          <c:showCatName val="0"/>
          <c:showSerName val="0"/>
          <c:showPercent val="0"/>
          <c:showBubbleSize val="0"/>
        </c:dLbls>
        <c:gapWidth val="219"/>
        <c:axId val="1856945824"/>
        <c:axId val="1856937920"/>
        <c:extLst>
          <c:ext xmlns:c15="http://schemas.microsoft.com/office/drawing/2012/chart" uri="{02D57815-91ED-43cb-92C2-25804820EDAC}">
            <c15:filteredBarSeries>
              <c15:ser>
                <c:idx val="2"/>
                <c:order val="2"/>
                <c:tx>
                  <c:strRef>
                    <c:extLst>
                      <c:ext uri="{02D57815-91ED-43cb-92C2-25804820EDAC}">
                        <c15:formulaRef>
                          <c15:sqref>'Data for Graphs'!$D$35</c15:sqref>
                        </c15:formulaRef>
                      </c:ext>
                    </c:extLst>
                    <c:strCache>
                      <c:ptCount val="1"/>
                      <c:pt idx="0">
                        <c:v>Households Above ALICE</c:v>
                      </c:pt>
                    </c:strCache>
                  </c:strRef>
                </c:tx>
                <c:spPr>
                  <a:solidFill>
                    <a:schemeClr val="accent4"/>
                  </a:solidFill>
                  <a:ln>
                    <a:noFill/>
                  </a:ln>
                  <a:effectLst/>
                </c:spPr>
                <c:invertIfNegative val="0"/>
                <c:cat>
                  <c:numRef>
                    <c:extLst>
                      <c:ext uri="{02D57815-91ED-43cb-92C2-25804820EDAC}">
                        <c15:formulaRef>
                          <c15:sqref>'Data for Graphs'!$A$36:$A$40</c15:sqref>
                        </c15:formulaRef>
                      </c:ext>
                    </c:extLst>
                    <c:numCache>
                      <c:formatCode>General</c:formatCode>
                      <c:ptCount val="5"/>
                      <c:pt idx="0">
                        <c:v>2010</c:v>
                      </c:pt>
                      <c:pt idx="1">
                        <c:v>2012</c:v>
                      </c:pt>
                      <c:pt idx="2">
                        <c:v>2014</c:v>
                      </c:pt>
                      <c:pt idx="3">
                        <c:v>2016</c:v>
                      </c:pt>
                      <c:pt idx="4">
                        <c:v>2018</c:v>
                      </c:pt>
                    </c:numCache>
                  </c:numRef>
                </c:cat>
                <c:val>
                  <c:numRef>
                    <c:extLst>
                      <c:ext uri="{02D57815-91ED-43cb-92C2-25804820EDAC}">
                        <c15:formulaRef>
                          <c15:sqref>'Data for Graphs'!$D$36:$D$40</c15:sqref>
                        </c15:formulaRef>
                      </c:ext>
                    </c:extLst>
                    <c:numCache>
                      <c:formatCode>#,##0</c:formatCode>
                      <c:ptCount val="5"/>
                      <c:pt idx="0">
                        <c:v>7610</c:v>
                      </c:pt>
                      <c:pt idx="1">
                        <c:v>7986</c:v>
                      </c:pt>
                      <c:pt idx="2">
                        <c:v>7225</c:v>
                      </c:pt>
                      <c:pt idx="3">
                        <c:v>6646</c:v>
                      </c:pt>
                      <c:pt idx="4">
                        <c:v>6671</c:v>
                      </c:pt>
                    </c:numCache>
                  </c:numRef>
                </c:val>
                <c:extLst>
                  <c:ext xmlns:c16="http://schemas.microsoft.com/office/drawing/2014/chart" uri="{C3380CC4-5D6E-409C-BE32-E72D297353CC}">
                    <c16:uniqueId val="{00000002-5B68-4BBA-89BF-8351F04F4081}"/>
                  </c:ext>
                </c:extLst>
              </c15:ser>
            </c15:filteredBarSeries>
          </c:ext>
        </c:extLst>
      </c:barChart>
      <c:lineChart>
        <c:grouping val="standard"/>
        <c:varyColors val="0"/>
        <c:ser>
          <c:idx val="3"/>
          <c:order val="3"/>
          <c:tx>
            <c:v>% Households - ALICE</c:v>
          </c:tx>
          <c:spPr>
            <a:ln w="28575" cap="rnd">
              <a:solidFill>
                <a:schemeClr val="tx1"/>
              </a:solidFill>
              <a:prstDash val="dash"/>
              <a:round/>
            </a:ln>
            <a:effectLst/>
          </c:spPr>
          <c:marker>
            <c:symbol val="none"/>
          </c:marker>
          <c:cat>
            <c:numRef>
              <c:f>'Data for Graphs'!$A$36:$A$40</c:f>
              <c:numCache>
                <c:formatCode>General</c:formatCode>
                <c:ptCount val="5"/>
                <c:pt idx="0">
                  <c:v>2010</c:v>
                </c:pt>
                <c:pt idx="1">
                  <c:v>2012</c:v>
                </c:pt>
                <c:pt idx="2">
                  <c:v>2014</c:v>
                </c:pt>
                <c:pt idx="3">
                  <c:v>2016</c:v>
                </c:pt>
                <c:pt idx="4">
                  <c:v>2018</c:v>
                </c:pt>
              </c:numCache>
            </c:numRef>
          </c:cat>
          <c:val>
            <c:numRef>
              <c:f>'Data for Graphs'!$G$36:$G$40</c:f>
              <c:numCache>
                <c:formatCode>0%</c:formatCode>
                <c:ptCount val="5"/>
                <c:pt idx="0">
                  <c:v>0.23471775372916057</c:v>
                </c:pt>
                <c:pt idx="1">
                  <c:v>0.24546019471104052</c:v>
                </c:pt>
                <c:pt idx="2">
                  <c:v>0.30163062495626008</c:v>
                </c:pt>
                <c:pt idx="3">
                  <c:v>0.33374339677255954</c:v>
                </c:pt>
                <c:pt idx="4">
                  <c:v>0.34661592418476234</c:v>
                </c:pt>
              </c:numCache>
            </c:numRef>
          </c:val>
          <c:smooth val="0"/>
          <c:extLst>
            <c:ext xmlns:c16="http://schemas.microsoft.com/office/drawing/2014/chart" uri="{C3380CC4-5D6E-409C-BE32-E72D297353CC}">
              <c16:uniqueId val="{00000003-5B68-4BBA-89BF-8351F04F4081}"/>
            </c:ext>
          </c:extLst>
        </c:ser>
        <c:dLbls>
          <c:showLegendKey val="0"/>
          <c:showVal val="0"/>
          <c:showCatName val="0"/>
          <c:showSerName val="0"/>
          <c:showPercent val="0"/>
          <c:showBubbleSize val="0"/>
        </c:dLbls>
        <c:marker val="1"/>
        <c:smooth val="0"/>
        <c:axId val="1696917792"/>
        <c:axId val="1696922368"/>
      </c:lineChart>
      <c:catAx>
        <c:axId val="185694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937920"/>
        <c:crosses val="autoZero"/>
        <c:auto val="1"/>
        <c:lblAlgn val="ctr"/>
        <c:lblOffset val="100"/>
        <c:noMultiLvlLbl val="0"/>
      </c:catAx>
      <c:valAx>
        <c:axId val="185693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945824"/>
        <c:crosses val="autoZero"/>
        <c:crossBetween val="between"/>
      </c:valAx>
      <c:valAx>
        <c:axId val="16969223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6917792"/>
        <c:crosses val="max"/>
        <c:crossBetween val="between"/>
      </c:valAx>
      <c:catAx>
        <c:axId val="1696917792"/>
        <c:scaling>
          <c:orientation val="minMax"/>
        </c:scaling>
        <c:delete val="1"/>
        <c:axPos val="b"/>
        <c:numFmt formatCode="General" sourceLinked="1"/>
        <c:majorTickMark val="out"/>
        <c:minorTickMark val="none"/>
        <c:tickLblPos val="nextTo"/>
        <c:crossAx val="169692236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All Income Levels (comb.)</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v>All Incomes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15-4D23-9B45-17C7EF775A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15-4D23-9B45-17C7EF775A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15-4D23-9B45-17C7EF775A21}"/>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F15-4D23-9B45-17C7EF775A21}"/>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F15-4D23-9B45-17C7EF775A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Graphs'!$D$42:$E$42</c:f>
              <c:strCache>
                <c:ptCount val="2"/>
                <c:pt idx="0">
                  <c:v>Insured</c:v>
                </c:pt>
                <c:pt idx="1">
                  <c:v>Uninsured</c:v>
                </c:pt>
              </c:strCache>
            </c:strRef>
          </c:cat>
          <c:val>
            <c:numRef>
              <c:f>'Data for Graphs'!$D$43:$E$43</c:f>
              <c:numCache>
                <c:formatCode>#,##0</c:formatCode>
                <c:ptCount val="2"/>
                <c:pt idx="0">
                  <c:v>20219</c:v>
                </c:pt>
                <c:pt idx="1">
                  <c:v>3601</c:v>
                </c:pt>
              </c:numCache>
            </c:numRef>
          </c:val>
          <c:extLst>
            <c:ext xmlns:c16="http://schemas.microsoft.com/office/drawing/2014/chart" uri="{C3380CC4-5D6E-409C-BE32-E72D297353CC}">
              <c16:uniqueId val="{00000006-8F15-4D23-9B45-17C7EF775A2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Residents</a:t>
            </a:r>
            <a:r>
              <a:rPr lang="en-US" baseline="0"/>
              <a:t> Without Health Insurance by Household Income, 2014-2018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'Data for Graphs'!$D$42</c:f>
              <c:strCache>
                <c:ptCount val="1"/>
                <c:pt idx="0">
                  <c:v>Insured</c:v>
                </c:pt>
              </c:strCache>
            </c:strRef>
          </c:tx>
          <c:spPr>
            <a:solidFill>
              <a:schemeClr val="accent1"/>
            </a:solidFill>
            <a:ln>
              <a:noFill/>
            </a:ln>
            <a:effectLst/>
          </c:spPr>
          <c:invertIfNegative val="0"/>
          <c:cat>
            <c:numRef>
              <c:f>'Data for Graphs'!$A$43:$A$46</c:f>
              <c:numCache>
                <c:formatCode>General</c:formatCode>
                <c:ptCount val="4"/>
              </c:numCache>
            </c:numRef>
          </c:cat>
          <c:val>
            <c:numRef>
              <c:f>'Data for Graphs'!$D$43:$D$46</c:f>
              <c:numCache>
                <c:formatCode>#,##0</c:formatCode>
                <c:ptCount val="4"/>
                <c:pt idx="0">
                  <c:v>20219</c:v>
                </c:pt>
                <c:pt idx="1">
                  <c:v>5395</c:v>
                </c:pt>
                <c:pt idx="2">
                  <c:v>8168</c:v>
                </c:pt>
              </c:numCache>
            </c:numRef>
          </c:val>
          <c:extLst>
            <c:ext xmlns:c16="http://schemas.microsoft.com/office/drawing/2014/chart" uri="{C3380CC4-5D6E-409C-BE32-E72D297353CC}">
              <c16:uniqueId val="{00000000-4574-441E-96D7-0D60F83106F8}"/>
            </c:ext>
          </c:extLst>
        </c:ser>
        <c:ser>
          <c:idx val="1"/>
          <c:order val="1"/>
          <c:tx>
            <c:strRef>
              <c:f>'Data for Graphs'!$E$42</c:f>
              <c:strCache>
                <c:ptCount val="1"/>
                <c:pt idx="0">
                  <c:v>Uninsured</c:v>
                </c:pt>
              </c:strCache>
            </c:strRef>
          </c:tx>
          <c:spPr>
            <a:solidFill>
              <a:schemeClr val="accent2"/>
            </a:solidFill>
            <a:ln>
              <a:noFill/>
            </a:ln>
            <a:effectLst/>
          </c:spPr>
          <c:invertIfNegative val="0"/>
          <c:cat>
            <c:numRef>
              <c:f>'Data for Graphs'!$A$43:$A$46</c:f>
              <c:numCache>
                <c:formatCode>General</c:formatCode>
                <c:ptCount val="4"/>
              </c:numCache>
            </c:numRef>
          </c:cat>
          <c:val>
            <c:numRef>
              <c:f>'Data for Graphs'!$E$43:$E$46</c:f>
              <c:numCache>
                <c:formatCode>#,##0</c:formatCode>
                <c:ptCount val="4"/>
                <c:pt idx="0">
                  <c:v>3601</c:v>
                </c:pt>
                <c:pt idx="1">
                  <c:v>1320</c:v>
                </c:pt>
                <c:pt idx="2">
                  <c:v>1991</c:v>
                </c:pt>
              </c:numCache>
            </c:numRef>
          </c:val>
          <c:extLst>
            <c:ext xmlns:c16="http://schemas.microsoft.com/office/drawing/2014/chart" uri="{C3380CC4-5D6E-409C-BE32-E72D297353CC}">
              <c16:uniqueId val="{00000001-4574-441E-96D7-0D60F83106F8}"/>
            </c:ext>
          </c:extLst>
        </c:ser>
        <c:dLbls>
          <c:showLegendKey val="0"/>
          <c:showVal val="0"/>
          <c:showCatName val="0"/>
          <c:showSerName val="0"/>
          <c:showPercent val="0"/>
          <c:showBubbleSize val="0"/>
        </c:dLbls>
        <c:gapWidth val="182"/>
        <c:overlap val="100"/>
        <c:axId val="1955774032"/>
        <c:axId val="1955781936"/>
      </c:barChart>
      <c:catAx>
        <c:axId val="195577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781936"/>
        <c:crosses val="autoZero"/>
        <c:auto val="1"/>
        <c:lblAlgn val="ctr"/>
        <c:lblOffset val="100"/>
        <c:noMultiLvlLbl val="0"/>
      </c:catAx>
      <c:valAx>
        <c:axId val="1955781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77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Income Less Than</a:t>
            </a:r>
            <a:r>
              <a:rPr lang="en-US" sz="1200" baseline="0"/>
              <a:t> 138% FPL</a:t>
            </a:r>
            <a:r>
              <a:rPr lang="en-US" sz="1200"/>
              <a:t>	</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strRef>
              <c:f>'Data for Graphs'!$B$44</c:f>
              <c:strCache>
                <c:ptCount val="1"/>
                <c:pt idx="0">
                  <c:v>Less than 138% FPL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AC-4F9E-85D7-C1A2FCBAAE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AC-4F9E-85D7-C1A2FCBAAE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AC-4F9E-85D7-C1A2FCBAAE15}"/>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60AC-4F9E-85D7-C1A2FCBAAE15}"/>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60AC-4F9E-85D7-C1A2FCBAAE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Graphs'!$D$42:$E$42</c:f>
              <c:strCache>
                <c:ptCount val="2"/>
                <c:pt idx="0">
                  <c:v>Insured</c:v>
                </c:pt>
                <c:pt idx="1">
                  <c:v>Uninsured</c:v>
                </c:pt>
              </c:strCache>
            </c:strRef>
          </c:cat>
          <c:val>
            <c:numRef>
              <c:f>'Data for Graphs'!$D$44:$E$44</c:f>
              <c:numCache>
                <c:formatCode>#,##0</c:formatCode>
                <c:ptCount val="2"/>
                <c:pt idx="0">
                  <c:v>5395</c:v>
                </c:pt>
                <c:pt idx="1">
                  <c:v>1320</c:v>
                </c:pt>
              </c:numCache>
            </c:numRef>
          </c:val>
          <c:extLst>
            <c:ext xmlns:c16="http://schemas.microsoft.com/office/drawing/2014/chart" uri="{C3380CC4-5D6E-409C-BE32-E72D297353CC}">
              <c16:uniqueId val="{00000006-60AC-4F9E-85D7-C1A2FCBAAE1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Income Less than 200% FPL</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strRef>
              <c:f>'Data for Graphs'!$B$45</c:f>
              <c:strCache>
                <c:ptCount val="1"/>
                <c:pt idx="0">
                  <c:v>Less than 200% FPL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B7-4738-8E14-BCD9EAB2C4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B7-4738-8E14-BCD9EAB2C4D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B7-4738-8E14-BCD9EAB2C4DF}"/>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5AB7-4738-8E14-BCD9EAB2C4DF}"/>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5AB7-4738-8E14-BCD9EAB2C4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Graphs'!$D$42:$E$42</c:f>
              <c:strCache>
                <c:ptCount val="2"/>
                <c:pt idx="0">
                  <c:v>Insured</c:v>
                </c:pt>
                <c:pt idx="1">
                  <c:v>Uninsured</c:v>
                </c:pt>
              </c:strCache>
            </c:strRef>
          </c:cat>
          <c:val>
            <c:numRef>
              <c:f>'Data for Graphs'!$D$45:$E$45</c:f>
              <c:numCache>
                <c:formatCode>#,##0</c:formatCode>
                <c:ptCount val="2"/>
                <c:pt idx="0">
                  <c:v>8168</c:v>
                </c:pt>
                <c:pt idx="1">
                  <c:v>1991</c:v>
                </c:pt>
              </c:numCache>
            </c:numRef>
          </c:val>
          <c:extLst>
            <c:ext xmlns:c16="http://schemas.microsoft.com/office/drawing/2014/chart" uri="{C3380CC4-5D6E-409C-BE32-E72D297353CC}">
              <c16:uniqueId val="{00000006-5AB7-4738-8E14-BCD9EAB2C4D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n-US" sz="1200"/>
              <a:t>Poverty rate</a:t>
            </a:r>
            <a:r>
              <a:rPr lang="en-US" sz="1200" baseline="0"/>
              <a:t> in locality: All </a:t>
            </a:r>
            <a:r>
              <a:rPr lang="en-US" sz="1200"/>
              <a:t>People (All Ages) &amp; children, 2007-2019</a:t>
            </a:r>
          </a:p>
        </c:rich>
      </c:tx>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16343936028979"/>
          <c:y val="0.27186461832131126"/>
          <c:w val="0.80380179750259229"/>
          <c:h val="0.53492061744030261"/>
        </c:manualLayout>
      </c:layout>
      <c:lineChart>
        <c:grouping val="standard"/>
        <c:varyColors val="0"/>
        <c:ser>
          <c:idx val="0"/>
          <c:order val="0"/>
          <c:tx>
            <c:v>All Ages</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cat>
            <c:numRef>
              <c:f>Profile!$B$28:$B$40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Profile!$C$28:$C$40</c:f>
              <c:numCache>
                <c:formatCode>0.0%</c:formatCode>
                <c:ptCount val="13"/>
                <c:pt idx="0">
                  <c:v>0.16800000000000001</c:v>
                </c:pt>
                <c:pt idx="1">
                  <c:v>0.20600000000000002</c:v>
                </c:pt>
                <c:pt idx="2">
                  <c:v>0.183</c:v>
                </c:pt>
                <c:pt idx="3">
                  <c:v>0.20499999999999999</c:v>
                </c:pt>
                <c:pt idx="4">
                  <c:v>0.193</c:v>
                </c:pt>
                <c:pt idx="5">
                  <c:v>0.19900000000000001</c:v>
                </c:pt>
                <c:pt idx="6">
                  <c:v>0.19252741881281887</c:v>
                </c:pt>
                <c:pt idx="7">
                  <c:v>0.19371551195585529</c:v>
                </c:pt>
                <c:pt idx="8">
                  <c:v>0.20385040530582166</c:v>
                </c:pt>
                <c:pt idx="9">
                  <c:v>0.19962491545225358</c:v>
                </c:pt>
                <c:pt idx="10">
                  <c:v>0.17779367844698854</c:v>
                </c:pt>
                <c:pt idx="11">
                  <c:v>0.17348373589975941</c:v>
                </c:pt>
                <c:pt idx="12">
                  <c:v>0.16379823818928493</c:v>
                </c:pt>
              </c:numCache>
            </c:numRef>
          </c:val>
          <c:smooth val="0"/>
          <c:extLst>
            <c:ext xmlns:c16="http://schemas.microsoft.com/office/drawing/2014/chart" uri="{C3380CC4-5D6E-409C-BE32-E72D297353CC}">
              <c16:uniqueId val="{00000000-DBE3-4630-95CA-349749C9B5E1}"/>
            </c:ext>
          </c:extLst>
        </c:ser>
        <c:ser>
          <c:idx val="1"/>
          <c:order val="1"/>
          <c:tx>
            <c:v>Children (0-17)</c:v>
          </c:tx>
          <c:spPr>
            <a:ln w="22225" cap="rnd">
              <a:solidFill>
                <a:schemeClr val="accent5"/>
              </a:solidFill>
              <a:round/>
            </a:ln>
            <a:effectLst/>
          </c:spPr>
          <c:marker>
            <c:symbol val="square"/>
            <c:size val="6"/>
            <c:spPr>
              <a:solidFill>
                <a:schemeClr val="accent5"/>
              </a:solidFill>
              <a:ln w="9525">
                <a:solidFill>
                  <a:schemeClr val="accent5"/>
                </a:solidFill>
                <a:round/>
              </a:ln>
              <a:effectLst/>
            </c:spPr>
          </c:marker>
          <c:cat>
            <c:numRef>
              <c:f>Profile!$B$28:$B$40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Profile!$D$28:$D$40</c:f>
              <c:numCache>
                <c:formatCode>0.0%</c:formatCode>
                <c:ptCount val="13"/>
                <c:pt idx="0">
                  <c:v>0.25100000000000006</c:v>
                </c:pt>
                <c:pt idx="1">
                  <c:v>0.29699999999999999</c:v>
                </c:pt>
                <c:pt idx="2">
                  <c:v>0.27400000000000002</c:v>
                </c:pt>
                <c:pt idx="3">
                  <c:v>0.28699999999999998</c:v>
                </c:pt>
                <c:pt idx="4">
                  <c:v>0.30499999999999999</c:v>
                </c:pt>
                <c:pt idx="5">
                  <c:v>0.314</c:v>
                </c:pt>
                <c:pt idx="6">
                  <c:v>0.29439930354033661</c:v>
                </c:pt>
                <c:pt idx="7">
                  <c:v>0.30916311222238563</c:v>
                </c:pt>
                <c:pt idx="8">
                  <c:v>0.3097292472478429</c:v>
                </c:pt>
                <c:pt idx="9">
                  <c:v>0.31782713085234093</c:v>
                </c:pt>
                <c:pt idx="10">
                  <c:v>0.27984344422700586</c:v>
                </c:pt>
                <c:pt idx="11">
                  <c:v>0.26963711529627926</c:v>
                </c:pt>
                <c:pt idx="12">
                  <c:v>0.28486420506560878</c:v>
                </c:pt>
              </c:numCache>
            </c:numRef>
          </c:val>
          <c:smooth val="0"/>
          <c:extLst>
            <c:ext xmlns:c16="http://schemas.microsoft.com/office/drawing/2014/chart" uri="{C3380CC4-5D6E-409C-BE32-E72D297353CC}">
              <c16:uniqueId val="{00000001-DBE3-4630-95CA-349749C9B5E1}"/>
            </c:ext>
          </c:extLst>
        </c:ser>
        <c:dLbls>
          <c:showLegendKey val="0"/>
          <c:showVal val="0"/>
          <c:showCatName val="0"/>
          <c:showSerName val="0"/>
          <c:showPercent val="0"/>
          <c:showBubbleSize val="0"/>
        </c:dLbls>
        <c:marker val="1"/>
        <c:smooth val="0"/>
        <c:axId val="80497664"/>
        <c:axId val="80507648"/>
      </c:lineChart>
      <c:catAx>
        <c:axId val="80497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80507648"/>
        <c:crosses val="autoZero"/>
        <c:auto val="1"/>
        <c:lblAlgn val="ctr"/>
        <c:lblOffset val="100"/>
        <c:tickLblSkip val="1"/>
        <c:noMultiLvlLbl val="0"/>
      </c:catAx>
      <c:valAx>
        <c:axId val="805076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Percentage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97664"/>
        <c:crosses val="autoZero"/>
        <c:crossBetween val="midCat"/>
      </c:valAx>
      <c:spPr>
        <a:noFill/>
        <a:ln>
          <a:noFill/>
        </a:ln>
        <a:effectLst/>
      </c:spPr>
    </c:plotArea>
    <c:legend>
      <c:legendPos val="t"/>
      <c:layout>
        <c:manualLayout>
          <c:xMode val="edge"/>
          <c:yMode val="edge"/>
          <c:x val="0.23981735099541726"/>
          <c:y val="0.2048207919372213"/>
          <c:w val="0.43921599570408598"/>
          <c:h val="7.8671879301800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19050" cap="flat" cmpd="sng" algn="ctr">
      <a:solidFill>
        <a:schemeClr val="accent5">
          <a:lumMod val="75000"/>
        </a:schemeClr>
      </a:solidFill>
      <a:round/>
    </a:ln>
    <a:effectLst/>
  </c:spPr>
  <c:txPr>
    <a:bodyPr/>
    <a:lstStyle/>
    <a:p>
      <a:pPr>
        <a:defRPr/>
      </a:pPr>
      <a:endParaRPr lang="en-US"/>
    </a:p>
  </c:txPr>
  <c:printSettings>
    <c:headerFooter/>
    <c:pageMargins b="0.5" l="0.45" r="0.45" t="0.5" header="0.30000000000000032" footer="0.30000000000000032"/>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 Uninsured:</a:t>
            </a:r>
            <a:r>
              <a:rPr lang="en-US" sz="1200" baseline="0"/>
              <a:t> People Under 65 With Income &lt; 200% FPL</a:t>
            </a:r>
            <a:r>
              <a:rPr lang="en-US" sz="1200"/>
              <a:t>, 2012-2019</a:t>
            </a:r>
          </a:p>
        </c:rich>
      </c:tx>
      <c:layout>
        <c:manualLayout>
          <c:xMode val="edge"/>
          <c:yMode val="edge"/>
          <c:x val="0.14852941176470588"/>
          <c:y val="1.629270025457343E-3"/>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4715740182"/>
          <c:y val="0.21033528703648882"/>
          <c:w val="0.83010576869380692"/>
          <c:h val="0.57889566435774475"/>
        </c:manualLayout>
      </c:layout>
      <c:lineChart>
        <c:grouping val="standard"/>
        <c:varyColors val="0"/>
        <c:ser>
          <c:idx val="0"/>
          <c:order val="0"/>
          <c:tx>
            <c:strRef>
              <c:f>'Data for Graphs'!$E$49</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Graphs'!$B$50:$B$57</c:f>
              <c:numCache>
                <c:formatCode>General</c:formatCode>
                <c:ptCount val="8"/>
                <c:pt idx="0">
                  <c:v>2012</c:v>
                </c:pt>
                <c:pt idx="1">
                  <c:v>2013</c:v>
                </c:pt>
                <c:pt idx="2">
                  <c:v>2014</c:v>
                </c:pt>
                <c:pt idx="3">
                  <c:v>2015</c:v>
                </c:pt>
                <c:pt idx="4">
                  <c:v>2016</c:v>
                </c:pt>
                <c:pt idx="5">
                  <c:v>2017</c:v>
                </c:pt>
                <c:pt idx="6">
                  <c:v>2018</c:v>
                </c:pt>
                <c:pt idx="7">
                  <c:v>2019</c:v>
                </c:pt>
              </c:numCache>
            </c:numRef>
          </c:cat>
          <c:val>
            <c:numRef>
              <c:f>'Data for Graphs'!$E$50:$E$57</c:f>
              <c:numCache>
                <c:formatCode>0.0%</c:formatCode>
                <c:ptCount val="8"/>
                <c:pt idx="0">
                  <c:v>0.30067652217489349</c:v>
                </c:pt>
                <c:pt idx="1">
                  <c:v>0.28969545264914476</c:v>
                </c:pt>
                <c:pt idx="2">
                  <c:v>0.26597728428547213</c:v>
                </c:pt>
                <c:pt idx="3">
                  <c:v>0.26879532991332034</c:v>
                </c:pt>
                <c:pt idx="4">
                  <c:v>0.25692835295208083</c:v>
                </c:pt>
                <c:pt idx="5">
                  <c:v>0.2258247471405615</c:v>
                </c:pt>
                <c:pt idx="6">
                  <c:v>0.23544061302681993</c:v>
                </c:pt>
                <c:pt idx="7">
                  <c:v>0.19598385667880697</c:v>
                </c:pt>
              </c:numCache>
            </c:numRef>
          </c:val>
          <c:smooth val="0"/>
          <c:extLst>
            <c:ext xmlns:c16="http://schemas.microsoft.com/office/drawing/2014/chart" uri="{C3380CC4-5D6E-409C-BE32-E72D297353CC}">
              <c16:uniqueId val="{00000000-8725-47BD-8DE8-9B71149DAF4B}"/>
            </c:ext>
          </c:extLst>
        </c:ser>
        <c:ser>
          <c:idx val="1"/>
          <c:order val="1"/>
          <c:tx>
            <c:strRef>
              <c:f>'Data for Graphs'!$F$49</c:f>
              <c:strCache>
                <c:ptCount val="1"/>
                <c:pt idx="0">
                  <c:v>STATE</c:v>
                </c:pt>
              </c:strCache>
            </c:strRef>
          </c:tx>
          <c:spPr>
            <a:ln w="28575" cap="rnd" cmpd="sng" algn="ctr">
              <a:solidFill>
                <a:schemeClr val="bg1">
                  <a:lumMod val="65000"/>
                </a:schemeClr>
              </a:solidFill>
              <a:prstDash val="dash"/>
              <a:round/>
            </a:ln>
            <a:effectLst/>
          </c:spPr>
          <c:marker>
            <c:symbol val="none"/>
          </c:marker>
          <c:cat>
            <c:numRef>
              <c:f>'Data for Graphs'!$B$50:$B$57</c:f>
              <c:numCache>
                <c:formatCode>General</c:formatCode>
                <c:ptCount val="8"/>
                <c:pt idx="0">
                  <c:v>2012</c:v>
                </c:pt>
                <c:pt idx="1">
                  <c:v>2013</c:v>
                </c:pt>
                <c:pt idx="2">
                  <c:v>2014</c:v>
                </c:pt>
                <c:pt idx="3">
                  <c:v>2015</c:v>
                </c:pt>
                <c:pt idx="4">
                  <c:v>2016</c:v>
                </c:pt>
                <c:pt idx="5">
                  <c:v>2017</c:v>
                </c:pt>
                <c:pt idx="6">
                  <c:v>2018</c:v>
                </c:pt>
                <c:pt idx="7">
                  <c:v>2019</c:v>
                </c:pt>
              </c:numCache>
            </c:numRef>
          </c:cat>
          <c:val>
            <c:numRef>
              <c:f>'Data for Graphs'!$F$50:$F$57</c:f>
              <c:numCache>
                <c:formatCode>0.0%</c:formatCode>
                <c:ptCount val="8"/>
                <c:pt idx="0">
                  <c:v>0.28023391047387231</c:v>
                </c:pt>
                <c:pt idx="1">
                  <c:v>0.2691241812992341</c:v>
                </c:pt>
                <c:pt idx="2">
                  <c:v>0.24366502454773439</c:v>
                </c:pt>
                <c:pt idx="3">
                  <c:v>0.20727938155394221</c:v>
                </c:pt>
                <c:pt idx="4">
                  <c:v>0.19816538066695366</c:v>
                </c:pt>
                <c:pt idx="5">
                  <c:v>0.19697898181722828</c:v>
                </c:pt>
                <c:pt idx="6">
                  <c:v>0.19597792024509583</c:v>
                </c:pt>
                <c:pt idx="7">
                  <c:v>0.1676783334824635</c:v>
                </c:pt>
              </c:numCache>
            </c:numRef>
          </c:val>
          <c:smooth val="0"/>
          <c:extLst>
            <c:ext xmlns:c16="http://schemas.microsoft.com/office/drawing/2014/chart" uri="{C3380CC4-5D6E-409C-BE32-E72D297353CC}">
              <c16:uniqueId val="{00000002-8725-47BD-8DE8-9B71149DAF4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1"/>
        <c:tickMarkSkip val="1"/>
        <c:noMultiLvlLbl val="0"/>
      </c:catAx>
      <c:valAx>
        <c:axId val="80448128"/>
        <c:scaling>
          <c:orientation val="minMax"/>
        </c:scaling>
        <c:delete val="0"/>
        <c:axPos val="l"/>
        <c:majorGridlines>
          <c:spPr>
            <a:ln w="9525" cap="flat" cmpd="sng" algn="ctr">
              <a:solidFill>
                <a:schemeClr val="bg1">
                  <a:lumMod val="95000"/>
                </a:schemeClr>
              </a:solidFill>
              <a:prstDash val="lgDash"/>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SFY 2020</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314116985376831"/>
          <c:y val="0.23071449402158065"/>
          <c:w val="0.50667729033870768"/>
          <c:h val="0.61019200556919628"/>
        </c:manualLayout>
      </c:layout>
      <c:pieChart>
        <c:varyColors val="1"/>
        <c:ser>
          <c:idx val="1"/>
          <c:order val="0"/>
          <c:tx>
            <c:v>Total SS Spending</c:v>
          </c:tx>
          <c:dPt>
            <c:idx val="0"/>
            <c:bubble3D val="0"/>
            <c:spPr>
              <a:solidFill>
                <a:schemeClr val="accent2"/>
              </a:solidFill>
              <a:ln>
                <a:noFill/>
              </a:ln>
              <a:effectLst/>
            </c:spPr>
            <c:extLst>
              <c:ext xmlns:c16="http://schemas.microsoft.com/office/drawing/2014/chart" uri="{C3380CC4-5D6E-409C-BE32-E72D297353CC}">
                <c16:uniqueId val="{0000000E-042B-4F9C-A0DC-768B43DEE1E9}"/>
              </c:ext>
            </c:extLst>
          </c:dPt>
          <c:dPt>
            <c:idx val="1"/>
            <c:bubble3D val="0"/>
            <c:spPr>
              <a:solidFill>
                <a:schemeClr val="accent4"/>
              </a:solidFill>
              <a:ln>
                <a:noFill/>
              </a:ln>
              <a:effectLst/>
            </c:spPr>
            <c:extLst>
              <c:ext xmlns:c16="http://schemas.microsoft.com/office/drawing/2014/chart" uri="{C3380CC4-5D6E-409C-BE32-E72D297353CC}">
                <c16:uniqueId val="{0000000F-042B-4F9C-A0DC-768B43DEE1E9}"/>
              </c:ext>
            </c:extLst>
          </c:dPt>
          <c:dPt>
            <c:idx val="2"/>
            <c:bubble3D val="0"/>
            <c:spPr>
              <a:solidFill>
                <a:schemeClr val="accent6"/>
              </a:solidFill>
              <a:ln>
                <a:noFill/>
              </a:ln>
              <a:effectLst/>
            </c:spPr>
            <c:extLst>
              <c:ext xmlns:c16="http://schemas.microsoft.com/office/drawing/2014/chart" uri="{C3380CC4-5D6E-409C-BE32-E72D297353CC}">
                <c16:uniqueId val="{00000010-042B-4F9C-A0DC-768B43DEE1E9}"/>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11-042B-4F9C-A0DC-768B43DEE1E9}"/>
              </c:ext>
            </c:extLst>
          </c:dPt>
          <c:dLbls>
            <c:dLbl>
              <c:idx val="0"/>
              <c:layout>
                <c:manualLayout>
                  <c:x val="1.7816679165104356E-2"/>
                  <c:y val="-1.715876913235308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3193650793650793"/>
                      <c:h val="0.24764635603345281"/>
                    </c:manualLayout>
                  </c15:layout>
                </c:ext>
                <c:ext xmlns:c16="http://schemas.microsoft.com/office/drawing/2014/chart" uri="{C3380CC4-5D6E-409C-BE32-E72D297353CC}">
                  <c16:uniqueId val="{0000000E-042B-4F9C-A0DC-768B43DEE1E9}"/>
                </c:ext>
              </c:extLst>
            </c:dLbl>
            <c:dLbl>
              <c:idx val="1"/>
              <c:layout>
                <c:manualLayout>
                  <c:x val="0.15059273840769888"/>
                  <c:y val="0.1229610814777185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9555555555555552"/>
                      <c:h val="0.24764635603345281"/>
                    </c:manualLayout>
                  </c15:layout>
                </c:ext>
                <c:ext xmlns:c16="http://schemas.microsoft.com/office/drawing/2014/chart" uri="{C3380CC4-5D6E-409C-BE32-E72D297353CC}">
                  <c16:uniqueId val="{0000000F-042B-4F9C-A0DC-768B43DEE1E9}"/>
                </c:ext>
              </c:extLst>
            </c:dLbl>
            <c:dLbl>
              <c:idx val="2"/>
              <c:layout>
                <c:manualLayout>
                  <c:x val="7.1482623407013876E-2"/>
                  <c:y val="-0.186645342395198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8549663219808363"/>
                      <c:h val="0.23759343622959508"/>
                    </c:manualLayout>
                  </c15:layout>
                </c:ext>
                <c:ext xmlns:c16="http://schemas.microsoft.com/office/drawing/2014/chart" uri="{C3380CC4-5D6E-409C-BE32-E72D297353CC}">
                  <c16:uniqueId val="{00000010-042B-4F9C-A0DC-768B43DEE1E9}"/>
                </c:ext>
              </c:extLst>
            </c:dLbl>
            <c:dLbl>
              <c:idx val="3"/>
              <c:layout>
                <c:manualLayout>
                  <c:x val="5.158440285325798E-3"/>
                  <c:y val="8.93650922592965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6380956898459984"/>
                      <c:h val="0.20532422585482391"/>
                    </c:manualLayout>
                  </c15:layout>
                </c:ext>
                <c:ext xmlns:c16="http://schemas.microsoft.com/office/drawing/2014/chart" uri="{C3380CC4-5D6E-409C-BE32-E72D297353CC}">
                  <c16:uniqueId val="{00000011-042B-4F9C-A0DC-768B43DEE1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'Spending By Region'!$D$3:$G$3</c:f>
              <c:strCache>
                <c:ptCount val="4"/>
                <c:pt idx="0">
                  <c:v>Federal</c:v>
                </c:pt>
                <c:pt idx="1">
                  <c:v>State</c:v>
                </c:pt>
                <c:pt idx="2">
                  <c:v>Local</c:v>
                </c:pt>
                <c:pt idx="3">
                  <c:v>NER</c:v>
                </c:pt>
              </c:strCache>
            </c:strRef>
          </c:cat>
          <c:val>
            <c:numRef>
              <c:f>'Spending By Region'!$D$24:$G$24</c:f>
              <c:numCache>
                <c:formatCode>"$"#,##0</c:formatCode>
                <c:ptCount val="4"/>
                <c:pt idx="0">
                  <c:v>8230169994.0643196</c:v>
                </c:pt>
                <c:pt idx="1">
                  <c:v>6655190119.0372019</c:v>
                </c:pt>
                <c:pt idx="2">
                  <c:v>399345820.82999992</c:v>
                </c:pt>
                <c:pt idx="3">
                  <c:v>46020396.720000006</c:v>
                </c:pt>
              </c:numCache>
            </c:numRef>
          </c:val>
          <c:extLst>
            <c:ext xmlns:c16="http://schemas.microsoft.com/office/drawing/2014/chart" uri="{C3380CC4-5D6E-409C-BE32-E72D297353CC}">
              <c16:uniqueId val="{0000000B-042B-4F9C-A0DC-768B43DEE1E9}"/>
            </c:ext>
          </c:extLst>
        </c:ser>
        <c:dLbls>
          <c:showLegendKey val="0"/>
          <c:showVal val="0"/>
          <c:showCatName val="0"/>
          <c:showSerName val="0"/>
          <c:showPercent val="0"/>
          <c:showBubbleSize val="0"/>
          <c:showLeaderLines val="1"/>
        </c:dLbls>
        <c:firstSliceAng val="129"/>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by Category, SFY 2020	</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7110181702064695"/>
          <c:y val="0.25713777835724783"/>
          <c:w val="0.50216313465267881"/>
          <c:h val="0.61093470121959081"/>
        </c:manualLayout>
      </c:layout>
      <c:pieChart>
        <c:varyColors val="1"/>
        <c:ser>
          <c:idx val="4"/>
          <c:order val="4"/>
          <c:tx>
            <c:strRef>
              <c:f>'Data for Graphs'!$A$32</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C-584C-4903-872A-4C9AC43B9A6A}"/>
              </c:ext>
            </c:extLst>
          </c:dPt>
          <c:dPt>
            <c:idx val="1"/>
            <c:bubble3D val="0"/>
            <c:spPr>
              <a:solidFill>
                <a:schemeClr val="accent4"/>
              </a:solidFill>
              <a:ln>
                <a:noFill/>
              </a:ln>
              <a:effectLst/>
            </c:spPr>
            <c:extLst>
              <c:ext xmlns:c16="http://schemas.microsoft.com/office/drawing/2014/chart" uri="{C3380CC4-5D6E-409C-BE32-E72D297353CC}">
                <c16:uniqueId val="{0000000B-584C-4903-872A-4C9AC43B9A6A}"/>
              </c:ext>
            </c:extLst>
          </c:dPt>
          <c:dPt>
            <c:idx val="2"/>
            <c:bubble3D val="0"/>
            <c:spPr>
              <a:solidFill>
                <a:schemeClr val="accent6"/>
              </a:solidFill>
              <a:ln>
                <a:noFill/>
              </a:ln>
              <a:effectLst/>
            </c:spPr>
            <c:extLst>
              <c:ext xmlns:c16="http://schemas.microsoft.com/office/drawing/2014/chart" uri="{C3380CC4-5D6E-409C-BE32-E72D297353CC}">
                <c16:uniqueId val="{0000000D-584C-4903-872A-4C9AC43B9A6A}"/>
              </c:ext>
            </c:extLst>
          </c:dPt>
          <c:dLbls>
            <c:dLbl>
              <c:idx val="0"/>
              <c:layout>
                <c:manualLayout>
                  <c:x val="7.9129315375764345E-3"/>
                  <c:y val="-3.39449962946308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3452027176745594"/>
                      <c:h val="0.23544351003692535"/>
                    </c:manualLayout>
                  </c15:layout>
                </c:ext>
                <c:ext xmlns:c16="http://schemas.microsoft.com/office/drawing/2014/chart" uri="{C3380CC4-5D6E-409C-BE32-E72D297353CC}">
                  <c16:uniqueId val="{0000000C-584C-4903-872A-4C9AC43B9A6A}"/>
                </c:ext>
              </c:extLst>
            </c:dLbl>
            <c:dLbl>
              <c:idx val="1"/>
              <c:layout>
                <c:manualLayout>
                  <c:x val="5.0257288637425741E-2"/>
                  <c:y val="0.3711731024060329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8280917917364973"/>
                      <c:h val="0.244076782057742"/>
                    </c:manualLayout>
                  </c15:layout>
                </c:ext>
                <c:ext xmlns:c16="http://schemas.microsoft.com/office/drawing/2014/chart" uri="{C3380CC4-5D6E-409C-BE32-E72D297353CC}">
                  <c16:uniqueId val="{0000000B-584C-4903-872A-4C9AC43B9A6A}"/>
                </c:ext>
              </c:extLst>
            </c:dLbl>
            <c:dLbl>
              <c:idx val="2"/>
              <c:layout>
                <c:manualLayout>
                  <c:x val="2.4736206428417552E-3"/>
                  <c:y val="-0.55718815233888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33827745372494311"/>
                      <c:h val="0.19284879598247306"/>
                    </c:manualLayout>
                  </c15:layout>
                </c:ext>
                <c:ext xmlns:c16="http://schemas.microsoft.com/office/drawing/2014/chart" uri="{C3380CC4-5D6E-409C-BE32-E72D297353CC}">
                  <c16:uniqueId val="{0000000D-584C-4903-872A-4C9AC43B9A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'Data for Graphs'!$B$27:$D$27</c:f>
              <c:strCache>
                <c:ptCount val="3"/>
                <c:pt idx="0">
                  <c:v>Administration</c:v>
                </c:pt>
                <c:pt idx="1">
                  <c:v>Services</c:v>
                </c:pt>
                <c:pt idx="2">
                  <c:v>Benefits</c:v>
                </c:pt>
              </c:strCache>
            </c:strRef>
          </c:cat>
          <c:val>
            <c:numRef>
              <c:f>'Data for Graphs'!$B$32:$D$32</c:f>
              <c:numCache>
                <c:formatCode>_("$"* #,##0_);_("$"* \(#,##0\);_("$"* "-"??_);_(@_)</c:formatCode>
                <c:ptCount val="3"/>
                <c:pt idx="0">
                  <c:v>744712732.36000001</c:v>
                </c:pt>
                <c:pt idx="1">
                  <c:v>27803112.350000001</c:v>
                </c:pt>
                <c:pt idx="2">
                  <c:v>14558210485.941521</c:v>
                </c:pt>
              </c:numCache>
            </c:numRef>
          </c:val>
          <c:extLst>
            <c:ext xmlns:c16="http://schemas.microsoft.com/office/drawing/2014/chart" uri="{C3380CC4-5D6E-409C-BE32-E72D297353CC}">
              <c16:uniqueId val="{0000000A-584C-4903-872A-4C9AC43B9A6A}"/>
            </c:ext>
          </c:extLst>
        </c:ser>
        <c:dLbls>
          <c:showLegendKey val="0"/>
          <c:showVal val="0"/>
          <c:showCatName val="0"/>
          <c:showSerName val="0"/>
          <c:showPercent val="0"/>
          <c:showBubbleSize val="0"/>
          <c:showLeaderLines val="1"/>
        </c:dLbls>
        <c:firstSliceAng val="45"/>
        <c:extLst>
          <c:ext xmlns:c15="http://schemas.microsoft.com/office/drawing/2012/chart" uri="{02D57815-91ED-43cb-92C2-25804820EDAC}">
            <c15:filteredPieSeries>
              <c15:ser>
                <c:idx val="2"/>
                <c:order val="0"/>
                <c:tx>
                  <c:strRef>
                    <c:extLst>
                      <c:ext uri="{02D57815-91ED-43cb-92C2-25804820EDAC}">
                        <c15:formulaRef>
                          <c15:sqref>'Data for Graphs'!$A$28</c15:sqref>
                        </c15:formulaRef>
                      </c:ext>
                    </c:extLst>
                    <c:strCache>
                      <c:ptCount val="1"/>
                      <c:pt idx="0">
                        <c:v>Federal</c:v>
                      </c:pt>
                    </c:strCache>
                  </c:strRef>
                </c:tx>
                <c:dPt>
                  <c:idx val="0"/>
                  <c:bubble3D val="0"/>
                  <c:spPr>
                    <a:solidFill>
                      <a:schemeClr val="accent2"/>
                    </a:solidFill>
                    <a:ln>
                      <a:noFill/>
                    </a:ln>
                    <a:effectLst/>
                  </c:spPr>
                  <c:extLst>
                    <c:ext xmlns:c16="http://schemas.microsoft.com/office/drawing/2014/chart" uri="{C3380CC4-5D6E-409C-BE32-E72D297353CC}">
                      <c16:uniqueId val="{00000007-D5AC-4D52-A08A-B816757ABD20}"/>
                    </c:ext>
                  </c:extLst>
                </c:dPt>
                <c:dPt>
                  <c:idx val="1"/>
                  <c:bubble3D val="0"/>
                  <c:spPr>
                    <a:solidFill>
                      <a:schemeClr val="accent4"/>
                    </a:solidFill>
                    <a:ln>
                      <a:noFill/>
                    </a:ln>
                    <a:effectLst/>
                  </c:spPr>
                  <c:extLst>
                    <c:ext xmlns:c16="http://schemas.microsoft.com/office/drawing/2014/chart" uri="{C3380CC4-5D6E-409C-BE32-E72D297353CC}">
                      <c16:uniqueId val="{00000009-D5AC-4D52-A08A-B816757ABD20}"/>
                    </c:ext>
                  </c:extLst>
                </c:dPt>
                <c:dPt>
                  <c:idx val="2"/>
                  <c:bubble3D val="0"/>
                  <c:spPr>
                    <a:solidFill>
                      <a:schemeClr val="accent6"/>
                    </a:solidFill>
                    <a:ln>
                      <a:noFill/>
                    </a:ln>
                    <a:effectLst/>
                  </c:spPr>
                  <c:extLst>
                    <c:ext xmlns:c16="http://schemas.microsoft.com/office/drawing/2014/chart" uri="{C3380CC4-5D6E-409C-BE32-E72D297353CC}">
                      <c16:uniqueId val="{0000000B-D5AC-4D52-A08A-B816757ABD2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uri="{CE6537A1-D6FC-4f65-9D91-7224C49458BB}"/>
                  </c:extLst>
                </c:dLbls>
                <c:cat>
                  <c:strRef>
                    <c:extLst>
                      <c:ext uri="{02D57815-91ED-43cb-92C2-25804820EDAC}">
                        <c15:formulaRef>
                          <c15:sqref>'Data for Graphs'!$B$27:$D$27</c15:sqref>
                        </c15:formulaRef>
                      </c:ext>
                    </c:extLst>
                    <c:strCache>
                      <c:ptCount val="3"/>
                      <c:pt idx="0">
                        <c:v>Administration</c:v>
                      </c:pt>
                      <c:pt idx="1">
                        <c:v>Services</c:v>
                      </c:pt>
                      <c:pt idx="2">
                        <c:v>Benefits</c:v>
                      </c:pt>
                    </c:strCache>
                  </c:strRef>
                </c:cat>
                <c:val>
                  <c:numRef>
                    <c:extLst>
                      <c:ext uri="{02D57815-91ED-43cb-92C2-25804820EDAC}">
                        <c15:formulaRef>
                          <c15:sqref>'Data for Graphs'!$B$28:$D$28</c15:sqref>
                        </c15:formulaRef>
                      </c:ext>
                    </c:extLst>
                    <c:numCache>
                      <c:formatCode>_("$"* #,##0_);_("$"* \(#,##0\);_("$"* "-"??_);_(@_)</c:formatCode>
                      <c:ptCount val="3"/>
                      <c:pt idx="0">
                        <c:v>366815823.25999999</c:v>
                      </c:pt>
                      <c:pt idx="1">
                        <c:v>10601990.879999999</c:v>
                      </c:pt>
                      <c:pt idx="2">
                        <c:v>7852752179.9243193</c:v>
                      </c:pt>
                    </c:numCache>
                  </c:numRef>
                </c:val>
                <c:extLst>
                  <c:ext xmlns:c16="http://schemas.microsoft.com/office/drawing/2014/chart" uri="{C3380CC4-5D6E-409C-BE32-E72D297353CC}">
                    <c16:uniqueId val="{00000004-584C-4903-872A-4C9AC43B9A6A}"/>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'Data for Graphs'!$A$29</c15:sqref>
                        </c15:formulaRef>
                      </c:ext>
                    </c:extLst>
                    <c:strCache>
                      <c:ptCount val="1"/>
                      <c:pt idx="0">
                        <c:v>State</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D-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0F-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1-D5AC-4D52-A08A-B816757ABD20}"/>
                    </c:ext>
                  </c:extLst>
                </c:dPt>
                <c:cat>
                  <c:strRef>
                    <c:extLst xmlns:c15="http://schemas.microsoft.com/office/drawing/2012/chart">
                      <c:ext xmlns:c15="http://schemas.microsoft.com/office/drawing/2012/chart" uri="{02D57815-91ED-43cb-92C2-25804820EDAC}">
                        <c15:formulaRef>
                          <c15:sqref>'Data for Graphs'!$B$27:$D$27</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Graphs'!$B$29:$D$29</c15:sqref>
                        </c15:formulaRef>
                      </c:ext>
                    </c:extLst>
                    <c:numCache>
                      <c:formatCode>_("$"* #,##0_);_("$"* \(#,##0\);_("$"* "-"??_);_(@_)</c:formatCode>
                      <c:ptCount val="3"/>
                      <c:pt idx="0">
                        <c:v>111531387.14</c:v>
                      </c:pt>
                      <c:pt idx="1">
                        <c:v>8642703.8000000007</c:v>
                      </c:pt>
                      <c:pt idx="2">
                        <c:v>6535016028.0972023</c:v>
                      </c:pt>
                    </c:numCache>
                  </c:numRef>
                </c:val>
                <c:extLst xmlns:c15="http://schemas.microsoft.com/office/drawing/2012/chart">
                  <c:ext xmlns:c16="http://schemas.microsoft.com/office/drawing/2014/chart" uri="{C3380CC4-5D6E-409C-BE32-E72D297353CC}">
                    <c16:uniqueId val="{00000007-584C-4903-872A-4C9AC43B9A6A}"/>
                  </c:ext>
                </c:extLst>
              </c15:ser>
            </c15:filteredPieSeries>
            <c15:filteredPieSeries>
              <c15:ser>
                <c:idx val="1"/>
                <c:order val="2"/>
                <c:tx>
                  <c:strRef>
                    <c:extLst xmlns:c15="http://schemas.microsoft.com/office/drawing/2012/chart">
                      <c:ext xmlns:c15="http://schemas.microsoft.com/office/drawing/2012/chart" uri="{02D57815-91ED-43cb-92C2-25804820EDAC}">
                        <c15:formulaRef>
                          <c15:sqref>'Data for Graphs'!$A$30</c15:sqref>
                        </c15:formulaRef>
                      </c:ext>
                    </c:extLst>
                    <c:strCache>
                      <c:ptCount val="1"/>
                      <c:pt idx="0">
                        <c:v>Local</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3-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5-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7-D5AC-4D52-A08A-B816757ABD20}"/>
                    </c:ext>
                  </c:extLst>
                </c:dPt>
                <c:cat>
                  <c:strRef>
                    <c:extLst xmlns:c15="http://schemas.microsoft.com/office/drawing/2012/chart">
                      <c:ext xmlns:c15="http://schemas.microsoft.com/office/drawing/2012/chart" uri="{02D57815-91ED-43cb-92C2-25804820EDAC}">
                        <c15:formulaRef>
                          <c15:sqref>'Data for Graphs'!$B$27:$D$27</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Graphs'!$B$30:$D$30</c15:sqref>
                        </c15:formulaRef>
                      </c:ext>
                    </c:extLst>
                    <c:numCache>
                      <c:formatCode>_("$"* #,##0_);_("$"* \(#,##0\);_("$"* "-"??_);_(@_)</c:formatCode>
                      <c:ptCount val="3"/>
                      <c:pt idx="0">
                        <c:v>226416404.11999997</c:v>
                      </c:pt>
                      <c:pt idx="1">
                        <c:v>3952816.6099999994</c:v>
                      </c:pt>
                      <c:pt idx="2">
                        <c:v>168976600.09999999</c:v>
                      </c:pt>
                    </c:numCache>
                  </c:numRef>
                </c:val>
                <c:extLst xmlns:c15="http://schemas.microsoft.com/office/drawing/2012/chart">
                  <c:ext xmlns:c16="http://schemas.microsoft.com/office/drawing/2014/chart" uri="{C3380CC4-5D6E-409C-BE32-E72D297353CC}">
                    <c16:uniqueId val="{00000008-584C-4903-872A-4C9AC43B9A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'Data for Graphs'!$A$31</c15:sqref>
                        </c15:formulaRef>
                      </c:ext>
                    </c:extLst>
                    <c:strCache>
                      <c:ptCount val="1"/>
                      <c:pt idx="0">
                        <c:v>NER</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9-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B-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D-D5AC-4D52-A08A-B816757ABD20}"/>
                    </c:ext>
                  </c:extLst>
                </c:dPt>
                <c:cat>
                  <c:strRef>
                    <c:extLst xmlns:c15="http://schemas.microsoft.com/office/drawing/2012/chart">
                      <c:ext xmlns:c15="http://schemas.microsoft.com/office/drawing/2012/chart" uri="{02D57815-91ED-43cb-92C2-25804820EDAC}">
                        <c15:formulaRef>
                          <c15:sqref>'Data for Graphs'!$B$27:$D$27</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Graphs'!$B$31:$D$31</c15:sqref>
                        </c15:formulaRef>
                      </c:ext>
                    </c:extLst>
                    <c:numCache>
                      <c:formatCode>_("$"* #,##0_);_("$"* \(#,##0\);_("$"* "-"??_);_(@_)</c:formatCode>
                      <c:ptCount val="3"/>
                      <c:pt idx="0">
                        <c:v>39949117.840000004</c:v>
                      </c:pt>
                      <c:pt idx="1">
                        <c:v>4605601.0600000005</c:v>
                      </c:pt>
                      <c:pt idx="2">
                        <c:v>1465677.8199999998</c:v>
                      </c:pt>
                    </c:numCache>
                  </c:numRef>
                </c:val>
                <c:extLst xmlns:c15="http://schemas.microsoft.com/office/drawing/2012/chart">
                  <c:ext xmlns:c16="http://schemas.microsoft.com/office/drawing/2014/chart" uri="{C3380CC4-5D6E-409C-BE32-E72D297353CC}">
                    <c16:uniqueId val="{00000009-584C-4903-872A-4C9AC43B9A6A}"/>
                  </c:ext>
                </c:extLst>
              </c15:ser>
            </c15:filteredPieSeries>
          </c:ext>
        </c:extLst>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in Locality, SFY 2020</a:t>
            </a:r>
          </a:p>
          <a:p>
            <a:pPr>
              <a:defRPr sz="1000"/>
            </a:pPr>
            <a:endParaRPr lang="en-US" sz="1000"/>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124144672531768"/>
          <c:y val="0.2254273332112556"/>
          <c:w val="0.52431616135959547"/>
          <c:h val="0.68989562351217726"/>
        </c:manualLayout>
      </c:layout>
      <c:ofPieChart>
        <c:ofPieType val="bar"/>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43AE-4C3D-8DF6-AD76D8F6D3C2}"/>
              </c:ext>
            </c:extLst>
          </c:dPt>
          <c:dPt>
            <c:idx val="1"/>
            <c:bubble3D val="0"/>
            <c:spPr>
              <a:solidFill>
                <a:schemeClr val="accent5"/>
              </a:solidFill>
              <a:ln>
                <a:noFill/>
              </a:ln>
              <a:effectLst/>
            </c:spPr>
            <c:extLst>
              <c:ext xmlns:c16="http://schemas.microsoft.com/office/drawing/2014/chart" uri="{C3380CC4-5D6E-409C-BE32-E72D297353CC}">
                <c16:uniqueId val="{00000003-0008-4016-9383-0528D2A71665}"/>
              </c:ext>
            </c:extLst>
          </c:dPt>
          <c:dPt>
            <c:idx val="2"/>
            <c:bubble3D val="0"/>
            <c:spPr>
              <a:solidFill>
                <a:schemeClr val="accent4"/>
              </a:solidFill>
              <a:ln>
                <a:noFill/>
              </a:ln>
              <a:effectLst/>
            </c:spPr>
            <c:extLst>
              <c:ext xmlns:c16="http://schemas.microsoft.com/office/drawing/2014/chart" uri="{C3380CC4-5D6E-409C-BE32-E72D297353CC}">
                <c16:uniqueId val="{00000006-BC8B-432A-8FC4-6884352D21E5}"/>
              </c:ext>
            </c:extLst>
          </c:dPt>
          <c:dPt>
            <c:idx val="3"/>
            <c:bubble3D val="0"/>
            <c:spPr>
              <a:solidFill>
                <a:srgbClr val="FFFF00"/>
              </a:solidFill>
              <a:ln>
                <a:noFill/>
              </a:ln>
              <a:effectLst/>
            </c:spPr>
            <c:extLst>
              <c:ext xmlns:c16="http://schemas.microsoft.com/office/drawing/2014/chart" uri="{C3380CC4-5D6E-409C-BE32-E72D297353CC}">
                <c16:uniqueId val="{00000005-BC8B-432A-8FC4-6884352D21E5}"/>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2-0008-4016-9383-0528D2A71665}"/>
              </c:ext>
            </c:extLst>
          </c:dPt>
          <c:dLbls>
            <c:dLbl>
              <c:idx val="0"/>
              <c:layout>
                <c:manualLayout>
                  <c:x val="-0.14613885524372011"/>
                  <c:y val="-0.110863544530768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672535888649516"/>
                      <c:h val="0.1969148242768417"/>
                    </c:manualLayout>
                  </c15:layout>
                </c:ext>
                <c:ext xmlns:c16="http://schemas.microsoft.com/office/drawing/2014/chart" uri="{C3380CC4-5D6E-409C-BE32-E72D297353CC}">
                  <c16:uniqueId val="{00000001-43AE-4C3D-8DF6-AD76D8F6D3C2}"/>
                </c:ext>
              </c:extLst>
            </c:dLbl>
            <c:dLbl>
              <c:idx val="1"/>
              <c:layout>
                <c:manualLayout>
                  <c:x val="-0.27979441666833194"/>
                  <c:y val="0.135811662933189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52521429097642"/>
                      <c:h val="0.24174202297024955"/>
                    </c:manualLayout>
                  </c15:layout>
                </c:ext>
                <c:ext xmlns:c16="http://schemas.microsoft.com/office/drawing/2014/chart" uri="{C3380CC4-5D6E-409C-BE32-E72D297353CC}">
                  <c16:uniqueId val="{00000003-0008-4016-9383-0528D2A71665}"/>
                </c:ext>
              </c:extLst>
            </c:dLbl>
            <c:dLbl>
              <c:idx val="2"/>
              <c:layout>
                <c:manualLayout>
                  <c:x val="3.6930591952966649E-2"/>
                  <c:y val="-0.16990450510505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30004435097699"/>
                      <c:h val="0.25244548998454164"/>
                    </c:manualLayout>
                  </c15:layout>
                </c:ext>
                <c:ext xmlns:c16="http://schemas.microsoft.com/office/drawing/2014/chart" uri="{C3380CC4-5D6E-409C-BE32-E72D297353CC}">
                  <c16:uniqueId val="{00000006-BC8B-432A-8FC4-6884352D21E5}"/>
                </c:ext>
              </c:extLst>
            </c:dLbl>
            <c:dLbl>
              <c:idx val="3"/>
              <c:layout>
                <c:manualLayout>
                  <c:x val="6.7597479682810227E-2"/>
                  <c:y val="6.80042561117140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20668957089905"/>
                      <c:h val="0.25385896696309729"/>
                    </c:manualLayout>
                  </c15:layout>
                </c:ext>
                <c:ext xmlns:c16="http://schemas.microsoft.com/office/drawing/2014/chart" uri="{C3380CC4-5D6E-409C-BE32-E72D297353CC}">
                  <c16:uniqueId val="{00000005-BC8B-432A-8FC4-6884352D21E5}"/>
                </c:ext>
              </c:extLst>
            </c:dLbl>
            <c:dLbl>
              <c:idx val="4"/>
              <c:delete val="1"/>
              <c:extLst>
                <c:ext xmlns:c15="http://schemas.microsoft.com/office/drawing/2012/chart" uri="{CE6537A1-D6FC-4f65-9D91-7224C49458BB}"/>
                <c:ext xmlns:c16="http://schemas.microsoft.com/office/drawing/2014/chart" uri="{C3380CC4-5D6E-409C-BE32-E72D297353CC}">
                  <c16:uniqueId val="{00000002-0008-4016-9383-0528D2A7166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Profile!$J$250:$M$250</c:f>
              <c:strCache>
                <c:ptCount val="4"/>
                <c:pt idx="0">
                  <c:v>Federal</c:v>
                </c:pt>
                <c:pt idx="1">
                  <c:v>State</c:v>
                </c:pt>
                <c:pt idx="2">
                  <c:v>Local</c:v>
                </c:pt>
                <c:pt idx="3">
                  <c:v>NER</c:v>
                </c:pt>
              </c:strCache>
            </c:strRef>
          </c:cat>
          <c:val>
            <c:numRef>
              <c:f>Profile!$J$272:$M$272</c:f>
              <c:numCache>
                <c:formatCode>0%</c:formatCode>
                <c:ptCount val="4"/>
                <c:pt idx="0">
                  <c:v>0.55661950110793668</c:v>
                </c:pt>
                <c:pt idx="1">
                  <c:v>0.43394655514041536</c:v>
                </c:pt>
                <c:pt idx="2">
                  <c:v>7.320983716400155E-3</c:v>
                </c:pt>
                <c:pt idx="3">
                  <c:v>2.1129600352478898E-3</c:v>
                </c:pt>
              </c:numCache>
            </c:numRef>
          </c:val>
          <c:extLst>
            <c:ext xmlns:c16="http://schemas.microsoft.com/office/drawing/2014/chart" uri="{C3380CC4-5D6E-409C-BE32-E72D297353CC}">
              <c16:uniqueId val="{00000002-43AE-4C3D-8DF6-AD76D8F6D3C2}"/>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shade val="95000"/>
                  <a:satMod val="105000"/>
                </a:schemeClr>
              </a:solidFill>
              <a:prstDash val="solid"/>
              <a:round/>
            </a:ln>
            <a:effectLst/>
          </c:spPr>
        </c:serLines>
      </c:of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in Locality, SFY 2020</a:t>
            </a:r>
          </a:p>
        </c:rich>
      </c:tx>
      <c:layout>
        <c:manualLayout>
          <c:xMode val="edge"/>
          <c:yMode val="edge"/>
          <c:x val="0.12564087608707031"/>
          <c:y val="1.322751322751322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BD6B-4D64-9BE8-D60F9BE529C4}"/>
              </c:ext>
            </c:extLst>
          </c:dPt>
          <c:dPt>
            <c:idx val="1"/>
            <c:bubble3D val="0"/>
            <c:spPr>
              <a:solidFill>
                <a:schemeClr val="accent5"/>
              </a:solidFill>
              <a:ln>
                <a:noFill/>
              </a:ln>
              <a:effectLst/>
            </c:spPr>
            <c:extLst>
              <c:ext xmlns:c16="http://schemas.microsoft.com/office/drawing/2014/chart" uri="{C3380CC4-5D6E-409C-BE32-E72D297353CC}">
                <c16:uniqueId val="{00000003-BD6B-4D64-9BE8-D60F9BE529C4}"/>
              </c:ext>
            </c:extLst>
          </c:dPt>
          <c:dPt>
            <c:idx val="2"/>
            <c:bubble3D val="0"/>
            <c:spPr>
              <a:solidFill>
                <a:schemeClr val="accent4"/>
              </a:solidFill>
              <a:ln>
                <a:noFill/>
              </a:ln>
              <a:effectLst/>
            </c:spPr>
            <c:extLst>
              <c:ext xmlns:c16="http://schemas.microsoft.com/office/drawing/2014/chart" uri="{C3380CC4-5D6E-409C-BE32-E72D297353CC}">
                <c16:uniqueId val="{00000005-BD6B-4D64-9BE8-D60F9BE529C4}"/>
              </c:ext>
            </c:extLst>
          </c:dPt>
          <c:dLbls>
            <c:dLbl>
              <c:idx val="0"/>
              <c:layout>
                <c:manualLayout>
                  <c:x val="0.20252910693855575"/>
                  <c:y val="7.7670157735137482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15009075841991"/>
                      <c:h val="0.20616188127999152"/>
                    </c:manualLayout>
                  </c15:layout>
                </c:ext>
                <c:ext xmlns:c16="http://schemas.microsoft.com/office/drawing/2014/chart" uri="{C3380CC4-5D6E-409C-BE32-E72D297353CC}">
                  <c16:uniqueId val="{00000001-BD6B-4D64-9BE8-D60F9BE529C4}"/>
                </c:ext>
              </c:extLst>
            </c:dLbl>
            <c:dLbl>
              <c:idx val="1"/>
              <c:layout>
                <c:manualLayout>
                  <c:x val="0.22005757827280137"/>
                  <c:y val="0.27184466019417475"/>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20926337199303"/>
                      <c:h val="0.2142083938536809"/>
                    </c:manualLayout>
                  </c15:layout>
                </c:ext>
                <c:ext xmlns:c16="http://schemas.microsoft.com/office/drawing/2014/chart" uri="{C3380CC4-5D6E-409C-BE32-E72D297353CC}">
                  <c16:uniqueId val="{00000003-BD6B-4D64-9BE8-D60F9BE529C4}"/>
                </c:ext>
              </c:extLst>
            </c:dLbl>
            <c:dLbl>
              <c:idx val="2"/>
              <c:layout>
                <c:manualLayout>
                  <c:x val="-0.1644797391779019"/>
                  <c:y val="-3.88349514563108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BD6B-4D64-9BE8-D60F9BE529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Profile!$U$259:$W$259</c:f>
            </c:strRef>
          </c:cat>
          <c:val>
            <c:numRef>
              <c:f>Profile!$U$266:$W$266</c:f>
            </c:numRef>
          </c:val>
          <c:extLst>
            <c:ext xmlns:c16="http://schemas.microsoft.com/office/drawing/2014/chart" uri="{C3380CC4-5D6E-409C-BE32-E72D297353CC}">
              <c16:uniqueId val="{00000006-BD6B-4D64-9BE8-D60F9BE529C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SNAP Clients in Locality</a:t>
            </a:r>
          </a:p>
        </c:rich>
      </c:tx>
      <c:layout>
        <c:manualLayout>
          <c:xMode val="edge"/>
          <c:yMode val="edge"/>
          <c:x val="0.3125572729334759"/>
          <c:y val="3.452097394608430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81649978937818"/>
          <c:y val="0.16463268228884667"/>
          <c:w val="0.78582288325070482"/>
          <c:h val="0.64352878758683019"/>
        </c:manualLayout>
      </c:layout>
      <c:barChart>
        <c:barDir val="col"/>
        <c:grouping val="clustered"/>
        <c:varyColors val="0"/>
        <c:ser>
          <c:idx val="0"/>
          <c:order val="0"/>
          <c:tx>
            <c:strRef>
              <c:f>Profile!$D$178</c:f>
              <c:strCache>
                <c:ptCount val="1"/>
                <c:pt idx="0">
                  <c:v>SNAP</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Profile!$B$179:$C$186</c:f>
              <c:strCache>
                <c:ptCount val="8"/>
                <c:pt idx="0">
                  <c:v>2013</c:v>
                </c:pt>
                <c:pt idx="1">
                  <c:v>2014</c:v>
                </c:pt>
                <c:pt idx="2">
                  <c:v>2015</c:v>
                </c:pt>
                <c:pt idx="3">
                  <c:v>2016</c:v>
                </c:pt>
                <c:pt idx="4">
                  <c:v>2017</c:v>
                </c:pt>
                <c:pt idx="5">
                  <c:v>2018</c:v>
                </c:pt>
                <c:pt idx="6">
                  <c:v>2019</c:v>
                </c:pt>
                <c:pt idx="7">
                  <c:v>2020</c:v>
                </c:pt>
              </c:strCache>
            </c:strRef>
          </c:cat>
          <c:val>
            <c:numRef>
              <c:f>Profile!$D$179:$D$186</c:f>
              <c:numCache>
                <c:formatCode>#,##0</c:formatCode>
                <c:ptCount val="8"/>
                <c:pt idx="0">
                  <c:v>9423</c:v>
                </c:pt>
                <c:pt idx="1">
                  <c:v>9215</c:v>
                </c:pt>
                <c:pt idx="2">
                  <c:v>8673</c:v>
                </c:pt>
                <c:pt idx="3">
                  <c:v>7971</c:v>
                </c:pt>
                <c:pt idx="4">
                  <c:v>7315</c:v>
                </c:pt>
                <c:pt idx="5">
                  <c:v>6811</c:v>
                </c:pt>
                <c:pt idx="6">
                  <c:v>6523</c:v>
                </c:pt>
                <c:pt idx="7">
                  <c:v>6368</c:v>
                </c:pt>
              </c:numCache>
            </c:numRef>
          </c:val>
          <c:extLst>
            <c:ext xmlns:c16="http://schemas.microsoft.com/office/drawing/2014/chart" uri="{C3380CC4-5D6E-409C-BE32-E72D297353CC}">
              <c16:uniqueId val="{00000000-4618-4E45-99B6-119C04F1B819}"/>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Non-Marital</a:t>
            </a:r>
            <a:r>
              <a:rPr lang="en-US" sz="1200" baseline="0"/>
              <a:t> </a:t>
            </a:r>
            <a:r>
              <a:rPr lang="en-US" sz="1200"/>
              <a:t>Births in Locality, 1998-2019</a:t>
            </a:r>
          </a:p>
        </c:rich>
      </c:tx>
      <c:layout>
        <c:manualLayout>
          <c:xMode val="edge"/>
          <c:yMode val="edge"/>
          <c:x val="0.27221727718817756"/>
          <c:y val="1.666666666666670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3829787234"/>
          <c:y val="0.20532280214199244"/>
          <c:w val="0.83010576869380692"/>
          <c:h val="0.5588455818022745"/>
        </c:manualLayout>
      </c:layout>
      <c:lineChart>
        <c:grouping val="standard"/>
        <c:varyColors val="0"/>
        <c:ser>
          <c:idx val="0"/>
          <c:order val="0"/>
          <c:tx>
            <c:strRef>
              <c:f>'Data for Graphs'!$B$2</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Graphs'!$A$3:$A$24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Graphs'!$B$3:$B$24</c:f>
              <c:numCache>
                <c:formatCode>0.0%</c:formatCode>
                <c:ptCount val="22"/>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0.55882352941176472</c:v>
                </c:pt>
                <c:pt idx="16">
                  <c:v>0.55585106382978722</c:v>
                </c:pt>
                <c:pt idx="17">
                  <c:v>0.57622739018087854</c:v>
                </c:pt>
                <c:pt idx="18">
                  <c:v>0.58064516129032262</c:v>
                </c:pt>
                <c:pt idx="19">
                  <c:v>0.54591836734693877</c:v>
                </c:pt>
                <c:pt idx="20">
                  <c:v>0.54415954415954415</c:v>
                </c:pt>
                <c:pt idx="21">
                  <c:v>0.55882352941176472</c:v>
                </c:pt>
              </c:numCache>
            </c:numRef>
          </c:val>
          <c:smooth val="0"/>
          <c:extLst>
            <c:ext xmlns:c16="http://schemas.microsoft.com/office/drawing/2014/chart" uri="{C3380CC4-5D6E-409C-BE32-E72D297353CC}">
              <c16:uniqueId val="{00000000-99F3-4152-9CC4-DBE3D0E1807B}"/>
            </c:ext>
          </c:extLst>
        </c:ser>
        <c:ser>
          <c:idx val="2"/>
          <c:order val="1"/>
          <c:tx>
            <c:strRef>
              <c:f>'Data for Graphs'!$C$2</c:f>
              <c:strCache>
                <c:ptCount val="1"/>
                <c:pt idx="0">
                  <c:v>Eastern</c:v>
                </c:pt>
              </c:strCache>
            </c:strRef>
          </c:tx>
          <c:spPr>
            <a:ln w="28575" cap="rnd" cmpd="sng" algn="ctr">
              <a:solidFill>
                <a:schemeClr val="accent1"/>
              </a:solidFill>
              <a:prstDash val="sysDot"/>
              <a:round/>
            </a:ln>
            <a:effectLst/>
          </c:spPr>
          <c:marker>
            <c:symbol val="none"/>
          </c:marker>
          <c:cat>
            <c:numRef>
              <c:f>'Data for Graphs'!$A$3:$A$24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Graphs'!$C$3:$C$24</c:f>
              <c:numCache>
                <c:formatCode>0.0%</c:formatCode>
                <c:ptCount val="22"/>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0.41241939757971913</c:v>
                </c:pt>
                <c:pt idx="16">
                  <c:v>0.39805019705455302</c:v>
                </c:pt>
                <c:pt idx="17">
                  <c:v>0.40568625820932747</c:v>
                </c:pt>
                <c:pt idx="18">
                  <c:v>0.39988199098073923</c:v>
                </c:pt>
                <c:pt idx="19">
                  <c:v>0.40467212759502447</c:v>
                </c:pt>
                <c:pt idx="20">
                  <c:v>0.40094525403702247</c:v>
                </c:pt>
                <c:pt idx="21">
                  <c:v>0.41241939757971913</c:v>
                </c:pt>
              </c:numCache>
            </c:numRef>
          </c:val>
          <c:smooth val="0"/>
          <c:extLst>
            <c:ext xmlns:c16="http://schemas.microsoft.com/office/drawing/2014/chart" uri="{C3380CC4-5D6E-409C-BE32-E72D297353CC}">
              <c16:uniqueId val="{00000001-99F3-4152-9CC4-DBE3D0E1807B}"/>
            </c:ext>
          </c:extLst>
        </c:ser>
        <c:ser>
          <c:idx val="1"/>
          <c:order val="2"/>
          <c:tx>
            <c:strRef>
              <c:f>'Data for Graphs'!$D$2</c:f>
              <c:strCache>
                <c:ptCount val="1"/>
                <c:pt idx="0">
                  <c:v>STATE</c:v>
                </c:pt>
              </c:strCache>
            </c:strRef>
          </c:tx>
          <c:spPr>
            <a:ln w="28575" cap="rnd" cmpd="sng" algn="ctr">
              <a:solidFill>
                <a:schemeClr val="bg1">
                  <a:lumMod val="65000"/>
                </a:schemeClr>
              </a:solidFill>
              <a:prstDash val="dash"/>
              <a:round/>
            </a:ln>
            <a:effectLst/>
          </c:spPr>
          <c:marker>
            <c:symbol val="none"/>
          </c:marker>
          <c:cat>
            <c:numRef>
              <c:f>'Data for Graphs'!$A$3:$A$24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Graphs'!$D$3:$D$24</c:f>
              <c:numCache>
                <c:formatCode>0.0%</c:formatCode>
                <c:ptCount val="22"/>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0.35096578196522776</c:v>
                </c:pt>
                <c:pt idx="16">
                  <c:v>0.340045722068194</c:v>
                </c:pt>
                <c:pt idx="17">
                  <c:v>0.34452917321535986</c:v>
                </c:pt>
                <c:pt idx="18">
                  <c:v>0.34030691587688155</c:v>
                </c:pt>
                <c:pt idx="19">
                  <c:v>0.34618124893380031</c:v>
                </c:pt>
                <c:pt idx="20">
                  <c:v>0.33788354796294251</c:v>
                </c:pt>
                <c:pt idx="21">
                  <c:v>0.35096578196522776</c:v>
                </c:pt>
              </c:numCache>
            </c:numRef>
          </c:val>
          <c:smooth val="0"/>
          <c:extLst>
            <c:ext xmlns:c16="http://schemas.microsoft.com/office/drawing/2014/chart" uri="{C3380CC4-5D6E-409C-BE32-E72D297353CC}">
              <c16:uniqueId val="{00000002-99F3-4152-9CC4-DBE3D0E1807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2"/>
        <c:tickMarkSkip val="2"/>
        <c:noMultiLvlLbl val="0"/>
      </c:catAx>
      <c:valAx>
        <c:axId val="80448128"/>
        <c:scaling>
          <c:orientation val="minMax"/>
        </c:scaling>
        <c:delete val="0"/>
        <c:axPos val="l"/>
        <c:majorGridlines>
          <c:spPr>
            <a:ln w="9525" cap="flat" cmpd="sng" algn="ctr">
              <a:solidFill>
                <a:schemeClr val="bg1">
                  <a:lumMod val="95000"/>
                </a:schemeClr>
              </a:solidFill>
              <a:prstDash val="lgDash"/>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 in Locality</a:t>
            </a:r>
            <a:r>
              <a:rPr lang="en-US" sz="1200"/>
              <a:t>, 1998-2019</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2800200087622832"/>
          <c:y val="0.20532280214199244"/>
          <c:w val="0.82907992224635541"/>
          <c:h val="0.5588455818022745"/>
        </c:manualLayout>
      </c:layout>
      <c:lineChart>
        <c:grouping val="standard"/>
        <c:varyColors val="0"/>
        <c:ser>
          <c:idx val="0"/>
          <c:order val="0"/>
          <c:tx>
            <c:strRef>
              <c:f>'Data for Graphs'!$G$2</c:f>
              <c:strCache>
                <c:ptCount val="1"/>
                <c:pt idx="0">
                  <c:v>Accomack</c:v>
                </c:pt>
              </c:strCache>
            </c:strRef>
          </c:tx>
          <c:spPr>
            <a:ln>
              <a:solidFill>
                <a:schemeClr val="accent1">
                  <a:lumMod val="75000"/>
                </a:schemeClr>
              </a:solidFill>
            </a:ln>
          </c:spPr>
          <c:marker>
            <c:symbol val="none"/>
          </c:marker>
          <c:cat>
            <c:numRef>
              <c:f>'Data for Graphs'!$F$3:$F$24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Graphs'!$G$3:$G$24</c:f>
              <c:numCache>
                <c:formatCode>0.0</c:formatCode>
                <c:ptCount val="22"/>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pt idx="17">
                  <c:v>14.979029358897543</c:v>
                </c:pt>
                <c:pt idx="18">
                  <c:v>12.131715771230503</c:v>
                </c:pt>
                <c:pt idx="19">
                  <c:v>14.697236919459142</c:v>
                </c:pt>
                <c:pt idx="20">
                  <c:v>12.941176470588236</c:v>
                </c:pt>
                <c:pt idx="21">
                  <c:v>14.318442153493699</c:v>
                </c:pt>
              </c:numCache>
            </c:numRef>
          </c:val>
          <c:smooth val="0"/>
          <c:extLst>
            <c:ext xmlns:c16="http://schemas.microsoft.com/office/drawing/2014/chart" uri="{C3380CC4-5D6E-409C-BE32-E72D297353CC}">
              <c16:uniqueId val="{00000000-813E-40DD-93CC-C1B38CC60EF0}"/>
            </c:ext>
          </c:extLst>
        </c:ser>
        <c:ser>
          <c:idx val="2"/>
          <c:order val="1"/>
          <c:tx>
            <c:strRef>
              <c:f>'Data for Graphs'!$H$2</c:f>
              <c:strCache>
                <c:ptCount val="1"/>
                <c:pt idx="0">
                  <c:v>Eastern</c:v>
                </c:pt>
              </c:strCache>
            </c:strRef>
          </c:tx>
          <c:spPr>
            <a:ln>
              <a:solidFill>
                <a:schemeClr val="accent1">
                  <a:lumMod val="75000"/>
                </a:schemeClr>
              </a:solidFill>
              <a:prstDash val="sysDot"/>
            </a:ln>
          </c:spPr>
          <c:marker>
            <c:symbol val="none"/>
          </c:marker>
          <c:cat>
            <c:numRef>
              <c:f>'Data for Graphs'!$F$3:$F$24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Graphs'!$H$3:$H$24</c:f>
              <c:numCache>
                <c:formatCode>0.0</c:formatCode>
                <c:ptCount val="22"/>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12.707424753955959</c:v>
                </c:pt>
                <c:pt idx="16">
                  <c:v>10.34276433883238</c:v>
                </c:pt>
                <c:pt idx="17">
                  <c:v>10.234008261187393</c:v>
                </c:pt>
                <c:pt idx="18">
                  <c:v>9.2260560823792961</c:v>
                </c:pt>
                <c:pt idx="19">
                  <c:v>8.7405429461504216</c:v>
                </c:pt>
                <c:pt idx="20">
                  <c:v>8.2672666238125849</c:v>
                </c:pt>
                <c:pt idx="21">
                  <c:v>8.3014677568126665</c:v>
                </c:pt>
              </c:numCache>
            </c:numRef>
          </c:val>
          <c:smooth val="0"/>
          <c:extLst>
            <c:ext xmlns:c16="http://schemas.microsoft.com/office/drawing/2014/chart" uri="{C3380CC4-5D6E-409C-BE32-E72D297353CC}">
              <c16:uniqueId val="{00000001-813E-40DD-93CC-C1B38CC60EF0}"/>
            </c:ext>
          </c:extLst>
        </c:ser>
        <c:ser>
          <c:idx val="1"/>
          <c:order val="2"/>
          <c:tx>
            <c:strRef>
              <c:f>'Data for Graphs'!$I$2</c:f>
              <c:strCache>
                <c:ptCount val="1"/>
                <c:pt idx="0">
                  <c:v>STATE</c:v>
                </c:pt>
              </c:strCache>
            </c:strRef>
          </c:tx>
          <c:spPr>
            <a:ln>
              <a:solidFill>
                <a:schemeClr val="bg1">
                  <a:lumMod val="65000"/>
                </a:schemeClr>
              </a:solidFill>
              <a:prstDash val="dash"/>
            </a:ln>
          </c:spPr>
          <c:marker>
            <c:symbol val="none"/>
          </c:marker>
          <c:cat>
            <c:numRef>
              <c:f>'Data for Graphs'!$F$3:$F$24</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'Data for Graphs'!$I$3:$I$24</c:f>
              <c:numCache>
                <c:formatCode>0.0</c:formatCode>
                <c:ptCount val="22"/>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pt idx="17">
                  <c:v>8.735085092108628</c:v>
                </c:pt>
                <c:pt idx="18">
                  <c:v>7.9419432438809618</c:v>
                </c:pt>
                <c:pt idx="19">
                  <c:v>7.6474440227776652</c:v>
                </c:pt>
                <c:pt idx="20">
                  <c:v>7.2760622499091445</c:v>
                </c:pt>
                <c:pt idx="21">
                  <c:v>6.9715219724194295</c:v>
                </c:pt>
              </c:numCache>
            </c:numRef>
          </c:val>
          <c:smooth val="0"/>
          <c:extLst>
            <c:ext xmlns:c16="http://schemas.microsoft.com/office/drawing/2014/chart" uri="{C3380CC4-5D6E-409C-BE32-E72D297353CC}">
              <c16:uniqueId val="{00000002-813E-40DD-93CC-C1B38CC60EF0}"/>
            </c:ext>
          </c:extLst>
        </c:ser>
        <c:dLbls>
          <c:showLegendKey val="0"/>
          <c:showVal val="0"/>
          <c:showCatName val="0"/>
          <c:showSerName val="0"/>
          <c:showPercent val="0"/>
          <c:showBubbleSize val="0"/>
        </c:dLbls>
        <c:smooth val="0"/>
        <c:axId val="80900864"/>
        <c:axId val="80902400"/>
      </c:lineChart>
      <c:catAx>
        <c:axId val="80900864"/>
        <c:scaling>
          <c:orientation val="minMax"/>
        </c:scaling>
        <c:delete val="0"/>
        <c:axPos val="b"/>
        <c:numFmt formatCode="General" sourceLinked="1"/>
        <c:majorTickMark val="out"/>
        <c:minorTickMark val="none"/>
        <c:tickLblPos val="nextTo"/>
        <c:txPr>
          <a:bodyPr rot="-2100000"/>
          <a:lstStyle/>
          <a:p>
            <a:pPr>
              <a:defRPr/>
            </a:pPr>
            <a:endParaRPr lang="en-US"/>
          </a:p>
        </c:txPr>
        <c:crossAx val="80902400"/>
        <c:crosses val="autoZero"/>
        <c:auto val="1"/>
        <c:lblAlgn val="ctr"/>
        <c:lblOffset val="100"/>
        <c:tickLblSkip val="2"/>
        <c:tickMarkSkip val="2"/>
        <c:noMultiLvlLbl val="0"/>
      </c:catAx>
      <c:valAx>
        <c:axId val="809024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80900864"/>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SNAP Applications Received &amp; Disposed in Locality, </a:t>
            </a:r>
          </a:p>
          <a:p>
            <a:pPr>
              <a:defRPr sz="1200"/>
            </a:pPr>
            <a:r>
              <a:rPr lang="en-US" sz="1200"/>
              <a:t>SFY 2020</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481475296827703"/>
          <c:y val="0.18760567392264021"/>
          <c:w val="0.86368169109367043"/>
          <c:h val="0.68812507713267301"/>
        </c:manualLayout>
      </c:layout>
      <c:barChart>
        <c:barDir val="col"/>
        <c:grouping val="clustered"/>
        <c:varyColors val="0"/>
        <c:ser>
          <c:idx val="0"/>
          <c:order val="0"/>
          <c:tx>
            <c:strRef>
              <c:f>'Data for Graphs'!$L$3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Graphs'!$L$4:$L$15</c:f>
              <c:numCache>
                <c:formatCode>General</c:formatCode>
                <c:ptCount val="12"/>
                <c:pt idx="0">
                  <c:v>144</c:v>
                </c:pt>
                <c:pt idx="1">
                  <c:v>118</c:v>
                </c:pt>
                <c:pt idx="2">
                  <c:v>135</c:v>
                </c:pt>
                <c:pt idx="3">
                  <c:v>178</c:v>
                </c:pt>
                <c:pt idx="4">
                  <c:v>147</c:v>
                </c:pt>
                <c:pt idx="5">
                  <c:v>115</c:v>
                </c:pt>
                <c:pt idx="6">
                  <c:v>151</c:v>
                </c:pt>
                <c:pt idx="7">
                  <c:v>129</c:v>
                </c:pt>
                <c:pt idx="8">
                  <c:v>214</c:v>
                </c:pt>
                <c:pt idx="9">
                  <c:v>222</c:v>
                </c:pt>
                <c:pt idx="10">
                  <c:v>133</c:v>
                </c:pt>
                <c:pt idx="11">
                  <c:v>110</c:v>
                </c:pt>
              </c:numCache>
            </c:numRef>
          </c:val>
          <c:extLst>
            <c:ext xmlns:c16="http://schemas.microsoft.com/office/drawing/2014/chart" uri="{C3380CC4-5D6E-409C-BE32-E72D297353CC}">
              <c16:uniqueId val="{00000000-ECBA-48E2-943C-79E902517843}"/>
            </c:ext>
          </c:extLst>
        </c:ser>
        <c:ser>
          <c:idx val="1"/>
          <c:order val="1"/>
          <c:tx>
            <c:strRef>
              <c:f>'Data for Graphs'!$M$3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Graphs'!$M$4:$M$15</c:f>
              <c:numCache>
                <c:formatCode>General</c:formatCode>
                <c:ptCount val="12"/>
                <c:pt idx="0">
                  <c:v>128</c:v>
                </c:pt>
                <c:pt idx="1">
                  <c:v>130</c:v>
                </c:pt>
                <c:pt idx="2">
                  <c:v>122</c:v>
                </c:pt>
                <c:pt idx="3">
                  <c:v>162</c:v>
                </c:pt>
                <c:pt idx="4">
                  <c:v>139</c:v>
                </c:pt>
                <c:pt idx="5">
                  <c:v>158</c:v>
                </c:pt>
                <c:pt idx="6">
                  <c:v>127</c:v>
                </c:pt>
                <c:pt idx="7">
                  <c:v>128</c:v>
                </c:pt>
                <c:pt idx="8">
                  <c:v>179</c:v>
                </c:pt>
                <c:pt idx="9">
                  <c:v>243</c:v>
                </c:pt>
                <c:pt idx="10">
                  <c:v>158</c:v>
                </c:pt>
                <c:pt idx="11">
                  <c:v>118</c:v>
                </c:pt>
              </c:numCache>
            </c:numRef>
          </c:val>
          <c:extLst>
            <c:ext xmlns:c16="http://schemas.microsoft.com/office/drawing/2014/chart" uri="{C3380CC4-5D6E-409C-BE32-E72D297353CC}">
              <c16:uniqueId val="{00000001-ECBA-48E2-943C-79E902517843}"/>
            </c:ext>
          </c:extLst>
        </c:ser>
        <c:dLbls>
          <c:showLegendKey val="0"/>
          <c:showVal val="0"/>
          <c:showCatName val="0"/>
          <c:showSerName val="0"/>
          <c:showPercent val="0"/>
          <c:showBubbleSize val="0"/>
        </c:dLbls>
        <c:gapWidth val="150"/>
        <c:axId val="80932864"/>
        <c:axId val="80934400"/>
      </c:barChart>
      <c:catAx>
        <c:axId val="8093286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34400"/>
        <c:crosses val="autoZero"/>
        <c:auto val="1"/>
        <c:lblAlgn val="ctr"/>
        <c:lblOffset val="100"/>
        <c:tickLblSkip val="1"/>
        <c:noMultiLvlLbl val="1"/>
      </c:catAx>
      <c:valAx>
        <c:axId val="80934400"/>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32864"/>
        <c:crosses val="autoZero"/>
        <c:crossBetween val="between"/>
      </c:valAx>
      <c:spPr>
        <a:solidFill>
          <a:schemeClr val="bg1"/>
        </a:solidFill>
        <a:ln>
          <a:noFill/>
        </a:ln>
        <a:effectLst/>
      </c:spPr>
    </c:plotArea>
    <c:legend>
      <c:legendPos val="r"/>
      <c:layout>
        <c:manualLayout>
          <c:xMode val="edge"/>
          <c:yMode val="edge"/>
          <c:x val="0.44854942366339873"/>
          <c:y val="0.15876819476364093"/>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TANF Applications Received &amp; Disposed in Locality, </a:t>
            </a:r>
          </a:p>
          <a:p>
            <a:pPr>
              <a:defRPr sz="1200"/>
            </a:pPr>
            <a:r>
              <a:rPr lang="en-US" sz="1200"/>
              <a:t>SFY 2020	</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15279531190883"/>
          <c:y val="0.18760559970488719"/>
          <c:w val="0.85580800017547021"/>
          <c:h val="0.6847558774779321"/>
        </c:manualLayout>
      </c:layout>
      <c:barChart>
        <c:barDir val="col"/>
        <c:grouping val="clustered"/>
        <c:varyColors val="0"/>
        <c:ser>
          <c:idx val="0"/>
          <c:order val="0"/>
          <c:tx>
            <c:strRef>
              <c:f>'Data for Graphs'!$N$3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Graphs'!$N$4:$N$15</c:f>
              <c:numCache>
                <c:formatCode>General</c:formatCode>
                <c:ptCount val="12"/>
                <c:pt idx="0">
                  <c:v>22</c:v>
                </c:pt>
                <c:pt idx="1">
                  <c:v>20</c:v>
                </c:pt>
                <c:pt idx="2">
                  <c:v>30</c:v>
                </c:pt>
                <c:pt idx="3">
                  <c:v>30</c:v>
                </c:pt>
                <c:pt idx="4">
                  <c:v>20</c:v>
                </c:pt>
                <c:pt idx="5">
                  <c:v>17</c:v>
                </c:pt>
                <c:pt idx="6">
                  <c:v>29</c:v>
                </c:pt>
                <c:pt idx="7">
                  <c:v>13</c:v>
                </c:pt>
                <c:pt idx="8">
                  <c:v>19</c:v>
                </c:pt>
                <c:pt idx="9">
                  <c:v>17</c:v>
                </c:pt>
                <c:pt idx="10">
                  <c:v>14</c:v>
                </c:pt>
                <c:pt idx="11">
                  <c:v>14</c:v>
                </c:pt>
              </c:numCache>
            </c:numRef>
          </c:val>
          <c:extLst>
            <c:ext xmlns:c16="http://schemas.microsoft.com/office/drawing/2014/chart" uri="{C3380CC4-5D6E-409C-BE32-E72D297353CC}">
              <c16:uniqueId val="{00000000-E7FA-4515-AAE3-E21048CBB521}"/>
            </c:ext>
          </c:extLst>
        </c:ser>
        <c:ser>
          <c:idx val="1"/>
          <c:order val="1"/>
          <c:tx>
            <c:strRef>
              <c:f>'Data for Graphs'!$O$3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Graphs'!$O$4:$O$15</c:f>
              <c:numCache>
                <c:formatCode>General</c:formatCode>
                <c:ptCount val="12"/>
                <c:pt idx="0">
                  <c:v>19</c:v>
                </c:pt>
                <c:pt idx="1">
                  <c:v>19</c:v>
                </c:pt>
                <c:pt idx="2">
                  <c:v>23</c:v>
                </c:pt>
                <c:pt idx="3">
                  <c:v>43</c:v>
                </c:pt>
                <c:pt idx="4">
                  <c:v>14</c:v>
                </c:pt>
                <c:pt idx="5">
                  <c:v>22</c:v>
                </c:pt>
                <c:pt idx="6">
                  <c:v>30</c:v>
                </c:pt>
                <c:pt idx="7">
                  <c:v>12</c:v>
                </c:pt>
                <c:pt idx="8">
                  <c:v>17</c:v>
                </c:pt>
                <c:pt idx="9">
                  <c:v>19</c:v>
                </c:pt>
                <c:pt idx="10">
                  <c:v>18</c:v>
                </c:pt>
                <c:pt idx="11">
                  <c:v>13</c:v>
                </c:pt>
              </c:numCache>
            </c:numRef>
          </c:val>
          <c:extLst>
            <c:ext xmlns:c16="http://schemas.microsoft.com/office/drawing/2014/chart" uri="{C3380CC4-5D6E-409C-BE32-E72D297353CC}">
              <c16:uniqueId val="{00000001-E7FA-4515-AAE3-E21048CBB521}"/>
            </c:ext>
          </c:extLst>
        </c:ser>
        <c:dLbls>
          <c:showLegendKey val="0"/>
          <c:showVal val="0"/>
          <c:showCatName val="0"/>
          <c:showSerName val="0"/>
          <c:showPercent val="0"/>
          <c:showBubbleSize val="0"/>
        </c:dLbls>
        <c:gapWidth val="150"/>
        <c:axId val="80976128"/>
        <c:axId val="80982016"/>
      </c:barChart>
      <c:catAx>
        <c:axId val="8097612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82016"/>
        <c:crosses val="autoZero"/>
        <c:auto val="1"/>
        <c:lblAlgn val="ctr"/>
        <c:lblOffset val="100"/>
        <c:tickLblSkip val="1"/>
        <c:noMultiLvlLbl val="1"/>
      </c:catAx>
      <c:valAx>
        <c:axId val="80982016"/>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76128"/>
        <c:crosses val="autoZero"/>
        <c:crossBetween val="between"/>
      </c:valAx>
      <c:spPr>
        <a:solidFill>
          <a:schemeClr val="bg1"/>
        </a:solidFill>
        <a:ln>
          <a:noFill/>
        </a:ln>
        <a:effectLst/>
      </c:spPr>
    </c:plotArea>
    <c:legend>
      <c:legendPos val="r"/>
      <c:layout>
        <c:manualLayout>
          <c:xMode val="edge"/>
          <c:yMode val="edge"/>
          <c:x val="0.47772520776259642"/>
          <c:y val="0.15447404626792846"/>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9</xdr:col>
      <xdr:colOff>28575</xdr:colOff>
      <xdr:row>230</xdr:row>
      <xdr:rowOff>0</xdr:rowOff>
    </xdr:from>
    <xdr:to>
      <xdr:col>9</xdr:col>
      <xdr:colOff>752475</xdr:colOff>
      <xdr:row>232</xdr:row>
      <xdr:rowOff>161925</xdr:rowOff>
    </xdr:to>
    <xdr:sp macro="" textlink="">
      <xdr:nvSpPr>
        <xdr:cNvPr id="3" name="Rounded Rectangle 2"/>
        <xdr:cNvSpPr/>
      </xdr:nvSpPr>
      <xdr:spPr>
        <a:xfrm>
          <a:off x="5715000" y="27984450"/>
          <a:ext cx="7239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472440</xdr:colOff>
      <xdr:row>56</xdr:row>
      <xdr:rowOff>47625</xdr:rowOff>
    </xdr:from>
    <xdr:to>
      <xdr:col>13</xdr:col>
      <xdr:colOff>790575</xdr:colOff>
      <xdr:row>72</xdr:row>
      <xdr:rowOff>137160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22</xdr:row>
      <xdr:rowOff>142875</xdr:rowOff>
    </xdr:from>
    <xdr:to>
      <xdr:col>13</xdr:col>
      <xdr:colOff>771525</xdr:colOff>
      <xdr:row>40</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260</xdr:row>
      <xdr:rowOff>161924</xdr:rowOff>
    </xdr:from>
    <xdr:to>
      <xdr:col>5</xdr:col>
      <xdr:colOff>600075</xdr:colOff>
      <xdr:row>272</xdr:row>
      <xdr:rowOff>152399</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249</xdr:row>
      <xdr:rowOff>47625</xdr:rowOff>
    </xdr:from>
    <xdr:to>
      <xdr:col>5</xdr:col>
      <xdr:colOff>600075</xdr:colOff>
      <xdr:row>260</xdr:row>
      <xdr:rowOff>123825</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9525</xdr:colOff>
      <xdr:row>9</xdr:row>
      <xdr:rowOff>28575</xdr:rowOff>
    </xdr:from>
    <xdr:to>
      <xdr:col>8</xdr:col>
      <xdr:colOff>762000</xdr:colOff>
      <xdr:row>11</xdr:row>
      <xdr:rowOff>161925</xdr:rowOff>
    </xdr:to>
    <xdr:sp macro="" textlink="">
      <xdr:nvSpPr>
        <xdr:cNvPr id="24" name="Rounded Rectangle 23"/>
        <xdr:cNvSpPr/>
      </xdr:nvSpPr>
      <xdr:spPr>
        <a:xfrm>
          <a:off x="4924425" y="1392555"/>
          <a:ext cx="752475" cy="46863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15</xdr:row>
      <xdr:rowOff>19050</xdr:rowOff>
    </xdr:from>
    <xdr:to>
      <xdr:col>8</xdr:col>
      <xdr:colOff>742950</xdr:colOff>
      <xdr:row>17</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12</xdr:row>
      <xdr:rowOff>19050</xdr:rowOff>
    </xdr:from>
    <xdr:to>
      <xdr:col>8</xdr:col>
      <xdr:colOff>752474</xdr:colOff>
      <xdr:row>14</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18</xdr:row>
      <xdr:rowOff>19050</xdr:rowOff>
    </xdr:from>
    <xdr:to>
      <xdr:col>8</xdr:col>
      <xdr:colOff>733424</xdr:colOff>
      <xdr:row>20</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273</xdr:row>
      <xdr:rowOff>28575</xdr:rowOff>
    </xdr:from>
    <xdr:to>
      <xdr:col>3</xdr:col>
      <xdr:colOff>666750</xdr:colOff>
      <xdr:row>276</xdr:row>
      <xdr:rowOff>152400</xdr:rowOff>
    </xdr:to>
    <xdr:sp macro="" textlink="$N$271">
      <xdr:nvSpPr>
        <xdr:cNvPr id="11" name="Rounded Rectangle 10"/>
        <xdr:cNvSpPr/>
      </xdr:nvSpPr>
      <xdr:spPr>
        <a:xfrm>
          <a:off x="95250" y="22174200"/>
          <a:ext cx="2057400" cy="638175"/>
        </a:xfrm>
        <a:prstGeom prst="roundRect">
          <a:avLst/>
        </a:prstGeom>
        <a:solidFill>
          <a:schemeClr val="accent5"/>
        </a:solidFill>
        <a:ln>
          <a:solidFill>
            <a:schemeClr val="accent5"/>
          </a:solidFill>
        </a:ln>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800" b="1" i="0" u="none" strike="noStrike">
              <a:solidFill>
                <a:sysClr val="windowText" lastClr="000000"/>
              </a:solidFill>
              <a:latin typeface="+mj-lt"/>
            </a:rPr>
            <a:pPr algn="ctr"/>
            <a:t>$92,604,231</a:t>
          </a:fld>
          <a:endParaRPr lang="en-US" sz="1800" b="1">
            <a:solidFill>
              <a:sysClr val="windowText" lastClr="000000"/>
            </a:solidFill>
            <a:latin typeface="+mj-lt"/>
          </a:endParaRPr>
        </a:p>
      </xdr:txBody>
    </xdr:sp>
    <xdr:clientData/>
  </xdr:twoCellAnchor>
  <xdr:twoCellAnchor>
    <xdr:from>
      <xdr:col>5</xdr:col>
      <xdr:colOff>666750</xdr:colOff>
      <xdr:row>273</xdr:row>
      <xdr:rowOff>38100</xdr:rowOff>
    </xdr:from>
    <xdr:to>
      <xdr:col>8</xdr:col>
      <xdr:colOff>666750</xdr:colOff>
      <xdr:row>276</xdr:row>
      <xdr:rowOff>161925</xdr:rowOff>
    </xdr:to>
    <xdr:sp macro="" textlink="$U$268">
      <xdr:nvSpPr>
        <xdr:cNvPr id="37" name="Rounded Rectangle 36"/>
        <xdr:cNvSpPr/>
      </xdr:nvSpPr>
      <xdr:spPr>
        <a:xfrm>
          <a:off x="3524250" y="27279600"/>
          <a:ext cx="2057400" cy="638175"/>
        </a:xfrm>
        <a:prstGeom prst="roundRect">
          <a:avLst/>
        </a:prstGeom>
        <a:solidFill>
          <a:schemeClr val="accent6"/>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8BEA3F64-03AE-4223-AEF2-03C983909636}" type="TxLink">
            <a:rPr lang="en-US" sz="1800" b="0" i="0" u="none" strike="noStrike">
              <a:solidFill>
                <a:srgbClr val="000000"/>
              </a:solidFill>
              <a:latin typeface="Cambria"/>
            </a:rPr>
            <a:pPr algn="ctr"/>
            <a:t>$873,623</a:t>
          </a:fld>
          <a:endParaRPr lang="en-US" sz="1800" b="1"/>
        </a:p>
      </xdr:txBody>
    </xdr:sp>
    <xdr:clientData/>
  </xdr:twoCellAnchor>
  <xdr:twoCellAnchor>
    <xdr:from>
      <xdr:col>1</xdr:col>
      <xdr:colOff>28575</xdr:colOff>
      <xdr:row>188</xdr:row>
      <xdr:rowOff>152400</xdr:rowOff>
    </xdr:from>
    <xdr:to>
      <xdr:col>5</xdr:col>
      <xdr:colOff>333375</xdr:colOff>
      <xdr:row>202</xdr:row>
      <xdr:rowOff>66674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30480</xdr:colOff>
      <xdr:row>125</xdr:row>
      <xdr:rowOff>19050</xdr:rowOff>
    </xdr:from>
    <xdr:to>
      <xdr:col>7</xdr:col>
      <xdr:colOff>541020</xdr:colOff>
      <xdr:row>138</xdr:row>
      <xdr:rowOff>106680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617220</xdr:colOff>
      <xdr:row>125</xdr:row>
      <xdr:rowOff>36194</xdr:rowOff>
    </xdr:from>
    <xdr:to>
      <xdr:col>13</xdr:col>
      <xdr:colOff>830580</xdr:colOff>
      <xdr:row>138</xdr:row>
      <xdr:rowOff>99060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704850</xdr:colOff>
      <xdr:row>116</xdr:row>
      <xdr:rowOff>171450</xdr:rowOff>
    </xdr:from>
    <xdr:to>
      <xdr:col>13</xdr:col>
      <xdr:colOff>19050</xdr:colOff>
      <xdr:row>119</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10</xdr:col>
      <xdr:colOff>0</xdr:colOff>
      <xdr:row>175</xdr:row>
      <xdr:rowOff>161924</xdr:rowOff>
    </xdr:from>
    <xdr:to>
      <xdr:col>12</xdr:col>
      <xdr:colOff>790575</xdr:colOff>
      <xdr:row>178</xdr:row>
      <xdr:rowOff>133349</xdr:rowOff>
    </xdr:to>
    <xdr:sp macro="" textlink="">
      <xdr:nvSpPr>
        <xdr:cNvPr id="20" name="Rounded Rectangle 19"/>
        <xdr:cNvSpPr/>
      </xdr:nvSpPr>
      <xdr:spPr>
        <a:xfrm>
          <a:off x="6467475" y="19345274"/>
          <a:ext cx="2381250" cy="485775"/>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139</xdr:row>
      <xdr:rowOff>90486</xdr:rowOff>
    </xdr:from>
    <xdr:to>
      <xdr:col>7</xdr:col>
      <xdr:colOff>518160</xdr:colOff>
      <xdr:row>156</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584834</xdr:colOff>
      <xdr:row>139</xdr:row>
      <xdr:rowOff>91440</xdr:rowOff>
    </xdr:from>
    <xdr:to>
      <xdr:col>13</xdr:col>
      <xdr:colOff>800100</xdr:colOff>
      <xdr:row>156</xdr:row>
      <xdr:rowOff>121921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157</xdr:row>
      <xdr:rowOff>47625</xdr:rowOff>
    </xdr:from>
    <xdr:to>
      <xdr:col>7</xdr:col>
      <xdr:colOff>495300</xdr:colOff>
      <xdr:row>174</xdr:row>
      <xdr:rowOff>90488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601980</xdr:colOff>
      <xdr:row>157</xdr:row>
      <xdr:rowOff>30480</xdr:rowOff>
    </xdr:from>
    <xdr:to>
      <xdr:col>13</xdr:col>
      <xdr:colOff>792480</xdr:colOff>
      <xdr:row>174</xdr:row>
      <xdr:rowOff>73343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28576</xdr:colOff>
      <xdr:row>230</xdr:row>
      <xdr:rowOff>0</xdr:rowOff>
    </xdr:from>
    <xdr:to>
      <xdr:col>6</xdr:col>
      <xdr:colOff>638176</xdr:colOff>
      <xdr:row>232</xdr:row>
      <xdr:rowOff>161925</xdr:rowOff>
    </xdr:to>
    <xdr:sp macro="" textlink="">
      <xdr:nvSpPr>
        <xdr:cNvPr id="28" name="Rounded Rectangle 27"/>
        <xdr:cNvSpPr/>
      </xdr:nvSpPr>
      <xdr:spPr>
        <a:xfrm>
          <a:off x="3571876" y="28327350"/>
          <a:ext cx="6096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xdr:colOff>
      <xdr:row>230</xdr:row>
      <xdr:rowOff>9525</xdr:rowOff>
    </xdr:from>
    <xdr:to>
      <xdr:col>3</xdr:col>
      <xdr:colOff>647700</xdr:colOff>
      <xdr:row>233</xdr:row>
      <xdr:rowOff>0</xdr:rowOff>
    </xdr:to>
    <xdr:sp macro="" textlink="">
      <xdr:nvSpPr>
        <xdr:cNvPr id="33" name="Rounded Rectangle 32"/>
        <xdr:cNvSpPr/>
      </xdr:nvSpPr>
      <xdr:spPr>
        <a:xfrm>
          <a:off x="1514475" y="27993975"/>
          <a:ext cx="619125"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400050</xdr:colOff>
      <xdr:row>188</xdr:row>
      <xdr:rowOff>161925</xdr:rowOff>
    </xdr:from>
    <xdr:to>
      <xdr:col>9</xdr:col>
      <xdr:colOff>657225</xdr:colOff>
      <xdr:row>202</xdr:row>
      <xdr:rowOff>76199</xdr:rowOff>
    </xdr:to>
    <xdr:graphicFrame macro="">
      <xdr:nvGraphicFramePr>
        <xdr:cNvPr id="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723899</xdr:colOff>
      <xdr:row>188</xdr:row>
      <xdr:rowOff>152400</xdr:rowOff>
    </xdr:from>
    <xdr:to>
      <xdr:col>13</xdr:col>
      <xdr:colOff>771524</xdr:colOff>
      <xdr:row>202</xdr:row>
      <xdr:rowOff>66674</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15240</xdr:colOff>
      <xdr:row>41</xdr:row>
      <xdr:rowOff>38100</xdr:rowOff>
    </xdr:from>
    <xdr:to>
      <xdr:col>7</xdr:col>
      <xdr:colOff>579120</xdr:colOff>
      <xdr:row>54</xdr:row>
      <xdr:rowOff>160020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60960</xdr:colOff>
      <xdr:row>41</xdr:row>
      <xdr:rowOff>38100</xdr:rowOff>
    </xdr:from>
    <xdr:to>
      <xdr:col>13</xdr:col>
      <xdr:colOff>792480</xdr:colOff>
      <xdr:row>54</xdr:row>
      <xdr:rowOff>129540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xdr:colOff>
      <xdr:row>87</xdr:row>
      <xdr:rowOff>68580</xdr:rowOff>
    </xdr:from>
    <xdr:to>
      <xdr:col>5</xdr:col>
      <xdr:colOff>335280</xdr:colOff>
      <xdr:row>99</xdr:row>
      <xdr:rowOff>137160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495300</xdr:colOff>
      <xdr:row>26</xdr:row>
      <xdr:rowOff>38100</xdr:rowOff>
    </xdr:from>
    <xdr:to>
      <xdr:col>38</xdr:col>
      <xdr:colOff>403860</xdr:colOff>
      <xdr:row>44</xdr:row>
      <xdr:rowOff>160020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381000</xdr:colOff>
      <xdr:row>87</xdr:row>
      <xdr:rowOff>76200</xdr:rowOff>
    </xdr:from>
    <xdr:to>
      <xdr:col>9</xdr:col>
      <xdr:colOff>693420</xdr:colOff>
      <xdr:row>99</xdr:row>
      <xdr:rowOff>144780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746760</xdr:colOff>
      <xdr:row>87</xdr:row>
      <xdr:rowOff>76200</xdr:rowOff>
    </xdr:from>
    <xdr:to>
      <xdr:col>13</xdr:col>
      <xdr:colOff>815340</xdr:colOff>
      <xdr:row>99</xdr:row>
      <xdr:rowOff>144780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38100</xdr:colOff>
      <xdr:row>82</xdr:row>
      <xdr:rowOff>13335</xdr:rowOff>
    </xdr:from>
    <xdr:to>
      <xdr:col>2</xdr:col>
      <xdr:colOff>640080</xdr:colOff>
      <xdr:row>84</xdr:row>
      <xdr:rowOff>146685</xdr:rowOff>
    </xdr:to>
    <xdr:sp macro="" textlink="">
      <xdr:nvSpPr>
        <xdr:cNvPr id="52" name="Rounded Rectangle 51"/>
        <xdr:cNvSpPr/>
      </xdr:nvSpPr>
      <xdr:spPr>
        <a:xfrm>
          <a:off x="38100" y="13615035"/>
          <a:ext cx="1402080" cy="468630"/>
        </a:xfrm>
        <a:prstGeom prst="roundRect">
          <a:avLst/>
        </a:prstGeom>
        <a:noFill/>
        <a:ln>
          <a:solidFill>
            <a:schemeClr val="accent1">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82</xdr:row>
      <xdr:rowOff>19050</xdr:rowOff>
    </xdr:from>
    <xdr:to>
      <xdr:col>8</xdr:col>
      <xdr:colOff>752474</xdr:colOff>
      <xdr:row>84</xdr:row>
      <xdr:rowOff>152400</xdr:rowOff>
    </xdr:to>
    <xdr:sp macro="" textlink="">
      <xdr:nvSpPr>
        <xdr:cNvPr id="53" name="Rounded Rectangle 52"/>
        <xdr:cNvSpPr/>
      </xdr:nvSpPr>
      <xdr:spPr>
        <a:xfrm>
          <a:off x="4914899" y="1885950"/>
          <a:ext cx="752475" cy="468630"/>
        </a:xfrm>
        <a:prstGeom prst="roundRect">
          <a:avLst/>
        </a:prstGeom>
        <a:noFill/>
        <a:ln>
          <a:solidFill>
            <a:schemeClr val="accent1">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160020</xdr:colOff>
      <xdr:row>100</xdr:row>
      <xdr:rowOff>22860</xdr:rowOff>
    </xdr:from>
    <xdr:to>
      <xdr:col>9</xdr:col>
      <xdr:colOff>411480</xdr:colOff>
      <xdr:row>115</xdr:row>
      <xdr:rowOff>41910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0.0361</cdr:x>
      <cdr:y>0.91786</cdr:y>
    </cdr:from>
    <cdr:to>
      <cdr:x>0.98996</cdr:x>
      <cdr:y>0.97956</cdr:y>
    </cdr:to>
    <cdr:sp macro="" textlink="">
      <cdr:nvSpPr>
        <cdr:cNvPr id="3" name="TextBox 2"/>
        <cdr:cNvSpPr txBox="1"/>
      </cdr:nvSpPr>
      <cdr:spPr>
        <a:xfrm xmlns:a="http://schemas.openxmlformats.org/drawingml/2006/main">
          <a:off x="172270" y="2447925"/>
          <a:ext cx="4551844" cy="164562"/>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per</a:t>
          </a:r>
          <a:r>
            <a:rPr lang="en-US" sz="800" baseline="0">
              <a:latin typeface="+mj-lt"/>
              <a:cs typeface="Arial" pitchFamily="34" charset="0"/>
            </a:rPr>
            <a:t> calendar year </a:t>
          </a:r>
          <a:r>
            <a:rPr lang="en-US" sz="800">
              <a:latin typeface="+mj-lt"/>
              <a:cs typeface="Arial" pitchFamily="34" charset="0"/>
            </a:rPr>
            <a:t>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5.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38100</xdr:colOff>
      <xdr:row>30</xdr:row>
      <xdr:rowOff>57149</xdr:rowOff>
    </xdr:from>
    <xdr:to>
      <xdr:col>4</xdr:col>
      <xdr:colOff>228600</xdr:colOff>
      <xdr:row>43</xdr:row>
      <xdr:rowOff>142874</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30</xdr:row>
      <xdr:rowOff>57149</xdr:rowOff>
    </xdr:from>
    <xdr:to>
      <xdr:col>7</xdr:col>
      <xdr:colOff>895350</xdr:colOff>
      <xdr:row>43</xdr:row>
      <xdr:rowOff>123825</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xdr:colOff>
      <xdr:row>26</xdr:row>
      <xdr:rowOff>9525</xdr:rowOff>
    </xdr:from>
    <xdr:to>
      <xdr:col>4</xdr:col>
      <xdr:colOff>819150</xdr:colOff>
      <xdr:row>29</xdr:row>
      <xdr:rowOff>133350</xdr:rowOff>
    </xdr:to>
    <xdr:sp macro="" textlink="$H$24">
      <xdr:nvSpPr>
        <xdr:cNvPr id="4" name="Rounded Rectangle 3"/>
        <xdr:cNvSpPr/>
      </xdr:nvSpPr>
      <xdr:spPr>
        <a:xfrm>
          <a:off x="2190750" y="4524375"/>
          <a:ext cx="1638300" cy="638175"/>
        </a:xfrm>
        <a:prstGeom prst="roundRect">
          <a:avLst/>
        </a:prstGeom>
        <a:solidFill>
          <a:schemeClr val="accent6">
            <a:lumMod val="60000"/>
            <a:lumOff val="40000"/>
          </a:schemeClr>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chemeClr val="accent4">
                  <a:lumMod val="50000"/>
                </a:schemeClr>
              </a:solidFill>
              <a:latin typeface="+mn-lt"/>
              <a:cs typeface="Times New Roman"/>
            </a:rPr>
            <a:pPr algn="ctr"/>
            <a:t>$15,330,726,331</a:t>
          </a:fld>
          <a:endParaRPr lang="en-US" sz="1600" b="1">
            <a:solidFill>
              <a:schemeClr val="accent4">
                <a:lumMod val="50000"/>
              </a:schemeClr>
            </a:solidFill>
            <a:latin typeface="+mn-lt"/>
          </a:endParaRPr>
        </a:p>
      </xdr:txBody>
    </xdr:sp>
    <xdr:clientData/>
  </xdr:twoCellAnchor>
  <xdr:twoCellAnchor>
    <xdr:from>
      <xdr:col>4</xdr:col>
      <xdr:colOff>847725</xdr:colOff>
      <xdr:row>26</xdr:row>
      <xdr:rowOff>47626</xdr:rowOff>
    </xdr:from>
    <xdr:to>
      <xdr:col>6</xdr:col>
      <xdr:colOff>657225</xdr:colOff>
      <xdr:row>29</xdr:row>
      <xdr:rowOff>133350</xdr:rowOff>
    </xdr:to>
    <xdr:sp macro="" textlink="">
      <xdr:nvSpPr>
        <xdr:cNvPr id="8" name="TextBox 7"/>
        <xdr:cNvSpPr txBox="1"/>
      </xdr:nvSpPr>
      <xdr:spPr>
        <a:xfrm>
          <a:off x="3857625" y="4562476"/>
          <a:ext cx="1581150" cy="600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solidFill>
                <a:schemeClr val="accent4">
                  <a:lumMod val="75000"/>
                </a:schemeClr>
              </a:solidFill>
              <a:latin typeface="+mj-lt"/>
            </a:rPr>
            <a:t>Total amount spent on Social Services in region/state</a:t>
          </a:r>
          <a:r>
            <a:rPr lang="en-US" sz="900" b="1" i="1" baseline="0">
              <a:solidFill>
                <a:schemeClr val="accent4">
                  <a:lumMod val="75000"/>
                </a:schemeClr>
              </a:solidFill>
              <a:latin typeface="+mj-lt"/>
            </a:rPr>
            <a:t> </a:t>
          </a:r>
          <a:r>
            <a:rPr lang="en-US" sz="900" b="1" baseline="0">
              <a:solidFill>
                <a:schemeClr val="accent4">
                  <a:lumMod val="75000"/>
                </a:schemeClr>
              </a:solidFill>
              <a:latin typeface="+mj-lt"/>
            </a:rPr>
            <a:t>(SFY 2020)</a:t>
          </a:r>
          <a:endParaRPr lang="en-US" sz="900" b="1">
            <a:solidFill>
              <a:schemeClr val="accent4">
                <a:lumMod val="75000"/>
              </a:schemeClr>
            </a:solidFill>
            <a:latin typeface="+mj-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esearch@dss.virginia.gov"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F341"/>
  <sheetViews>
    <sheetView showGridLines="0" tabSelected="1" zoomScaleNormal="100" zoomScaleSheetLayoutView="100" workbookViewId="0">
      <pane ySplit="4" topLeftCell="A5" activePane="bottomLeft" state="frozen"/>
      <selection pane="bottomLeft" activeCell="S1" sqref="S1:W1048576"/>
    </sheetView>
  </sheetViews>
  <sheetFormatPr defaultColWidth="9" defaultRowHeight="11.4" x14ac:dyDescent="0.2"/>
  <cols>
    <col min="1" max="1" width="1" style="4" customWidth="1"/>
    <col min="2" max="2" width="9.5" style="4" customWidth="1"/>
    <col min="3" max="8" width="9" style="4" customWidth="1"/>
    <col min="9" max="9" width="10.09765625" style="4" customWidth="1"/>
    <col min="10" max="11" width="10.19921875" style="4" customWidth="1"/>
    <col min="12" max="12" width="10.59765625" style="4" customWidth="1"/>
    <col min="13" max="13" width="9.296875" style="4" customWidth="1"/>
    <col min="14" max="14" width="11.296875" style="4" customWidth="1"/>
    <col min="15" max="16" width="10" style="4" customWidth="1"/>
    <col min="17" max="17" width="9.09765625" style="4" customWidth="1"/>
    <col min="18" max="18" width="6.5" style="4" customWidth="1"/>
    <col min="19" max="19" width="9.09765625" style="4" hidden="1" customWidth="1"/>
    <col min="20" max="20" width="12" style="4" hidden="1" customWidth="1"/>
    <col min="21" max="21" width="12.69921875" style="4" hidden="1" customWidth="1"/>
    <col min="22" max="22" width="11" style="4" hidden="1" customWidth="1"/>
    <col min="23" max="23" width="12" style="4" hidden="1" customWidth="1"/>
    <col min="24" max="24" width="10.796875" style="4" bestFit="1" customWidth="1"/>
    <col min="25" max="16384" width="9" style="4"/>
  </cols>
  <sheetData>
    <row r="1" spans="2:32" ht="15" x14ac:dyDescent="0.25">
      <c r="B1" s="2341" t="s">
        <v>853</v>
      </c>
      <c r="C1" s="2341"/>
      <c r="D1" s="2341"/>
      <c r="E1" s="2341"/>
      <c r="F1" s="2341"/>
      <c r="G1" s="2341"/>
      <c r="H1" s="2341"/>
      <c r="I1" s="2341"/>
      <c r="J1" s="2341"/>
      <c r="K1" s="2341"/>
      <c r="L1" s="2341"/>
      <c r="M1" s="2341"/>
      <c r="N1" s="2341"/>
      <c r="O1" s="74"/>
      <c r="P1" s="5"/>
      <c r="Q1" s="5"/>
      <c r="R1" s="5"/>
      <c r="AF1" s="6" t="s">
        <v>7</v>
      </c>
    </row>
    <row r="2" spans="2:32" ht="8.25" customHeight="1" x14ac:dyDescent="0.2"/>
    <row r="3" spans="2:32" ht="15.75" customHeight="1" x14ac:dyDescent="0.25">
      <c r="B3" s="2347" t="s">
        <v>1</v>
      </c>
      <c r="C3" s="2347"/>
      <c r="D3" s="2342" t="s">
        <v>10</v>
      </c>
      <c r="E3" s="2343"/>
      <c r="F3" s="2343"/>
      <c r="G3" s="2344"/>
      <c r="H3" s="67" t="s">
        <v>0</v>
      </c>
      <c r="I3" s="1598" t="str">
        <f>VLOOKUP(D3,Loc_Name,2,FALSE)</f>
        <v>001</v>
      </c>
      <c r="J3" s="67" t="s">
        <v>407</v>
      </c>
      <c r="K3" s="1599" t="str">
        <f>VLOOKUP(+I3,Agency_Level,3,FALSE)</f>
        <v>Eastern</v>
      </c>
      <c r="L3" s="68"/>
      <c r="M3" s="68"/>
      <c r="N3" s="68"/>
      <c r="O3" s="68"/>
      <c r="R3" s="9"/>
      <c r="S3" s="9"/>
      <c r="T3" s="9"/>
    </row>
    <row r="4" spans="2:32" ht="9" customHeight="1" x14ac:dyDescent="0.2">
      <c r="J4" s="10"/>
      <c r="Q4" s="9"/>
      <c r="R4" s="9"/>
      <c r="S4" s="9"/>
      <c r="T4" s="9"/>
    </row>
    <row r="5" spans="2:32" ht="13.5" customHeight="1" x14ac:dyDescent="0.2">
      <c r="B5" s="2345" t="s">
        <v>408</v>
      </c>
      <c r="C5" s="2345"/>
      <c r="D5" s="161" t="str">
        <f>VLOOKUP(I3,Agency_Level,5,FALSE)</f>
        <v>II (Two)</v>
      </c>
      <c r="E5" s="7" t="s">
        <v>409</v>
      </c>
      <c r="F5" s="2346" t="str">
        <f>VLOOKUP(I3,Agency_Level,9,FALSE)</f>
        <v>Partial deviating</v>
      </c>
      <c r="G5" s="2346"/>
      <c r="H5" s="7" t="s">
        <v>410</v>
      </c>
      <c r="I5" s="162" t="str">
        <f>VLOOKUP(+I3,IT_Support,4,)</f>
        <v>Shared</v>
      </c>
      <c r="J5" s="2352" t="s">
        <v>474</v>
      </c>
      <c r="K5" s="2352"/>
      <c r="L5" s="163" t="str">
        <f>VLOOKUP(I3,Agency_Level,6,FALSE)</f>
        <v>Administrative</v>
      </c>
      <c r="M5" s="2314" t="str">
        <f>IF((VLOOKUP(I3,Agency_Level,6,FALSE))="Administrative"," ",VLOOKUP(I3,Agency_Level,7,FALSE))</f>
        <v xml:space="preserve"> </v>
      </c>
      <c r="N5" s="2314"/>
      <c r="O5" s="101"/>
      <c r="P5" s="101"/>
      <c r="R5" s="12"/>
      <c r="S5" s="12"/>
      <c r="T5" s="12"/>
    </row>
    <row r="6" spans="2:32" ht="7.5" customHeight="1" x14ac:dyDescent="0.2">
      <c r="J6" s="11"/>
      <c r="L6" s="75"/>
      <c r="M6" s="2314"/>
      <c r="N6" s="2314"/>
      <c r="O6" s="75"/>
      <c r="Q6" s="12"/>
      <c r="R6" s="12"/>
      <c r="S6" s="12"/>
      <c r="T6" s="12"/>
    </row>
    <row r="7" spans="2:32" ht="13.5" customHeight="1" x14ac:dyDescent="0.2">
      <c r="B7" s="2356" t="s">
        <v>887</v>
      </c>
      <c r="C7" s="2357"/>
      <c r="D7" s="2364" t="str">
        <f>D3</f>
        <v>Accomack</v>
      </c>
      <c r="E7" s="2365"/>
      <c r="F7" s="2362" t="str">
        <f>K3</f>
        <v>Eastern</v>
      </c>
      <c r="G7" s="2362" t="s">
        <v>8</v>
      </c>
    </row>
    <row r="8" spans="2:32" ht="13.5" customHeight="1" x14ac:dyDescent="0.2">
      <c r="B8" s="2358"/>
      <c r="C8" s="2359"/>
      <c r="D8" s="2366"/>
      <c r="E8" s="2367"/>
      <c r="F8" s="2363"/>
      <c r="G8" s="2363"/>
      <c r="I8" s="1445"/>
      <c r="J8" s="1446"/>
      <c r="K8" s="646"/>
      <c r="L8" s="646"/>
      <c r="M8" s="646"/>
    </row>
    <row r="9" spans="2:32" ht="13.5" customHeight="1" x14ac:dyDescent="0.25">
      <c r="B9" s="2360"/>
      <c r="C9" s="2361"/>
      <c r="D9" s="153" t="s">
        <v>413</v>
      </c>
      <c r="E9" s="154" t="s">
        <v>261</v>
      </c>
      <c r="F9" s="155" t="s">
        <v>261</v>
      </c>
      <c r="G9" s="165" t="s">
        <v>261</v>
      </c>
      <c r="I9" s="1445"/>
      <c r="J9" s="646"/>
      <c r="K9" s="646"/>
      <c r="L9" s="646"/>
      <c r="M9" s="646"/>
    </row>
    <row r="10" spans="2:32" ht="13.5" customHeight="1" x14ac:dyDescent="0.25">
      <c r="B10" s="166" t="s">
        <v>301</v>
      </c>
      <c r="C10" s="156"/>
      <c r="D10" s="157">
        <f>VLOOKUP(I3,Pop_Estimates,5,FALSE)</f>
        <v>32316</v>
      </c>
      <c r="E10" s="152"/>
      <c r="F10" s="158"/>
      <c r="G10" s="167"/>
      <c r="I10" s="1445"/>
      <c r="J10" s="2349" t="s">
        <v>1021</v>
      </c>
      <c r="K10" s="2349"/>
      <c r="L10" s="2349"/>
      <c r="M10" s="2349"/>
    </row>
    <row r="11" spans="2:32" ht="13.5" customHeight="1" x14ac:dyDescent="0.25">
      <c r="B11" s="2373" t="s">
        <v>380</v>
      </c>
      <c r="C11" s="2374"/>
      <c r="D11" s="1447">
        <f>VLOOKUP($I$3,Pop_Estimates,6,FALSE)</f>
        <v>15728</v>
      </c>
      <c r="E11" s="1449">
        <f>VLOOKUP($I$3,Pop_Estimates, 22,FALSE)</f>
        <v>0.48669389775962374</v>
      </c>
      <c r="F11" s="1453">
        <f>VLOOKUP($K$3,Pop_Estimates, 22, FALSE)</f>
        <v>0.49416102963312031</v>
      </c>
      <c r="G11" s="1451">
        <f>'2019 Population'!V5</f>
        <v>0.49209157638803219</v>
      </c>
      <c r="I11" s="1423">
        <f>VLOOKUP(I3,Poverty,5,FALSE)</f>
        <v>5225</v>
      </c>
      <c r="J11" s="2349"/>
      <c r="K11" s="2349"/>
      <c r="L11" s="2349"/>
      <c r="M11" s="2349"/>
    </row>
    <row r="12" spans="2:32" ht="13.5" customHeight="1" x14ac:dyDescent="0.25">
      <c r="B12" s="2375" t="s">
        <v>381</v>
      </c>
      <c r="C12" s="2376"/>
      <c r="D12" s="1448">
        <f>VLOOKUP($I$3,Pop_Estimates,7,FALSE)</f>
        <v>16588</v>
      </c>
      <c r="E12" s="1450">
        <f>VLOOKUP($I$3,Pop_Estimates,23,FALSE)</f>
        <v>0.51330610224037632</v>
      </c>
      <c r="F12" s="1454">
        <f>VLOOKUP($K$3,Pop_Estimates,23,FALSE)</f>
        <v>0.50583897036687964</v>
      </c>
      <c r="G12" s="1452">
        <f>'2019 Population'!W5</f>
        <v>0.50790842361196786</v>
      </c>
      <c r="I12" s="1423"/>
      <c r="J12" s="2377"/>
      <c r="K12" s="2377"/>
      <c r="L12" s="2377"/>
      <c r="M12" s="2377"/>
    </row>
    <row r="13" spans="2:32" ht="13.5" customHeight="1" x14ac:dyDescent="0.25">
      <c r="B13" s="1421" t="s">
        <v>412</v>
      </c>
      <c r="C13" s="1422"/>
      <c r="D13" s="159">
        <f>VLOOKUP($I$3,Pop_Estimates,13,FALSE)</f>
        <v>6690</v>
      </c>
      <c r="E13" s="110">
        <f>VLOOKUP($I$3,Pop_Estimates,29,FALSE)</f>
        <v>0.20701819532120311</v>
      </c>
      <c r="F13" s="1455">
        <f>VLOOKUP($K$3,Pop_Estimates,29,FALSE)</f>
        <v>0.21679717210442279</v>
      </c>
      <c r="G13" s="168">
        <f>'2019 Population'!AC5</f>
        <v>0.21801228490030894</v>
      </c>
      <c r="I13" s="2216">
        <f>VLOOKUP(I3,Poverty,6,FALSE)</f>
        <v>0.16379823818928493</v>
      </c>
      <c r="J13" s="2349" t="s">
        <v>1018</v>
      </c>
      <c r="K13" s="2349"/>
      <c r="L13" s="2349"/>
      <c r="M13" s="2349"/>
    </row>
    <row r="14" spans="2:32" ht="13.5" customHeight="1" x14ac:dyDescent="0.25">
      <c r="B14" s="1421" t="s">
        <v>469</v>
      </c>
      <c r="C14" s="1422"/>
      <c r="D14" s="159">
        <f>VLOOKUP($I$3,Pop_Estimates,14,FALSE)</f>
        <v>17692</v>
      </c>
      <c r="E14" s="110">
        <f>VLOOKUP($I$3,Pop_Estimates,30,FALSE)</f>
        <v>0.54746874613194707</v>
      </c>
      <c r="F14" s="1455">
        <f>VLOOKUP($K$3,Pop_Estimates,30,FALSE)</f>
        <v>0.62804939668937076</v>
      </c>
      <c r="G14" s="168">
        <f>'2019 Population'!AD5</f>
        <v>0.62278169611010181</v>
      </c>
      <c r="I14" s="2216"/>
      <c r="J14" s="2349"/>
      <c r="K14" s="2349"/>
      <c r="L14" s="2349"/>
      <c r="M14" s="2349"/>
    </row>
    <row r="15" spans="2:32" ht="13.5" customHeight="1" x14ac:dyDescent="0.25">
      <c r="B15" s="2312" t="s">
        <v>478</v>
      </c>
      <c r="C15" s="2313"/>
      <c r="D15" s="159">
        <f>VLOOKUP($I$3,Pop_Estimates,15,FALSE)</f>
        <v>7934</v>
      </c>
      <c r="E15" s="110">
        <f>VLOOKUP($I$3,Pop_Estimates,31,FALSE)</f>
        <v>0.24551305854684985</v>
      </c>
      <c r="F15" s="1455">
        <f>VLOOKUP($K$3,Pop_Estimates,31,FALSE)</f>
        <v>0.15515343120620639</v>
      </c>
      <c r="G15" s="168">
        <f>'2019 Population'!AE5</f>
        <v>0.15920601898958928</v>
      </c>
      <c r="I15" s="2216"/>
      <c r="J15" s="2349"/>
      <c r="K15" s="2349"/>
      <c r="L15" s="2349"/>
      <c r="M15" s="2349"/>
    </row>
    <row r="16" spans="2:32" ht="13.5" customHeight="1" x14ac:dyDescent="0.25">
      <c r="B16" s="2353" t="s">
        <v>754</v>
      </c>
      <c r="C16" s="2354"/>
      <c r="D16" s="1439">
        <f>VLOOKUP($I$3,Pop_Estimates,8,FALSE)</f>
        <v>21899</v>
      </c>
      <c r="E16" s="1440">
        <f>VLOOKUP($I$3,Pop_Estimates,24,FALSE)</f>
        <v>0.67765193712093086</v>
      </c>
      <c r="F16" s="1456">
        <f>VLOOKUP($K$3,Pop_Estimates,24,FALSE)</f>
        <v>0.59104443000096807</v>
      </c>
      <c r="G16" s="1441">
        <f>'2019 Population'!X5</f>
        <v>0.69388258640160017</v>
      </c>
      <c r="I16" s="2355">
        <f>VLOOKUP(I3,Poverty,8,FALSE)</f>
        <v>1867</v>
      </c>
      <c r="J16" s="2348" t="s">
        <v>1019</v>
      </c>
      <c r="K16" s="2348"/>
      <c r="L16" s="2348"/>
      <c r="M16" s="2348"/>
    </row>
    <row r="17" spans="2:17" ht="13.5" customHeight="1" x14ac:dyDescent="0.25">
      <c r="B17" s="2312" t="s">
        <v>756</v>
      </c>
      <c r="C17" s="2313"/>
      <c r="D17" s="160">
        <f>VLOOKUP($I$3,Pop_Estimates,9,FALSE)</f>
        <v>9304</v>
      </c>
      <c r="E17" s="110">
        <f>VLOOKUP($I$3,Pop_Estimates,25,FALSE)</f>
        <v>0.28790691917316502</v>
      </c>
      <c r="F17" s="1455">
        <f>VLOOKUP($K$3,Pop_Estimates,25,FALSE)</f>
        <v>0.32617175657376157</v>
      </c>
      <c r="G17" s="168">
        <f>'2019 Population'!Y5</f>
        <v>0.1988058371142985</v>
      </c>
      <c r="I17" s="2355"/>
      <c r="J17" s="2349"/>
      <c r="K17" s="2349"/>
      <c r="L17" s="2349"/>
      <c r="M17" s="2349"/>
    </row>
    <row r="18" spans="2:17" ht="13.5" customHeight="1" x14ac:dyDescent="0.25">
      <c r="B18" s="2312" t="s">
        <v>752</v>
      </c>
      <c r="C18" s="2313"/>
      <c r="D18" s="160">
        <f>VLOOKUP($I$3,Pop_Estimates,10,FALSE)</f>
        <v>257</v>
      </c>
      <c r="E18" s="110">
        <f>VLOOKUP($I$3,Pop_Estimates,26,FALSE)</f>
        <v>7.9527169204109422E-3</v>
      </c>
      <c r="F18" s="1455">
        <f>VLOOKUP($K$3,Pop_Estimates,26,FALSE)</f>
        <v>3.916492830799638E-2</v>
      </c>
      <c r="G18" s="168">
        <f>'2019 Population'!Z5</f>
        <v>6.908894467928664E-2</v>
      </c>
      <c r="I18" s="2355"/>
      <c r="J18" s="2350"/>
      <c r="K18" s="2350"/>
      <c r="L18" s="2350"/>
      <c r="M18" s="2350"/>
    </row>
    <row r="19" spans="2:17" ht="13.5" customHeight="1" x14ac:dyDescent="0.25">
      <c r="B19" s="2312" t="s">
        <v>388</v>
      </c>
      <c r="C19" s="2313"/>
      <c r="D19" s="160">
        <f>VLOOKUP($I$3,Pop_Estimates,11,FALSE)</f>
        <v>293</v>
      </c>
      <c r="E19" s="110">
        <f>VLOOKUP($I$3,Pop_Estimates,27,FALSE)</f>
        <v>9.066716177744771E-3</v>
      </c>
      <c r="F19" s="1455">
        <f>VLOOKUP($K$3,Pop_Estimates,27,FALSE)</f>
        <v>6.9963396070263379E-3</v>
      </c>
      <c r="G19" s="168">
        <f>'2019 Population'!AA5</f>
        <v>6.6421268583667847E-3</v>
      </c>
      <c r="I19" s="2216">
        <f>VLOOKUP(I3,Poverty,9,FALSE)</f>
        <v>0.28486420506560878</v>
      </c>
      <c r="J19" s="2351" t="s">
        <v>1020</v>
      </c>
      <c r="K19" s="2351"/>
      <c r="L19" s="2351"/>
      <c r="M19" s="2351"/>
      <c r="Q19" s="18"/>
    </row>
    <row r="20" spans="2:17" ht="13.5" customHeight="1" x14ac:dyDescent="0.25">
      <c r="B20" s="2312" t="s">
        <v>746</v>
      </c>
      <c r="C20" s="2313"/>
      <c r="D20" s="160">
        <f>VLOOKUP($I$3,Pop_Estimates,12,FALSE)</f>
        <v>563</v>
      </c>
      <c r="E20" s="110">
        <f>VLOOKUP($I$3,Pop_Estimates,28,FALSE)</f>
        <v>1.7421710607748483E-2</v>
      </c>
      <c r="F20" s="1455">
        <f>VLOOKUP($K$3,Pop_Estimates,28,FALSE)</f>
        <v>3.6622545510247718E-2</v>
      </c>
      <c r="G20" s="168">
        <f>'2019 Population'!AB5</f>
        <v>3.1580504946447895E-2</v>
      </c>
      <c r="I20" s="2216"/>
      <c r="J20" s="2349"/>
      <c r="K20" s="2349"/>
      <c r="L20" s="2349"/>
      <c r="M20" s="2349"/>
    </row>
    <row r="21" spans="2:17" ht="13.5" customHeight="1" x14ac:dyDescent="0.25">
      <c r="B21" s="2368" t="s">
        <v>757</v>
      </c>
      <c r="C21" s="2369"/>
      <c r="D21" s="1442">
        <f>VLOOKUP($I$3,Pop_Estimates,32,FALSE)</f>
        <v>2955</v>
      </c>
      <c r="E21" s="1443">
        <f>VLOOKUP(I3,Pop_Estimates,33,FALSE)</f>
        <v>9.1440772372818419E-2</v>
      </c>
      <c r="F21" s="1457">
        <f>VLOOKUP($K$3,Pop_Estimates,33,FALSE)</f>
        <v>7.0954818985536072E-2</v>
      </c>
      <c r="G21" s="1444">
        <f>'2019 Population'!AG5</f>
        <v>9.7758788891454632E-2</v>
      </c>
      <c r="H21" s="16"/>
      <c r="I21" s="2216"/>
      <c r="J21" s="2349"/>
      <c r="K21" s="2349"/>
      <c r="L21" s="2349"/>
      <c r="M21" s="2349"/>
    </row>
    <row r="22" spans="2:17" ht="13.5" customHeight="1" x14ac:dyDescent="0.2">
      <c r="B22" s="2210" t="s">
        <v>847</v>
      </c>
      <c r="C22" s="2210"/>
      <c r="D22" s="2210"/>
      <c r="E22" s="2210"/>
      <c r="F22" s="2210"/>
      <c r="G22" s="2210"/>
      <c r="H22" s="111"/>
      <c r="I22" s="111"/>
      <c r="J22" s="2378" t="s">
        <v>946</v>
      </c>
      <c r="K22" s="2378"/>
      <c r="L22" s="2378"/>
      <c r="M22" s="2378"/>
    </row>
    <row r="23" spans="2:17" ht="13.5" customHeight="1" x14ac:dyDescent="0.2">
      <c r="B23" s="2210"/>
      <c r="C23" s="2210"/>
      <c r="D23" s="2210"/>
      <c r="E23" s="2210"/>
      <c r="F23" s="2210"/>
      <c r="G23" s="2210"/>
      <c r="H23" s="111"/>
      <c r="I23" s="111"/>
      <c r="J23" s="2378"/>
      <c r="K23" s="2378"/>
      <c r="L23" s="2378"/>
      <c r="M23" s="2378"/>
    </row>
    <row r="24" spans="2:17" ht="13.5" customHeight="1" x14ac:dyDescent="0.2">
      <c r="B24" s="2210"/>
      <c r="C24" s="2210"/>
      <c r="D24" s="2210"/>
      <c r="E24" s="2210"/>
      <c r="F24" s="2210"/>
      <c r="G24" s="2210"/>
      <c r="H24" s="111"/>
      <c r="I24" s="111"/>
    </row>
    <row r="25" spans="2:17" ht="13.5" customHeight="1" x14ac:dyDescent="0.2">
      <c r="B25" s="2394" t="s">
        <v>480</v>
      </c>
      <c r="C25" s="2280" t="str">
        <f>D3</f>
        <v>Accomack</v>
      </c>
      <c r="D25" s="2281"/>
      <c r="E25" s="2280" t="str">
        <f>K3</f>
        <v>Eastern</v>
      </c>
      <c r="F25" s="2281"/>
      <c r="G25" s="2398" t="s">
        <v>8</v>
      </c>
      <c r="H25" s="2399"/>
      <c r="J25" s="73"/>
    </row>
    <row r="26" spans="2:17" ht="13.5" customHeight="1" x14ac:dyDescent="0.2">
      <c r="B26" s="2395"/>
      <c r="C26" s="2282"/>
      <c r="D26" s="2283"/>
      <c r="E26" s="2282"/>
      <c r="F26" s="2283"/>
      <c r="G26" s="2400"/>
      <c r="H26" s="2401"/>
      <c r="J26" s="73"/>
    </row>
    <row r="27" spans="2:17" ht="13.5" customHeight="1" x14ac:dyDescent="0.2">
      <c r="B27" s="2395"/>
      <c r="C27" s="1648" t="s">
        <v>481</v>
      </c>
      <c r="D27" s="1649" t="s">
        <v>6</v>
      </c>
      <c r="E27" s="1648" t="s">
        <v>481</v>
      </c>
      <c r="F27" s="1649" t="s">
        <v>6</v>
      </c>
      <c r="G27" s="1648" t="s">
        <v>481</v>
      </c>
      <c r="H27" s="1649" t="s">
        <v>6</v>
      </c>
    </row>
    <row r="28" spans="2:17" ht="13.5" customHeight="1" x14ac:dyDescent="0.2">
      <c r="B28" s="1654">
        <v>2007</v>
      </c>
      <c r="C28" s="1655">
        <f>VLOOKUP(I3,Poverty_AllAges,11,FALSE)</f>
        <v>0.16800000000000001</v>
      </c>
      <c r="D28" s="1656">
        <f>VLOOKUP(I3,Poverty_Child,11,FALSE)</f>
        <v>0.25100000000000006</v>
      </c>
      <c r="E28" s="1655">
        <f>VLOOKUP(K3,Poverty_AllAges,11,FALSE)</f>
        <v>0.11202655946373949</v>
      </c>
      <c r="F28" s="1656">
        <f>VLOOKUP(K3,Poverty_Child,11,FALSE)</f>
        <v>0.15611975749596346</v>
      </c>
      <c r="G28" s="1655">
        <f>'Poverty_All ages'!K4</f>
        <v>9.9000000000000005E-2</v>
      </c>
      <c r="H28" s="1657">
        <f>Poverty_Child!K5</f>
        <v>0.12930216566469369</v>
      </c>
    </row>
    <row r="29" spans="2:17" ht="13.5" customHeight="1" x14ac:dyDescent="0.2">
      <c r="B29" s="1650">
        <v>2008</v>
      </c>
      <c r="C29" s="1651">
        <f>VLOOKUP(I3,Poverty_AllAges,12,FALSE)</f>
        <v>0.20600000000000002</v>
      </c>
      <c r="D29" s="1652">
        <f>VLOOKUP(I3,Poverty_Child,12,FALSE)</f>
        <v>0.29699999999999999</v>
      </c>
      <c r="E29" s="1651">
        <f>VLOOKUP(K3,Poverty_AllAges,12,FALSE)</f>
        <v>0.11571808952754851</v>
      </c>
      <c r="F29" s="1652">
        <f>VLOOKUP(K3,Poverty_Child,12,FALSE)</f>
        <v>0.16549851613310601</v>
      </c>
      <c r="G29" s="1651">
        <f>'Poverty_All ages'!L4</f>
        <v>0.10210000000000001</v>
      </c>
      <c r="H29" s="1653">
        <f>Poverty_Child!L5</f>
        <v>0.13580226821250407</v>
      </c>
    </row>
    <row r="30" spans="2:17" ht="13.5" customHeight="1" x14ac:dyDescent="0.2">
      <c r="B30" s="1654">
        <v>2009</v>
      </c>
      <c r="C30" s="1655">
        <f>VLOOKUP(I3,Poverty_AllAges,13,FALSE)</f>
        <v>0.183</v>
      </c>
      <c r="D30" s="1656">
        <f>VLOOKUP(I3,Poverty_Child,13,FALSE)</f>
        <v>0.27400000000000002</v>
      </c>
      <c r="E30" s="1655">
        <f>VLOOKUP(K3,Poverty_AllAges,13,FALSE)</f>
        <v>0.11429957969100746</v>
      </c>
      <c r="F30" s="1656">
        <f>VLOOKUP(K3,Poverty_Child,13,FALSE)</f>
        <v>0.16261973561466178</v>
      </c>
      <c r="G30" s="1655">
        <f>'Poverty_All ages'!M4</f>
        <v>0.1057</v>
      </c>
      <c r="H30" s="1657">
        <f>Poverty_Child!M5</f>
        <v>0.14000000000000001</v>
      </c>
    </row>
    <row r="31" spans="2:17" ht="13.5" customHeight="1" x14ac:dyDescent="0.2">
      <c r="B31" s="1650">
        <v>2010</v>
      </c>
      <c r="C31" s="1651">
        <f>VLOOKUP(I3,Poverty_AllAges,14,FALSE)</f>
        <v>0.20499999999999999</v>
      </c>
      <c r="D31" s="1652">
        <f>VLOOKUP(I3,Poverty_Child,14,FALSE)</f>
        <v>0.28699999999999998</v>
      </c>
      <c r="E31" s="1651">
        <f>VLOOKUP(K3,Poverty_AllAges,14,FALSE)</f>
        <v>0.12023872863352066</v>
      </c>
      <c r="F31" s="1652">
        <f>VLOOKUP(K3,Poverty_Child,14,FALSE)</f>
        <v>0.16684839324070738</v>
      </c>
      <c r="G31" s="1651">
        <f>'Poverty_All ages'!N4</f>
        <v>0.11118840014389482</v>
      </c>
      <c r="H31" s="1653">
        <f>Poverty_Child!N5</f>
        <v>0.14555376556266278</v>
      </c>
    </row>
    <row r="32" spans="2:17" ht="13.5" customHeight="1" x14ac:dyDescent="0.2">
      <c r="B32" s="1654">
        <v>2011</v>
      </c>
      <c r="C32" s="1655">
        <f>VLOOKUP(I3,Poverty_AllAges,15,FALSE)</f>
        <v>0.193</v>
      </c>
      <c r="D32" s="1656">
        <f>VLOOKUP(I3,Poverty_Child,15,FALSE)</f>
        <v>0.30499999999999999</v>
      </c>
      <c r="E32" s="1655">
        <f>VLOOKUP(K3,Poverty_AllAges,15,FALSE)</f>
        <v>0.12870004950966066</v>
      </c>
      <c r="F32" s="1656">
        <f>VLOOKUP(K3,Poverty_Child,15,FALSE)</f>
        <v>0.18344688787599084</v>
      </c>
      <c r="G32" s="1655">
        <f>'Poverty_All ages'!O4</f>
        <v>0.11600000000000001</v>
      </c>
      <c r="H32" s="1657">
        <f>Poverty_Child!O5</f>
        <v>0.156</v>
      </c>
    </row>
    <row r="33" spans="2:8" ht="13.5" customHeight="1" x14ac:dyDescent="0.2">
      <c r="B33" s="1650">
        <v>2012</v>
      </c>
      <c r="C33" s="1651">
        <f>VLOOKUP(I3,Poverty_AllAges,16,FALSE)</f>
        <v>0.19900000000000001</v>
      </c>
      <c r="D33" s="1652">
        <f>VLOOKUP(I3,Poverty_Child,16,FALSE)</f>
        <v>0.314</v>
      </c>
      <c r="E33" s="1651">
        <f>VLOOKUP(K3,Poverty_AllAges,16,FALSE)</f>
        <v>0.13600000000000001</v>
      </c>
      <c r="F33" s="1652">
        <f>VLOOKUP(K3,Poverty_Child,16,FALSE)</f>
        <v>0.19465468306527908</v>
      </c>
      <c r="G33" s="1651">
        <f>'Poverty_All ages'!P4</f>
        <v>0.11799999999999999</v>
      </c>
      <c r="H33" s="1653">
        <f>Poverty_Child!P5</f>
        <v>0.155</v>
      </c>
    </row>
    <row r="34" spans="2:8" ht="13.5" customHeight="1" x14ac:dyDescent="0.2">
      <c r="B34" s="1654">
        <v>2013</v>
      </c>
      <c r="C34" s="1655">
        <f>VLOOKUP(I3,Poverty_AllAges,17,FALSE)</f>
        <v>0.19252741881281887</v>
      </c>
      <c r="D34" s="1656">
        <f>VLOOKUP(I3,Poverty_Child,17,FALSE)</f>
        <v>0.29439930354033661</v>
      </c>
      <c r="E34" s="1655">
        <f>VLOOKUP(K3,Poverty_AllAges,17,FALSE)</f>
        <v>0.13722953804582269</v>
      </c>
      <c r="F34" s="1656">
        <f>VLOOKUP(K3,Poverty_Child,17,FALSE)</f>
        <v>0.19731917697955095</v>
      </c>
      <c r="G34" s="1655">
        <f>'Poverty_All ages'!Q4</f>
        <v>0.11747751027208382</v>
      </c>
      <c r="H34" s="1657">
        <f>Poverty_Child!Q5</f>
        <v>0.15745553871615489</v>
      </c>
    </row>
    <row r="35" spans="2:8" ht="13.5" customHeight="1" x14ac:dyDescent="0.2">
      <c r="B35" s="1650">
        <v>2014</v>
      </c>
      <c r="C35" s="1651">
        <f>VLOOKUP(I3,Poverty_AllAges,18,FALSE)</f>
        <v>0.19371551195585529</v>
      </c>
      <c r="D35" s="1653">
        <f>VLOOKUP(I3,Poverty_Child,18,FALSE)</f>
        <v>0.30916311222238563</v>
      </c>
      <c r="E35" s="1651">
        <f>VLOOKUP(K3,Poverty_AllAges,18,FALSE)</f>
        <v>0.13349245196423984</v>
      </c>
      <c r="F35" s="1653">
        <f>VLOOKUP(K3,Poverty_Child,18,FALSE)</f>
        <v>0.1918605782799529</v>
      </c>
      <c r="G35" s="1651">
        <f>'Poverty_All ages'!R4</f>
        <v>0.1182560438559494</v>
      </c>
      <c r="H35" s="1653">
        <f>Poverty_Child!R5</f>
        <v>0.15872305329925826</v>
      </c>
    </row>
    <row r="36" spans="2:8" ht="13.5" customHeight="1" x14ac:dyDescent="0.2">
      <c r="B36" s="1654">
        <v>2015</v>
      </c>
      <c r="C36" s="957">
        <f>VLOOKUP(I3,Poverty_AllAges,19,FALSE)</f>
        <v>0.20385040530582166</v>
      </c>
      <c r="D36" s="958">
        <f>VLOOKUP(I3,Poverty_Child,19,FALSE)</f>
        <v>0.3097292472478429</v>
      </c>
      <c r="E36" s="1658">
        <f>VLOOKUP(K3,Poverty_AllAges,19,FALSE)</f>
        <v>0.12957719229379919</v>
      </c>
      <c r="F36" s="1659">
        <f>VLOOKUP(K3,Poverty_Child,19,FALSE)</f>
        <v>0.18934995181748365</v>
      </c>
      <c r="G36" s="1658">
        <f>'Poverty_All ages'!S4</f>
        <v>0.11243251566072024</v>
      </c>
      <c r="H36" s="1659">
        <f>Poverty_Child!S5</f>
        <v>0.14973262322463776</v>
      </c>
    </row>
    <row r="37" spans="2:8" ht="13.5" customHeight="1" x14ac:dyDescent="0.2">
      <c r="B37" s="1865">
        <v>2016</v>
      </c>
      <c r="C37" s="1866">
        <f>VLOOKUP($I$3,Poverty_AllAges,20,FALSE)</f>
        <v>0.19962491545225358</v>
      </c>
      <c r="D37" s="1867">
        <f>VLOOKUP($I$3,Poverty_Child,20,FALSE)</f>
        <v>0.31782713085234093</v>
      </c>
      <c r="E37" s="1651">
        <f>VLOOKUP($K$3,Poverty_AllAges,20,FALSE)</f>
        <v>0.12507315600745675</v>
      </c>
      <c r="F37" s="1653">
        <f>VLOOKUP($K$3,Poverty_Child,20,FALSE)</f>
        <v>0.18052845987901542</v>
      </c>
      <c r="G37" s="1651">
        <f>'Poverty_All ages'!T4</f>
        <v>0.11</v>
      </c>
      <c r="H37" s="1653">
        <f>Poverty_Child!T5</f>
        <v>0.14299999999999999</v>
      </c>
    </row>
    <row r="38" spans="2:8" ht="13.5" customHeight="1" x14ac:dyDescent="0.2">
      <c r="B38" s="2037">
        <v>2017</v>
      </c>
      <c r="C38" s="2038">
        <f>VLOOKUP($I$3,Poverty_AllAges,21,FALSE)</f>
        <v>0.17779367844698854</v>
      </c>
      <c r="D38" s="2039">
        <f>VLOOKUP($I$3,Poverty_Child,21,FALSE)</f>
        <v>0.27984344422700586</v>
      </c>
      <c r="E38" s="2038">
        <f>VLOOKUP($K$3,Poverty_AllAges,21,FALSE)</f>
        <v>0.12629211243904365</v>
      </c>
      <c r="F38" s="2039">
        <f>VLOOKUP($K$3,Poverty_Child,21,FALSE)</f>
        <v>0.17975348545277525</v>
      </c>
      <c r="G38" s="2038">
        <f>'Poverty_All ages'!U4</f>
        <v>0.10660964522446841</v>
      </c>
      <c r="H38" s="2039">
        <f>Poverty_Child!U5</f>
        <v>0.14008988319961607</v>
      </c>
    </row>
    <row r="39" spans="2:8" ht="13.5" customHeight="1" x14ac:dyDescent="0.2">
      <c r="B39" s="1868">
        <v>2018</v>
      </c>
      <c r="C39" s="1869">
        <f>VLOOKUP($I$3,Poverty_AllAges,22,FALSE)</f>
        <v>0.17348373589975941</v>
      </c>
      <c r="D39" s="1870">
        <f>VLOOKUP($I$3,Poverty_Child,22,FALSE)</f>
        <v>0.26963711529627926</v>
      </c>
      <c r="E39" s="1869">
        <f>VLOOKUP($K$3,Poverty_AllAges,22,FALSE)</f>
        <v>0.12021782421909961</v>
      </c>
      <c r="F39" s="1870">
        <f>VLOOKUP($K$3,Poverty_Child,22,FALSE)</f>
        <v>0.17058048380708499</v>
      </c>
      <c r="G39" s="1869">
        <f>'Poverty_All ages'!V4</f>
        <v>0.10707738460991145</v>
      </c>
      <c r="H39" s="1870">
        <f>Poverty_Child!V5</f>
        <v>0.13783587437996395</v>
      </c>
    </row>
    <row r="40" spans="2:8" ht="13.5" customHeight="1" x14ac:dyDescent="0.2">
      <c r="B40" s="2151">
        <v>2019</v>
      </c>
      <c r="C40" s="2152">
        <f>VLOOKUP($I$3,Poverty_AllAges,23,FALSE)</f>
        <v>0.16379823818928493</v>
      </c>
      <c r="D40" s="2153">
        <f>VLOOKUP($I$3,Poverty_Child,23,FALSE)</f>
        <v>0.28486420506560878</v>
      </c>
      <c r="E40" s="2152">
        <f>VLOOKUP($K$3,Poverty_AllAges,23,FALSE)</f>
        <v>0.11381128609451786</v>
      </c>
      <c r="F40" s="2153">
        <f>VLOOKUP($K$3,Poverty_Child,23,FALSE)</f>
        <v>0.16713823666148439</v>
      </c>
      <c r="G40" s="2152">
        <f>'Poverty_All ages'!W4</f>
        <v>9.9397463030203179E-2</v>
      </c>
      <c r="H40" s="2153">
        <f>Poverty_Child!W5</f>
        <v>0.13289110368588561</v>
      </c>
    </row>
    <row r="41" spans="2:8" ht="13.5" customHeight="1" x14ac:dyDescent="0.2">
      <c r="B41" s="112" t="s">
        <v>479</v>
      </c>
      <c r="C41" s="28"/>
    </row>
    <row r="42" spans="2:8" ht="13.5" customHeight="1" x14ac:dyDescent="0.2">
      <c r="B42" s="112"/>
      <c r="C42" s="28"/>
    </row>
    <row r="43" spans="2:8" ht="13.5" customHeight="1" x14ac:dyDescent="0.2">
      <c r="B43" s="112"/>
      <c r="C43" s="28"/>
    </row>
    <row r="44" spans="2:8" ht="13.5" customHeight="1" x14ac:dyDescent="0.2">
      <c r="B44" s="112"/>
      <c r="C44" s="28"/>
    </row>
    <row r="45" spans="2:8" ht="13.5" customHeight="1" x14ac:dyDescent="0.2">
      <c r="B45" s="2183"/>
      <c r="C45" s="2183"/>
      <c r="D45" s="2183"/>
      <c r="E45" s="2183"/>
      <c r="F45" s="2183"/>
    </row>
    <row r="46" spans="2:8" ht="13.5" customHeight="1" x14ac:dyDescent="0.2">
      <c r="B46" s="2183"/>
      <c r="C46" s="2183"/>
      <c r="D46" s="2183"/>
      <c r="E46" s="2183"/>
      <c r="F46" s="2183"/>
    </row>
    <row r="47" spans="2:8" ht="13.5" customHeight="1" x14ac:dyDescent="0.2">
      <c r="B47" s="2183"/>
      <c r="C47" s="2183"/>
      <c r="D47" s="2183"/>
      <c r="E47" s="2183"/>
      <c r="F47" s="2183"/>
    </row>
    <row r="48" spans="2:8" ht="13.5" customHeight="1" x14ac:dyDescent="0.2">
      <c r="B48" s="2183"/>
      <c r="C48" s="2183"/>
      <c r="D48" s="2183"/>
      <c r="E48" s="2183"/>
      <c r="F48" s="2183"/>
    </row>
    <row r="49" spans="2:14" ht="13.5" customHeight="1" x14ac:dyDescent="0.2">
      <c r="B49" s="2183"/>
      <c r="C49" s="2183"/>
      <c r="D49" s="2183"/>
      <c r="E49" s="2183"/>
      <c r="F49" s="2183"/>
    </row>
    <row r="50" spans="2:14" ht="13.5" customHeight="1" x14ac:dyDescent="0.2">
      <c r="B50" s="2183"/>
      <c r="C50" s="2183"/>
      <c r="D50" s="2183"/>
      <c r="E50" s="2183"/>
      <c r="F50" s="2183"/>
    </row>
    <row r="51" spans="2:14" ht="13.5" customHeight="1" x14ac:dyDescent="0.2">
      <c r="B51" s="2183"/>
      <c r="C51" s="2183"/>
      <c r="D51" s="2183"/>
      <c r="E51" s="2183"/>
      <c r="F51" s="2183"/>
    </row>
    <row r="52" spans="2:14" ht="13.5" customHeight="1" x14ac:dyDescent="0.2">
      <c r="B52" s="2183"/>
      <c r="C52" s="2183"/>
      <c r="D52" s="2183"/>
      <c r="E52" s="2183"/>
      <c r="F52" s="2183"/>
    </row>
    <row r="53" spans="2:14" ht="13.5" customHeight="1" x14ac:dyDescent="0.2">
      <c r="B53" s="2183"/>
      <c r="C53" s="2183"/>
      <c r="D53" s="2183"/>
      <c r="E53" s="2183"/>
      <c r="F53" s="2183"/>
    </row>
    <row r="54" spans="2:14" ht="13.5" customHeight="1" x14ac:dyDescent="0.2">
      <c r="B54" s="2183"/>
      <c r="C54" s="2183"/>
      <c r="D54" s="2183"/>
      <c r="E54" s="2183"/>
      <c r="F54" s="2183"/>
    </row>
    <row r="55" spans="2:14" ht="13.5" customHeight="1" x14ac:dyDescent="0.2">
      <c r="B55" s="2183"/>
      <c r="C55" s="2183"/>
      <c r="D55" s="2183"/>
      <c r="E55" s="2183"/>
      <c r="F55" s="2183"/>
    </row>
    <row r="56" spans="2:14" ht="13.5" customHeight="1" x14ac:dyDescent="0.2">
      <c r="B56" s="2213" t="s">
        <v>984</v>
      </c>
      <c r="C56" s="2213"/>
      <c r="D56" s="2213"/>
      <c r="E56" s="2213"/>
      <c r="F56" s="2213"/>
      <c r="G56" s="2213"/>
      <c r="H56" s="2213"/>
      <c r="I56" s="2213"/>
      <c r="J56" s="2213"/>
      <c r="K56" s="2213"/>
      <c r="L56" s="2213"/>
      <c r="M56" s="2213"/>
      <c r="N56" s="2213"/>
    </row>
    <row r="57" spans="2:14" ht="13.5" customHeight="1" x14ac:dyDescent="0.2">
      <c r="B57" s="2336" t="s">
        <v>482</v>
      </c>
      <c r="C57" s="2338" t="str">
        <f>D3</f>
        <v>Accomack</v>
      </c>
      <c r="D57" s="2338"/>
      <c r="E57" s="2402" t="str">
        <f>K3</f>
        <v>Eastern</v>
      </c>
      <c r="F57" s="2403" t="s">
        <v>8</v>
      </c>
      <c r="G57" s="2294"/>
      <c r="H57" s="2294"/>
    </row>
    <row r="58" spans="2:14" ht="13.5" customHeight="1" x14ac:dyDescent="0.2">
      <c r="B58" s="2337"/>
      <c r="C58" s="2339"/>
      <c r="D58" s="2339"/>
      <c r="E58" s="2339"/>
      <c r="F58" s="2339"/>
      <c r="G58" s="2294"/>
      <c r="H58" s="2294"/>
    </row>
    <row r="59" spans="2:14" ht="13.5" customHeight="1" x14ac:dyDescent="0.2">
      <c r="B59" s="2337"/>
      <c r="C59" s="1726" t="s">
        <v>413</v>
      </c>
      <c r="D59" s="1727" t="s">
        <v>483</v>
      </c>
      <c r="E59" s="1728" t="s">
        <v>483</v>
      </c>
      <c r="F59" s="1952" t="s">
        <v>483</v>
      </c>
      <c r="G59" s="139"/>
      <c r="H59" s="139"/>
    </row>
    <row r="60" spans="2:14" ht="13.5" customHeight="1" x14ac:dyDescent="0.2">
      <c r="B60" s="1718">
        <v>2007</v>
      </c>
      <c r="C60" s="1719">
        <f>VLOOKUP(I3,Employment,26,FALSE)</f>
        <v>772</v>
      </c>
      <c r="D60" s="1657">
        <f>VLOOKUP($I$3,Employment,27,FALSE)</f>
        <v>4.1107561235356763E-2</v>
      </c>
      <c r="E60" s="1724">
        <f>VLOOKUP($K$3,Employment,27,FALSE)</f>
        <v>3.2849552788217003E-2</v>
      </c>
      <c r="F60" s="1953">
        <f>Unemployment!AA5</f>
        <v>3.2873085056396793E-2</v>
      </c>
      <c r="G60" s="141"/>
      <c r="H60" s="140"/>
    </row>
    <row r="61" spans="2:14" ht="13.5" customHeight="1" x14ac:dyDescent="0.2">
      <c r="B61" s="1717">
        <v>2008</v>
      </c>
      <c r="C61" s="1720">
        <f>VLOOKUP(I3,Employment,29,FALSE)</f>
        <v>947</v>
      </c>
      <c r="D61" s="1653">
        <f>VLOOKUP($I$3,Employment,30,FALSE)</f>
        <v>4.9865725870149015E-2</v>
      </c>
      <c r="E61" s="1723">
        <f>VLOOKUP($K$3,Employment,30,FALSE)</f>
        <v>4.265544974347197E-2</v>
      </c>
      <c r="F61" s="1954">
        <f>Unemployment!AD5</f>
        <v>4.2597119742362341E-2</v>
      </c>
      <c r="G61" s="141"/>
      <c r="H61" s="140"/>
    </row>
    <row r="62" spans="2:14" ht="13.5" customHeight="1" x14ac:dyDescent="0.2">
      <c r="B62" s="1718">
        <v>2009</v>
      </c>
      <c r="C62" s="1719">
        <f>VLOOKUP(I3,Employment,32,FALSE)</f>
        <v>1279</v>
      </c>
      <c r="D62" s="1657">
        <f>VLOOKUP($I$3,Employment,33,FALSE)</f>
        <v>6.4910678034916763E-2</v>
      </c>
      <c r="E62" s="1724">
        <f>VLOOKUP($K$3,Employment,33,FALSE)</f>
        <v>6.9850717351953584E-2</v>
      </c>
      <c r="F62" s="1953">
        <f>Unemployment!AG5</f>
        <v>6.8380628917558348E-2</v>
      </c>
      <c r="G62" s="141"/>
      <c r="H62" s="140"/>
    </row>
    <row r="63" spans="2:14" ht="13.5" customHeight="1" x14ac:dyDescent="0.2">
      <c r="B63" s="1717">
        <v>2010</v>
      </c>
      <c r="C63" s="1720">
        <f>VLOOKUP(I3,Employment,35,FALSE)</f>
        <v>1360</v>
      </c>
      <c r="D63" s="1653">
        <f>VLOOKUP($I$3,Employment,36,FALSE)</f>
        <v>8.0803279662527483E-2</v>
      </c>
      <c r="E63" s="1723">
        <f>VLOOKUP($K$3,Employment,36,FALSE)</f>
        <v>7.8988639067662014E-2</v>
      </c>
      <c r="F63" s="1954">
        <f>Unemployment!AJ5</f>
        <v>7.3217762958312088E-2</v>
      </c>
      <c r="G63" s="141"/>
      <c r="H63" s="140"/>
    </row>
    <row r="64" spans="2:14" ht="13.5" customHeight="1" x14ac:dyDescent="0.2">
      <c r="B64" s="1718">
        <v>2011</v>
      </c>
      <c r="C64" s="1719">
        <f>VLOOKUP(I3,Employment,38,FALSE)</f>
        <v>1387</v>
      </c>
      <c r="D64" s="1657">
        <f>VLOOKUP($I$3,Employment,39,FALSE)</f>
        <v>8.3735812605650814E-2</v>
      </c>
      <c r="E64" s="1724">
        <f>VLOOKUP($K$3,Employment,39,FALSE)</f>
        <v>7.3967227866569188E-2</v>
      </c>
      <c r="F64" s="1953">
        <f>Unemployment!AM5</f>
        <v>6.5675128603171706E-2</v>
      </c>
      <c r="G64" s="141"/>
      <c r="H64" s="140"/>
    </row>
    <row r="65" spans="2:8" ht="13.5" customHeight="1" x14ac:dyDescent="0.2">
      <c r="B65" s="1717">
        <v>2012</v>
      </c>
      <c r="C65" s="1720">
        <f>VLOOKUP(I3,Employment,41,FALSE)</f>
        <v>1265</v>
      </c>
      <c r="D65" s="1653">
        <f>VLOOKUP($I$3,Employment,42,FALSE)</f>
        <v>7.7190627288259706E-2</v>
      </c>
      <c r="E65" s="1723">
        <f>VLOOKUP($K$3,Employment,42,FALSE)</f>
        <v>6.7494036682550426E-2</v>
      </c>
      <c r="F65" s="1954">
        <f>Unemployment!AP5</f>
        <v>5.9366041110802084E-2</v>
      </c>
      <c r="G65" s="141"/>
      <c r="H65" s="140"/>
    </row>
    <row r="66" spans="2:8" ht="13.5" customHeight="1" x14ac:dyDescent="0.2">
      <c r="B66" s="1718">
        <v>2013</v>
      </c>
      <c r="C66" s="1719">
        <f>VLOOKUP(I3,Employment,44,FALSE)</f>
        <v>1143</v>
      </c>
      <c r="D66" s="1657">
        <f>VLOOKUP($I$3,Employment,45,FALSE)</f>
        <v>7.0442499691852581E-2</v>
      </c>
      <c r="E66" s="1724">
        <f>VLOOKUP($K$3,Employment,45,FALSE)</f>
        <v>6.199677496298462E-2</v>
      </c>
      <c r="F66" s="1953">
        <f>Unemployment!AS5</f>
        <v>5.5757191962866916E-2</v>
      </c>
      <c r="G66" s="141"/>
      <c r="H66" s="140"/>
    </row>
    <row r="67" spans="2:8" ht="13.5" customHeight="1" x14ac:dyDescent="0.2">
      <c r="B67" s="1717">
        <v>2014</v>
      </c>
      <c r="C67" s="1720">
        <f>VLOOKUP(I3,Employment,47,FALSE)</f>
        <v>1056</v>
      </c>
      <c r="D67" s="1653">
        <f>VLOOKUP($I$3,Employment,48,FALSE)</f>
        <v>6.5541211519364442E-2</v>
      </c>
      <c r="E67" s="1723">
        <f>VLOOKUP($K$3,Employment,48,FALSE)</f>
        <v>5.6429855869048674E-2</v>
      </c>
      <c r="F67" s="1954">
        <f>Unemployment!AV5</f>
        <v>5.1175245183213522E-2</v>
      </c>
      <c r="G67" s="141"/>
      <c r="H67" s="139"/>
    </row>
    <row r="68" spans="2:8" ht="13.5" customHeight="1" x14ac:dyDescent="0.2">
      <c r="B68" s="1718">
        <v>2015</v>
      </c>
      <c r="C68" s="1721">
        <f>VLOOKUP(I3,Employment,50,FALSE)</f>
        <v>856</v>
      </c>
      <c r="D68" s="1722">
        <f>VLOOKUP(I3,Employment,51,FALSE)</f>
        <v>5.3708118960973772E-2</v>
      </c>
      <c r="E68" s="1725">
        <f>VLOOKUP(K3,Employment,51,FALSE)</f>
        <v>4.9061825427575138E-2</v>
      </c>
      <c r="F68" s="1953">
        <f>Unemployment!AY5</f>
        <v>4.3906668452220264E-2</v>
      </c>
      <c r="G68" s="141"/>
      <c r="H68" s="567"/>
    </row>
    <row r="69" spans="2:8" ht="13.5" customHeight="1" x14ac:dyDescent="0.2">
      <c r="B69" s="1717">
        <v>2016</v>
      </c>
      <c r="C69" s="1720">
        <f>VLOOKUP(I3,Employment,53,FALSE)</f>
        <v>760</v>
      </c>
      <c r="D69" s="1653">
        <f>VLOOKUP(I3,Employment,54,FALSE)</f>
        <v>4.804045512010114E-2</v>
      </c>
      <c r="E69" s="1723">
        <f>VLOOKUP(K3,Employment,54,FALSE)</f>
        <v>4.5757755922467898E-2</v>
      </c>
      <c r="F69" s="1954">
        <f>Unemployment!BB5</f>
        <v>3.9847704043016699E-2</v>
      </c>
      <c r="G69" s="141"/>
      <c r="H69" s="139"/>
    </row>
    <row r="70" spans="2:8" ht="13.5" customHeight="1" x14ac:dyDescent="0.2">
      <c r="B70" s="1949">
        <v>2017</v>
      </c>
      <c r="C70" s="1950">
        <f>VLOOKUP($I$3,Employment,56,FALSE)</f>
        <v>751</v>
      </c>
      <c r="D70" s="1659">
        <f>VLOOKUP($I$3,Employment,57,FALSE)</f>
        <v>4.4932392006700968E-2</v>
      </c>
      <c r="E70" s="1951">
        <f>VLOOKUP($K$3,Employment,57,FALSE)</f>
        <v>4.1001379424564215E-2</v>
      </c>
      <c r="F70" s="1955">
        <f>Unemployment!BE5</f>
        <v>3.6714190378525163E-2</v>
      </c>
      <c r="G70" s="141"/>
      <c r="H70" s="567"/>
    </row>
    <row r="71" spans="2:8" ht="13.5" customHeight="1" x14ac:dyDescent="0.2">
      <c r="B71" s="1956">
        <v>2018</v>
      </c>
      <c r="C71" s="1957">
        <f>VLOOKUP($I$3,Employment,59,FALSE)</f>
        <v>634</v>
      </c>
      <c r="D71" s="1958">
        <f>VLOOKUP($I$3,Employment,60,FALSE)</f>
        <v>3.7690981511206229E-2</v>
      </c>
      <c r="E71" s="1959">
        <f>VLOOKUP($K$3,Employment,57,FALSE)</f>
        <v>4.1001379424564215E-2</v>
      </c>
      <c r="F71" s="1960">
        <f>Unemployment!BH5</f>
        <v>2.9441612261078953E-2</v>
      </c>
      <c r="G71" s="141"/>
      <c r="H71" s="567"/>
    </row>
    <row r="72" spans="2:8" ht="13.5" customHeight="1" x14ac:dyDescent="0.2">
      <c r="B72" s="2089">
        <v>2019</v>
      </c>
      <c r="C72" s="2090">
        <f>VLOOKUP($I$3,Employment,62,FALSE)</f>
        <v>570</v>
      </c>
      <c r="D72" s="2091">
        <f>VLOOKUP($I$3,Employment,63,FALSE)</f>
        <v>3.4160373966199212E-2</v>
      </c>
      <c r="E72" s="2092">
        <f>VLOOKUP($K$3,Employment,57,FALSE)</f>
        <v>4.1001379424564215E-2</v>
      </c>
      <c r="F72" s="2093">
        <f>Unemployment!BK5</f>
        <v>2.6814306926645312E-2</v>
      </c>
      <c r="G72" s="141"/>
      <c r="H72" s="567"/>
    </row>
    <row r="73" spans="2:8" ht="13.5" customHeight="1" x14ac:dyDescent="0.2">
      <c r="B73" s="2404" t="s">
        <v>511</v>
      </c>
      <c r="C73" s="2404"/>
      <c r="D73" s="2404"/>
      <c r="E73" s="2404"/>
      <c r="F73" s="2404"/>
      <c r="G73" s="141"/>
      <c r="H73" s="567"/>
    </row>
    <row r="74" spans="2:8" ht="13.5" customHeight="1" x14ac:dyDescent="0.2">
      <c r="B74" s="648"/>
      <c r="C74" s="648"/>
      <c r="D74" s="648"/>
      <c r="E74" s="648"/>
      <c r="F74" s="648"/>
      <c r="G74" s="141"/>
      <c r="H74" s="567"/>
    </row>
    <row r="75" spans="2:8" ht="13.5" customHeight="1" x14ac:dyDescent="0.2">
      <c r="B75" s="648"/>
      <c r="C75" s="648"/>
      <c r="D75" s="648"/>
      <c r="E75" s="648"/>
      <c r="F75" s="648"/>
      <c r="G75" s="141"/>
      <c r="H75" s="567"/>
    </row>
    <row r="76" spans="2:8" ht="13.5" customHeight="1" x14ac:dyDescent="0.2">
      <c r="B76" s="648"/>
      <c r="C76" s="648"/>
      <c r="D76" s="648"/>
      <c r="E76" s="648"/>
      <c r="F76" s="648"/>
      <c r="G76" s="141"/>
      <c r="H76" s="567"/>
    </row>
    <row r="77" spans="2:8" ht="13.5" customHeight="1" x14ac:dyDescent="0.2">
      <c r="B77" s="648"/>
      <c r="C77" s="648"/>
      <c r="D77" s="648"/>
      <c r="E77" s="648"/>
      <c r="F77" s="648"/>
      <c r="G77" s="141"/>
      <c r="H77" s="567"/>
    </row>
    <row r="78" spans="2:8" ht="13.5" customHeight="1" x14ac:dyDescent="0.2">
      <c r="B78" s="648"/>
      <c r="C78" s="648"/>
      <c r="D78" s="648"/>
      <c r="E78" s="648"/>
      <c r="F78" s="648"/>
      <c r="G78" s="141"/>
      <c r="H78" s="567"/>
    </row>
    <row r="79" spans="2:8" ht="13.5" customHeight="1" x14ac:dyDescent="0.2">
      <c r="B79" s="648"/>
      <c r="C79" s="648"/>
      <c r="D79" s="648"/>
      <c r="E79" s="648"/>
      <c r="F79" s="648"/>
      <c r="G79" s="141"/>
      <c r="H79" s="567"/>
    </row>
    <row r="80" spans="2:8" ht="13.5" customHeight="1" x14ac:dyDescent="0.2">
      <c r="B80" s="648"/>
      <c r="C80" s="648"/>
      <c r="D80" s="648"/>
      <c r="E80" s="648"/>
      <c r="F80" s="648"/>
      <c r="G80" s="141"/>
      <c r="H80" s="567"/>
    </row>
    <row r="81" spans="2:13" ht="13.5" customHeight="1" x14ac:dyDescent="0.2">
      <c r="B81" s="648"/>
      <c r="C81" s="648"/>
      <c r="D81" s="648"/>
      <c r="E81" s="648"/>
      <c r="F81" s="648"/>
      <c r="G81" s="141"/>
      <c r="H81" s="567"/>
    </row>
    <row r="82" spans="2:13" ht="13.5" customHeight="1" x14ac:dyDescent="0.2">
      <c r="B82" s="648"/>
      <c r="C82" s="648"/>
      <c r="D82" s="648"/>
      <c r="E82" s="648"/>
      <c r="F82" s="648"/>
      <c r="G82" s="141"/>
      <c r="H82" s="567"/>
    </row>
    <row r="83" spans="2:13" ht="13.5" customHeight="1" x14ac:dyDescent="0.2">
      <c r="B83" s="2212">
        <f>VLOOKUP(I3,uninsured,6,FALSE)</f>
        <v>3601</v>
      </c>
      <c r="C83" s="2212"/>
      <c r="D83" s="2214" t="s">
        <v>1041</v>
      </c>
      <c r="E83" s="2214"/>
      <c r="F83" s="2214"/>
      <c r="G83" s="2214"/>
      <c r="H83" s="2186"/>
      <c r="I83" s="2216">
        <f>VLOOKUP(I3,uninsured,7,FALSE)</f>
        <v>0.15117548278757348</v>
      </c>
      <c r="J83" s="2214" t="s">
        <v>1042</v>
      </c>
      <c r="K83" s="2214"/>
      <c r="L83" s="2214"/>
      <c r="M83" s="2214"/>
    </row>
    <row r="84" spans="2:13" ht="13.5" customHeight="1" x14ac:dyDescent="0.2">
      <c r="B84" s="2212"/>
      <c r="C84" s="2212"/>
      <c r="D84" s="2214"/>
      <c r="E84" s="2214"/>
      <c r="F84" s="2214"/>
      <c r="G84" s="2214"/>
      <c r="H84" s="2186"/>
      <c r="I84" s="2216"/>
      <c r="J84" s="2214"/>
      <c r="K84" s="2214"/>
      <c r="L84" s="2214"/>
      <c r="M84" s="2214"/>
    </row>
    <row r="85" spans="2:13" ht="13.5" customHeight="1" x14ac:dyDescent="0.2">
      <c r="B85" s="2212"/>
      <c r="C85" s="2212"/>
      <c r="D85" s="2215"/>
      <c r="E85" s="2215"/>
      <c r="F85" s="2215"/>
      <c r="G85" s="2215"/>
      <c r="H85" s="2186"/>
      <c r="I85" s="2216"/>
      <c r="J85" s="2214"/>
      <c r="K85" s="2214"/>
      <c r="L85" s="2214"/>
      <c r="M85" s="2214"/>
    </row>
    <row r="86" spans="2:13" ht="13.5" customHeight="1" x14ac:dyDescent="0.2">
      <c r="B86" s="648"/>
      <c r="C86" s="2217"/>
      <c r="D86" s="2217"/>
      <c r="E86" s="2217"/>
      <c r="F86" s="2217"/>
      <c r="G86" s="2217"/>
      <c r="H86" s="567"/>
    </row>
    <row r="87" spans="2:13" ht="15" customHeight="1" x14ac:dyDescent="0.2">
      <c r="B87" s="2211" t="s">
        <v>1049</v>
      </c>
      <c r="C87" s="2211"/>
      <c r="D87" s="2211"/>
      <c r="E87" s="2211"/>
      <c r="F87" s="2211"/>
      <c r="G87" s="2211"/>
      <c r="H87" s="2211"/>
      <c r="I87" s="2211"/>
      <c r="J87" s="2211"/>
    </row>
    <row r="88" spans="2:13" ht="13.5" customHeight="1" x14ac:dyDescent="0.2">
      <c r="B88" s="648"/>
      <c r="C88" s="648"/>
      <c r="D88" s="648"/>
      <c r="E88" s="648"/>
      <c r="F88" s="648"/>
      <c r="G88" s="141"/>
      <c r="H88" s="567"/>
    </row>
    <row r="89" spans="2:13" ht="13.5" customHeight="1" x14ac:dyDescent="0.2">
      <c r="B89" s="648"/>
      <c r="C89" s="648"/>
      <c r="D89" s="648"/>
      <c r="E89" s="648"/>
      <c r="F89" s="648"/>
      <c r="G89" s="141"/>
      <c r="H89" s="567"/>
    </row>
    <row r="90" spans="2:13" ht="13.5" customHeight="1" x14ac:dyDescent="0.2">
      <c r="B90" s="648"/>
      <c r="C90" s="648"/>
      <c r="D90" s="648"/>
      <c r="E90" s="648"/>
      <c r="F90" s="648"/>
      <c r="G90" s="141"/>
      <c r="H90" s="567"/>
    </row>
    <row r="91" spans="2:13" ht="13.5" customHeight="1" x14ac:dyDescent="0.2">
      <c r="B91" s="648"/>
      <c r="C91" s="648"/>
      <c r="D91" s="648"/>
      <c r="E91" s="648"/>
      <c r="F91" s="648"/>
      <c r="G91" s="141"/>
      <c r="H91" s="567"/>
    </row>
    <row r="92" spans="2:13" ht="13.5" customHeight="1" x14ac:dyDescent="0.2">
      <c r="B92" s="648"/>
      <c r="C92" s="648"/>
      <c r="D92" s="648"/>
      <c r="E92" s="648"/>
      <c r="F92" s="648"/>
      <c r="G92" s="141"/>
      <c r="H92" s="567"/>
    </row>
    <row r="93" spans="2:13" ht="13.5" customHeight="1" x14ac:dyDescent="0.2">
      <c r="B93" s="648"/>
      <c r="C93" s="648"/>
      <c r="D93" s="648"/>
      <c r="E93" s="648"/>
      <c r="F93" s="648"/>
      <c r="G93" s="141"/>
      <c r="H93" s="567"/>
    </row>
    <row r="94" spans="2:13" ht="13.5" customHeight="1" x14ac:dyDescent="0.2">
      <c r="B94" s="648"/>
      <c r="C94" s="648"/>
      <c r="D94" s="648"/>
      <c r="E94" s="648"/>
      <c r="F94" s="648"/>
      <c r="G94" s="141"/>
      <c r="H94" s="567"/>
    </row>
    <row r="95" spans="2:13" ht="13.5" customHeight="1" x14ac:dyDescent="0.2">
      <c r="B95" s="648"/>
      <c r="C95" s="648"/>
      <c r="D95" s="648"/>
      <c r="E95" s="648"/>
      <c r="F95" s="648"/>
      <c r="G95" s="141"/>
      <c r="H95" s="567"/>
    </row>
    <row r="96" spans="2:13" ht="13.5" customHeight="1" x14ac:dyDescent="0.2">
      <c r="B96" s="648"/>
      <c r="C96" s="648"/>
      <c r="D96" s="648"/>
      <c r="E96" s="648"/>
      <c r="F96" s="648"/>
      <c r="G96" s="141"/>
      <c r="H96" s="567"/>
    </row>
    <row r="97" spans="2:18" ht="13.5" customHeight="1" x14ac:dyDescent="0.2">
      <c r="B97" s="648"/>
      <c r="C97" s="648"/>
      <c r="D97" s="648"/>
      <c r="E97" s="648"/>
      <c r="F97" s="648"/>
      <c r="G97" s="141"/>
      <c r="H97" s="567"/>
    </row>
    <row r="98" spans="2:18" ht="13.5" customHeight="1" x14ac:dyDescent="0.2">
      <c r="B98" s="648"/>
      <c r="C98" s="648"/>
      <c r="D98" s="648"/>
      <c r="E98" s="648"/>
      <c r="F98" s="648"/>
      <c r="G98" s="141"/>
      <c r="H98" s="567"/>
    </row>
    <row r="99" spans="2:18" ht="13.5" customHeight="1" x14ac:dyDescent="0.2">
      <c r="B99" s="648"/>
      <c r="C99" s="648"/>
      <c r="D99" s="648"/>
      <c r="E99" s="648"/>
      <c r="F99" s="648"/>
      <c r="G99" s="141"/>
      <c r="H99" s="567"/>
    </row>
    <row r="100" spans="2:18" ht="13.5" customHeight="1" x14ac:dyDescent="0.2">
      <c r="B100" s="648"/>
      <c r="C100" s="648"/>
      <c r="D100" s="648"/>
      <c r="E100" s="648"/>
      <c r="F100" s="648"/>
      <c r="G100" s="141"/>
      <c r="H100" s="567"/>
    </row>
    <row r="101" spans="2:18" ht="13.5" customHeight="1" x14ac:dyDescent="0.2">
      <c r="B101" s="648"/>
      <c r="C101" s="648"/>
      <c r="D101" s="648"/>
      <c r="E101" s="648"/>
      <c r="F101" s="648"/>
      <c r="G101" s="141"/>
      <c r="H101" s="567"/>
    </row>
    <row r="102" spans="2:18" ht="13.5" customHeight="1" x14ac:dyDescent="0.2">
      <c r="B102" s="2194"/>
      <c r="C102" s="2194"/>
      <c r="D102" s="2194"/>
      <c r="E102" s="2194"/>
      <c r="F102" s="2194"/>
      <c r="G102" s="141"/>
      <c r="H102" s="567"/>
    </row>
    <row r="103" spans="2:18" ht="13.5" customHeight="1" x14ac:dyDescent="0.2">
      <c r="B103" s="2194"/>
      <c r="C103" s="2194"/>
      <c r="D103" s="2194"/>
      <c r="E103" s="2194"/>
      <c r="F103" s="2194"/>
      <c r="G103" s="141"/>
      <c r="H103" s="567"/>
    </row>
    <row r="104" spans="2:18" ht="13.5" customHeight="1" x14ac:dyDescent="0.2">
      <c r="B104" s="2194"/>
      <c r="C104" s="2194"/>
      <c r="D104" s="2194"/>
      <c r="E104" s="2194"/>
      <c r="F104" s="2194"/>
      <c r="G104" s="141"/>
      <c r="H104" s="567"/>
      <c r="K104" s="2210" t="s">
        <v>1043</v>
      </c>
      <c r="L104" s="2210"/>
      <c r="M104" s="2210"/>
      <c r="N104" s="111"/>
      <c r="O104" s="111"/>
      <c r="P104" s="111"/>
      <c r="Q104" s="111"/>
      <c r="R104" s="111"/>
    </row>
    <row r="105" spans="2:18" ht="13.5" customHeight="1" x14ac:dyDescent="0.2">
      <c r="B105" s="648"/>
      <c r="K105" s="2210"/>
      <c r="L105" s="2210"/>
      <c r="M105" s="2210"/>
    </row>
    <row r="106" spans="2:18" ht="13.5" customHeight="1" x14ac:dyDescent="0.2">
      <c r="B106" s="648"/>
      <c r="C106" s="648"/>
      <c r="D106" s="648"/>
      <c r="E106" s="648"/>
      <c r="F106" s="648"/>
      <c r="G106" s="141"/>
      <c r="H106" s="567"/>
      <c r="K106" s="2210"/>
      <c r="L106" s="2210"/>
      <c r="M106" s="2210"/>
    </row>
    <row r="107" spans="2:18" ht="13.5" customHeight="1" x14ac:dyDescent="0.2">
      <c r="B107" s="648"/>
      <c r="C107" s="648"/>
      <c r="D107" s="648"/>
      <c r="E107" s="648"/>
      <c r="F107" s="648"/>
      <c r="G107" s="141"/>
      <c r="H107" s="567"/>
      <c r="K107" s="2210"/>
      <c r="L107" s="2210"/>
      <c r="M107" s="2210"/>
    </row>
    <row r="108" spans="2:18" ht="13.5" customHeight="1" x14ac:dyDescent="0.2">
      <c r="B108" s="648"/>
      <c r="C108" s="648"/>
      <c r="D108" s="648"/>
      <c r="E108" s="648"/>
      <c r="F108" s="648"/>
      <c r="G108" s="141"/>
      <c r="H108" s="567"/>
    </row>
    <row r="109" spans="2:18" ht="13.5" customHeight="1" x14ac:dyDescent="0.2">
      <c r="B109" s="648"/>
      <c r="C109" s="648"/>
      <c r="D109" s="648"/>
      <c r="E109" s="648"/>
      <c r="F109" s="648"/>
      <c r="G109" s="141"/>
      <c r="H109" s="567"/>
    </row>
    <row r="110" spans="2:18" ht="13.5" customHeight="1" x14ac:dyDescent="0.2">
      <c r="B110" s="648"/>
      <c r="C110" s="648"/>
      <c r="D110" s="648"/>
      <c r="E110" s="648"/>
      <c r="F110" s="648"/>
      <c r="G110" s="141"/>
      <c r="H110" s="567"/>
    </row>
    <row r="111" spans="2:18" ht="13.5" customHeight="1" x14ac:dyDescent="0.2">
      <c r="B111" s="648"/>
      <c r="C111" s="648"/>
      <c r="D111" s="648"/>
      <c r="E111" s="648"/>
      <c r="F111" s="648"/>
      <c r="G111" s="141"/>
      <c r="H111" s="567"/>
    </row>
    <row r="112" spans="2:18" ht="13.5" customHeight="1" x14ac:dyDescent="0.2">
      <c r="B112" s="648"/>
      <c r="C112" s="648"/>
      <c r="D112" s="648"/>
      <c r="E112" s="648"/>
      <c r="F112" s="648"/>
      <c r="G112" s="141"/>
      <c r="H112" s="567"/>
    </row>
    <row r="113" spans="2:14" ht="13.5" customHeight="1" x14ac:dyDescent="0.2">
      <c r="B113" s="648"/>
      <c r="C113" s="648"/>
      <c r="D113" s="648"/>
      <c r="E113" s="648"/>
      <c r="F113" s="648"/>
      <c r="G113" s="141"/>
      <c r="H113" s="567"/>
    </row>
    <row r="114" spans="2:14" ht="13.5" customHeight="1" x14ac:dyDescent="0.2"/>
    <row r="115" spans="2:14" ht="13.5" customHeight="1" x14ac:dyDescent="0.2"/>
    <row r="116" spans="2:14" ht="13.5" customHeight="1" x14ac:dyDescent="0.2">
      <c r="B116" s="648"/>
      <c r="C116" s="648"/>
      <c r="D116" s="648"/>
      <c r="E116" s="648"/>
      <c r="F116" s="648"/>
      <c r="G116" s="141"/>
      <c r="H116" s="567"/>
    </row>
    <row r="117" spans="2:14" ht="14.25" customHeight="1" x14ac:dyDescent="0.2"/>
    <row r="118" spans="2:14" ht="14.25" customHeight="1" x14ac:dyDescent="0.2">
      <c r="B118" s="2385" t="s">
        <v>966</v>
      </c>
      <c r="C118" s="2405" t="s">
        <v>541</v>
      </c>
      <c r="D118" s="2405"/>
      <c r="E118" s="2405"/>
      <c r="F118" s="2405"/>
      <c r="G118" s="2236" t="s">
        <v>542</v>
      </c>
      <c r="H118" s="2237"/>
      <c r="I118" s="2237"/>
      <c r="J118" s="2238"/>
      <c r="K118" s="659"/>
      <c r="M118" s="2239">
        <f>VLOOKUP(I3,Child_SingleParentHH,11,FALSE)</f>
        <v>0.38811313999283925</v>
      </c>
      <c r="N118" s="774"/>
    </row>
    <row r="119" spans="2:14" ht="21.75" customHeight="1" x14ac:dyDescent="0.2">
      <c r="B119" s="2386"/>
      <c r="C119" s="2235" t="str">
        <f>D3</f>
        <v>Accomack</v>
      </c>
      <c r="D119" s="2235"/>
      <c r="E119" s="716" t="str">
        <f>K3</f>
        <v>Eastern</v>
      </c>
      <c r="F119" s="716" t="s">
        <v>8</v>
      </c>
      <c r="G119" s="2235" t="str">
        <f>D3</f>
        <v>Accomack</v>
      </c>
      <c r="H119" s="2235"/>
      <c r="I119" s="716" t="str">
        <f>K3</f>
        <v>Eastern</v>
      </c>
      <c r="J119" s="716" t="s">
        <v>8</v>
      </c>
      <c r="K119" s="659"/>
      <c r="L119" s="774"/>
      <c r="M119" s="2239"/>
      <c r="N119" s="774"/>
    </row>
    <row r="120" spans="2:14" ht="14.25" customHeight="1" x14ac:dyDescent="0.25">
      <c r="B120" s="2387"/>
      <c r="C120" s="717" t="s">
        <v>413</v>
      </c>
      <c r="D120" s="717" t="s">
        <v>261</v>
      </c>
      <c r="E120" s="717" t="s">
        <v>261</v>
      </c>
      <c r="F120" s="717" t="s">
        <v>261</v>
      </c>
      <c r="G120" s="717" t="s">
        <v>413</v>
      </c>
      <c r="H120" s="717" t="s">
        <v>543</v>
      </c>
      <c r="I120" s="717" t="s">
        <v>543</v>
      </c>
      <c r="J120" s="717" t="s">
        <v>543</v>
      </c>
      <c r="K120" s="659"/>
      <c r="L120" s="2340" t="s">
        <v>945</v>
      </c>
      <c r="M120" s="2340"/>
      <c r="N120" s="2340"/>
    </row>
    <row r="121" spans="2:14" ht="14.25" customHeight="1" x14ac:dyDescent="0.25">
      <c r="B121" s="655" t="s">
        <v>262</v>
      </c>
      <c r="C121" s="661">
        <f>VLOOKUP(I3,NMBirths_5YR,8,FALSE)</f>
        <v>1034</v>
      </c>
      <c r="D121" s="662">
        <f>VLOOKUP(I3,NMBirths_5YR,12,FALSE)</f>
        <v>0.56134636264929427</v>
      </c>
      <c r="E121" s="663">
        <f>VLOOKUP(K3,NMBirths_5YR,12,FALSE)</f>
        <v>0.404680664540915</v>
      </c>
      <c r="F121" s="662">
        <f>'Non-Marital Births_5YR'!L6</f>
        <v>0.34392759041736298</v>
      </c>
      <c r="G121" s="661">
        <f>VLOOKUP(I3,TeenBirth_5YR, 4, FALSE)</f>
        <v>118</v>
      </c>
      <c r="H121" s="757">
        <f>VLOOKUP(I3,TeenBirth_5YR, 12, FALSE)</f>
        <v>13.806013806013807</v>
      </c>
      <c r="I121" s="757">
        <f>VLOOKUP(K3,TeenBirth_5YR, 12, FALSE)</f>
        <v>9.5516719061995481</v>
      </c>
      <c r="J121" s="757">
        <f>'Teen Births_5YR'!L5</f>
        <v>7.7125584239790799</v>
      </c>
      <c r="K121" s="660"/>
      <c r="L121" s="2340"/>
      <c r="M121" s="2340"/>
      <c r="N121" s="2340"/>
    </row>
    <row r="122" spans="2:14" ht="14.25" customHeight="1" x14ac:dyDescent="0.25">
      <c r="B122" s="656" t="s">
        <v>2</v>
      </c>
      <c r="C122" s="664">
        <f>VLOOKUP(I3,NMBirths_5YR,9,FALSE)</f>
        <v>462</v>
      </c>
      <c r="D122" s="665">
        <f>VLOOKUP(I3,NMBirths_5YR,13,FALSE)</f>
        <v>0.42896935933147634</v>
      </c>
      <c r="E122" s="666">
        <f>VLOOKUP(K3,NMBirths_5YR,13,FALSE)</f>
        <v>0.24243346738660215</v>
      </c>
      <c r="F122" s="665">
        <f>'Non-Marital Births_5YR'!M6</f>
        <v>0.25378051136729568</v>
      </c>
      <c r="G122" s="664">
        <f>VLOOKUP(I3,TeenBirth_5YR, 5, FALSE)</f>
        <v>62</v>
      </c>
      <c r="H122" s="758">
        <f>VLOOKUP(I3,TeenBirth_5YR, 13, FALSE)</f>
        <v>11.483608075569549</v>
      </c>
      <c r="I122" s="760">
        <f>VLOOKUP(K3,TeenBirth_5YR, 13, FALSE)</f>
        <v>6.2896565987841715</v>
      </c>
      <c r="J122" s="758">
        <f>'Teen Births_5YR'!M5</f>
        <v>5.8799868894852425</v>
      </c>
      <c r="K122" s="656"/>
      <c r="L122" s="2340"/>
      <c r="M122" s="2340"/>
      <c r="N122" s="2340"/>
    </row>
    <row r="123" spans="2:14" ht="14.25" customHeight="1" x14ac:dyDescent="0.25">
      <c r="B123" s="656" t="s">
        <v>298</v>
      </c>
      <c r="C123" s="664">
        <f>VLOOKUP(I3,NMBirths_5YR,10,FALSE)</f>
        <v>546</v>
      </c>
      <c r="D123" s="665">
        <f>VLOOKUP(I3,NMBirths_5YR,14,FALSE)</f>
        <v>0.76901408450704223</v>
      </c>
      <c r="E123" s="666">
        <f>VLOOKUP(K3,NMBirths_5YR,14,FALSE)</f>
        <v>0.66671523275296862</v>
      </c>
      <c r="F123" s="665">
        <f>'Non-Marital Births_5YR'!N6</f>
        <v>0.63732747685491964</v>
      </c>
      <c r="G123" s="664">
        <f>VLOOKUP(I3,TeenBirth_5YR, 6, FALSE)</f>
        <v>52</v>
      </c>
      <c r="H123" s="758">
        <f>VLOOKUP(I3,TeenBirth_5YR, 14, FALSE)</f>
        <v>17.729287419024889</v>
      </c>
      <c r="I123" s="760">
        <f>VLOOKUP(K3,TeenBirth_5YR, 14, FALSE)</f>
        <v>13.176737127834656</v>
      </c>
      <c r="J123" s="758">
        <f>'Teen Births_5YR'!N5</f>
        <v>10.41533535988559</v>
      </c>
      <c r="K123" s="656"/>
      <c r="L123" s="2340"/>
      <c r="M123" s="2340"/>
      <c r="N123" s="2340"/>
    </row>
    <row r="124" spans="2:14" ht="14.25" customHeight="1" x14ac:dyDescent="0.25">
      <c r="B124" s="657" t="s">
        <v>388</v>
      </c>
      <c r="C124" s="667">
        <f>VLOOKUP(I3,NMBirths_5YR,11,FALSE)</f>
        <v>26</v>
      </c>
      <c r="D124" s="668">
        <f>VLOOKUP(I3,NMBirths_5YR,15,FALSE)</f>
        <v>0.47272727272727272</v>
      </c>
      <c r="E124" s="669">
        <f>VLOOKUP(K3,NMBirths_5YR,15,FALSE)</f>
        <v>0.35259073449870659</v>
      </c>
      <c r="F124" s="668">
        <f>'Non-Marital Births_5YR'!O6</f>
        <v>0.3089860811833906</v>
      </c>
      <c r="G124" s="667">
        <f>VLOOKUP(I3,TeenBirth_5YR, 7, FALSE)</f>
        <v>4</v>
      </c>
      <c r="H124" s="759">
        <f>VLOOKUP(I3,TeenBirth_5YR, 15, FALSE)</f>
        <v>18.604651162790699</v>
      </c>
      <c r="I124" s="761">
        <f>VLOOKUP(K3,TeenBirth_5YR, 15, FALSE)</f>
        <v>18.316429152223222</v>
      </c>
      <c r="J124" s="759">
        <f>'Teen Births_5YR'!O5</f>
        <v>14.811415408011301</v>
      </c>
      <c r="K124" s="656"/>
      <c r="L124" s="2340"/>
      <c r="M124" s="2340"/>
      <c r="N124" s="2340"/>
    </row>
    <row r="125" spans="2:14" ht="14.25" customHeight="1" x14ac:dyDescent="0.2">
      <c r="B125" s="2384" t="s">
        <v>967</v>
      </c>
      <c r="C125" s="2384"/>
      <c r="D125" s="2384"/>
      <c r="E125" s="2384"/>
      <c r="F125" s="2384"/>
      <c r="G125" s="2384"/>
      <c r="H125" s="2384"/>
      <c r="I125" s="2384"/>
      <c r="J125" s="2384"/>
      <c r="K125" s="2384"/>
      <c r="L125" s="2384"/>
      <c r="M125" s="2384"/>
      <c r="N125" s="2384"/>
    </row>
    <row r="126" spans="2:14" ht="14.25" customHeight="1" x14ac:dyDescent="0.2">
      <c r="B126" s="2175"/>
      <c r="C126" s="2175"/>
      <c r="D126" s="2175"/>
      <c r="E126" s="2175"/>
      <c r="F126" s="2175"/>
      <c r="G126" s="2175"/>
      <c r="H126" s="2175"/>
      <c r="I126" s="2175"/>
      <c r="J126" s="2175"/>
      <c r="K126" s="2175"/>
      <c r="L126" s="2175"/>
      <c r="M126" s="2175"/>
      <c r="N126" s="2175"/>
    </row>
    <row r="127" spans="2:14" ht="14.25" customHeight="1" x14ac:dyDescent="0.2">
      <c r="B127" s="658"/>
      <c r="C127" s="658"/>
      <c r="D127" s="658"/>
      <c r="E127" s="658"/>
      <c r="F127" s="658"/>
      <c r="G127" s="658"/>
      <c r="H127" s="658"/>
    </row>
    <row r="128" spans="2:14" ht="14.25" customHeight="1" x14ac:dyDescent="0.2">
      <c r="B128" s="658"/>
      <c r="C128" s="658"/>
      <c r="D128" s="658"/>
      <c r="E128" s="658"/>
      <c r="F128" s="658"/>
      <c r="G128" s="658"/>
      <c r="H128" s="658"/>
    </row>
    <row r="129" spans="2:8" ht="14.25" customHeight="1" x14ac:dyDescent="0.2">
      <c r="B129" s="658"/>
      <c r="C129" s="658"/>
      <c r="D129" s="658"/>
      <c r="E129" s="658"/>
      <c r="F129" s="658"/>
      <c r="G129" s="658"/>
      <c r="H129" s="658"/>
    </row>
    <row r="130" spans="2:8" ht="14.25" customHeight="1" x14ac:dyDescent="0.2">
      <c r="B130" s="658"/>
      <c r="C130" s="658"/>
      <c r="D130" s="658"/>
      <c r="E130" s="658"/>
      <c r="F130" s="658"/>
      <c r="G130" s="658"/>
      <c r="H130" s="658"/>
    </row>
    <row r="131" spans="2:8" ht="14.25" customHeight="1" x14ac:dyDescent="0.2">
      <c r="B131" s="658"/>
      <c r="C131" s="658"/>
      <c r="D131" s="658"/>
      <c r="E131" s="658"/>
      <c r="F131" s="658"/>
      <c r="G131" s="658"/>
      <c r="H131" s="658"/>
    </row>
    <row r="132" spans="2:8" ht="14.25" customHeight="1" x14ac:dyDescent="0.2">
      <c r="B132" s="648"/>
      <c r="C132" s="648"/>
      <c r="D132" s="648"/>
      <c r="E132" s="648"/>
      <c r="F132" s="648"/>
    </row>
    <row r="133" spans="2:8" ht="14.25" customHeight="1" x14ac:dyDescent="0.2">
      <c r="B133" s="648"/>
      <c r="C133" s="648"/>
      <c r="D133" s="648"/>
      <c r="E133" s="648"/>
      <c r="F133" s="648"/>
    </row>
    <row r="134" spans="2:8" ht="14.25" customHeight="1" x14ac:dyDescent="0.2">
      <c r="B134" s="648"/>
      <c r="C134" s="648"/>
      <c r="D134" s="648"/>
      <c r="E134" s="648"/>
      <c r="F134" s="648"/>
    </row>
    <row r="135" spans="2:8" ht="14.25" customHeight="1" x14ac:dyDescent="0.2">
      <c r="B135" s="648"/>
      <c r="C135" s="648"/>
      <c r="D135" s="648"/>
      <c r="E135" s="648"/>
      <c r="F135" s="648"/>
    </row>
    <row r="136" spans="2:8" ht="14.25" customHeight="1" x14ac:dyDescent="0.2">
      <c r="B136" s="648"/>
      <c r="C136" s="648"/>
      <c r="D136" s="648"/>
      <c r="E136" s="648"/>
      <c r="F136" s="648"/>
    </row>
    <row r="137" spans="2:8" ht="14.25" customHeight="1" x14ac:dyDescent="0.2">
      <c r="B137" s="648"/>
      <c r="C137" s="648"/>
      <c r="D137" s="648"/>
      <c r="E137" s="648"/>
      <c r="F137" s="648"/>
    </row>
    <row r="138" spans="2:8" ht="14.25" customHeight="1" x14ac:dyDescent="0.2">
      <c r="B138" s="648"/>
      <c r="C138" s="648"/>
      <c r="D138" s="648"/>
      <c r="E138" s="648"/>
      <c r="F138" s="648"/>
    </row>
    <row r="139" spans="2:8" ht="13.5" customHeight="1" x14ac:dyDescent="0.2">
      <c r="B139" s="112"/>
      <c r="C139" s="28"/>
    </row>
    <row r="140" spans="2:8" ht="13.5" customHeight="1" x14ac:dyDescent="0.2">
      <c r="B140" s="112"/>
      <c r="C140" s="28"/>
    </row>
    <row r="141" spans="2:8" ht="13.5" customHeight="1" x14ac:dyDescent="0.2">
      <c r="B141" s="112"/>
      <c r="C141" s="28"/>
    </row>
    <row r="142" spans="2:8" ht="13.5" customHeight="1" x14ac:dyDescent="0.2">
      <c r="B142" s="112"/>
      <c r="C142" s="28"/>
    </row>
    <row r="143" spans="2:8" ht="13.5" customHeight="1" x14ac:dyDescent="0.2">
      <c r="B143" s="112"/>
      <c r="C143" s="28"/>
    </row>
    <row r="144" spans="2:8" ht="13.5" customHeight="1" x14ac:dyDescent="0.2">
      <c r="B144" s="112"/>
      <c r="C144" s="28"/>
    </row>
    <row r="145" spans="2:3" ht="13.5" customHeight="1" x14ac:dyDescent="0.2">
      <c r="B145" s="112"/>
      <c r="C145" s="28"/>
    </row>
    <row r="146" spans="2:3" ht="13.5" customHeight="1" x14ac:dyDescent="0.2">
      <c r="B146" s="112"/>
      <c r="C146" s="28"/>
    </row>
    <row r="147" spans="2:3" ht="13.5" customHeight="1" x14ac:dyDescent="0.2">
      <c r="B147" s="112"/>
      <c r="C147" s="28"/>
    </row>
    <row r="148" spans="2:3" ht="13.5" customHeight="1" x14ac:dyDescent="0.2">
      <c r="B148" s="112"/>
      <c r="C148" s="28"/>
    </row>
    <row r="149" spans="2:3" ht="13.5" customHeight="1" x14ac:dyDescent="0.2">
      <c r="B149" s="112"/>
      <c r="C149" s="28"/>
    </row>
    <row r="150" spans="2:3" ht="13.5" customHeight="1" x14ac:dyDescent="0.2">
      <c r="B150" s="112"/>
      <c r="C150" s="28"/>
    </row>
    <row r="151" spans="2:3" ht="13.5" customHeight="1" x14ac:dyDescent="0.2">
      <c r="B151" s="112"/>
      <c r="C151" s="28"/>
    </row>
    <row r="152" spans="2:3" ht="13.5" customHeight="1" x14ac:dyDescent="0.2">
      <c r="B152" s="112"/>
      <c r="C152" s="28"/>
    </row>
    <row r="153" spans="2:3" ht="13.5" customHeight="1" x14ac:dyDescent="0.2">
      <c r="B153" s="112"/>
      <c r="C153" s="28"/>
    </row>
    <row r="154" spans="2:3" ht="13.5" customHeight="1" x14ac:dyDescent="0.2">
      <c r="B154" s="112"/>
      <c r="C154" s="28"/>
    </row>
    <row r="155" spans="2:3" ht="13.5" customHeight="1" x14ac:dyDescent="0.2">
      <c r="B155" s="112"/>
      <c r="C155" s="28"/>
    </row>
    <row r="156" spans="2:3" ht="13.5" customHeight="1" x14ac:dyDescent="0.2">
      <c r="B156" s="112"/>
      <c r="C156" s="28"/>
    </row>
    <row r="157" spans="2:3" ht="13.5" customHeight="1" x14ac:dyDescent="0.2">
      <c r="B157" s="112"/>
      <c r="C157" s="28"/>
    </row>
    <row r="158" spans="2:3" ht="13.5" customHeight="1" x14ac:dyDescent="0.2">
      <c r="B158" s="112"/>
      <c r="C158" s="28"/>
    </row>
    <row r="159" spans="2:3" ht="13.5" customHeight="1" x14ac:dyDescent="0.2">
      <c r="B159" s="112"/>
      <c r="C159" s="28"/>
    </row>
    <row r="160" spans="2:3" ht="13.5" customHeight="1" x14ac:dyDescent="0.2">
      <c r="B160" s="112"/>
      <c r="C160" s="28"/>
    </row>
    <row r="161" spans="2:12" ht="13.5" customHeight="1" x14ac:dyDescent="0.2">
      <c r="B161" s="112"/>
      <c r="C161" s="28"/>
    </row>
    <row r="162" spans="2:12" ht="13.5" customHeight="1" x14ac:dyDescent="0.2">
      <c r="B162" s="112"/>
      <c r="C162" s="28"/>
    </row>
    <row r="163" spans="2:12" ht="13.5" customHeight="1" x14ac:dyDescent="0.2">
      <c r="B163" s="112"/>
      <c r="C163" s="28"/>
    </row>
    <row r="164" spans="2:12" ht="13.5" customHeight="1" x14ac:dyDescent="0.2">
      <c r="B164" s="112"/>
      <c r="C164" s="28"/>
    </row>
    <row r="165" spans="2:12" ht="13.5" customHeight="1" x14ac:dyDescent="0.2">
      <c r="B165" s="112"/>
      <c r="C165" s="28"/>
    </row>
    <row r="166" spans="2:12" ht="13.5" customHeight="1" x14ac:dyDescent="0.2">
      <c r="B166" s="112"/>
      <c r="C166" s="28"/>
    </row>
    <row r="167" spans="2:12" ht="13.5" customHeight="1" x14ac:dyDescent="0.2">
      <c r="B167" s="112"/>
      <c r="C167" s="28"/>
    </row>
    <row r="168" spans="2:12" ht="13.5" customHeight="1" x14ac:dyDescent="0.2">
      <c r="B168" s="112"/>
      <c r="C168" s="28"/>
    </row>
    <row r="169" spans="2:12" ht="13.5" customHeight="1" x14ac:dyDescent="0.2">
      <c r="B169" s="112"/>
      <c r="C169" s="28"/>
    </row>
    <row r="170" spans="2:12" ht="13.5" customHeight="1" x14ac:dyDescent="0.2">
      <c r="B170" s="112"/>
      <c r="C170" s="28"/>
    </row>
    <row r="171" spans="2:12" ht="13.5" customHeight="1" x14ac:dyDescent="0.2">
      <c r="B171" s="112"/>
      <c r="C171" s="28"/>
    </row>
    <row r="172" spans="2:12" ht="13.5" customHeight="1" x14ac:dyDescent="0.2">
      <c r="B172" s="112"/>
      <c r="C172" s="28"/>
    </row>
    <row r="173" spans="2:12" ht="13.5" customHeight="1" x14ac:dyDescent="0.2">
      <c r="B173" s="112"/>
      <c r="C173" s="28"/>
    </row>
    <row r="174" spans="2:12" ht="13.5" customHeight="1" x14ac:dyDescent="0.2">
      <c r="B174" s="112"/>
      <c r="C174" s="28"/>
    </row>
    <row r="175" spans="2:12" ht="13.5" customHeight="1" x14ac:dyDescent="0.2">
      <c r="B175" s="112"/>
      <c r="C175" s="28"/>
    </row>
    <row r="176" spans="2:12" ht="13.5" customHeight="1" x14ac:dyDescent="0.2">
      <c r="B176" s="649"/>
      <c r="C176" s="649"/>
      <c r="D176" s="649"/>
      <c r="E176" s="649"/>
      <c r="F176" s="649"/>
      <c r="G176" s="649"/>
      <c r="H176" s="111"/>
      <c r="I176" s="111"/>
      <c r="J176" s="111"/>
      <c r="K176" s="25"/>
      <c r="L176" s="25"/>
    </row>
    <row r="177" spans="2:16" ht="13.5" customHeight="1" x14ac:dyDescent="0.2">
      <c r="B177" s="2420" t="s">
        <v>794</v>
      </c>
      <c r="C177" s="2421"/>
      <c r="D177" s="2390" t="s">
        <v>532</v>
      </c>
      <c r="E177" s="2391"/>
      <c r="F177" s="2391"/>
      <c r="G177" s="2392"/>
      <c r="H177" s="2418" t="s">
        <v>536</v>
      </c>
      <c r="I177" s="2419"/>
      <c r="K177" s="2417">
        <f>G186</f>
        <v>12091</v>
      </c>
      <c r="L177" s="2417"/>
      <c r="M177" s="2417"/>
      <c r="O177" s="927"/>
      <c r="P177" s="927"/>
    </row>
    <row r="178" spans="2:16" ht="13.5" customHeight="1" x14ac:dyDescent="0.2">
      <c r="B178" s="2422"/>
      <c r="C178" s="2413"/>
      <c r="D178" s="1584" t="s">
        <v>291</v>
      </c>
      <c r="E178" s="1579" t="s">
        <v>297</v>
      </c>
      <c r="F178" s="1580" t="s">
        <v>531</v>
      </c>
      <c r="G178" s="1593" t="s">
        <v>545</v>
      </c>
      <c r="H178" s="1752" t="s">
        <v>795</v>
      </c>
      <c r="I178" s="1753" t="s">
        <v>6</v>
      </c>
      <c r="K178" s="2417"/>
      <c r="L178" s="2417"/>
      <c r="M178" s="2417"/>
      <c r="O178" s="927"/>
      <c r="P178" s="927"/>
    </row>
    <row r="179" spans="2:16" ht="13.5" customHeight="1" x14ac:dyDescent="0.2">
      <c r="B179" s="2292">
        <v>2013</v>
      </c>
      <c r="C179" s="2241"/>
      <c r="D179" s="1585">
        <f>VLOOKUP($I$3,SNAPClnts_Annual,5, FALSE)</f>
        <v>9423</v>
      </c>
      <c r="E179" s="1581">
        <f>VLOOKUP($I$3,TANFClnts_Annual,5,FALSE)</f>
        <v>835</v>
      </c>
      <c r="F179" s="1590">
        <f>VLOOKUP(I3,MAClnts_Annual,5,FALSE)</f>
        <v>8722</v>
      </c>
      <c r="G179" s="1594">
        <f>VLOOKUP(I3,BenefitClnts_Annual,5,FALSE)</f>
        <v>12029</v>
      </c>
      <c r="H179" s="1754">
        <f>VLOOKUP($I$3,ChildCareClients_Annual,4,FALSE)</f>
        <v>102</v>
      </c>
      <c r="I179" s="1755">
        <f>VLOOKUP($I$3,ChildCareClients_Annual,5,FALSE)</f>
        <v>156</v>
      </c>
      <c r="K179" s="2417"/>
      <c r="L179" s="2417"/>
      <c r="M179" s="2417"/>
      <c r="O179" s="928"/>
      <c r="P179" s="928"/>
    </row>
    <row r="180" spans="2:16" ht="13.5" customHeight="1" x14ac:dyDescent="0.2">
      <c r="B180" s="2284">
        <v>2014</v>
      </c>
      <c r="C180" s="2243"/>
      <c r="D180" s="1586">
        <f>VLOOKUP($I$3,SNAPClnts_Annual,6, FALSE)</f>
        <v>9215</v>
      </c>
      <c r="E180" s="1582">
        <f>VLOOKUP($I$3,TANFClnts_Annual,6,FALSE)</f>
        <v>728</v>
      </c>
      <c r="F180" s="1591">
        <f>VLOOKUP(I3,MAClnts_Annual,6,FALSE)</f>
        <v>8891</v>
      </c>
      <c r="G180" s="1595">
        <f>VLOOKUP(I3,BenefitClnts_Annual,6,FALSE)</f>
        <v>11868</v>
      </c>
      <c r="H180" s="1756">
        <f>VLOOKUP($I$3,ChildCareClients_Annual,6,FALSE)</f>
        <v>68</v>
      </c>
      <c r="I180" s="1027">
        <f>VLOOKUP($I$3,ChildCareClients_Annual,7,FALSE)</f>
        <v>101</v>
      </c>
      <c r="K180" s="2416" t="s">
        <v>864</v>
      </c>
      <c r="L180" s="2416"/>
      <c r="M180" s="2416"/>
      <c r="O180" s="928"/>
      <c r="P180" s="928"/>
    </row>
    <row r="181" spans="2:16" ht="13.5" customHeight="1" x14ac:dyDescent="0.2">
      <c r="B181" s="2393">
        <v>2015</v>
      </c>
      <c r="C181" s="2291"/>
      <c r="D181" s="1587">
        <f>VLOOKUP($I$3,SNAPClnts_Annual,7, FALSE)</f>
        <v>8673</v>
      </c>
      <c r="E181" s="1583">
        <f>VLOOKUP($I$3,TANFClnts_Annual,7,FALSE)</f>
        <v>640</v>
      </c>
      <c r="F181" s="1592">
        <f>VLOOKUP(I3,MAClnts_Annual,7,FALSE)</f>
        <v>9155</v>
      </c>
      <c r="G181" s="1596">
        <f>VLOOKUP(I3,BenefitClnts_Annual,7,FALSE)</f>
        <v>11785</v>
      </c>
      <c r="H181" s="1757">
        <f>VLOOKUP($I$3,ChildCareClients_Annual,8,FALSE)</f>
        <v>67</v>
      </c>
      <c r="I181" s="1028">
        <f>VLOOKUP($I$3,ChildCareClients_Annual,9,FALSE)</f>
        <v>95</v>
      </c>
      <c r="K181" s="2416"/>
      <c r="L181" s="2416"/>
      <c r="M181" s="2416"/>
      <c r="O181" s="928"/>
      <c r="P181" s="928"/>
    </row>
    <row r="182" spans="2:16" ht="13.5" customHeight="1" x14ac:dyDescent="0.2">
      <c r="B182" s="2284">
        <v>2016</v>
      </c>
      <c r="C182" s="2243"/>
      <c r="D182" s="1586">
        <f>VLOOKUP($I$3,SNAPClnts_Annual,8, FALSE)</f>
        <v>7971</v>
      </c>
      <c r="E182" s="1582">
        <f>VLOOKUP($I$3,TANFClnts_Annual,8,FALSE)</f>
        <v>581</v>
      </c>
      <c r="F182" s="1591">
        <f>VLOOKUP(I3,MAClnts_Annual,8,FALSE)</f>
        <v>9712</v>
      </c>
      <c r="G182" s="1595">
        <f>VLOOKUP(I3,BenefitClnts_Annual,8,FALSE)</f>
        <v>11816</v>
      </c>
      <c r="H182" s="1756">
        <f>VLOOKUP($I$3,ChildCareClients_Annual,10,FALSE)</f>
        <v>62</v>
      </c>
      <c r="I182" s="1027">
        <f>VLOOKUP($I$3,ChildCareClients_Annual,11,FALSE)</f>
        <v>90</v>
      </c>
      <c r="K182" s="2416"/>
      <c r="L182" s="2416"/>
      <c r="M182" s="2416"/>
      <c r="O182" s="928"/>
      <c r="P182" s="928"/>
    </row>
    <row r="183" spans="2:16" ht="13.5" customHeight="1" x14ac:dyDescent="0.2">
      <c r="B183" s="2292">
        <v>2017</v>
      </c>
      <c r="C183" s="2241"/>
      <c r="D183" s="1490">
        <f>VLOOKUP($I$3,SNAPClnts_Annual,9, FALSE)</f>
        <v>7315</v>
      </c>
      <c r="E183" s="1411">
        <f>VLOOKUP($I$3,TANFClnts_Annual,9,FALSE)</f>
        <v>520</v>
      </c>
      <c r="F183" s="1592">
        <f>VLOOKUP(I3,MAClnts_Annual,9,FALSE)</f>
        <v>9581</v>
      </c>
      <c r="G183" s="1413">
        <f>VLOOKUP(I3,BenefitClnts_Annual,9,FALSE)</f>
        <v>11303</v>
      </c>
      <c r="H183" s="1758">
        <f>VLOOKUP($I$3,ChildCareClients_Annual,12,FALSE)</f>
        <v>36</v>
      </c>
      <c r="I183" s="1759">
        <f>VLOOKUP($I$3,ChildCareClients_Annual,13,FALSE)</f>
        <v>50</v>
      </c>
      <c r="K183" s="2416"/>
      <c r="L183" s="2416"/>
      <c r="M183" s="2416"/>
      <c r="O183" s="928"/>
      <c r="P183" s="928"/>
    </row>
    <row r="184" spans="2:16" ht="13.5" customHeight="1" x14ac:dyDescent="0.2">
      <c r="B184" s="2284">
        <v>2018</v>
      </c>
      <c r="C184" s="2243"/>
      <c r="D184" s="1586">
        <f>VLOOKUP($I$3,SNAPClnts_Annual,10, FALSE)</f>
        <v>6811</v>
      </c>
      <c r="E184" s="1582">
        <f>VLOOKUP($I$3,TANFClnts_Annual,10,FALSE)</f>
        <v>382</v>
      </c>
      <c r="F184" s="1591">
        <f>VLOOKUP(I3,MAClnts_Annual,10,FALSE)</f>
        <v>9533</v>
      </c>
      <c r="G184" s="1595">
        <f>VLOOKUP(I3,BenefitClnts_Annual,10,FALSE)</f>
        <v>10951</v>
      </c>
      <c r="H184" s="1760">
        <f>VLOOKUP($I$3,ChildCareClients_Annual,14,FALSE)</f>
        <v>21</v>
      </c>
      <c r="I184" s="1029">
        <f>VLOOKUP($I$3,ChildCareClients_Annual,15,FALSE)</f>
        <v>36</v>
      </c>
      <c r="K184" s="2416"/>
      <c r="L184" s="2416"/>
      <c r="M184" s="2416"/>
      <c r="O184" s="928"/>
      <c r="P184" s="928"/>
    </row>
    <row r="185" spans="2:16" ht="13.5" customHeight="1" x14ac:dyDescent="0.2">
      <c r="B185" s="2414">
        <v>2019</v>
      </c>
      <c r="C185" s="2415"/>
      <c r="D185" s="1588">
        <f>VLOOKUP($I$3,SNAPClnts_Annual,11, FALSE)</f>
        <v>6523</v>
      </c>
      <c r="E185" s="1020">
        <f>VLOOKUP($I$3,TANFClnts_Annual,11,FALSE)</f>
        <v>374</v>
      </c>
      <c r="F185" s="1589">
        <f>VLOOKUP(I3,MAClnts_Annual,11,FALSE)</f>
        <v>10729</v>
      </c>
      <c r="G185" s="1597">
        <f>VLOOKUP(I3,BenefitClnts_Annual,11,FALSE)</f>
        <v>11662</v>
      </c>
      <c r="H185" s="1761">
        <f>VLOOKUP($I$3,ChildCareClients_Annual,16,FALSE)</f>
        <v>20</v>
      </c>
      <c r="I185" s="1762">
        <f>VLOOKUP($I$3,ChildCareClients_Annual,17,FALSE)</f>
        <v>35</v>
      </c>
      <c r="L185" s="869"/>
      <c r="M185" s="869"/>
      <c r="O185" s="928"/>
      <c r="P185" s="928"/>
    </row>
    <row r="186" spans="2:16" ht="13.5" customHeight="1" x14ac:dyDescent="0.2">
      <c r="B186" s="2426">
        <v>2020</v>
      </c>
      <c r="C186" s="2427"/>
      <c r="D186" s="1961">
        <f>VLOOKUP($I$3,SNAPClnts_Annual,12, FALSE)</f>
        <v>6368</v>
      </c>
      <c r="E186" s="1962">
        <f>VLOOKUP($I$3,TANFClnts_Annual,12,FALSE)</f>
        <v>314</v>
      </c>
      <c r="F186" s="1963">
        <f>VLOOKUP($I$3,MAClnts_Annual,12,FALSE)</f>
        <v>11409</v>
      </c>
      <c r="G186" s="1964">
        <f>VLOOKUP($I$3,BenefitClnts_Annual,12,FALSE)</f>
        <v>12091</v>
      </c>
      <c r="H186" s="1965">
        <f>VLOOKUP($I$3,ChildCareClients_Annual,18,FALSE)</f>
        <v>24</v>
      </c>
      <c r="I186" s="1966">
        <f>VLOOKUP($I$3,ChildCareClients_Annual,19,FALSE)</f>
        <v>44</v>
      </c>
      <c r="L186" s="869"/>
      <c r="M186" s="869"/>
      <c r="O186" s="928"/>
      <c r="P186" s="928"/>
    </row>
    <row r="187" spans="2:16" ht="13.5" customHeight="1" x14ac:dyDescent="0.2">
      <c r="B187" s="2210" t="s">
        <v>1024</v>
      </c>
      <c r="C187" s="2210"/>
      <c r="D187" s="2210"/>
      <c r="E187" s="2210"/>
      <c r="F187" s="2210"/>
      <c r="G187" s="2210"/>
      <c r="H187" s="2210"/>
      <c r="I187" s="2210"/>
      <c r="J187" s="2210"/>
      <c r="L187" s="869"/>
      <c r="M187" s="869"/>
      <c r="O187" s="928"/>
      <c r="P187" s="928"/>
    </row>
    <row r="188" spans="2:16" ht="13.5" customHeight="1" x14ac:dyDescent="0.2">
      <c r="B188" s="2210"/>
      <c r="C188" s="2210"/>
      <c r="D188" s="2210"/>
      <c r="E188" s="2210"/>
      <c r="F188" s="2210"/>
      <c r="G188" s="2210"/>
      <c r="H188" s="2210"/>
      <c r="I188" s="2210"/>
      <c r="J188" s="2210"/>
      <c r="L188" s="869"/>
      <c r="M188" s="869"/>
      <c r="O188" s="928"/>
      <c r="P188" s="928"/>
    </row>
    <row r="189" spans="2:16" ht="13.5" customHeight="1" x14ac:dyDescent="0.2">
      <c r="B189" s="2210"/>
      <c r="C189" s="2210"/>
      <c r="D189" s="2210"/>
      <c r="E189" s="2210"/>
      <c r="F189" s="2210"/>
      <c r="G189" s="2210"/>
      <c r="H189" s="2210"/>
      <c r="I189" s="2210"/>
      <c r="J189" s="2210"/>
      <c r="L189" s="869"/>
      <c r="M189" s="869"/>
      <c r="N189" s="25"/>
      <c r="O189" s="928"/>
      <c r="P189" s="928"/>
    </row>
    <row r="190" spans="2:16" ht="13.5" customHeight="1" x14ac:dyDescent="0.2">
      <c r="B190" s="638"/>
      <c r="C190" s="638"/>
      <c r="D190" s="638"/>
      <c r="E190" s="638"/>
      <c r="F190" s="638"/>
      <c r="G190" s="638"/>
      <c r="H190" s="638"/>
      <c r="I190" s="33"/>
      <c r="J190" s="33"/>
      <c r="K190" s="25"/>
      <c r="L190" s="25"/>
      <c r="M190" s="25"/>
      <c r="N190" s="25"/>
    </row>
    <row r="191" spans="2:16" ht="13.5" customHeight="1" x14ac:dyDescent="0.2">
      <c r="B191" s="638"/>
      <c r="C191" s="638"/>
      <c r="D191" s="638"/>
      <c r="E191" s="638"/>
      <c r="F191" s="638"/>
      <c r="G191" s="638"/>
      <c r="H191" s="638"/>
      <c r="I191" s="33"/>
      <c r="J191" s="33"/>
      <c r="K191" s="25"/>
      <c r="L191" s="25"/>
      <c r="M191" s="25"/>
      <c r="N191" s="25"/>
    </row>
    <row r="192" spans="2:16" ht="13.5" customHeight="1" x14ac:dyDescent="0.2">
      <c r="B192" s="638"/>
      <c r="C192" s="638"/>
      <c r="D192" s="638"/>
      <c r="E192" s="638"/>
      <c r="F192" s="638"/>
      <c r="G192" s="638"/>
      <c r="H192" s="638"/>
      <c r="I192" s="33"/>
      <c r="J192" s="33"/>
      <c r="K192" s="25"/>
      <c r="L192" s="25"/>
      <c r="M192" s="25"/>
      <c r="N192" s="25"/>
    </row>
    <row r="193" spans="2:28" ht="13.5" customHeight="1" x14ac:dyDescent="0.2">
      <c r="B193" s="638"/>
      <c r="C193" s="638"/>
      <c r="D193" s="638"/>
      <c r="E193" s="638"/>
      <c r="F193" s="638"/>
      <c r="G193" s="638"/>
      <c r="H193" s="638"/>
      <c r="I193" s="33"/>
      <c r="J193" s="33"/>
      <c r="K193" s="25"/>
      <c r="L193" s="25"/>
      <c r="M193" s="25"/>
      <c r="N193" s="25"/>
    </row>
    <row r="194" spans="2:28" ht="13.5" customHeight="1" x14ac:dyDescent="0.2">
      <c r="B194" s="638"/>
      <c r="C194" s="638"/>
      <c r="D194" s="638"/>
      <c r="E194" s="638"/>
      <c r="F194" s="638"/>
      <c r="G194" s="638"/>
      <c r="H194" s="638"/>
      <c r="I194" s="33"/>
      <c r="J194" s="33"/>
      <c r="K194" s="25"/>
      <c r="L194" s="25"/>
      <c r="M194" s="25"/>
      <c r="N194" s="25"/>
    </row>
    <row r="195" spans="2:28" ht="13.5" customHeight="1" x14ac:dyDescent="0.2">
      <c r="B195" s="638"/>
      <c r="C195" s="638"/>
      <c r="D195" s="638"/>
      <c r="E195" s="638"/>
      <c r="F195" s="638"/>
      <c r="G195" s="638"/>
      <c r="H195" s="638"/>
      <c r="I195" s="33"/>
      <c r="J195" s="33"/>
      <c r="K195" s="25"/>
      <c r="L195" s="25"/>
      <c r="M195" s="25"/>
      <c r="N195" s="25"/>
    </row>
    <row r="196" spans="2:28" ht="13.5" customHeight="1" x14ac:dyDescent="0.2">
      <c r="B196" s="638"/>
      <c r="C196" s="638"/>
      <c r="D196" s="638"/>
      <c r="E196" s="638"/>
      <c r="F196" s="638"/>
      <c r="G196" s="638"/>
      <c r="H196" s="638"/>
      <c r="I196" s="33"/>
      <c r="J196" s="33"/>
      <c r="K196" s="25"/>
      <c r="L196" s="25"/>
      <c r="M196" s="25"/>
      <c r="N196" s="25"/>
    </row>
    <row r="197" spans="2:28" ht="13.5" customHeight="1" x14ac:dyDescent="0.2">
      <c r="B197" s="638"/>
      <c r="C197" s="638"/>
      <c r="D197" s="638"/>
      <c r="E197" s="638"/>
      <c r="F197" s="638"/>
      <c r="G197" s="638"/>
      <c r="H197" s="638"/>
      <c r="I197" s="33"/>
      <c r="J197" s="33"/>
      <c r="K197" s="25"/>
      <c r="L197" s="25"/>
      <c r="M197" s="25"/>
      <c r="N197" s="25"/>
    </row>
    <row r="198" spans="2:28" ht="13.5" customHeight="1" x14ac:dyDescent="0.2">
      <c r="B198" s="638"/>
      <c r="C198" s="638"/>
      <c r="D198" s="638"/>
      <c r="E198" s="638"/>
      <c r="F198" s="638"/>
      <c r="G198" s="638"/>
      <c r="H198" s="638"/>
      <c r="I198" s="33"/>
      <c r="J198" s="33"/>
      <c r="K198" s="25"/>
      <c r="L198" s="25"/>
      <c r="M198" s="25"/>
      <c r="N198" s="25"/>
    </row>
    <row r="199" spans="2:28" ht="13.5" customHeight="1" x14ac:dyDescent="0.2">
      <c r="B199" s="638"/>
      <c r="C199" s="638"/>
      <c r="D199" s="638"/>
      <c r="E199" s="638"/>
      <c r="F199" s="638"/>
      <c r="G199" s="638"/>
      <c r="H199" s="638"/>
      <c r="I199" s="33"/>
      <c r="J199" s="33"/>
      <c r="K199" s="25"/>
      <c r="L199" s="25"/>
      <c r="M199" s="25"/>
      <c r="N199" s="25"/>
    </row>
    <row r="200" spans="2:28" ht="13.5" customHeight="1" x14ac:dyDescent="0.2">
      <c r="B200" s="638"/>
      <c r="C200" s="638"/>
      <c r="D200" s="638"/>
      <c r="E200" s="638"/>
      <c r="F200" s="638"/>
      <c r="G200" s="638"/>
      <c r="H200" s="638"/>
      <c r="I200" s="33"/>
      <c r="J200" s="33"/>
      <c r="K200" s="25"/>
      <c r="L200" s="25"/>
      <c r="M200" s="25"/>
      <c r="N200" s="25"/>
    </row>
    <row r="201" spans="2:28" ht="13.5" customHeight="1" x14ac:dyDescent="0.2">
      <c r="B201" s="638"/>
      <c r="C201" s="638"/>
      <c r="D201" s="638"/>
      <c r="E201" s="638"/>
      <c r="F201" s="638"/>
      <c r="G201" s="638"/>
      <c r="H201" s="638"/>
      <c r="I201" s="33"/>
      <c r="J201" s="33"/>
      <c r="K201" s="25"/>
      <c r="L201" s="25"/>
      <c r="M201" s="25"/>
      <c r="N201" s="25"/>
    </row>
    <row r="202" spans="2:28" ht="13.5" customHeight="1" x14ac:dyDescent="0.2">
      <c r="B202" s="1569"/>
      <c r="C202" s="1569"/>
      <c r="D202" s="1569"/>
      <c r="E202" s="1569"/>
      <c r="F202" s="1569"/>
      <c r="G202" s="1569"/>
      <c r="H202" s="1569"/>
      <c r="I202" s="33"/>
      <c r="J202" s="33"/>
      <c r="K202" s="25"/>
      <c r="L202" s="25"/>
      <c r="M202" s="25"/>
      <c r="N202" s="25"/>
    </row>
    <row r="203" spans="2:28" ht="13.5" customHeight="1" x14ac:dyDescent="0.2">
      <c r="B203" s="111"/>
      <c r="C203" s="111"/>
      <c r="D203" s="111"/>
      <c r="E203" s="111"/>
      <c r="F203" s="111"/>
      <c r="G203" s="111"/>
      <c r="H203" s="638"/>
      <c r="I203" s="33"/>
      <c r="J203" s="33"/>
      <c r="K203" s="25"/>
      <c r="L203" s="25"/>
      <c r="M203" s="25"/>
      <c r="N203" s="25"/>
    </row>
    <row r="204" spans="2:28" ht="13.5" customHeight="1" x14ac:dyDescent="0.2">
      <c r="B204" s="2388" t="s">
        <v>926</v>
      </c>
      <c r="C204" s="2389"/>
      <c r="D204" s="2379" t="s">
        <v>516</v>
      </c>
      <c r="E204" s="2379"/>
      <c r="F204" s="2379"/>
      <c r="G204" s="2379"/>
      <c r="H204" s="2396" t="s">
        <v>539</v>
      </c>
      <c r="I204" s="2397"/>
      <c r="J204" s="2396" t="s">
        <v>503</v>
      </c>
      <c r="K204" s="2379"/>
      <c r="L204" s="2397"/>
      <c r="M204" s="2382" t="s">
        <v>766</v>
      </c>
      <c r="P204" s="73"/>
      <c r="Q204" s="73"/>
      <c r="S204" s="16"/>
      <c r="T204" s="73"/>
      <c r="X204" s="13"/>
      <c r="Y204" s="14"/>
      <c r="Z204" s="14"/>
      <c r="AA204" s="15"/>
      <c r="AB204" s="14"/>
    </row>
    <row r="205" spans="2:28" ht="13.5" customHeight="1" x14ac:dyDescent="0.2">
      <c r="B205" s="2388"/>
      <c r="C205" s="2389"/>
      <c r="D205" s="1491" t="s">
        <v>518</v>
      </c>
      <c r="E205" s="1017" t="s">
        <v>771</v>
      </c>
      <c r="F205" s="1491" t="s">
        <v>772</v>
      </c>
      <c r="G205" s="1487" t="s">
        <v>517</v>
      </c>
      <c r="H205" s="1488" t="s">
        <v>381</v>
      </c>
      <c r="I205" s="1017" t="s">
        <v>380</v>
      </c>
      <c r="J205" s="1486" t="s">
        <v>2</v>
      </c>
      <c r="K205" s="1017" t="s">
        <v>298</v>
      </c>
      <c r="L205" s="1516" t="s">
        <v>299</v>
      </c>
      <c r="M205" s="2383"/>
      <c r="P205" s="109"/>
      <c r="Q205" s="109"/>
      <c r="S205" s="16"/>
      <c r="T205" s="109"/>
      <c r="X205" s="13"/>
      <c r="Y205" s="14"/>
      <c r="Z205" s="14"/>
      <c r="AA205" s="15"/>
      <c r="AB205" s="14"/>
    </row>
    <row r="206" spans="2:28" ht="13.5" customHeight="1" x14ac:dyDescent="0.2">
      <c r="B206" s="1495" t="s">
        <v>764</v>
      </c>
      <c r="C206" s="1496"/>
      <c r="D206" s="1492">
        <f>VLOOKUP(I3,BenefitClient_Demo,5,FALSE)</f>
        <v>5073</v>
      </c>
      <c r="E206" s="1041">
        <f>VLOOKUP(I3,BenefitClient_Demo,6,FALSE)</f>
        <v>2479</v>
      </c>
      <c r="F206" s="1492">
        <f>VLOOKUP(I3,BenefitClient_Demo,7,FALSE)</f>
        <v>3264</v>
      </c>
      <c r="G206" s="1646">
        <f>VLOOKUP(I3,BenefitClient_Demo,8,FALSE)</f>
        <v>1275</v>
      </c>
      <c r="H206" s="1489">
        <f>VLOOKUP(I3,BenefitClient_Demo,10,FALSE)</f>
        <v>6734</v>
      </c>
      <c r="I206" s="1041">
        <f>VLOOKUP(I3,BenefitClient_Demo,11,FALSE)</f>
        <v>5357</v>
      </c>
      <c r="J206" s="1019">
        <f>VLOOKUP(I3,BenefitClient_Demo,13,FALSE)</f>
        <v>6426</v>
      </c>
      <c r="K206" s="1020">
        <f>VLOOKUP(I3,BenefitClient_Demo,14,FALSE)</f>
        <v>5334</v>
      </c>
      <c r="L206" s="1517">
        <f>VLOOKUP(I3,BenefitClient_Demo,15,FALSE)</f>
        <v>149</v>
      </c>
      <c r="M206" s="1522">
        <f>VLOOKUP(I3,BenefitClient_Demo,17,FALSE)</f>
        <v>753</v>
      </c>
      <c r="O206" s="650"/>
      <c r="P206" s="103"/>
      <c r="Q206" s="103"/>
      <c r="S206" s="16"/>
      <c r="T206" s="69"/>
      <c r="X206" s="13"/>
      <c r="Y206" s="14"/>
      <c r="Z206" s="14"/>
      <c r="AA206" s="15"/>
      <c r="AB206" s="14"/>
    </row>
    <row r="207" spans="2:28" ht="13.5" customHeight="1" x14ac:dyDescent="0.2">
      <c r="B207" s="1497" t="s">
        <v>291</v>
      </c>
      <c r="C207" s="1498"/>
      <c r="D207" s="104">
        <f>VLOOKUP($I$3,SNAPClient_Demo,5,FALSE)</f>
        <v>2818</v>
      </c>
      <c r="E207" s="1411">
        <f>VLOOKUP($I$3,SNAPClient_Demo,6,FALSE)</f>
        <v>1263</v>
      </c>
      <c r="F207" s="104">
        <f>VLOOKUP($I$3,SNAPClient_Demo,7,FALSE)</f>
        <v>1743</v>
      </c>
      <c r="G207" s="1647">
        <f>VLOOKUP($I$3,SNAPClient_Demo,8,FALSE)</f>
        <v>544</v>
      </c>
      <c r="H207" s="1490">
        <f>VLOOKUP($I$3,SNAPClient_Demo,10,FALSE)</f>
        <v>3615</v>
      </c>
      <c r="I207" s="1411">
        <f>VLOOKUP($I$3,SNAPClient_Demo,11,FALSE)</f>
        <v>2753</v>
      </c>
      <c r="J207" s="1494">
        <f>VLOOKUP($I$3,SNAPClient_Demo,13,FALSE)</f>
        <v>3080</v>
      </c>
      <c r="K207" s="1493">
        <f>VLOOKUP($I$3,SNAPClient_Demo,14,FALSE)</f>
        <v>3240</v>
      </c>
      <c r="L207" s="1518">
        <f>VLOOKUP($I$3,SNAPClient_Demo,15,FALSE)</f>
        <v>46</v>
      </c>
      <c r="M207" s="1523">
        <f>VLOOKUP($I$3,SNAPClient_Demo,17,FALSE)</f>
        <v>351</v>
      </c>
      <c r="P207" s="103"/>
      <c r="Q207" s="103"/>
      <c r="S207" s="16"/>
      <c r="T207" s="69"/>
      <c r="V207" s="17"/>
      <c r="W207" s="17"/>
      <c r="X207" s="17"/>
      <c r="Y207" s="17"/>
      <c r="Z207" s="17"/>
      <c r="AA207" s="17"/>
      <c r="AB207" s="17"/>
    </row>
    <row r="208" spans="2:28" ht="13.5" customHeight="1" x14ac:dyDescent="0.2">
      <c r="B208" s="1497" t="s">
        <v>297</v>
      </c>
      <c r="C208" s="1498"/>
      <c r="D208" s="104">
        <f>VLOOKUP(I3,TANFClient_Demo,5,FALSE)</f>
        <v>230</v>
      </c>
      <c r="E208" s="1411">
        <f>VLOOKUP(I3,TANFClient_Demo,6,FALSE)</f>
        <v>58</v>
      </c>
      <c r="F208" s="104">
        <f>VLOOKUP(I3,TANFClient_Demo,7,FALSE)</f>
        <v>26</v>
      </c>
      <c r="G208" s="1647">
        <f>VLOOKUP(I3,TANFClient_Demo,8,FALSE)</f>
        <v>0</v>
      </c>
      <c r="H208" s="1490">
        <f>VLOOKUP(I3,TANFClient_Demo,10,FALSE)</f>
        <v>192</v>
      </c>
      <c r="I208" s="1411">
        <f>VLOOKUP(I3,TANFClient_Demo,11,FALSE)</f>
        <v>122</v>
      </c>
      <c r="J208" s="1410">
        <f>VLOOKUP(I3,TANFClient_Demo,13,FALSE)</f>
        <v>132</v>
      </c>
      <c r="K208" s="1411">
        <f>VLOOKUP(I3,TANFClient_Demo,14,FALSE)</f>
        <v>179</v>
      </c>
      <c r="L208" s="1519">
        <f>VLOOKUP(I3,TANFClient_Demo,15,FALSE)</f>
        <v>3</v>
      </c>
      <c r="M208" s="1523">
        <f>VLOOKUP(I3,TANFClient_Demo,17,FALSE)</f>
        <v>19</v>
      </c>
      <c r="P208" s="103"/>
      <c r="Q208" s="103"/>
      <c r="S208" s="16"/>
      <c r="T208" s="69"/>
      <c r="V208" s="17"/>
      <c r="W208" s="17"/>
      <c r="X208" s="17"/>
      <c r="Y208" s="17"/>
      <c r="Z208" s="17"/>
      <c r="AA208" s="17"/>
      <c r="AB208" s="17"/>
    </row>
    <row r="209" spans="2:28" ht="13.5" customHeight="1" x14ac:dyDescent="0.2">
      <c r="B209" s="1497" t="s">
        <v>531</v>
      </c>
      <c r="C209" s="1498"/>
      <c r="D209" s="104">
        <f>VLOOKUP(I3,MedicaidClient_Demo,5,FALSE)</f>
        <v>4971</v>
      </c>
      <c r="E209" s="1411">
        <f>VLOOKUP(I3,MedicaidClient_Demo,6,FALSE)</f>
        <v>2276</v>
      </c>
      <c r="F209" s="104">
        <f>VLOOKUP(I3,MedicaidClient_Demo,7,FALSE)</f>
        <v>2979</v>
      </c>
      <c r="G209" s="1515">
        <f>VLOOKUP(I3,MedicaidClient_Demo,8,FALSE)</f>
        <v>1183</v>
      </c>
      <c r="H209" s="1490">
        <f>VLOOKUP(I3,MedicaidClient_Demo,10,FALSE)</f>
        <v>6426</v>
      </c>
      <c r="I209" s="1411">
        <f>VLOOKUP(I3,MedicaidClient_Demo,11,FALSE)</f>
        <v>4983</v>
      </c>
      <c r="J209" s="1410">
        <f>VLOOKUP(I3,MedicaidClient_Demo,13,FALSE)</f>
        <v>6091</v>
      </c>
      <c r="K209" s="1411">
        <f>VLOOKUP(I3,MedicaidClient_Demo,14,FALSE)</f>
        <v>4993</v>
      </c>
      <c r="L209" s="1519">
        <f>VLOOKUP(I3,MedicaidClient_Demo,15,FALSE)</f>
        <v>143</v>
      </c>
      <c r="M209" s="1523">
        <f>VLOOKUP(I3,MedicaidClient_Demo,17,FALSE)</f>
        <v>726</v>
      </c>
      <c r="P209" s="103"/>
      <c r="Q209" s="103"/>
      <c r="S209" s="16"/>
      <c r="T209" s="69"/>
      <c r="X209" s="13"/>
      <c r="Y209" s="14"/>
      <c r="Z209" s="14"/>
      <c r="AA209" s="15"/>
      <c r="AB209" s="14"/>
    </row>
    <row r="210" spans="2:28" ht="13.5" customHeight="1" x14ac:dyDescent="0.2">
      <c r="B210" s="2380"/>
      <c r="C210" s="2381"/>
      <c r="D210" s="1491" t="s">
        <v>768</v>
      </c>
      <c r="E210" s="1017" t="s">
        <v>769</v>
      </c>
      <c r="F210" s="1491" t="s">
        <v>770</v>
      </c>
      <c r="G210" s="1487" t="s">
        <v>763</v>
      </c>
      <c r="H210" s="1488" t="s">
        <v>381</v>
      </c>
      <c r="I210" s="1017" t="s">
        <v>380</v>
      </c>
      <c r="J210" s="1486" t="s">
        <v>2</v>
      </c>
      <c r="K210" s="1017" t="s">
        <v>298</v>
      </c>
      <c r="L210" s="1516" t="s">
        <v>299</v>
      </c>
      <c r="M210" s="1521" t="s">
        <v>383</v>
      </c>
      <c r="P210" s="103"/>
      <c r="Q210" s="103"/>
      <c r="S210" s="16"/>
      <c r="T210" s="69"/>
      <c r="X210" s="13"/>
      <c r="Y210" s="14"/>
      <c r="Z210" s="14"/>
      <c r="AA210" s="15"/>
      <c r="AB210" s="14"/>
    </row>
    <row r="211" spans="2:28" ht="13.5" customHeight="1" x14ac:dyDescent="0.2">
      <c r="B211" s="1495" t="s">
        <v>762</v>
      </c>
      <c r="C211" s="1496"/>
      <c r="D211" s="104">
        <f>VLOOKUP(I3,CCClient_Demo,5,FALSE)</f>
        <v>2</v>
      </c>
      <c r="E211" s="1020">
        <f>VLOOKUP(I3,CCClient_Demo,6,FALSE)</f>
        <v>8</v>
      </c>
      <c r="F211" s="104">
        <f>VLOOKUP(I3,CCClient_Demo,7,FALSE)</f>
        <v>12</v>
      </c>
      <c r="G211" s="1485">
        <f>VLOOKUP(I3,CCClient_Demo,8,FALSE)</f>
        <v>19</v>
      </c>
      <c r="H211" s="4">
        <f>VLOOKUP(I3,CCClient_Demo,10,FALSE)</f>
        <v>20</v>
      </c>
      <c r="I211" s="1020">
        <f>VLOOKUP(I3,CCClient_Demo,11,FALSE)</f>
        <v>21</v>
      </c>
      <c r="J211" s="1478">
        <f>VLOOKUP(I3,CCClient_Demo,13,FALSE)</f>
        <v>8</v>
      </c>
      <c r="K211" s="1041">
        <f>VLOOKUP(I3,CCClient_Demo,14,FALSE)</f>
        <v>32</v>
      </c>
      <c r="L211" s="1520">
        <f>VLOOKUP(I3,CCClient_Demo,15,FALSE)</f>
        <v>1</v>
      </c>
      <c r="M211" s="1524">
        <f>VLOOKUP(I3,CCClient_Demo,17,FALSE)</f>
        <v>0</v>
      </c>
      <c r="P211" s="103"/>
      <c r="Q211" s="103"/>
      <c r="S211" s="16"/>
      <c r="T211" s="69"/>
      <c r="X211" s="13"/>
      <c r="Y211" s="14"/>
      <c r="Z211" s="14"/>
      <c r="AA211" s="15"/>
      <c r="AB211" s="14"/>
    </row>
    <row r="212" spans="2:28" ht="13.5" customHeight="1" x14ac:dyDescent="0.2">
      <c r="B212" s="2301" t="s">
        <v>806</v>
      </c>
      <c r="C212" s="2301"/>
      <c r="D212" s="2301"/>
      <c r="E212" s="2301"/>
      <c r="F212" s="2301"/>
      <c r="G212" s="2301"/>
      <c r="H212" s="2301"/>
      <c r="I212" s="2301"/>
      <c r="J212" s="2301"/>
      <c r="K212" s="2218"/>
      <c r="L212" s="2218"/>
      <c r="M212" s="2218"/>
      <c r="N212" s="113"/>
      <c r="O212" s="113"/>
      <c r="P212" s="102"/>
    </row>
    <row r="213" spans="2:28" ht="13.5" customHeight="1" x14ac:dyDescent="0.2">
      <c r="B213" s="2218"/>
      <c r="C213" s="2218"/>
      <c r="D213" s="2218"/>
      <c r="E213" s="2218"/>
      <c r="F213" s="2218"/>
      <c r="G213" s="2218"/>
      <c r="H213" s="2218"/>
      <c r="I213" s="2218"/>
      <c r="J213" s="2218"/>
      <c r="K213" s="2218"/>
      <c r="L213" s="2218"/>
      <c r="M213" s="2218"/>
      <c r="N213" s="113"/>
      <c r="O213" s="113"/>
      <c r="P213" s="102"/>
    </row>
    <row r="214" spans="2:28" ht="13.5" customHeight="1" x14ac:dyDescent="0.2">
      <c r="B214" s="2410" t="s">
        <v>791</v>
      </c>
      <c r="C214" s="2411"/>
      <c r="D214" s="2434" t="s">
        <v>532</v>
      </c>
      <c r="E214" s="2435"/>
      <c r="F214" s="2436"/>
      <c r="G214" s="2423" t="s">
        <v>537</v>
      </c>
      <c r="H214" s="2424"/>
      <c r="I214" s="2425"/>
      <c r="J214" s="1919"/>
      <c r="K214" s="2294"/>
      <c r="L214" s="647"/>
      <c r="M214" s="646"/>
      <c r="N214" s="646"/>
      <c r="O214" s="646"/>
      <c r="P214" s="646"/>
      <c r="Q214" s="25"/>
      <c r="R214" s="18"/>
    </row>
    <row r="215" spans="2:28" ht="13.5" customHeight="1" x14ac:dyDescent="0.2">
      <c r="B215" s="2412"/>
      <c r="C215" s="2413"/>
      <c r="D215" s="2370" t="s">
        <v>291</v>
      </c>
      <c r="E215" s="2371" t="s">
        <v>833</v>
      </c>
      <c r="F215" s="2372" t="s">
        <v>531</v>
      </c>
      <c r="G215" s="2428" t="s">
        <v>533</v>
      </c>
      <c r="H215" s="2430" t="s">
        <v>534</v>
      </c>
      <c r="I215" s="2432" t="s">
        <v>535</v>
      </c>
      <c r="J215" s="2295"/>
      <c r="K215" s="2294"/>
      <c r="L215" s="647"/>
      <c r="M215" s="646"/>
      <c r="N215" s="646"/>
      <c r="O215" s="646"/>
      <c r="P215" s="646"/>
      <c r="Q215" s="25"/>
      <c r="R215" s="18"/>
    </row>
    <row r="216" spans="2:28" ht="13.5" customHeight="1" x14ac:dyDescent="0.2">
      <c r="B216" s="2412"/>
      <c r="C216" s="2413"/>
      <c r="D216" s="2370"/>
      <c r="E216" s="2371"/>
      <c r="F216" s="2372"/>
      <c r="G216" s="2429"/>
      <c r="H216" s="2431"/>
      <c r="I216" s="2433"/>
      <c r="J216" s="2295"/>
      <c r="K216" s="2294"/>
      <c r="L216" s="647"/>
      <c r="M216" s="646"/>
      <c r="N216" s="646"/>
      <c r="O216" s="646"/>
      <c r="P216" s="646"/>
      <c r="Q216" s="25"/>
      <c r="R216" s="18"/>
    </row>
    <row r="217" spans="2:28" ht="13.5" customHeight="1" x14ac:dyDescent="0.2">
      <c r="B217" s="2290">
        <v>2010</v>
      </c>
      <c r="C217" s="2291"/>
      <c r="D217" s="985">
        <f>VLOOKUP(I3,SNAPCases_Annual, 4,FALSE)</f>
        <v>3524</v>
      </c>
      <c r="E217" s="986">
        <f>VLOOKUP(I3,TANFCases_Annual,4,FALSE)</f>
        <v>375</v>
      </c>
      <c r="F217" s="987">
        <f>VLOOKUP(I3,MedicaidCases_Annual,4,FALSE)</f>
        <v>5061</v>
      </c>
      <c r="G217" s="1920" t="s">
        <v>564</v>
      </c>
      <c r="H217" s="1921" t="s">
        <v>564</v>
      </c>
      <c r="I217" s="1922" t="s">
        <v>564</v>
      </c>
      <c r="J217" s="1917"/>
      <c r="K217" s="1917"/>
      <c r="L217" s="645"/>
      <c r="M217" s="646"/>
      <c r="N217" s="646"/>
      <c r="O217" s="646"/>
      <c r="P217" s="646"/>
      <c r="Q217" s="25"/>
      <c r="R217" s="18"/>
    </row>
    <row r="218" spans="2:28" ht="13.5" customHeight="1" x14ac:dyDescent="0.2">
      <c r="B218" s="2242">
        <v>2011</v>
      </c>
      <c r="C218" s="2243"/>
      <c r="D218" s="867">
        <f>VLOOKUP(I3,SNAPCases_Annual, 5,FALSE)</f>
        <v>3901</v>
      </c>
      <c r="E218" s="988">
        <f>VLOOKUP(I3,TANFCases_Annual,5,FALSE)</f>
        <v>374</v>
      </c>
      <c r="F218" s="989">
        <f>VLOOKUP(I3,MedicaidCases_Annual,5,FALSE)</f>
        <v>5183</v>
      </c>
      <c r="G218" s="1923" t="s">
        <v>564</v>
      </c>
      <c r="H218" s="1924" t="s">
        <v>564</v>
      </c>
      <c r="I218" s="1925" t="s">
        <v>564</v>
      </c>
      <c r="J218" s="1917"/>
      <c r="K218" s="1917"/>
      <c r="L218" s="645"/>
      <c r="M218" s="646"/>
      <c r="N218" s="646"/>
      <c r="O218" s="646"/>
      <c r="P218" s="646"/>
      <c r="Q218" s="25"/>
      <c r="R218" s="18"/>
    </row>
    <row r="219" spans="2:28" ht="13.5" customHeight="1" x14ac:dyDescent="0.2">
      <c r="B219" s="2290">
        <v>2012</v>
      </c>
      <c r="C219" s="2291"/>
      <c r="D219" s="868">
        <f>VLOOKUP(I3,SNAPCases_Annual, 6,FALSE)</f>
        <v>4257</v>
      </c>
      <c r="E219" s="990">
        <f>VLOOKUP(I3,TANFCases_Annual,6,FALSE)</f>
        <v>387</v>
      </c>
      <c r="F219" s="991">
        <f>VLOOKUP(I3,MedicaidCases_Annual,6,FALSE)</f>
        <v>5235</v>
      </c>
      <c r="G219" s="1926" t="s">
        <v>564</v>
      </c>
      <c r="H219" s="1927" t="s">
        <v>564</v>
      </c>
      <c r="I219" s="1928" t="s">
        <v>564</v>
      </c>
      <c r="J219" s="1917"/>
      <c r="K219" s="1917"/>
      <c r="L219" s="645"/>
      <c r="M219" s="646"/>
      <c r="N219" s="1897"/>
      <c r="O219" s="646"/>
      <c r="P219" s="646"/>
      <c r="Q219" s="25"/>
      <c r="R219" s="18"/>
    </row>
    <row r="220" spans="2:28" ht="13.5" customHeight="1" x14ac:dyDescent="0.2">
      <c r="B220" s="2242">
        <v>2013</v>
      </c>
      <c r="C220" s="2243"/>
      <c r="D220" s="867">
        <f>VLOOKUP(I3,SNAPCases_Annual, 7,FALSE)</f>
        <v>4419</v>
      </c>
      <c r="E220" s="988">
        <f>VLOOKUP(I3,TANFCases_Annual,7,FALSE)</f>
        <v>379</v>
      </c>
      <c r="F220" s="989">
        <f>VLOOKUP(I3,MedicaidCases_Annual,7,FALSE)</f>
        <v>5244</v>
      </c>
      <c r="G220" s="1923">
        <f>VLOOKUP(I3,EACases_Annual,4,FALSE)</f>
        <v>1949</v>
      </c>
      <c r="H220" s="1924">
        <f>VLOOKUP(I3,EACases_Annual,12,FALSE)</f>
        <v>593</v>
      </c>
      <c r="I220" s="1925">
        <f>VLOOKUP(I3,EACases_Annual,20,FALSE)</f>
        <v>831</v>
      </c>
      <c r="J220" s="1917"/>
      <c r="K220" s="1917"/>
      <c r="L220" s="645"/>
      <c r="M220" s="25"/>
      <c r="N220" s="25"/>
      <c r="O220" s="25"/>
      <c r="P220" s="25"/>
      <c r="Q220" s="25"/>
      <c r="R220" s="18"/>
    </row>
    <row r="221" spans="2:28" ht="13.5" customHeight="1" x14ac:dyDescent="0.2">
      <c r="B221" s="2240">
        <v>2014</v>
      </c>
      <c r="C221" s="2241"/>
      <c r="D221" s="866">
        <f>VLOOKUP(I3,SNAPCases_Annual, 8,FALSE)</f>
        <v>4404</v>
      </c>
      <c r="E221" s="1025">
        <f>VLOOKUP(I3,TANFCases_Annual,8,FALSE)</f>
        <v>321</v>
      </c>
      <c r="F221" s="1026">
        <f>VLOOKUP(I3,MedicaidCases_Annual,8,FALSE)</f>
        <v>5279</v>
      </c>
      <c r="G221" s="1929">
        <f>VLOOKUP(I3,EACases_Annual,5,FALSE)</f>
        <v>1818</v>
      </c>
      <c r="H221" s="1930">
        <f>VLOOKUP(I3,EACases_Annual,13,FALSE)</f>
        <v>659</v>
      </c>
      <c r="I221" s="1931">
        <f>VLOOKUP(I3,EACases_Annual,21,FALSE)</f>
        <v>883</v>
      </c>
      <c r="J221" s="1917"/>
      <c r="K221" s="1917"/>
      <c r="L221" s="645"/>
      <c r="M221" s="25"/>
      <c r="N221" s="25"/>
      <c r="O221" s="25"/>
      <c r="P221" s="25"/>
      <c r="Q221" s="25"/>
      <c r="R221" s="18"/>
    </row>
    <row r="222" spans="2:28" ht="13.5" customHeight="1" x14ac:dyDescent="0.2">
      <c r="B222" s="2242">
        <v>2015</v>
      </c>
      <c r="C222" s="2243"/>
      <c r="D222" s="867">
        <f>VLOOKUP(I3,SNAPCases_Annual, 9,FALSE)</f>
        <v>4081</v>
      </c>
      <c r="E222" s="988">
        <f>VLOOKUP(I3,TANFCases_Annual,9,FALSE)</f>
        <v>275</v>
      </c>
      <c r="F222" s="989">
        <f>VLOOKUP(I3,MedicaidCases_Annual,9,FALSE)</f>
        <v>5412</v>
      </c>
      <c r="G222" s="1923">
        <f>VLOOKUP(I3,EACases_Annual,6,FALSE)</f>
        <v>1821</v>
      </c>
      <c r="H222" s="1924">
        <f>VLOOKUP(I3,EACases_Annual,14,FALSE)</f>
        <v>586</v>
      </c>
      <c r="I222" s="1925">
        <f>VLOOKUP(I3,EACases_Annual,22,FALSE)</f>
        <v>819</v>
      </c>
      <c r="J222" s="1917"/>
      <c r="K222" s="1917"/>
      <c r="L222" s="645"/>
      <c r="M222" s="25"/>
      <c r="N222" s="25"/>
      <c r="O222" s="25"/>
      <c r="P222" s="25"/>
      <c r="Q222" s="25"/>
      <c r="R222" s="18"/>
    </row>
    <row r="223" spans="2:28" ht="13.5" customHeight="1" x14ac:dyDescent="0.2">
      <c r="B223" s="2292">
        <v>2016</v>
      </c>
      <c r="C223" s="2293"/>
      <c r="D223" s="1410">
        <f>VLOOKUP(I3,SNAPCases_Annual,10,FALSE)</f>
        <v>3754</v>
      </c>
      <c r="E223" s="1411">
        <f>VLOOKUP(I3,TANFCases_Annual,10,FALSE)</f>
        <v>245</v>
      </c>
      <c r="F223" s="1412">
        <f>VLOOKUP(I3,MedicaidCases_Annual,10,FALSE)</f>
        <v>5483</v>
      </c>
      <c r="G223" s="1932">
        <f>VLOOKUP($I$3,EACases_Annual,7,FALSE)</f>
        <v>1680</v>
      </c>
      <c r="H223" s="1933">
        <f>VLOOKUP($I$3,EACases_Annual,15,FALSE)</f>
        <v>528</v>
      </c>
      <c r="I223" s="1934">
        <f>VLOOKUP($I$3,EACases_Annual,23,FALSE)</f>
        <v>582</v>
      </c>
      <c r="J223" s="1917"/>
      <c r="K223" s="1917"/>
      <c r="L223" s="645"/>
      <c r="M223" s="25"/>
      <c r="N223" s="25"/>
      <c r="O223" s="25"/>
      <c r="P223" s="25"/>
      <c r="Q223" s="25"/>
      <c r="R223" s="18"/>
    </row>
    <row r="224" spans="2:28" ht="13.5" customHeight="1" x14ac:dyDescent="0.2">
      <c r="B224" s="2246">
        <v>2017</v>
      </c>
      <c r="C224" s="2243"/>
      <c r="D224" s="1895">
        <f>VLOOKUP($I$3,SNAPCases_Annual,11,FALSE)</f>
        <v>3482</v>
      </c>
      <c r="E224" s="1582">
        <f>VLOOKUP($I$3,TANFCases_Annual,11,FALSE)</f>
        <v>141</v>
      </c>
      <c r="F224" s="1896">
        <f>VLOOKUP($I$3,MedicaidCases_Annual,11,FALSE)</f>
        <v>5110</v>
      </c>
      <c r="G224" s="1935">
        <f>VLOOKUP($I$3,EACases_Annual,8,FALSE)</f>
        <v>1505</v>
      </c>
      <c r="H224" s="1936">
        <f>VLOOKUP($I$3,EACases_Annual,16,FALSE)</f>
        <v>513</v>
      </c>
      <c r="I224" s="1937">
        <f>VLOOKUP($I$3,EACases_Annual,24,FALSE)</f>
        <v>458</v>
      </c>
      <c r="J224" s="1918"/>
      <c r="K224" s="1918"/>
      <c r="L224" s="645"/>
      <c r="M224" s="25"/>
      <c r="N224" s="25"/>
      <c r="O224" s="25"/>
      <c r="P224" s="25"/>
      <c r="Q224" s="25"/>
      <c r="R224" s="18"/>
    </row>
    <row r="225" spans="2:24" ht="13.5" customHeight="1" x14ac:dyDescent="0.2">
      <c r="B225" s="2300">
        <v>2018</v>
      </c>
      <c r="C225" s="2293"/>
      <c r="D225" s="1410">
        <f>VLOOKUP($I$3,SNAPCases_Annual,12,FALSE)</f>
        <v>3191</v>
      </c>
      <c r="E225" s="2111">
        <f>VLOOKUP($I$3,TANFCases_Annual,12,FALSE)</f>
        <v>150</v>
      </c>
      <c r="F225" s="2112">
        <f>VLOOKUP($I$3,MedicaidCases_Annual,12,FALSE)</f>
        <v>5331</v>
      </c>
      <c r="G225" s="2113">
        <f>VLOOKUP($I$3,EACases_Annual,9,FALSE)</f>
        <v>1440</v>
      </c>
      <c r="H225" s="2114">
        <f>VLOOKUP($I$3,EACases_Annual,17,FALSE)</f>
        <v>533</v>
      </c>
      <c r="I225" s="2115">
        <f>VLOOKUP($I$3,EACases_Annual,25,FALSE)</f>
        <v>504</v>
      </c>
      <c r="J225" s="1918"/>
      <c r="K225" s="1918"/>
      <c r="L225" s="645"/>
      <c r="M225" s="25"/>
      <c r="N225" s="25"/>
      <c r="O225" s="25"/>
      <c r="P225" s="25"/>
      <c r="Q225" s="25"/>
      <c r="R225" s="18"/>
    </row>
    <row r="226" spans="2:24" ht="13.5" customHeight="1" x14ac:dyDescent="0.2">
      <c r="B226" s="2406">
        <v>2019</v>
      </c>
      <c r="C226" s="2407"/>
      <c r="D226" s="2116">
        <f>VLOOKUP($I$3,SNAPCases_Annual,13,FALSE)</f>
        <v>3160</v>
      </c>
      <c r="E226" s="1962">
        <f>VLOOKUP($I$3,TANFCases_Annual,13,FALSE)</f>
        <v>151</v>
      </c>
      <c r="F226" s="2117">
        <f>VLOOKUP($I$3,MedicaidCases_Annual,13,FALSE)</f>
        <v>6168</v>
      </c>
      <c r="G226" s="2118">
        <f>VLOOKUP($I$3,EACases_Annual,10,FALSE)</f>
        <v>1399</v>
      </c>
      <c r="H226" s="2119">
        <f>VLOOKUP($I$3,EACases_Annual,18,FALSE)</f>
        <v>533</v>
      </c>
      <c r="I226" s="2120">
        <f>VLOOKUP($I$3,EACases_Annual,26,FALSE)</f>
        <v>514</v>
      </c>
      <c r="J226" s="1918"/>
      <c r="K226" s="1918"/>
      <c r="L226" s="645"/>
      <c r="M226" s="25"/>
      <c r="N226" s="25"/>
      <c r="O226" s="25"/>
      <c r="P226" s="25"/>
      <c r="Q226" s="25"/>
      <c r="R226" s="18"/>
    </row>
    <row r="227" spans="2:24" ht="13.5" customHeight="1" x14ac:dyDescent="0.2">
      <c r="B227" s="2408">
        <v>2020</v>
      </c>
      <c r="C227" s="2409"/>
      <c r="D227" s="2121">
        <f>VLOOKUP($I$3,SNAPCases_Annual,14,FALSE)</f>
        <v>3121</v>
      </c>
      <c r="E227" s="2121">
        <f>VLOOKUP($I$3,TANFCases_Annual,14,FALSE)</f>
        <v>129</v>
      </c>
      <c r="F227" s="1520">
        <f>VLOOKUP($I$3,MedicaidCases_Annual,14,FALSE)</f>
        <v>6806</v>
      </c>
      <c r="G227" s="2124">
        <f>VLOOKUP($I$3,EACases_Annual,11,FALSE)</f>
        <v>1340</v>
      </c>
      <c r="H227" s="2122">
        <f>VLOOKUP($I$3,EACases_Annual,19,FALSE)</f>
        <v>505</v>
      </c>
      <c r="I227" s="2123">
        <f>VLOOKUP($I$3,EACases_Annual,27,FALSE)</f>
        <v>429</v>
      </c>
      <c r="J227" s="1918"/>
      <c r="K227" s="1918"/>
      <c r="L227" s="645"/>
      <c r="M227" s="25"/>
      <c r="N227" s="25"/>
      <c r="O227" s="25"/>
      <c r="P227" s="25"/>
      <c r="Q227" s="25"/>
      <c r="R227" s="18"/>
    </row>
    <row r="228" spans="2:24" ht="13.5" customHeight="1" x14ac:dyDescent="0.2">
      <c r="B228" s="2210" t="s">
        <v>1030</v>
      </c>
      <c r="C228" s="2210"/>
      <c r="D228" s="2210"/>
      <c r="E228" s="2210"/>
      <c r="F228" s="2210"/>
      <c r="G228" s="2210"/>
      <c r="H228" s="2210"/>
      <c r="I228" s="2210"/>
      <c r="J228" s="2210"/>
      <c r="K228" s="2210"/>
      <c r="L228" s="2210"/>
      <c r="M228" s="2210"/>
      <c r="N228" s="2210"/>
      <c r="O228" s="25"/>
      <c r="P228" s="25"/>
      <c r="Q228" s="25"/>
      <c r="R228" s="18"/>
    </row>
    <row r="229" spans="2:24" ht="13.5" customHeight="1" x14ac:dyDescent="0.2">
      <c r="B229" s="2210"/>
      <c r="C229" s="2210"/>
      <c r="D229" s="2210"/>
      <c r="E229" s="2210"/>
      <c r="F229" s="2210"/>
      <c r="G229" s="2210"/>
      <c r="H229" s="2210"/>
      <c r="I229" s="2210"/>
      <c r="J229" s="2210"/>
      <c r="K229" s="2210"/>
      <c r="L229" s="2210"/>
      <c r="M229" s="2210"/>
      <c r="N229" s="2210"/>
      <c r="O229" s="25"/>
      <c r="P229" s="25"/>
      <c r="Q229" s="25"/>
      <c r="R229" s="18"/>
    </row>
    <row r="230" spans="2:24" ht="18" hidden="1" customHeight="1" x14ac:dyDescent="0.2">
      <c r="B230" s="2303" t="s">
        <v>792</v>
      </c>
      <c r="C230" s="2303"/>
      <c r="D230" s="2303"/>
      <c r="E230" s="2303"/>
      <c r="F230" s="2303"/>
      <c r="G230" s="2303"/>
      <c r="H230" s="2303"/>
      <c r="I230" s="2303"/>
      <c r="J230" s="2303"/>
      <c r="K230" s="2303"/>
      <c r="L230" s="25"/>
      <c r="M230" s="25"/>
      <c r="N230" s="25"/>
      <c r="O230" s="25"/>
      <c r="P230" s="25"/>
      <c r="Q230" s="25"/>
      <c r="R230" s="18"/>
    </row>
    <row r="231" spans="2:24" ht="13.5" hidden="1" customHeight="1" x14ac:dyDescent="0.2">
      <c r="B231" s="2302" t="s">
        <v>732</v>
      </c>
      <c r="C231" s="2302"/>
      <c r="D231" s="2285" t="e">
        <f>VLOOKUP(I3,fs_caseload,4,FALSE)</f>
        <v>#REF!</v>
      </c>
      <c r="E231" s="2302" t="s">
        <v>733</v>
      </c>
      <c r="F231" s="2302"/>
      <c r="G231" s="2285" t="e">
        <f>VLOOKUP(I3,fs_caseload,5,FALSE)</f>
        <v>#REF!</v>
      </c>
      <c r="H231" s="2302" t="s">
        <v>734</v>
      </c>
      <c r="I231" s="2302"/>
      <c r="J231" s="2299" t="e">
        <f>VLOOKUP(I3,fs_caseload,6,FALSE)</f>
        <v>#REF!</v>
      </c>
      <c r="K231" s="111"/>
      <c r="L231" s="25"/>
      <c r="M231" s="25"/>
      <c r="N231" s="25"/>
      <c r="O231" s="25"/>
      <c r="P231" s="25"/>
      <c r="Q231" s="25"/>
      <c r="R231" s="18"/>
    </row>
    <row r="232" spans="2:24" ht="13.5" hidden="1" customHeight="1" x14ac:dyDescent="0.2">
      <c r="B232" s="2302"/>
      <c r="C232" s="2302"/>
      <c r="D232" s="2285"/>
      <c r="E232" s="2302"/>
      <c r="F232" s="2302"/>
      <c r="G232" s="2285"/>
      <c r="H232" s="2302"/>
      <c r="I232" s="2302"/>
      <c r="J232" s="2299"/>
      <c r="K232" s="111"/>
      <c r="L232" s="25"/>
      <c r="M232" s="25"/>
      <c r="N232" s="25"/>
      <c r="O232" s="25"/>
      <c r="P232" s="25"/>
      <c r="Q232" s="25"/>
      <c r="R232" s="18"/>
    </row>
    <row r="233" spans="2:24" ht="13.5" hidden="1" customHeight="1" x14ac:dyDescent="0.2">
      <c r="B233" s="2302"/>
      <c r="C233" s="2302"/>
      <c r="D233" s="2285"/>
      <c r="E233" s="2302"/>
      <c r="F233" s="2302"/>
      <c r="G233" s="2285"/>
      <c r="H233" s="2302"/>
      <c r="I233" s="2302"/>
      <c r="J233" s="2299"/>
      <c r="K233" s="111"/>
      <c r="L233" s="25"/>
      <c r="M233" s="25"/>
      <c r="N233" s="25"/>
      <c r="O233" s="25"/>
      <c r="P233" s="25"/>
      <c r="Q233" s="25"/>
      <c r="R233" s="18"/>
    </row>
    <row r="234" spans="2:24" ht="13.5" hidden="1" customHeight="1" x14ac:dyDescent="0.2">
      <c r="B234" s="2210" t="s">
        <v>793</v>
      </c>
      <c r="C234" s="2210"/>
      <c r="D234" s="2210"/>
      <c r="E234" s="2210"/>
      <c r="F234" s="2210"/>
      <c r="G234" s="2210"/>
      <c r="H234" s="2210"/>
      <c r="I234" s="2210"/>
      <c r="J234" s="2210"/>
      <c r="K234" s="2210"/>
      <c r="L234" s="25"/>
      <c r="M234" s="25"/>
      <c r="N234" s="25"/>
      <c r="O234" s="25"/>
      <c r="P234" s="25"/>
      <c r="Q234" s="25"/>
      <c r="R234" s="18"/>
    </row>
    <row r="235" spans="2:24" ht="13.5" customHeight="1" x14ac:dyDescent="0.2">
      <c r="B235" s="2244" t="s">
        <v>731</v>
      </c>
      <c r="C235" s="2245"/>
      <c r="D235" s="2245"/>
      <c r="E235" s="2304" t="s">
        <v>389</v>
      </c>
      <c r="F235" s="2250" t="s">
        <v>503</v>
      </c>
      <c r="G235" s="2251"/>
      <c r="H235" s="2251"/>
      <c r="I235" s="2252"/>
      <c r="J235" s="2247" t="s">
        <v>498</v>
      </c>
      <c r="K235" s="2248"/>
      <c r="L235" s="2248"/>
      <c r="M235" s="2248"/>
      <c r="N235" s="2249"/>
      <c r="O235" s="23"/>
      <c r="P235" s="102"/>
    </row>
    <row r="236" spans="2:24" ht="13.5" customHeight="1" x14ac:dyDescent="0.2">
      <c r="B236" s="2244"/>
      <c r="C236" s="2245"/>
      <c r="D236" s="2245"/>
      <c r="E236" s="2305"/>
      <c r="F236" s="169" t="s">
        <v>2</v>
      </c>
      <c r="G236" s="170" t="s">
        <v>298</v>
      </c>
      <c r="H236" s="1035" t="s">
        <v>299</v>
      </c>
      <c r="I236" s="1036" t="s">
        <v>500</v>
      </c>
      <c r="J236" s="169" t="s">
        <v>615</v>
      </c>
      <c r="K236" s="762" t="s">
        <v>616</v>
      </c>
      <c r="L236" s="822" t="s">
        <v>721</v>
      </c>
      <c r="M236" s="171" t="s">
        <v>722</v>
      </c>
      <c r="N236" s="171" t="s">
        <v>617</v>
      </c>
      <c r="O236" s="103"/>
      <c r="P236" s="103"/>
      <c r="X236" s="19"/>
    </row>
    <row r="237" spans="2:24" ht="13.5" customHeight="1" x14ac:dyDescent="0.2">
      <c r="B237" s="2221" t="s">
        <v>1022</v>
      </c>
      <c r="C237" s="2222"/>
      <c r="D237" s="2222"/>
      <c r="E237" s="150">
        <f>VLOOKUP(I3,FC_DEMO,4,FALSE)</f>
        <v>12</v>
      </c>
      <c r="F237" s="150">
        <f>VLOOKUP(I3,FC_DEMO,5,FALSE)</f>
        <v>7</v>
      </c>
      <c r="G237" s="763">
        <f>VLOOKUP(I3,FC_DEMO,6,FALSE)</f>
        <v>5</v>
      </c>
      <c r="H237" s="1018">
        <f>VLOOKUP(I3,FC_DEMO,15,FALSE)</f>
        <v>0</v>
      </c>
      <c r="I237" s="1033">
        <f>VLOOKUP(I3,FC_DEMO,16,FALSE)</f>
        <v>0</v>
      </c>
      <c r="J237" s="823">
        <f>VLOOKUP(I3,FC_DEMO,29,FALSE)</f>
        <v>6</v>
      </c>
      <c r="K237" s="824">
        <f>VLOOKUP(I3,FC_DEMO,30,FALSE)</f>
        <v>3</v>
      </c>
      <c r="L237" s="825">
        <f>VLOOKUP(I3,FC_DEMO,31,FALSE)</f>
        <v>0</v>
      </c>
      <c r="M237" s="825">
        <f>VLOOKUP(I3,FC_DEMO,32,FALSE)</f>
        <v>3</v>
      </c>
      <c r="N237" s="825">
        <f>VLOOKUP(I3,FC_DEMO,33,FALSE)</f>
        <v>0</v>
      </c>
      <c r="O237" s="103"/>
      <c r="P237" s="69"/>
      <c r="T237" s="20"/>
      <c r="U237" s="19"/>
      <c r="V237" s="19"/>
      <c r="W237" s="19"/>
      <c r="X237" s="19"/>
    </row>
    <row r="238" spans="2:24" ht="13.5" customHeight="1" x14ac:dyDescent="0.2">
      <c r="B238" s="2221" t="s">
        <v>923</v>
      </c>
      <c r="C238" s="2222"/>
      <c r="D238" s="2223"/>
      <c r="E238" s="651">
        <f>VLOOKUP(I3,Adoption_Child_Demo,4,FALSE)</f>
        <v>5</v>
      </c>
      <c r="F238" s="150">
        <f>VLOOKUP(I3,Adoption_Child_Demo,5,FALSE)</f>
        <v>4</v>
      </c>
      <c r="G238" s="763">
        <f>VLOOKUP(I3,Adoption_Child_Demo,6,FALSE)</f>
        <v>1</v>
      </c>
      <c r="H238" s="1018">
        <f>VLOOKUP(I3,Adoption_Child_Demo,13,FALSE)</f>
        <v>0</v>
      </c>
      <c r="I238" s="1032">
        <f>VLOOKUP(I3,Adoption_Child_Demo,12,FALSE)</f>
        <v>0</v>
      </c>
      <c r="J238" s="823">
        <f>VLOOKUP(I3,Adoption_Child_Demo,23,FALSE)</f>
        <v>1</v>
      </c>
      <c r="K238" s="824">
        <f>VLOOKUP(I3,Adoption_Child_Demo,24,FALSE)</f>
        <v>3</v>
      </c>
      <c r="L238" s="825">
        <f>VLOOKUP(I3,Adoption_Child_Demo,25,FALSE)</f>
        <v>0</v>
      </c>
      <c r="M238" s="825">
        <f>VLOOKUP(I3,Adoption_Child_Demo,26,FALSE)</f>
        <v>1</v>
      </c>
      <c r="N238" s="825">
        <f>VLOOKUP(I3,Adoption_Child_Demo,27,FALSE)</f>
        <v>0</v>
      </c>
      <c r="O238" s="103"/>
      <c r="P238" s="69"/>
      <c r="T238" s="20"/>
      <c r="U238" s="19"/>
      <c r="V238" s="19"/>
      <c r="W238" s="19"/>
      <c r="X238" s="19"/>
    </row>
    <row r="239" spans="2:24" ht="13.5" customHeight="1" x14ac:dyDescent="0.2">
      <c r="B239" s="2219" t="s">
        <v>540</v>
      </c>
      <c r="C239" s="2220"/>
      <c r="D239" s="2220"/>
      <c r="E239" s="164">
        <f>VLOOKUP(I3,AdoptionServices,4,FALSE)</f>
        <v>19</v>
      </c>
      <c r="F239" s="764">
        <f>VLOOKUP(I3,AdoptionServices,5,FALSE)</f>
        <v>13</v>
      </c>
      <c r="G239" s="765">
        <f>VLOOKUP(I3,AdoptionServices,6,FALSE)</f>
        <v>3</v>
      </c>
      <c r="H239" s="765">
        <f>VLOOKUP(I3,AdoptionServices,12,FALSE)</f>
        <v>3</v>
      </c>
      <c r="I239" s="1034">
        <f>VLOOKUP(I3,AdoptionServices,11)</f>
        <v>0</v>
      </c>
      <c r="J239" s="826">
        <f>VLOOKUP(I3,AdoptionServices,14,FALSE)</f>
        <v>2</v>
      </c>
      <c r="K239" s="827">
        <f>VLOOKUP(I3,AdoptionServices,15,FALSE)</f>
        <v>9</v>
      </c>
      <c r="L239" s="828">
        <f>VLOOKUP(I3,AdoptionServices,16,FALSE)</f>
        <v>4</v>
      </c>
      <c r="M239" s="828">
        <f>VLOOKUP(I3,AdoptionServices,17,FALSE)</f>
        <v>3</v>
      </c>
      <c r="N239" s="828">
        <f>VLOOKUP(I3,AdoptionServices,18,FALSE)</f>
        <v>1</v>
      </c>
      <c r="O239" s="103"/>
      <c r="P239" s="69"/>
      <c r="T239" s="20"/>
      <c r="U239" s="19"/>
      <c r="V239" s="19"/>
      <c r="W239" s="19"/>
      <c r="X239" s="19"/>
    </row>
    <row r="240" spans="2:24" ht="13.5" customHeight="1" x14ac:dyDescent="0.2">
      <c r="B240" s="2218" t="s">
        <v>958</v>
      </c>
      <c r="C240" s="2218"/>
      <c r="D240" s="2218"/>
      <c r="E240" s="2218"/>
      <c r="F240" s="2218"/>
      <c r="G240" s="2218"/>
      <c r="H240" s="2218"/>
      <c r="I240" s="2218"/>
      <c r="J240" s="2218"/>
      <c r="K240" s="2218"/>
      <c r="L240" s="2218"/>
      <c r="M240" s="2218"/>
      <c r="N240" s="2218"/>
      <c r="O240" s="103"/>
      <c r="P240" s="69"/>
      <c r="T240" s="20"/>
      <c r="U240" s="19"/>
      <c r="V240" s="19"/>
      <c r="W240" s="19"/>
      <c r="X240" s="19"/>
    </row>
    <row r="241" spans="2:25" ht="13.5" customHeight="1" x14ac:dyDescent="0.2">
      <c r="B241" s="2218"/>
      <c r="C241" s="2218"/>
      <c r="D241" s="2218"/>
      <c r="E241" s="2218"/>
      <c r="F241" s="2218"/>
      <c r="G241" s="2218"/>
      <c r="H241" s="2218"/>
      <c r="I241" s="2218"/>
      <c r="J241" s="2218"/>
      <c r="K241" s="2218"/>
      <c r="L241" s="2218"/>
      <c r="M241" s="2218"/>
      <c r="N241" s="2218"/>
      <c r="O241" s="103"/>
      <c r="P241" s="69"/>
      <c r="T241" s="20"/>
      <c r="U241" s="19"/>
      <c r="V241" s="19"/>
      <c r="W241" s="19"/>
      <c r="X241" s="19"/>
    </row>
    <row r="242" spans="2:25" ht="13.5" customHeight="1" x14ac:dyDescent="0.2">
      <c r="B242" s="2227" t="s">
        <v>703</v>
      </c>
      <c r="C242" s="2228"/>
      <c r="D242" s="2296"/>
      <c r="E242" s="2233" t="s">
        <v>302</v>
      </c>
      <c r="F242" s="2289" t="s">
        <v>715</v>
      </c>
      <c r="G242" s="2268"/>
      <c r="H242" s="2268"/>
      <c r="I242" s="2268"/>
      <c r="J242" s="2268"/>
      <c r="K242" s="2286" t="s">
        <v>714</v>
      </c>
      <c r="L242" s="2287"/>
      <c r="M242" s="2287"/>
      <c r="N242" s="2288"/>
      <c r="O242" s="103"/>
      <c r="P242" s="69"/>
      <c r="T242" s="20"/>
      <c r="U242" s="19"/>
      <c r="V242" s="19"/>
      <c r="W242" s="19"/>
      <c r="X242" s="19"/>
    </row>
    <row r="243" spans="2:25" ht="13.5" customHeight="1" x14ac:dyDescent="0.2">
      <c r="B243" s="2229"/>
      <c r="C243" s="2297"/>
      <c r="D243" s="2298"/>
      <c r="E243" s="2234"/>
      <c r="F243" s="1037" t="s">
        <v>2</v>
      </c>
      <c r="G243" s="1038" t="s">
        <v>298</v>
      </c>
      <c r="H243" s="1038" t="s">
        <v>299</v>
      </c>
      <c r="I243" s="1044" t="s">
        <v>500</v>
      </c>
      <c r="J243" s="1046" t="s">
        <v>383</v>
      </c>
      <c r="K243" s="966" t="s">
        <v>635</v>
      </c>
      <c r="L243" s="966" t="s">
        <v>713</v>
      </c>
      <c r="M243" s="966" t="s">
        <v>712</v>
      </c>
      <c r="N243" s="966" t="s">
        <v>500</v>
      </c>
      <c r="O243" s="103"/>
      <c r="P243" s="69"/>
      <c r="T243" s="20"/>
      <c r="U243" s="19"/>
      <c r="V243" s="19"/>
      <c r="W243" s="19"/>
      <c r="X243" s="19"/>
    </row>
    <row r="244" spans="2:25" ht="13.5" customHeight="1" x14ac:dyDescent="0.2">
      <c r="B244" s="2224" t="s">
        <v>925</v>
      </c>
      <c r="C244" s="2225"/>
      <c r="D244" s="2226"/>
      <c r="E244" s="967">
        <f>VLOOKUP(I3,CPSReferrals,4,FALSE)</f>
        <v>336</v>
      </c>
      <c r="F244" s="1040">
        <f>VLOOKUP(I3,CPSReferrals,17,FALSE)</f>
        <v>201</v>
      </c>
      <c r="G244" s="1041">
        <f>VLOOKUP(I3,CPSReferrals,18,FALSE)</f>
        <v>134</v>
      </c>
      <c r="H244" s="1041">
        <f>VLOOKUP(I3,CPSReferrals,19,FALSE)</f>
        <v>3</v>
      </c>
      <c r="I244" s="1045">
        <f>VLOOKUP(I3,Children_CPS_Referrals,14,FALSE)</f>
        <v>4</v>
      </c>
      <c r="J244" s="1047">
        <f>VLOOKUP(I3, Children_CPS_Referrals,15,FALSE)</f>
        <v>26</v>
      </c>
      <c r="K244" s="968">
        <f>VLOOKUP(I3,Children_CPS_Referrals,29,FALSE)</f>
        <v>87</v>
      </c>
      <c r="L244" s="1071">
        <f>VLOOKUP(I3,Children_CPS_Referrals,30,FALSE)</f>
        <v>153</v>
      </c>
      <c r="M244" s="1071">
        <f>VLOOKUP(I3,Children_CPS_Referrals, 31,FALSE)</f>
        <v>80</v>
      </c>
      <c r="N244" s="1071">
        <f>VLOOKUP(I3,Children_CPS_Referrals,27,FALSE)</f>
        <v>16</v>
      </c>
      <c r="O244" s="103"/>
      <c r="P244" s="69"/>
      <c r="T244" s="20"/>
      <c r="U244" s="19"/>
      <c r="V244" s="19"/>
      <c r="W244" s="19"/>
      <c r="X244" s="19"/>
    </row>
    <row r="245" spans="2:25" ht="13.5" customHeight="1" x14ac:dyDescent="0.2">
      <c r="B245" s="2218" t="s">
        <v>716</v>
      </c>
      <c r="C245" s="2218"/>
      <c r="D245" s="2218"/>
      <c r="E245" s="2218"/>
      <c r="F245" s="2218"/>
      <c r="G245" s="2218"/>
      <c r="H245" s="2218"/>
      <c r="I245" s="2218"/>
      <c r="J245" s="2218"/>
      <c r="K245" s="2218"/>
      <c r="L245" s="2218"/>
      <c r="M245" s="2218"/>
      <c r="N245" s="2218"/>
      <c r="O245" s="103"/>
      <c r="P245" s="69"/>
      <c r="T245" s="20"/>
      <c r="U245" s="19"/>
      <c r="V245" s="19"/>
      <c r="W245" s="19"/>
      <c r="X245" s="19"/>
    </row>
    <row r="246" spans="2:25" ht="13.5" customHeight="1" x14ac:dyDescent="0.2">
      <c r="B246" s="2227" t="s">
        <v>955</v>
      </c>
      <c r="C246" s="2228"/>
      <c r="D246" s="2233" t="s">
        <v>643</v>
      </c>
      <c r="E246" s="2267" t="s">
        <v>503</v>
      </c>
      <c r="F246" s="2268"/>
      <c r="G246" s="2268"/>
      <c r="H246" s="2269"/>
      <c r="I246" s="2267" t="s">
        <v>951</v>
      </c>
      <c r="J246" s="2268"/>
      <c r="K246" s="2269"/>
      <c r="L246" s="2267" t="s">
        <v>760</v>
      </c>
      <c r="M246" s="2268"/>
      <c r="N246" s="2269"/>
      <c r="O246" s="103"/>
      <c r="P246" s="69"/>
      <c r="T246" s="20"/>
      <c r="U246" s="19"/>
      <c r="V246" s="19"/>
      <c r="W246" s="19"/>
      <c r="X246" s="19"/>
    </row>
    <row r="247" spans="2:25" ht="13.5" customHeight="1" x14ac:dyDescent="0.2">
      <c r="B247" s="2229"/>
      <c r="C247" s="2230"/>
      <c r="D247" s="2234"/>
      <c r="E247" s="1037" t="s">
        <v>2</v>
      </c>
      <c r="F247" s="1038" t="s">
        <v>298</v>
      </c>
      <c r="G247" s="1038" t="s">
        <v>388</v>
      </c>
      <c r="H247" s="1424" t="s">
        <v>500</v>
      </c>
      <c r="I247" s="1476" t="s">
        <v>825</v>
      </c>
      <c r="J247" s="1477" t="s">
        <v>826</v>
      </c>
      <c r="K247" s="1477" t="s">
        <v>500</v>
      </c>
      <c r="L247" s="2148" t="s">
        <v>380</v>
      </c>
      <c r="M247" s="1424" t="s">
        <v>381</v>
      </c>
      <c r="N247" s="1424" t="s">
        <v>952</v>
      </c>
      <c r="O247" s="103"/>
      <c r="P247" s="103"/>
      <c r="T247" s="20"/>
      <c r="U247" s="19"/>
      <c r="V247" s="19"/>
      <c r="W247" s="19"/>
      <c r="X247" s="19"/>
    </row>
    <row r="248" spans="2:25" ht="13.5" customHeight="1" x14ac:dyDescent="0.2">
      <c r="B248" s="2231" t="s">
        <v>953</v>
      </c>
      <c r="C248" s="2232"/>
      <c r="D248" s="967">
        <f>VLOOKUP(I3,APS_Reports,4,FALSE)</f>
        <v>255</v>
      </c>
      <c r="E248" s="1019">
        <f>VLOOKUP(I3,APS_Reports,5,FALSE)</f>
        <v>135</v>
      </c>
      <c r="F248" s="1020">
        <f>VLOOKUP(I3,APS_Reports,6,FALSE)</f>
        <v>84</v>
      </c>
      <c r="G248" s="1020">
        <f>VLOOKUP(I3,APS_Reports,7,FALSE)</f>
        <v>1</v>
      </c>
      <c r="H248" s="1039">
        <f>VLOOKUP(I3,APS_Reports,8,FALSE)</f>
        <v>35</v>
      </c>
      <c r="I248" s="1478">
        <f>VLOOKUP(I3,APS_Reports,9,FALSE)</f>
        <v>54</v>
      </c>
      <c r="J248" s="1479">
        <f>VLOOKUP(I3,APS_Reports,10,FALSE)</f>
        <v>179</v>
      </c>
      <c r="K248" s="1479">
        <f>VLOOKUP(I3,APS_Reports,11,FALSE)</f>
        <v>18</v>
      </c>
      <c r="L248" s="1475">
        <f>VLOOKUP(I3,APS_Reports,12,FALSE)</f>
        <v>144</v>
      </c>
      <c r="M248" s="1070">
        <f>VLOOKUP(I3,APS_Reports,13,FALSE)</f>
        <v>103</v>
      </c>
      <c r="N248" s="1070">
        <f>VLOOKUP(I3,APS_Reports,14,FALSE)</f>
        <v>0</v>
      </c>
      <c r="O248" s="16"/>
      <c r="P248" s="69"/>
      <c r="T248" s="20"/>
      <c r="U248" s="19"/>
      <c r="V248" s="19"/>
      <c r="W248" s="19"/>
      <c r="X248" s="19"/>
    </row>
    <row r="249" spans="2:25" ht="13.5" customHeight="1" thickBot="1" x14ac:dyDescent="0.25">
      <c r="B249" s="2218" t="s">
        <v>954</v>
      </c>
      <c r="C249" s="2218"/>
      <c r="D249" s="2218"/>
      <c r="E249" s="2218"/>
      <c r="F249" s="2218"/>
      <c r="G249" s="2218"/>
      <c r="H249" s="2218"/>
      <c r="I249" s="2218"/>
      <c r="J249" s="2218"/>
      <c r="K249" s="2218"/>
      <c r="L249" s="2218"/>
      <c r="M249" s="2218"/>
      <c r="N249" s="2218"/>
      <c r="O249" s="32"/>
      <c r="P249" s="21"/>
      <c r="Q249" s="21"/>
      <c r="T249" s="20"/>
      <c r="U249" s="19"/>
      <c r="V249" s="19"/>
      <c r="W249" s="19"/>
      <c r="X249" s="19"/>
    </row>
    <row r="250" spans="2:25" ht="13.5" customHeight="1" x14ac:dyDescent="0.25">
      <c r="G250" s="2255" t="s">
        <v>916</v>
      </c>
      <c r="H250" s="2256"/>
      <c r="I250" s="2257"/>
      <c r="J250" s="2274" t="s">
        <v>287</v>
      </c>
      <c r="K250" s="2276" t="s">
        <v>288</v>
      </c>
      <c r="L250" s="2278" t="s">
        <v>289</v>
      </c>
      <c r="M250" s="2265" t="s">
        <v>279</v>
      </c>
      <c r="N250" s="2272" t="s">
        <v>606</v>
      </c>
      <c r="O250" s="21"/>
      <c r="T250" s="20"/>
      <c r="U250" s="30"/>
      <c r="V250" s="34"/>
      <c r="W250" s="18"/>
      <c r="X250" s="18"/>
      <c r="Y250" s="25"/>
    </row>
    <row r="251" spans="2:25" ht="13.5" customHeight="1" x14ac:dyDescent="0.25">
      <c r="G251" s="2262" t="str">
        <f>D3</f>
        <v>Accomack</v>
      </c>
      <c r="H251" s="2263"/>
      <c r="I251" s="2264"/>
      <c r="J251" s="2275"/>
      <c r="K251" s="2277"/>
      <c r="L251" s="2279"/>
      <c r="M251" s="2266"/>
      <c r="N251" s="2273"/>
      <c r="O251" s="21"/>
      <c r="T251" s="20"/>
      <c r="U251" s="30"/>
      <c r="V251" s="34"/>
      <c r="W251" s="18"/>
      <c r="X251" s="18"/>
      <c r="Y251" s="25"/>
    </row>
    <row r="252" spans="2:25" ht="13.5" customHeight="1" x14ac:dyDescent="0.2">
      <c r="G252" s="2260" t="s">
        <v>290</v>
      </c>
      <c r="H252" s="2261"/>
      <c r="I252" s="2261"/>
      <c r="J252" s="1804">
        <f>J253+J254</f>
        <v>2007174.21</v>
      </c>
      <c r="K252" s="1805">
        <f t="shared" ref="K252:M252" si="0">K253+K254</f>
        <v>806252.63</v>
      </c>
      <c r="L252" s="1805">
        <f t="shared" si="0"/>
        <v>544988.86</v>
      </c>
      <c r="M252" s="1806">
        <f t="shared" si="0"/>
        <v>195669.15999999997</v>
      </c>
      <c r="N252" s="1809">
        <f>N253+N254</f>
        <v>3554084.8600000003</v>
      </c>
      <c r="O252" s="21"/>
      <c r="T252" s="20"/>
      <c r="V252" s="25"/>
      <c r="W252" s="25"/>
      <c r="X252" s="25"/>
      <c r="Y252" s="25"/>
    </row>
    <row r="253" spans="2:25" ht="13.5" customHeight="1" x14ac:dyDescent="0.2">
      <c r="G253" s="2258" t="s">
        <v>569</v>
      </c>
      <c r="H253" s="2259"/>
      <c r="I253" s="2259"/>
      <c r="J253" s="1772">
        <f>VLOOKUP($I$3,Admin_Costs_LASER,4,FALSE)</f>
        <v>1951453.22</v>
      </c>
      <c r="K253" s="1773">
        <f>VLOOKUP($I$3,Admin_Costs_LASER,5,FALSE)</f>
        <v>806252.63</v>
      </c>
      <c r="L253" s="1773">
        <f>VLOOKUP($I$3,Admin_Costs_LASER,6,FALSE)</f>
        <v>489267.87</v>
      </c>
      <c r="M253" s="1785">
        <f>VLOOKUP($I$3,Admin_Costs_LASER,10,FALSE)</f>
        <v>120215.14</v>
      </c>
      <c r="N253" s="1810">
        <f>VLOOKUP($I$3,Admin_Costs_LASER,9,FALSE)</f>
        <v>3367188.8600000003</v>
      </c>
      <c r="O253" s="21"/>
      <c r="T253" s="20"/>
      <c r="V253" s="35"/>
      <c r="W253" s="18"/>
      <c r="X253" s="18"/>
      <c r="Y253" s="25"/>
    </row>
    <row r="254" spans="2:25" ht="13.5" customHeight="1" x14ac:dyDescent="0.2">
      <c r="G254" s="2258" t="s">
        <v>574</v>
      </c>
      <c r="H254" s="2259"/>
      <c r="I254" s="2259"/>
      <c r="J254" s="1772">
        <f>VLOOKUP($I$3,Other_Oper_Exp_LASER,4,FALSE)</f>
        <v>55720.99</v>
      </c>
      <c r="K254" s="1773">
        <f>VLOOKUP($I$3,Other_Oper_Exp_LASER,5,FALSE)</f>
        <v>0</v>
      </c>
      <c r="L254" s="1773">
        <f>VLOOKUP($I$3,Other_Oper_Exp_LASER,6,FALSE)</f>
        <v>55720.99</v>
      </c>
      <c r="M254" s="1786">
        <f>VLOOKUP($I$3,Other_Oper_Exp_LASER,10,FALSE)</f>
        <v>75454.01999999999</v>
      </c>
      <c r="N254" s="1810">
        <f>VLOOKUP($I$3,Other_Oper_Exp_LASER,9,FALSE)</f>
        <v>186896</v>
      </c>
      <c r="P254" s="144"/>
      <c r="Q254" s="144"/>
      <c r="R254" s="135"/>
      <c r="S254" s="134"/>
      <c r="T254" s="20"/>
      <c r="U254" s="19"/>
      <c r="V254" s="19"/>
      <c r="W254" s="19"/>
      <c r="X254" s="19"/>
    </row>
    <row r="255" spans="2:25" ht="13.5" customHeight="1" x14ac:dyDescent="0.2">
      <c r="G255" s="2270" t="s">
        <v>600</v>
      </c>
      <c r="H255" s="2271"/>
      <c r="I255" s="2271"/>
      <c r="J255" s="1796">
        <f>J252/N252</f>
        <v>0.56475134642677038</v>
      </c>
      <c r="K255" s="1797">
        <f>K252/N252</f>
        <v>0.22685238584877232</v>
      </c>
      <c r="L255" s="1797">
        <f>L252/N252</f>
        <v>0.15334154401704408</v>
      </c>
      <c r="M255" s="1798">
        <f>M252/N252</f>
        <v>5.5054723707413093E-2</v>
      </c>
      <c r="N255" s="1811">
        <f>N252/N252</f>
        <v>1</v>
      </c>
      <c r="P255" s="144"/>
      <c r="Q255" s="144"/>
      <c r="R255" s="135"/>
      <c r="S255" s="134"/>
      <c r="T255" s="20"/>
    </row>
    <row r="256" spans="2:25" ht="13.5" customHeight="1" x14ac:dyDescent="0.2">
      <c r="G256" s="2253" t="s">
        <v>597</v>
      </c>
      <c r="H256" s="2254"/>
      <c r="I256" s="2254"/>
      <c r="J256" s="1774">
        <f>J252/J271</f>
        <v>3.8939988505160367E-2</v>
      </c>
      <c r="K256" s="1791">
        <f>K252/K271</f>
        <v>2.0063378569751465E-2</v>
      </c>
      <c r="L256" s="1791">
        <f>L252/L271</f>
        <v>0.80387283463022785</v>
      </c>
      <c r="M256" s="1791">
        <f>M252/M271</f>
        <v>1.0000006132804657</v>
      </c>
      <c r="N256" s="1812">
        <f>N252/N271</f>
        <v>3.8379292253182172E-2</v>
      </c>
      <c r="P256" s="144"/>
      <c r="Q256" s="144"/>
      <c r="R256" s="136"/>
      <c r="S256" s="134"/>
      <c r="T256" s="20"/>
    </row>
    <row r="257" spans="7:25" ht="13.5" customHeight="1" x14ac:dyDescent="0.2">
      <c r="G257" s="2306" t="s">
        <v>575</v>
      </c>
      <c r="H257" s="2307"/>
      <c r="I257" s="2307"/>
      <c r="J257" s="1804">
        <f>VLOOKUP($I$3,Client_Svcs_LASER,4,FALSE)</f>
        <v>70435.286302097724</v>
      </c>
      <c r="K257" s="1805">
        <f>VLOOKUP($I$3,Client_Svcs_LASER,5,FALSE)</f>
        <v>8047.6336979022735</v>
      </c>
      <c r="L257" s="1805">
        <f>VLOOKUP($I$3,Client_Svcs_LASER,6,FALSE)</f>
        <v>22358.52</v>
      </c>
      <c r="M257" s="1806">
        <f>VLOOKUP($I$3,Client_Svcs_LASER,10,FALSE)</f>
        <v>-0.11</v>
      </c>
      <c r="N257" s="1809">
        <f>VLOOKUP(I3,Client_Svcs_LASER,9, FALSE)</f>
        <v>100841.33</v>
      </c>
      <c r="P257" s="144"/>
      <c r="Q257" s="144"/>
      <c r="R257" s="136"/>
      <c r="S257" s="134"/>
      <c r="T257" s="20"/>
    </row>
    <row r="258" spans="7:25" ht="13.5" customHeight="1" x14ac:dyDescent="0.2">
      <c r="G258" s="1813" t="s">
        <v>601</v>
      </c>
      <c r="H258" s="804"/>
      <c r="I258" s="804"/>
      <c r="J258" s="1793">
        <f>J257/N257</f>
        <v>0.69847637176242838</v>
      </c>
      <c r="K258" s="1794">
        <f>K257/N257</f>
        <v>7.9804914293596416E-2</v>
      </c>
      <c r="L258" s="1794">
        <f>L257/N257</f>
        <v>0.22171980476655753</v>
      </c>
      <c r="M258" s="1795">
        <f>M257/N257</f>
        <v>-1.0908225823677654E-6</v>
      </c>
      <c r="N258" s="1811">
        <f>N257/N257</f>
        <v>1</v>
      </c>
      <c r="P258" s="144"/>
      <c r="Q258" s="144"/>
      <c r="R258" s="136"/>
      <c r="S258" s="134"/>
      <c r="T258" s="20"/>
    </row>
    <row r="259" spans="7:25" ht="13.5" customHeight="1" x14ac:dyDescent="0.2">
      <c r="G259" s="2253" t="s">
        <v>598</v>
      </c>
      <c r="H259" s="2254"/>
      <c r="I259" s="2254"/>
      <c r="J259" s="1832">
        <f>J257/J271</f>
        <v>1.3664729375739461E-3</v>
      </c>
      <c r="K259" s="1833">
        <f>K257/K271</f>
        <v>2.0026318732343509E-4</v>
      </c>
      <c r="L259" s="1833">
        <f>L257/L271</f>
        <v>3.2979402277207359E-2</v>
      </c>
      <c r="M259" s="1802">
        <f>M257/M271</f>
        <v>-5.6217376034553046E-7</v>
      </c>
      <c r="N259" s="1814">
        <f>N257/N271</f>
        <v>1.0889494842477078E-3</v>
      </c>
      <c r="P259" s="143"/>
      <c r="Q259" s="143"/>
      <c r="T259" s="19"/>
      <c r="U259" s="19" t="s">
        <v>821</v>
      </c>
      <c r="V259" s="19" t="s">
        <v>605</v>
      </c>
      <c r="W259" s="19" t="s">
        <v>604</v>
      </c>
      <c r="Y259" s="25"/>
    </row>
    <row r="260" spans="7:25" ht="13.5" customHeight="1" x14ac:dyDescent="0.2">
      <c r="G260" s="2306" t="s">
        <v>708</v>
      </c>
      <c r="H260" s="2307"/>
      <c r="I260" s="2307"/>
      <c r="J260" s="1804">
        <f>SUM(J261:J268)</f>
        <v>49467711.574709706</v>
      </c>
      <c r="K260" s="1805">
        <f>SUM(K261:K268)</f>
        <v>39370986.9349171</v>
      </c>
      <c r="L260" s="1805">
        <f>SUM(L261:L268)</f>
        <v>110606.69</v>
      </c>
      <c r="M260" s="1805">
        <f>SUM(M261:M268)</f>
        <v>-9.9999999999999985E-3</v>
      </c>
      <c r="N260" s="1809">
        <f>SUM(N261:N268)</f>
        <v>88949305.189626798</v>
      </c>
      <c r="P260" s="143"/>
      <c r="Q260" s="143"/>
      <c r="T260" s="19"/>
      <c r="U260" s="19"/>
      <c r="V260" s="19"/>
      <c r="W260" s="19"/>
      <c r="Y260" s="25"/>
    </row>
    <row r="261" spans="7:25" ht="13.5" customHeight="1" x14ac:dyDescent="0.2">
      <c r="G261" s="2258" t="s">
        <v>706</v>
      </c>
      <c r="H261" s="2259"/>
      <c r="I261" s="2259"/>
      <c r="J261" s="1772">
        <f>VLOOKUP($I$3,Medicaid_FAMIS_LASER,5,FALSE)</f>
        <v>40530782.34285447</v>
      </c>
      <c r="K261" s="1773">
        <f>VLOOKUP($I$3,Medicaid_FAMIS_LASER,6,FALSE)</f>
        <v>38633556.046772346</v>
      </c>
      <c r="L261" s="1773">
        <f>VLOOKUP($I$3,Medicaid_FAMIS_LASER,7,FALSE)</f>
        <v>9655.369999999999</v>
      </c>
      <c r="M261" s="1788" t="s">
        <v>646</v>
      </c>
      <c r="N261" s="1810">
        <f>VLOOKUP($I$3,Medicaid_FAMIS_LASER,4,FALSE)</f>
        <v>79173993.759626791</v>
      </c>
      <c r="P261" s="143"/>
      <c r="Q261" s="143"/>
      <c r="T261" s="19" t="s">
        <v>287</v>
      </c>
      <c r="U261" s="805">
        <f>J256</f>
        <v>3.8939988505160367E-2</v>
      </c>
      <c r="V261" s="805">
        <f>J259</f>
        <v>1.3664729375739461E-3</v>
      </c>
      <c r="W261" s="805">
        <f>J270</f>
        <v>0.95969353855726569</v>
      </c>
      <c r="Y261" s="25"/>
    </row>
    <row r="262" spans="7:25" ht="13.5" customHeight="1" x14ac:dyDescent="0.2">
      <c r="G262" s="2258" t="s">
        <v>291</v>
      </c>
      <c r="H262" s="2259"/>
      <c r="I262" s="2259"/>
      <c r="J262" s="1772">
        <f>VLOOKUP($I$3,SNAP_LASER,5,FALSE)</f>
        <v>7633193.8199999994</v>
      </c>
      <c r="K262" s="1787" t="s">
        <v>646</v>
      </c>
      <c r="L262" s="1787" t="s">
        <v>646</v>
      </c>
      <c r="M262" s="1788" t="s">
        <v>646</v>
      </c>
      <c r="N262" s="1810">
        <f>VLOOKUP($I$3,SNAP_LASER,4,FALSE)</f>
        <v>7633193.8199999994</v>
      </c>
      <c r="O262" s="21"/>
      <c r="P262" s="21"/>
      <c r="Q262" s="21"/>
      <c r="T262" s="19" t="s">
        <v>288</v>
      </c>
      <c r="U262" s="805">
        <f>K256</f>
        <v>2.0063378569751465E-2</v>
      </c>
      <c r="V262" s="805">
        <f>K259</f>
        <v>2.0026318732343509E-4</v>
      </c>
      <c r="W262" s="805">
        <f>K270</f>
        <v>0.97973635824292515</v>
      </c>
      <c r="Y262" s="25"/>
    </row>
    <row r="263" spans="7:25" ht="13.5" customHeight="1" x14ac:dyDescent="0.2">
      <c r="G263" s="2258" t="s">
        <v>297</v>
      </c>
      <c r="H263" s="2259"/>
      <c r="I263" s="2259"/>
      <c r="J263" s="1772">
        <f>VLOOKUP(I3,TANF_LASER,4,FALSE)</f>
        <v>107403.12071999999</v>
      </c>
      <c r="K263" s="1773">
        <f>VLOOKUP(I3,TANF_LASER,5,FALSE)</f>
        <v>144025.67928000001</v>
      </c>
      <c r="L263" s="1773">
        <f>VLOOKUP($I$3,TANF_LASER,6,FALSE)</f>
        <v>0</v>
      </c>
      <c r="M263" s="1792">
        <f>VLOOKUP($I$3,TANF_LASER,7,FALSE)</f>
        <v>0</v>
      </c>
      <c r="N263" s="1810">
        <f>VLOOKUP($I$3,TANF_LASER,8,FALSE)</f>
        <v>251428.8</v>
      </c>
      <c r="O263" s="21"/>
      <c r="P263" s="21"/>
      <c r="Q263" s="21"/>
      <c r="T263" s="19" t="s">
        <v>289</v>
      </c>
      <c r="U263" s="805">
        <f>L256</f>
        <v>0.80387283463022785</v>
      </c>
      <c r="V263" s="805">
        <f>L259</f>
        <v>3.2979402277207359E-2</v>
      </c>
      <c r="W263" s="805">
        <f>L270</f>
        <v>0.16314776309256465</v>
      </c>
      <c r="X263" s="19"/>
    </row>
    <row r="264" spans="7:25" ht="13.5" customHeight="1" x14ac:dyDescent="0.2">
      <c r="G264" s="2258" t="s">
        <v>709</v>
      </c>
      <c r="H264" s="2259"/>
      <c r="I264" s="2259"/>
      <c r="J264" s="1772">
        <f>VLOOKUP($I$3,EA_LASER,5,FALSE)</f>
        <v>920765.87</v>
      </c>
      <c r="K264" s="1787" t="s">
        <v>646</v>
      </c>
      <c r="L264" s="1787" t="s">
        <v>646</v>
      </c>
      <c r="M264" s="1831" t="s">
        <v>646</v>
      </c>
      <c r="N264" s="1810">
        <f>VLOOKUP($I$3,EA_LASER,4,FALSE)</f>
        <v>920765.87</v>
      </c>
      <c r="O264" s="21"/>
      <c r="P264" s="21"/>
      <c r="Q264" s="21"/>
      <c r="T264" s="4" t="s">
        <v>817</v>
      </c>
      <c r="U264" s="1803">
        <f>M256</f>
        <v>1.0000006132804657</v>
      </c>
      <c r="V264" s="1803">
        <f>M259</f>
        <v>-5.6217376034553046E-7</v>
      </c>
      <c r="W264" s="1803">
        <f>M270</f>
        <v>-5.1106705485957305E-8</v>
      </c>
      <c r="X264" s="19"/>
    </row>
    <row r="265" spans="7:25" ht="13.5" customHeight="1" x14ac:dyDescent="0.2">
      <c r="G265" s="2258" t="s">
        <v>710</v>
      </c>
      <c r="H265" s="2259"/>
      <c r="I265" s="2259"/>
      <c r="J265" s="1772">
        <f>VLOOKUP($I$3,FC_Adop_LASER,4,FALSE)</f>
        <v>199823.61000000002</v>
      </c>
      <c r="K265" s="1773">
        <f>VLOOKUP($I$3,FC_Adop_LASER,5,FALSE)</f>
        <v>247918.18000000002</v>
      </c>
      <c r="L265" s="1773">
        <f>VLOOKUP($I$3,FC_Adop_LASER,6,FALSE)</f>
        <v>0</v>
      </c>
      <c r="M265" s="1792">
        <f>VLOOKUP($I$3,FC_Adop_LASER,10,FALSE)</f>
        <v>-9.9999999999999985E-3</v>
      </c>
      <c r="N265" s="1810">
        <f>VLOOKUP($I$3,FC_Adop_LASER,9,FALSE)</f>
        <v>447741.78</v>
      </c>
      <c r="O265" s="21"/>
      <c r="P265" s="21"/>
      <c r="Q265" s="21"/>
      <c r="T265" s="19" t="s">
        <v>262</v>
      </c>
      <c r="U265" s="805">
        <f>N256</f>
        <v>3.8379292253182172E-2</v>
      </c>
      <c r="V265" s="805">
        <f>N259</f>
        <v>1.0889494842477078E-3</v>
      </c>
      <c r="W265" s="805">
        <f>N270</f>
        <v>0.9605317582625702</v>
      </c>
      <c r="X265" s="19"/>
    </row>
    <row r="266" spans="7:25" ht="13.5" customHeight="1" x14ac:dyDescent="0.2">
      <c r="G266" s="2258" t="s">
        <v>835</v>
      </c>
      <c r="H266" s="2259"/>
      <c r="I266" s="2311"/>
      <c r="J266" s="1772">
        <f>VLOOKUP($I$3,CSA_LASER,4,FALSE)</f>
        <v>0</v>
      </c>
      <c r="K266" s="1773">
        <f>VLOOKUP($I$3,CSA_LASER,5,FALSE)</f>
        <v>261710.51</v>
      </c>
      <c r="L266" s="1773">
        <f>VLOOKUP($I$3,CSA_LASER,6,FALSE)</f>
        <v>83759.92</v>
      </c>
      <c r="M266" s="1792">
        <f>VLOOKUP($I$3,CSA_LASER,7,FALSE)</f>
        <v>0</v>
      </c>
      <c r="N266" s="1810">
        <f>VLOOKUP($I$3,CSA_LASER,8,FALSE)</f>
        <v>345470.43</v>
      </c>
      <c r="O266" s="21"/>
      <c r="P266" s="21"/>
      <c r="Q266" s="21"/>
      <c r="T266" s="19" t="s">
        <v>834</v>
      </c>
      <c r="U266" s="805">
        <f>N252/N271</f>
        <v>3.8379292253182172E-2</v>
      </c>
      <c r="V266" s="805">
        <f>N257/N271</f>
        <v>1.0889494842477078E-3</v>
      </c>
      <c r="W266" s="805">
        <f>N260/N271</f>
        <v>0.9605317582625702</v>
      </c>
      <c r="X266" s="19"/>
    </row>
    <row r="267" spans="7:25" ht="13.5" customHeight="1" x14ac:dyDescent="0.2">
      <c r="G267" s="1815" t="s">
        <v>595</v>
      </c>
      <c r="H267" s="1789"/>
      <c r="I267" s="1789"/>
      <c r="J267" s="1772">
        <f>VLOOKUP($I$3,ChildCareLASER,9,FALSE)</f>
        <v>78499.7111352379</v>
      </c>
      <c r="K267" s="1773">
        <f>VLOOKUP($I$3,ChildCareLASER,10,FALSE)</f>
        <v>17659.688864762102</v>
      </c>
      <c r="L267" s="1787" t="s">
        <v>646</v>
      </c>
      <c r="M267" s="1788" t="s">
        <v>646</v>
      </c>
      <c r="N267" s="1810">
        <f>VLOOKUP($I$3,ChildCareLASER,8,FALSE)</f>
        <v>96159.4</v>
      </c>
      <c r="O267" s="21"/>
      <c r="P267" s="21"/>
      <c r="Q267" s="21"/>
      <c r="T267" s="20"/>
      <c r="U267" s="19"/>
      <c r="V267" s="19"/>
      <c r="W267" s="19"/>
      <c r="X267" s="19"/>
    </row>
    <row r="268" spans="7:25" ht="13.5" customHeight="1" x14ac:dyDescent="0.2">
      <c r="G268" s="2258" t="s">
        <v>596</v>
      </c>
      <c r="H268" s="2259"/>
      <c r="I268" s="2259"/>
      <c r="J268" s="1772">
        <f>VLOOKUP($I$3,OT_BENE_LASER,4,FALSE)</f>
        <v>-2756.9</v>
      </c>
      <c r="K268" s="1773">
        <f>VLOOKUP($I$3,OT_BENE_LASER,5,FALSE)</f>
        <v>66116.83</v>
      </c>
      <c r="L268" s="1773">
        <f>VLOOKUP($I$3,OT_BENE_LASER,6,FALSE)</f>
        <v>17191.400000000001</v>
      </c>
      <c r="M268" s="1786">
        <f>VLOOKUP($I$3,OT_BENE_LASER,10,FALSE)</f>
        <v>0</v>
      </c>
      <c r="N268" s="1810">
        <f>VLOOKUP($I$3,OT_BENE_LASER,9,FALSE)</f>
        <v>80551.33</v>
      </c>
      <c r="O268" s="21"/>
      <c r="P268" s="21"/>
      <c r="Q268" s="21"/>
      <c r="T268" s="20" t="s">
        <v>822</v>
      </c>
      <c r="U268" s="19">
        <f>L271+M271</f>
        <v>873623.1100000001</v>
      </c>
      <c r="V268" s="19"/>
      <c r="W268" s="19"/>
      <c r="X268" s="19"/>
    </row>
    <row r="269" spans="7:25" ht="13.5" customHeight="1" x14ac:dyDescent="0.2">
      <c r="G269" s="2270" t="s">
        <v>602</v>
      </c>
      <c r="H269" s="2271"/>
      <c r="I269" s="2271"/>
      <c r="J269" s="1799">
        <f>J260/$N$260</f>
        <v>0.55613376033968831</v>
      </c>
      <c r="K269" s="1800">
        <f>K260/$N$260</f>
        <v>0.44262275968298981</v>
      </c>
      <c r="L269" s="1794">
        <f>L260/$N$260</f>
        <v>1.2434800897455339E-3</v>
      </c>
      <c r="M269" s="1794">
        <f>M260/$N$260</f>
        <v>-1.1242358755564727E-10</v>
      </c>
      <c r="N269" s="1811">
        <f>N260/N260</f>
        <v>1</v>
      </c>
      <c r="O269" s="21"/>
      <c r="P269" s="21"/>
      <c r="Q269" s="21"/>
      <c r="T269" s="20"/>
      <c r="U269" s="19"/>
      <c r="V269" s="19"/>
      <c r="W269" s="19"/>
      <c r="X269" s="19"/>
    </row>
    <row r="270" spans="7:25" ht="13.5" customHeight="1" x14ac:dyDescent="0.2">
      <c r="G270" s="2253" t="s">
        <v>599</v>
      </c>
      <c r="H270" s="2254"/>
      <c r="I270" s="2254"/>
      <c r="J270" s="1801">
        <f>J260/J271</f>
        <v>0.95969353855726569</v>
      </c>
      <c r="K270" s="1802">
        <f>K260/K271</f>
        <v>0.97973635824292515</v>
      </c>
      <c r="L270" s="1802">
        <f>L260/L271</f>
        <v>0.16314776309256465</v>
      </c>
      <c r="M270" s="1802">
        <f>M260/M271</f>
        <v>-5.1106705485957305E-8</v>
      </c>
      <c r="N270" s="1816">
        <f>N260/N271</f>
        <v>0.9605317582625702</v>
      </c>
      <c r="O270" s="21"/>
      <c r="P270" s="21"/>
      <c r="Q270" s="21"/>
      <c r="T270" s="20"/>
      <c r="U270" s="19"/>
      <c r="V270" s="19"/>
      <c r="W270" s="19"/>
      <c r="X270" s="19"/>
    </row>
    <row r="271" spans="7:25" ht="13.5" customHeight="1" x14ac:dyDescent="0.2">
      <c r="G271" s="2309" t="s">
        <v>607</v>
      </c>
      <c r="H271" s="2310"/>
      <c r="I271" s="2310"/>
      <c r="J271" s="1807">
        <f>J252+J257+J260</f>
        <v>51545321.071011804</v>
      </c>
      <c r="K271" s="1808">
        <f>K252+K257+K260</f>
        <v>40185287.198615</v>
      </c>
      <c r="L271" s="1808">
        <f>L252+L257+L260</f>
        <v>677954.07000000007</v>
      </c>
      <c r="M271" s="1808">
        <f>M252+M257+M260</f>
        <v>195669.03999999998</v>
      </c>
      <c r="N271" s="1817">
        <f>N252+N257+N260</f>
        <v>92604231.379626796</v>
      </c>
      <c r="O271" s="30"/>
      <c r="P271" s="21"/>
      <c r="Q271" s="21"/>
      <c r="T271" s="20"/>
      <c r="U271" s="19"/>
      <c r="V271" s="19"/>
      <c r="W271" s="19"/>
      <c r="X271" s="19"/>
    </row>
    <row r="272" spans="7:25" ht="13.5" customHeight="1" thickBot="1" x14ac:dyDescent="0.25">
      <c r="G272" s="1818" t="s">
        <v>603</v>
      </c>
      <c r="H272" s="1819"/>
      <c r="I272" s="1820"/>
      <c r="J272" s="1821">
        <f>J271/$N271</f>
        <v>0.55661950110793668</v>
      </c>
      <c r="K272" s="1822">
        <f>K271/$N271</f>
        <v>0.43394655514041536</v>
      </c>
      <c r="L272" s="1822">
        <f>L271/$N271</f>
        <v>7.320983716400155E-3</v>
      </c>
      <c r="M272" s="1822">
        <f>M271/$N271</f>
        <v>2.1129600352478898E-3</v>
      </c>
      <c r="N272" s="1823">
        <f>SUM(J272:L272)</f>
        <v>0.99788703996475214</v>
      </c>
      <c r="O272" s="30"/>
      <c r="Q272" s="21"/>
      <c r="T272" s="20"/>
      <c r="U272" s="19"/>
      <c r="V272" s="19"/>
      <c r="W272" s="19"/>
      <c r="X272" s="19"/>
    </row>
    <row r="273" spans="2:25" ht="13.5" customHeight="1" x14ac:dyDescent="0.2">
      <c r="C273" s="29"/>
      <c r="D273" s="29"/>
      <c r="E273" s="40"/>
      <c r="F273" s="40"/>
      <c r="G273" s="2308" t="s">
        <v>823</v>
      </c>
      <c r="H273" s="2308"/>
      <c r="I273" s="2308"/>
      <c r="J273" s="2308"/>
      <c r="K273" s="2308"/>
      <c r="L273" s="2308"/>
      <c r="M273" s="2308"/>
      <c r="N273" s="30"/>
      <c r="O273" s="30"/>
      <c r="P273" s="21"/>
      <c r="Q273" s="21"/>
      <c r="T273" s="20"/>
      <c r="U273" s="19"/>
      <c r="V273" s="19"/>
      <c r="W273" s="19"/>
      <c r="X273" s="19"/>
    </row>
    <row r="274" spans="2:25" ht="13.5" customHeight="1" x14ac:dyDescent="0.2">
      <c r="B274" s="2335"/>
      <c r="C274" s="2335"/>
      <c r="D274" s="2335"/>
      <c r="E274" s="2334" t="s">
        <v>917</v>
      </c>
      <c r="F274" s="2334"/>
      <c r="G274" s="29"/>
      <c r="H274" s="40"/>
      <c r="J274" s="2334" t="s">
        <v>918</v>
      </c>
      <c r="K274" s="2334"/>
      <c r="N274" s="30"/>
      <c r="O274" s="30"/>
      <c r="P274" s="21"/>
      <c r="Q274" s="21"/>
      <c r="T274" s="20"/>
      <c r="U274" s="19"/>
    </row>
    <row r="275" spans="2:25" ht="13.5" customHeight="1" x14ac:dyDescent="0.2">
      <c r="B275" s="2335"/>
      <c r="C275" s="2335"/>
      <c r="D275" s="2335"/>
      <c r="E275" s="2334"/>
      <c r="F275" s="2334"/>
      <c r="G275" s="29"/>
      <c r="H275" s="40"/>
      <c r="J275" s="2334"/>
      <c r="K275" s="2334"/>
      <c r="N275" s="30"/>
      <c r="O275" s="30"/>
      <c r="P275" s="21"/>
      <c r="Q275" s="21"/>
      <c r="T275" s="20"/>
      <c r="U275" s="19"/>
    </row>
    <row r="276" spans="2:25" ht="13.5" customHeight="1" x14ac:dyDescent="0.2">
      <c r="B276" s="2335"/>
      <c r="C276" s="2335"/>
      <c r="D276" s="2335"/>
      <c r="E276" s="2334"/>
      <c r="F276" s="2334"/>
      <c r="G276" s="29"/>
      <c r="H276" s="40"/>
      <c r="J276" s="2334"/>
      <c r="K276" s="2334"/>
      <c r="N276" s="30"/>
      <c r="O276" s="30"/>
      <c r="P276" s="21"/>
      <c r="Q276" s="21"/>
      <c r="T276" s="20"/>
      <c r="U276" s="19"/>
    </row>
    <row r="277" spans="2:25" ht="13.5" customHeight="1" x14ac:dyDescent="0.2">
      <c r="B277" s="2335"/>
      <c r="C277" s="2335"/>
      <c r="D277" s="2335"/>
      <c r="E277" s="2334"/>
      <c r="F277" s="2334"/>
      <c r="G277" s="29"/>
      <c r="H277" s="40"/>
      <c r="J277" s="2334"/>
      <c r="K277" s="2334"/>
      <c r="N277" s="30"/>
      <c r="O277" s="30"/>
      <c r="P277" s="21"/>
      <c r="Q277" s="21"/>
      <c r="T277" s="20"/>
      <c r="U277" s="19"/>
    </row>
    <row r="278" spans="2:25" ht="13.5" customHeight="1" x14ac:dyDescent="0.2">
      <c r="C278" s="29"/>
      <c r="D278" s="29"/>
      <c r="E278" s="40"/>
      <c r="F278" s="40"/>
      <c r="G278" s="29"/>
      <c r="H278" s="40"/>
      <c r="N278" s="30"/>
      <c r="O278" s="30"/>
      <c r="P278" s="21"/>
      <c r="Q278" s="21"/>
      <c r="T278" s="20"/>
      <c r="U278" s="19"/>
    </row>
    <row r="279" spans="2:25" ht="13.5" customHeight="1" x14ac:dyDescent="0.25">
      <c r="B279" s="2324" t="s">
        <v>893</v>
      </c>
      <c r="C279" s="2325"/>
      <c r="D279" s="2326"/>
      <c r="E279" s="2331"/>
      <c r="F279" s="2332"/>
      <c r="G279" s="2333"/>
      <c r="H279" s="2328" t="s">
        <v>804</v>
      </c>
      <c r="I279" s="2329"/>
      <c r="J279" s="2330"/>
      <c r="K279" s="2319" t="s">
        <v>422</v>
      </c>
      <c r="U279" s="66"/>
    </row>
    <row r="280" spans="2:25" ht="13.5" customHeight="1" x14ac:dyDescent="0.2">
      <c r="B280" s="2324"/>
      <c r="C280" s="2325"/>
      <c r="D280" s="2326"/>
      <c r="E280" s="1741" t="s">
        <v>514</v>
      </c>
      <c r="F280" s="1737" t="s">
        <v>513</v>
      </c>
      <c r="G280" s="1742" t="s">
        <v>279</v>
      </c>
      <c r="H280" s="1736" t="s">
        <v>799</v>
      </c>
      <c r="I280" s="1737" t="s">
        <v>604</v>
      </c>
      <c r="J280" s="1740" t="s">
        <v>605</v>
      </c>
      <c r="K280" s="2320"/>
      <c r="U280" s="7"/>
      <c r="V280" s="7"/>
      <c r="W280" s="7"/>
      <c r="X280" s="7"/>
      <c r="Y280" s="7"/>
    </row>
    <row r="281" spans="2:25" ht="13.5" customHeight="1" x14ac:dyDescent="0.2">
      <c r="B281" s="1497" t="s">
        <v>475</v>
      </c>
      <c r="C281" s="77"/>
      <c r="D281" s="77"/>
      <c r="E281" s="114">
        <f>VLOOKUP($I$3,Staffing,4,FALSE)</f>
        <v>38</v>
      </c>
      <c r="F281" s="115">
        <f>VLOOKUP($I$3,Staffing,5,FALSE)</f>
        <v>17</v>
      </c>
      <c r="G281" s="1732">
        <f>VLOOKUP($I$3,Staffing,6,FALSE)</f>
        <v>0</v>
      </c>
      <c r="H281" s="1748">
        <f>VLOOKUP($I$3,Staffing,25,FALSE)</f>
        <v>12</v>
      </c>
      <c r="I281" s="1744">
        <f>VLOOKUP($I$3,Staffing,26,FALSE)</f>
        <v>32</v>
      </c>
      <c r="J281" s="1744">
        <f>VLOOKUP($I$3,Staffing,27,FALSE)</f>
        <v>11</v>
      </c>
      <c r="K281" s="1738">
        <f>E281+F281+G281</f>
        <v>55</v>
      </c>
      <c r="U281" s="24"/>
      <c r="V281" s="24"/>
      <c r="W281" s="24"/>
      <c r="X281" s="24"/>
      <c r="Y281" s="24"/>
    </row>
    <row r="282" spans="2:25" ht="13.5" customHeight="1" x14ac:dyDescent="0.2">
      <c r="B282" s="1497" t="s">
        <v>476</v>
      </c>
      <c r="C282" s="77"/>
      <c r="D282" s="77"/>
      <c r="E282" s="114">
        <f>VLOOKUP($I$3,Staffing,8,FALSE)</f>
        <v>5</v>
      </c>
      <c r="F282" s="115">
        <f>VLOOKUP($I$3,Staffing,9,FALSE)</f>
        <v>3</v>
      </c>
      <c r="G282" s="1732">
        <f>VLOOKUP($I$3,Staffing,10,FALSE)</f>
        <v>0</v>
      </c>
      <c r="H282" s="1748">
        <f>VLOOKUP($I$3,Staffing,28,FALSE)</f>
        <v>3</v>
      </c>
      <c r="I282" s="1744">
        <f>VLOOKUP($I$3,Staffing,29,FALSE)</f>
        <v>1</v>
      </c>
      <c r="J282" s="1744">
        <f>VLOOKUP($I$3,Staffing,30,FALSE)</f>
        <v>4</v>
      </c>
      <c r="K282" s="1738">
        <f>E282+F282+G282</f>
        <v>8</v>
      </c>
      <c r="U282" s="24"/>
      <c r="V282" s="24"/>
      <c r="W282" s="24"/>
      <c r="X282" s="24"/>
      <c r="Y282" s="24"/>
    </row>
    <row r="283" spans="2:25" ht="13.5" customHeight="1" x14ac:dyDescent="0.2">
      <c r="B283" s="1497" t="s">
        <v>477</v>
      </c>
      <c r="C283" s="77"/>
      <c r="D283" s="77"/>
      <c r="E283" s="114">
        <f>+E282+E281</f>
        <v>43</v>
      </c>
      <c r="F283" s="115">
        <f>+F282+F281</f>
        <v>20</v>
      </c>
      <c r="G283" s="1732">
        <f>+G282+G281</f>
        <v>0</v>
      </c>
      <c r="H283" s="1748">
        <f>+H282+H281</f>
        <v>15</v>
      </c>
      <c r="I283" s="1744">
        <f t="shared" ref="I283:J283" si="1">+I282+I281</f>
        <v>33</v>
      </c>
      <c r="J283" s="1745">
        <f t="shared" si="1"/>
        <v>15</v>
      </c>
      <c r="K283" s="1738">
        <f>+K282+K281</f>
        <v>63</v>
      </c>
      <c r="U283" s="24"/>
      <c r="V283" s="24"/>
      <c r="W283" s="24"/>
      <c r="X283" s="24"/>
      <c r="Y283" s="24"/>
    </row>
    <row r="284" spans="2:25" ht="13.5" customHeight="1" x14ac:dyDescent="0.2">
      <c r="B284" s="2316" t="s">
        <v>415</v>
      </c>
      <c r="C284" s="2317"/>
      <c r="D284" s="2318"/>
      <c r="E284" s="1733">
        <f>IF(E283=0,"NA",(E282/E283))</f>
        <v>0.11627906976744186</v>
      </c>
      <c r="F284" s="151">
        <f>IF(F283=0,"NA",(F282/F283))</f>
        <v>0.15</v>
      </c>
      <c r="G284" s="1734" t="str">
        <f>IF(G283=0,"NA",(G282/G283))</f>
        <v>NA</v>
      </c>
      <c r="H284" s="1749">
        <f t="shared" ref="H284:J284" si="2">IF(H283=0,"NA",(H282/H283))</f>
        <v>0.2</v>
      </c>
      <c r="I284" s="1729">
        <f t="shared" si="2"/>
        <v>3.0303030303030304E-2</v>
      </c>
      <c r="J284" s="1730">
        <f t="shared" si="2"/>
        <v>0.26666666666666666</v>
      </c>
      <c r="K284" s="1739">
        <f>IF(K283=0,"NA",(K282/K283))</f>
        <v>0.12698412698412698</v>
      </c>
    </row>
    <row r="285" spans="2:25" ht="13.5" customHeight="1" x14ac:dyDescent="0.2">
      <c r="B285" s="2316" t="s">
        <v>416</v>
      </c>
      <c r="C285" s="2317"/>
      <c r="D285" s="2318"/>
      <c r="E285" s="1733">
        <f>Staffing!U6</f>
        <v>0.16785408948418354</v>
      </c>
      <c r="F285" s="1733">
        <f>Staffing!V6</f>
        <v>0.15858904502437626</v>
      </c>
      <c r="G285" s="1735">
        <f>Staffing!W6</f>
        <v>0.20658682634730538</v>
      </c>
      <c r="H285" s="1747">
        <f>Staffing!AH6</f>
        <v>0.1916195856873823</v>
      </c>
      <c r="I285" s="1747">
        <f>Staffing!AI6</f>
        <v>0.16754122938530736</v>
      </c>
      <c r="J285" s="1747">
        <f>Staffing!AJ6</f>
        <v>0.15988455988455988</v>
      </c>
      <c r="K285" s="1739">
        <f>Staffing!X6</f>
        <v>0.16606698034874065</v>
      </c>
      <c r="O285" s="25"/>
      <c r="P285" s="25"/>
      <c r="R285" s="18"/>
    </row>
    <row r="286" spans="2:25" ht="23.25" customHeight="1" x14ac:dyDescent="0.2">
      <c r="B286" s="2218" t="s">
        <v>1023</v>
      </c>
      <c r="C286" s="2218"/>
      <c r="D286" s="2218"/>
      <c r="E286" s="2218"/>
      <c r="F286" s="2218"/>
      <c r="G286" s="2218"/>
      <c r="H286" s="2218"/>
      <c r="I286" s="2218"/>
      <c r="J286" s="2218"/>
      <c r="K286" s="2218"/>
      <c r="L286" s="113"/>
      <c r="O286" s="25"/>
      <c r="P286" s="25"/>
      <c r="R286" s="18"/>
    </row>
    <row r="287" spans="2:25" x14ac:dyDescent="0.2">
      <c r="B287" s="38"/>
      <c r="C287" s="38"/>
      <c r="D287" s="38"/>
      <c r="E287" s="38"/>
      <c r="F287" s="38"/>
      <c r="G287" s="38"/>
      <c r="H287" s="38"/>
      <c r="I287" s="39"/>
      <c r="J287" s="39"/>
      <c r="K287" s="39"/>
      <c r="L287" s="39"/>
      <c r="M287" s="39"/>
      <c r="N287" s="39"/>
      <c r="O287" s="39"/>
    </row>
    <row r="288" spans="2:25" ht="12" customHeight="1" x14ac:dyDescent="0.2">
      <c r="B288" s="2327" t="s">
        <v>759</v>
      </c>
      <c r="C288" s="2327"/>
      <c r="D288" s="2327"/>
      <c r="E288" s="38"/>
      <c r="F288" s="38"/>
      <c r="G288" s="38"/>
      <c r="H288" s="38"/>
      <c r="I288" s="39"/>
      <c r="J288" s="39"/>
      <c r="K288" s="39"/>
      <c r="L288" s="39"/>
      <c r="M288" s="39"/>
      <c r="N288" s="39"/>
      <c r="O288" s="39"/>
    </row>
    <row r="289" spans="2:20" ht="13.5" customHeight="1" x14ac:dyDescent="0.2">
      <c r="B289" s="831" t="s">
        <v>1015</v>
      </c>
      <c r="C289" s="70"/>
      <c r="D289" s="70"/>
      <c r="E289" s="70"/>
      <c r="F289" s="70"/>
      <c r="G289" s="70"/>
      <c r="H289" s="70"/>
      <c r="I289" s="70"/>
      <c r="M289" s="833"/>
      <c r="N289" s="833"/>
      <c r="Q289" s="12"/>
      <c r="R289" s="12"/>
      <c r="S289" s="12"/>
      <c r="T289" s="12"/>
    </row>
    <row r="290" spans="2:20" ht="13.5" customHeight="1" x14ac:dyDescent="0.2">
      <c r="B290" s="832" t="s">
        <v>1016</v>
      </c>
      <c r="C290" s="72"/>
      <c r="D290" s="72"/>
      <c r="E290" s="72"/>
      <c r="F290" s="72"/>
      <c r="G290" s="72"/>
      <c r="H290" s="70"/>
      <c r="I290" s="70"/>
      <c r="J290" s="70"/>
      <c r="K290" s="70"/>
      <c r="L290" s="70"/>
      <c r="M290" s="76"/>
      <c r="N290" s="70"/>
      <c r="O290" s="70"/>
      <c r="Q290" s="12"/>
      <c r="R290" s="12"/>
      <c r="S290" s="12"/>
      <c r="T290" s="12"/>
    </row>
    <row r="291" spans="2:20" ht="13.5" customHeight="1" x14ac:dyDescent="0.2">
      <c r="B291" s="28" t="s">
        <v>468</v>
      </c>
      <c r="C291" s="28"/>
      <c r="D291" s="28"/>
    </row>
    <row r="292" spans="2:20" ht="13.5" customHeight="1" x14ac:dyDescent="0.2">
      <c r="B292" s="830" t="s">
        <v>1017</v>
      </c>
      <c r="C292" s="28"/>
      <c r="D292" s="28"/>
      <c r="E292" s="28"/>
      <c r="F292" s="28"/>
      <c r="G292" s="28"/>
      <c r="H292" s="28"/>
      <c r="I292" s="28"/>
      <c r="J292" s="28"/>
      <c r="K292" s="28"/>
      <c r="L292" s="28"/>
    </row>
    <row r="293" spans="2:20" x14ac:dyDescent="0.2">
      <c r="B293" s="38"/>
      <c r="C293" s="38"/>
      <c r="D293" s="38"/>
      <c r="E293" s="38"/>
      <c r="F293" s="38"/>
      <c r="G293" s="38"/>
      <c r="H293" s="38"/>
      <c r="I293" s="39"/>
      <c r="J293" s="39"/>
      <c r="K293" s="39"/>
      <c r="L293" s="39"/>
      <c r="M293" s="39"/>
      <c r="N293" s="39"/>
      <c r="O293" s="39"/>
    </row>
    <row r="294" spans="2:20" x14ac:dyDescent="0.2">
      <c r="B294" s="8" t="s">
        <v>985</v>
      </c>
      <c r="C294" s="8"/>
      <c r="D294" s="8"/>
      <c r="E294" s="8"/>
      <c r="F294" s="8"/>
      <c r="G294" s="8"/>
      <c r="H294" s="8"/>
      <c r="I294" s="5"/>
      <c r="J294" s="5"/>
      <c r="K294" s="5"/>
      <c r="L294" s="5"/>
      <c r="M294" s="5"/>
    </row>
    <row r="295" spans="2:20" x14ac:dyDescent="0.2">
      <c r="B295" s="4" t="s">
        <v>387</v>
      </c>
      <c r="I295" s="5"/>
      <c r="J295" s="5"/>
      <c r="K295" s="5"/>
      <c r="L295" s="5"/>
      <c r="M295" s="5"/>
    </row>
    <row r="296" spans="2:20" s="40" customFormat="1" ht="24.75" customHeight="1" x14ac:dyDescent="0.2">
      <c r="B296" s="2322" t="s">
        <v>986</v>
      </c>
      <c r="C296" s="2322"/>
      <c r="D296" s="2322"/>
      <c r="E296" s="2322"/>
      <c r="F296" s="2322"/>
      <c r="G296" s="2322"/>
      <c r="H296" s="2322"/>
      <c r="I296" s="2322"/>
      <c r="J296" s="2322"/>
      <c r="K296" s="2322"/>
      <c r="L296" s="2322"/>
      <c r="M296" s="2322"/>
      <c r="N296" s="2322"/>
      <c r="O296" s="22"/>
    </row>
    <row r="297" spans="2:20" ht="21" customHeight="1" x14ac:dyDescent="0.2">
      <c r="B297" s="2322" t="s">
        <v>737</v>
      </c>
      <c r="C297" s="2322"/>
      <c r="D297" s="2322"/>
      <c r="E297" s="2322"/>
      <c r="F297" s="2322"/>
      <c r="G297" s="2322"/>
      <c r="H297" s="2322"/>
      <c r="I297" s="2322"/>
      <c r="J297" s="2322"/>
      <c r="K297" s="2322"/>
      <c r="L297" s="2322"/>
      <c r="M297" s="2322"/>
      <c r="N297" s="2322"/>
      <c r="O297" s="22"/>
    </row>
    <row r="298" spans="2:20" ht="63" customHeight="1" x14ac:dyDescent="0.2">
      <c r="B298" s="2321" t="s">
        <v>987</v>
      </c>
      <c r="C298" s="2321"/>
      <c r="D298" s="2321"/>
      <c r="E298" s="2321"/>
      <c r="F298" s="2321"/>
      <c r="G298" s="2321"/>
      <c r="H298" s="2321"/>
      <c r="I298" s="2321"/>
      <c r="J298" s="2321"/>
      <c r="K298" s="2321"/>
      <c r="L298" s="2321"/>
      <c r="M298" s="2321"/>
      <c r="N298" s="2321"/>
      <c r="O298" s="793"/>
    </row>
    <row r="299" spans="2:20" ht="31.2" customHeight="1" x14ac:dyDescent="0.2">
      <c r="B299" s="2322" t="s">
        <v>707</v>
      </c>
      <c r="C299" s="2322"/>
      <c r="D299" s="2322"/>
      <c r="E299" s="2322"/>
      <c r="F299" s="2322"/>
      <c r="G299" s="2322"/>
      <c r="H299" s="2322"/>
      <c r="I299" s="2322"/>
      <c r="J299" s="2322"/>
      <c r="K299" s="2322"/>
      <c r="L299" s="2322"/>
      <c r="M299" s="2322"/>
      <c r="N299" s="2322"/>
      <c r="O299" s="793"/>
    </row>
    <row r="300" spans="2:20" ht="19.8" customHeight="1" x14ac:dyDescent="0.2">
      <c r="B300" s="40" t="s">
        <v>988</v>
      </c>
      <c r="C300" s="793"/>
      <c r="D300" s="793"/>
      <c r="E300" s="793"/>
      <c r="F300" s="793"/>
      <c r="G300" s="793"/>
      <c r="H300" s="793"/>
      <c r="I300" s="793"/>
      <c r="J300" s="793"/>
      <c r="K300" s="793"/>
      <c r="L300" s="793"/>
      <c r="M300" s="793"/>
      <c r="N300" s="793"/>
      <c r="O300" s="793"/>
    </row>
    <row r="301" spans="2:20" ht="25.5" customHeight="1" x14ac:dyDescent="0.2">
      <c r="B301" s="2322" t="s">
        <v>843</v>
      </c>
      <c r="C301" s="2322"/>
      <c r="D301" s="2322"/>
      <c r="E301" s="2322"/>
      <c r="F301" s="2322"/>
      <c r="G301" s="2322"/>
      <c r="H301" s="2322"/>
      <c r="I301" s="2322"/>
      <c r="J301" s="2322"/>
      <c r="K301" s="2322"/>
      <c r="L301" s="2322"/>
      <c r="M301" s="2322"/>
      <c r="N301" s="2322"/>
      <c r="O301" s="22"/>
    </row>
    <row r="302" spans="2:20" ht="16.2" customHeight="1" x14ac:dyDescent="0.2">
      <c r="B302" s="40" t="s">
        <v>711</v>
      </c>
      <c r="C302" s="795"/>
      <c r="D302" s="795"/>
      <c r="E302" s="795"/>
      <c r="F302" s="795"/>
      <c r="G302" s="795"/>
      <c r="H302" s="795"/>
      <c r="I302" s="795"/>
      <c r="J302" s="795"/>
      <c r="K302" s="795"/>
      <c r="L302" s="795"/>
      <c r="M302" s="795"/>
      <c r="N302" s="795"/>
      <c r="O302" s="795"/>
    </row>
    <row r="303" spans="2:20" ht="18" customHeight="1" x14ac:dyDescent="0.2">
      <c r="B303" s="40" t="s">
        <v>989</v>
      </c>
      <c r="C303" s="799"/>
      <c r="D303" s="799"/>
      <c r="E303" s="799"/>
      <c r="F303" s="799"/>
      <c r="G303" s="799"/>
      <c r="H303" s="799"/>
      <c r="I303" s="799"/>
      <c r="J303" s="799"/>
      <c r="K303" s="799"/>
      <c r="L303" s="799"/>
      <c r="M303" s="799"/>
      <c r="N303" s="799"/>
      <c r="O303" s="799"/>
    </row>
    <row r="304" spans="2:20" ht="33" customHeight="1" x14ac:dyDescent="0.2">
      <c r="B304" s="2323" t="s">
        <v>937</v>
      </c>
      <c r="C304" s="2323"/>
      <c r="D304" s="2323"/>
      <c r="E304" s="2323"/>
      <c r="F304" s="2323"/>
      <c r="G304" s="2323"/>
      <c r="H304" s="2323"/>
      <c r="I304" s="2323"/>
      <c r="J304" s="2323"/>
      <c r="K304" s="2323"/>
      <c r="L304" s="2323"/>
      <c r="M304" s="2323"/>
      <c r="N304" s="2323"/>
    </row>
    <row r="305" spans="2:15" x14ac:dyDescent="0.2">
      <c r="B305" s="8"/>
      <c r="C305" s="8"/>
      <c r="D305" s="8"/>
      <c r="E305" s="8"/>
      <c r="F305" s="8"/>
      <c r="G305" s="8"/>
      <c r="H305" s="8"/>
      <c r="I305" s="5"/>
      <c r="J305" s="5"/>
      <c r="K305" s="5"/>
      <c r="L305" s="5"/>
      <c r="M305" s="5"/>
    </row>
    <row r="310" spans="2:15" ht="12.75" customHeight="1" x14ac:dyDescent="0.2">
      <c r="B310" s="98"/>
      <c r="C310" s="98"/>
      <c r="D310" s="98"/>
      <c r="E310" s="98"/>
      <c r="F310" s="98"/>
      <c r="G310" s="98"/>
      <c r="H310" s="98"/>
      <c r="I310" s="98"/>
      <c r="J310" s="98"/>
      <c r="K310" s="98"/>
      <c r="L310" s="100"/>
      <c r="M310" s="100"/>
      <c r="N310" s="100"/>
    </row>
    <row r="311" spans="2:15" ht="12.75" customHeight="1" x14ac:dyDescent="0.2">
      <c r="B311" s="97"/>
      <c r="C311" s="97"/>
      <c r="D311" s="97"/>
      <c r="E311" s="97"/>
      <c r="F311" s="97"/>
      <c r="G311" s="97"/>
      <c r="H311" s="97"/>
      <c r="I311" s="98"/>
      <c r="J311" s="98"/>
      <c r="K311" s="98"/>
      <c r="L311" s="37"/>
      <c r="M311" s="37"/>
      <c r="N311" s="37"/>
    </row>
    <row r="312" spans="2:15" x14ac:dyDescent="0.2">
      <c r="B312" s="98"/>
      <c r="C312" s="98"/>
      <c r="D312" s="97"/>
      <c r="E312" s="97"/>
      <c r="F312" s="97"/>
      <c r="G312" s="97"/>
      <c r="H312" s="97"/>
      <c r="I312" s="98"/>
      <c r="J312" s="97"/>
      <c r="K312" s="97"/>
      <c r="L312" s="97"/>
      <c r="M312" s="97"/>
      <c r="N312" s="97"/>
      <c r="O312" s="97"/>
    </row>
    <row r="313" spans="2:15" x14ac:dyDescent="0.2">
      <c r="B313" s="6"/>
      <c r="L313" s="11"/>
      <c r="M313" s="11"/>
      <c r="N313" s="26"/>
      <c r="O313" s="26"/>
    </row>
    <row r="314" spans="2:15" x14ac:dyDescent="0.2">
      <c r="B314" s="11"/>
      <c r="C314" s="11"/>
      <c r="D314" s="11"/>
      <c r="E314" s="11"/>
      <c r="F314" s="11"/>
      <c r="G314" s="11"/>
      <c r="H314" s="11"/>
      <c r="I314" s="27"/>
      <c r="J314" s="26"/>
      <c r="K314" s="26"/>
      <c r="L314" s="11"/>
      <c r="M314" s="11"/>
      <c r="N314" s="26"/>
      <c r="O314" s="26"/>
    </row>
    <row r="315" spans="2:15" x14ac:dyDescent="0.2">
      <c r="B315" s="11"/>
      <c r="C315" s="11"/>
      <c r="D315" s="11"/>
      <c r="E315" s="11"/>
      <c r="F315" s="11"/>
      <c r="G315" s="11"/>
      <c r="H315" s="11"/>
      <c r="I315" s="27"/>
      <c r="J315" s="26"/>
      <c r="K315" s="26"/>
      <c r="L315" s="11"/>
      <c r="M315" s="11"/>
      <c r="N315" s="26"/>
      <c r="O315" s="26"/>
    </row>
    <row r="316" spans="2:15" x14ac:dyDescent="0.2">
      <c r="B316" s="11"/>
      <c r="C316" s="11"/>
      <c r="D316" s="11"/>
      <c r="E316" s="11"/>
      <c r="F316" s="11"/>
      <c r="G316" s="11"/>
      <c r="H316" s="11"/>
      <c r="I316" s="27"/>
      <c r="J316" s="26"/>
      <c r="K316" s="26"/>
      <c r="L316" s="11"/>
      <c r="M316" s="11"/>
      <c r="N316" s="26"/>
      <c r="O316" s="26"/>
    </row>
    <row r="317" spans="2:15" x14ac:dyDescent="0.2">
      <c r="B317" s="11"/>
      <c r="C317" s="11"/>
      <c r="D317" s="11"/>
      <c r="E317" s="11"/>
      <c r="F317" s="11"/>
      <c r="G317" s="11"/>
      <c r="H317" s="11"/>
      <c r="I317" s="27"/>
      <c r="J317" s="26"/>
      <c r="K317" s="26"/>
      <c r="L317" s="11"/>
      <c r="M317" s="11"/>
      <c r="N317" s="26"/>
      <c r="O317" s="26"/>
    </row>
    <row r="318" spans="2:15" x14ac:dyDescent="0.2">
      <c r="B318" s="11"/>
      <c r="C318" s="11"/>
      <c r="D318" s="11"/>
      <c r="E318" s="11"/>
      <c r="F318" s="11"/>
      <c r="G318" s="11"/>
      <c r="H318" s="11"/>
      <c r="I318" s="27"/>
      <c r="J318" s="26"/>
      <c r="K318" s="26"/>
      <c r="L318" s="11"/>
      <c r="M318" s="11"/>
      <c r="N318" s="26"/>
      <c r="O318" s="26"/>
    </row>
    <row r="319" spans="2:15" x14ac:dyDescent="0.2">
      <c r="B319" s="11"/>
      <c r="C319" s="11"/>
      <c r="D319" s="11"/>
      <c r="E319" s="11"/>
      <c r="F319" s="11"/>
      <c r="G319" s="11"/>
      <c r="H319" s="11"/>
      <c r="I319" s="27"/>
      <c r="J319" s="26"/>
      <c r="K319" s="26"/>
      <c r="L319" s="11"/>
      <c r="M319" s="11"/>
      <c r="N319" s="26"/>
      <c r="O319" s="26"/>
    </row>
    <row r="320" spans="2:15" x14ac:dyDescent="0.2">
      <c r="B320" s="11"/>
      <c r="C320" s="11"/>
      <c r="D320" s="11"/>
      <c r="E320" s="11"/>
      <c r="F320" s="11"/>
      <c r="G320" s="11"/>
      <c r="H320" s="11"/>
      <c r="I320" s="27"/>
      <c r="J320" s="26"/>
      <c r="K320" s="26"/>
      <c r="L320" s="11"/>
      <c r="M320" s="11"/>
      <c r="N320" s="26"/>
      <c r="O320" s="26"/>
    </row>
    <row r="321" spans="2:25" x14ac:dyDescent="0.2">
      <c r="B321" s="11"/>
      <c r="C321" s="11"/>
      <c r="D321" s="11"/>
      <c r="E321" s="11"/>
      <c r="F321" s="11"/>
      <c r="G321" s="11"/>
      <c r="H321" s="11"/>
      <c r="I321" s="27"/>
      <c r="J321" s="26"/>
      <c r="K321" s="26"/>
      <c r="L321" s="11"/>
      <c r="M321" s="11"/>
      <c r="N321" s="26"/>
      <c r="O321" s="26"/>
    </row>
    <row r="322" spans="2:25" x14ac:dyDescent="0.2">
      <c r="B322" s="11"/>
      <c r="C322" s="11"/>
      <c r="D322" s="11"/>
      <c r="E322" s="11"/>
      <c r="F322" s="11"/>
      <c r="G322" s="11"/>
      <c r="H322" s="11"/>
      <c r="I322" s="27"/>
      <c r="J322" s="26"/>
      <c r="K322" s="26"/>
      <c r="L322" s="11"/>
      <c r="M322" s="11"/>
      <c r="N322" s="26"/>
      <c r="O322" s="26"/>
    </row>
    <row r="323" spans="2:25" x14ac:dyDescent="0.2">
      <c r="B323" s="11"/>
      <c r="C323" s="11"/>
      <c r="D323" s="11"/>
      <c r="E323" s="11"/>
      <c r="F323" s="11"/>
      <c r="G323" s="11"/>
      <c r="H323" s="11"/>
      <c r="I323" s="27"/>
      <c r="J323" s="26"/>
      <c r="K323" s="26"/>
      <c r="L323" s="11"/>
      <c r="M323" s="11"/>
      <c r="N323" s="26"/>
      <c r="O323" s="26"/>
    </row>
    <row r="324" spans="2:25" x14ac:dyDescent="0.2">
      <c r="B324" s="11"/>
      <c r="C324" s="11"/>
      <c r="D324" s="11"/>
      <c r="E324" s="11"/>
      <c r="F324" s="11"/>
      <c r="G324" s="11"/>
      <c r="H324" s="11"/>
      <c r="I324" s="27"/>
      <c r="J324" s="26"/>
      <c r="K324" s="26"/>
    </row>
    <row r="328" spans="2:25" x14ac:dyDescent="0.2">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2:25" x14ac:dyDescent="0.2">
      <c r="B329" s="16"/>
      <c r="C329" s="16"/>
      <c r="D329" s="16"/>
      <c r="E329" s="16"/>
      <c r="F329" s="16"/>
      <c r="G329" s="16"/>
      <c r="H329" s="16"/>
      <c r="I329" s="16"/>
      <c r="J329" s="16"/>
      <c r="K329" s="16"/>
      <c r="L329" s="16"/>
      <c r="M329" s="16"/>
      <c r="N329" s="16"/>
      <c r="O329" s="16"/>
      <c r="P329" s="16"/>
      <c r="Q329" s="16"/>
      <c r="R329" s="16"/>
      <c r="S329" s="2315"/>
      <c r="T329" s="2315"/>
      <c r="U329" s="2315"/>
      <c r="V329" s="2315"/>
      <c r="W329" s="2315"/>
      <c r="X329" s="2315"/>
      <c r="Y329" s="2315"/>
    </row>
    <row r="330" spans="2:25" x14ac:dyDescent="0.2">
      <c r="B330" s="16"/>
      <c r="C330" s="16"/>
      <c r="D330" s="16"/>
      <c r="E330" s="16"/>
      <c r="F330" s="16"/>
      <c r="G330" s="16"/>
      <c r="H330" s="16"/>
      <c r="I330" s="16"/>
      <c r="J330" s="16"/>
      <c r="K330" s="16"/>
      <c r="L330" s="16"/>
      <c r="M330" s="16"/>
      <c r="N330" s="16"/>
      <c r="O330" s="16"/>
      <c r="P330" s="16"/>
      <c r="Q330" s="16"/>
      <c r="R330" s="16"/>
      <c r="S330" s="2315"/>
      <c r="T330" s="2315"/>
      <c r="U330" s="2315"/>
      <c r="V330" s="36"/>
      <c r="W330" s="2315"/>
      <c r="X330" s="2315"/>
      <c r="Y330" s="2315"/>
    </row>
    <row r="331" spans="2:25" x14ac:dyDescent="0.2">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2:25" x14ac:dyDescent="0.2">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2:25" x14ac:dyDescent="0.2">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2:25" x14ac:dyDescent="0.2">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2:25" x14ac:dyDescent="0.2">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2:25" x14ac:dyDescent="0.2">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2:25" x14ac:dyDescent="0.2">
      <c r="B337" s="16"/>
      <c r="C337" s="16"/>
      <c r="D337" s="16"/>
      <c r="E337" s="16"/>
      <c r="F337" s="16"/>
      <c r="G337" s="16"/>
      <c r="H337" s="16"/>
      <c r="I337" s="16"/>
      <c r="J337" s="16"/>
      <c r="K337" s="16"/>
      <c r="L337" s="16"/>
      <c r="M337" s="16"/>
      <c r="N337" s="16"/>
      <c r="O337" s="16"/>
      <c r="P337" s="16"/>
      <c r="Q337" s="16"/>
      <c r="R337" s="16"/>
      <c r="S337" s="16"/>
      <c r="T337" s="16"/>
      <c r="U337" s="16"/>
      <c r="V337" s="16"/>
      <c r="W337" s="21"/>
      <c r="X337" s="21"/>
      <c r="Y337" s="21"/>
    </row>
    <row r="338" spans="2:25" x14ac:dyDescent="0.2">
      <c r="B338" s="16"/>
      <c r="C338" s="16"/>
      <c r="D338" s="16"/>
      <c r="E338" s="16"/>
      <c r="F338" s="16"/>
      <c r="G338" s="16"/>
      <c r="H338" s="16"/>
      <c r="I338" s="16"/>
      <c r="J338" s="16"/>
      <c r="K338" s="16"/>
      <c r="L338" s="16"/>
      <c r="M338" s="16"/>
      <c r="N338" s="16"/>
      <c r="O338" s="16"/>
      <c r="P338" s="16"/>
      <c r="Q338" s="16"/>
      <c r="R338" s="16"/>
      <c r="S338" s="16"/>
      <c r="T338" s="16"/>
      <c r="U338" s="16"/>
      <c r="V338" s="16"/>
      <c r="W338" s="21"/>
      <c r="X338" s="21"/>
      <c r="Y338" s="21"/>
    </row>
    <row r="339" spans="2:25" x14ac:dyDescent="0.2">
      <c r="B339" s="16"/>
      <c r="C339" s="16"/>
      <c r="D339" s="16"/>
      <c r="E339" s="16"/>
      <c r="F339" s="16"/>
      <c r="G339" s="16"/>
      <c r="H339" s="16"/>
      <c r="I339" s="16"/>
      <c r="J339" s="16"/>
      <c r="K339" s="16"/>
      <c r="L339" s="16"/>
      <c r="M339" s="16"/>
      <c r="N339" s="16"/>
      <c r="O339" s="16"/>
      <c r="P339" s="16"/>
      <c r="Q339" s="16"/>
      <c r="R339" s="16"/>
      <c r="S339" s="16"/>
      <c r="T339" s="16"/>
      <c r="U339" s="16"/>
      <c r="V339" s="16"/>
      <c r="W339" s="21"/>
      <c r="X339" s="21"/>
      <c r="Y339" s="21"/>
    </row>
    <row r="340" spans="2:25" x14ac:dyDescent="0.2">
      <c r="N340" s="16"/>
    </row>
    <row r="341" spans="2:25" x14ac:dyDescent="0.2">
      <c r="I341" s="22"/>
      <c r="J341" s="22"/>
      <c r="K341" s="22"/>
      <c r="L341" s="22"/>
      <c r="M341" s="22"/>
      <c r="N341" s="22"/>
      <c r="O341" s="22"/>
      <c r="P341" s="22"/>
      <c r="Q341" s="22"/>
      <c r="R341" s="22"/>
      <c r="S341" s="22"/>
      <c r="T341" s="22"/>
      <c r="U341" s="22"/>
      <c r="V341" s="22"/>
      <c r="W341" s="22"/>
      <c r="X341" s="22"/>
      <c r="Y341" s="22"/>
    </row>
  </sheetData>
  <mergeCells count="174">
    <mergeCell ref="B73:F73"/>
    <mergeCell ref="C119:D119"/>
    <mergeCell ref="C118:F118"/>
    <mergeCell ref="B231:C233"/>
    <mergeCell ref="B226:C226"/>
    <mergeCell ref="B228:N229"/>
    <mergeCell ref="B227:C227"/>
    <mergeCell ref="B187:J189"/>
    <mergeCell ref="B179:C179"/>
    <mergeCell ref="B214:C216"/>
    <mergeCell ref="B217:C217"/>
    <mergeCell ref="B185:C185"/>
    <mergeCell ref="K180:M184"/>
    <mergeCell ref="K177:M179"/>
    <mergeCell ref="H177:I177"/>
    <mergeCell ref="B182:C182"/>
    <mergeCell ref="B184:C184"/>
    <mergeCell ref="B177:C178"/>
    <mergeCell ref="G214:I214"/>
    <mergeCell ref="B186:C186"/>
    <mergeCell ref="G215:G216"/>
    <mergeCell ref="H215:H216"/>
    <mergeCell ref="I215:I216"/>
    <mergeCell ref="D214:F214"/>
    <mergeCell ref="D215:D216"/>
    <mergeCell ref="E215:E216"/>
    <mergeCell ref="F215:F216"/>
    <mergeCell ref="B11:C11"/>
    <mergeCell ref="B12:C12"/>
    <mergeCell ref="J10:M12"/>
    <mergeCell ref="G57:H58"/>
    <mergeCell ref="B22:G24"/>
    <mergeCell ref="J22:M23"/>
    <mergeCell ref="D204:G204"/>
    <mergeCell ref="B210:C210"/>
    <mergeCell ref="M204:M205"/>
    <mergeCell ref="B125:N125"/>
    <mergeCell ref="B118:B120"/>
    <mergeCell ref="B204:C205"/>
    <mergeCell ref="D177:G177"/>
    <mergeCell ref="B181:C181"/>
    <mergeCell ref="B183:C183"/>
    <mergeCell ref="B25:B27"/>
    <mergeCell ref="J204:L204"/>
    <mergeCell ref="H204:I204"/>
    <mergeCell ref="G25:H26"/>
    <mergeCell ref="E57:E58"/>
    <mergeCell ref="F57:F58"/>
    <mergeCell ref="B57:B59"/>
    <mergeCell ref="C57:D58"/>
    <mergeCell ref="L120:N124"/>
    <mergeCell ref="B1:N1"/>
    <mergeCell ref="D3:G3"/>
    <mergeCell ref="B5:C5"/>
    <mergeCell ref="F5:G5"/>
    <mergeCell ref="B3:C3"/>
    <mergeCell ref="J16:M18"/>
    <mergeCell ref="J19:M21"/>
    <mergeCell ref="I13:I15"/>
    <mergeCell ref="J5:K5"/>
    <mergeCell ref="B15:C15"/>
    <mergeCell ref="B16:C16"/>
    <mergeCell ref="I16:I18"/>
    <mergeCell ref="I19:I21"/>
    <mergeCell ref="B7:C9"/>
    <mergeCell ref="F7:F8"/>
    <mergeCell ref="D7:E8"/>
    <mergeCell ref="B21:C21"/>
    <mergeCell ref="B18:C18"/>
    <mergeCell ref="B17:C17"/>
    <mergeCell ref="J13:M15"/>
    <mergeCell ref="G7:G8"/>
    <mergeCell ref="B19:C19"/>
    <mergeCell ref="M5:N6"/>
    <mergeCell ref="B20:C20"/>
    <mergeCell ref="W330:Y330"/>
    <mergeCell ref="S329:Y329"/>
    <mergeCell ref="S330:U330"/>
    <mergeCell ref="B284:D284"/>
    <mergeCell ref="B285:D285"/>
    <mergeCell ref="K279:K280"/>
    <mergeCell ref="B298:N298"/>
    <mergeCell ref="B301:N301"/>
    <mergeCell ref="B297:N297"/>
    <mergeCell ref="B296:N296"/>
    <mergeCell ref="B304:N304"/>
    <mergeCell ref="B299:N299"/>
    <mergeCell ref="B279:D280"/>
    <mergeCell ref="B286:K286"/>
    <mergeCell ref="B288:D288"/>
    <mergeCell ref="H279:J279"/>
    <mergeCell ref="E279:G279"/>
    <mergeCell ref="J274:K277"/>
    <mergeCell ref="B274:D277"/>
    <mergeCell ref="G260:I260"/>
    <mergeCell ref="E274:F277"/>
    <mergeCell ref="G259:I259"/>
    <mergeCell ref="G257:I257"/>
    <mergeCell ref="G269:I269"/>
    <mergeCell ref="G273:M273"/>
    <mergeCell ref="G271:I271"/>
    <mergeCell ref="G270:I270"/>
    <mergeCell ref="G261:I261"/>
    <mergeCell ref="G268:I268"/>
    <mergeCell ref="G264:I264"/>
    <mergeCell ref="G263:I263"/>
    <mergeCell ref="G265:I265"/>
    <mergeCell ref="G266:I266"/>
    <mergeCell ref="G262:I262"/>
    <mergeCell ref="C25:D26"/>
    <mergeCell ref="E25:F26"/>
    <mergeCell ref="E242:E243"/>
    <mergeCell ref="B180:C180"/>
    <mergeCell ref="D231:D233"/>
    <mergeCell ref="K242:N242"/>
    <mergeCell ref="F242:J242"/>
    <mergeCell ref="B218:C218"/>
    <mergeCell ref="B219:C219"/>
    <mergeCell ref="B237:D237"/>
    <mergeCell ref="B223:C223"/>
    <mergeCell ref="K214:K216"/>
    <mergeCell ref="J215:J216"/>
    <mergeCell ref="B242:D243"/>
    <mergeCell ref="J231:J233"/>
    <mergeCell ref="B225:C225"/>
    <mergeCell ref="B212:M213"/>
    <mergeCell ref="E231:F233"/>
    <mergeCell ref="H231:I233"/>
    <mergeCell ref="B222:C222"/>
    <mergeCell ref="G231:G233"/>
    <mergeCell ref="B234:K234"/>
    <mergeCell ref="B230:K230"/>
    <mergeCell ref="E235:E236"/>
    <mergeCell ref="J235:N235"/>
    <mergeCell ref="F235:I235"/>
    <mergeCell ref="G256:I256"/>
    <mergeCell ref="G250:I250"/>
    <mergeCell ref="G254:I254"/>
    <mergeCell ref="G253:I253"/>
    <mergeCell ref="G252:I252"/>
    <mergeCell ref="G251:I251"/>
    <mergeCell ref="M250:M251"/>
    <mergeCell ref="L246:N246"/>
    <mergeCell ref="G255:I255"/>
    <mergeCell ref="N250:N251"/>
    <mergeCell ref="J250:J251"/>
    <mergeCell ref="K250:K251"/>
    <mergeCell ref="L250:L251"/>
    <mergeCell ref="E246:H246"/>
    <mergeCell ref="I246:K246"/>
    <mergeCell ref="K104:M107"/>
    <mergeCell ref="B87:J87"/>
    <mergeCell ref="B83:C85"/>
    <mergeCell ref="B56:N56"/>
    <mergeCell ref="D83:G85"/>
    <mergeCell ref="I83:I85"/>
    <mergeCell ref="J83:M85"/>
    <mergeCell ref="C86:G86"/>
    <mergeCell ref="B249:N249"/>
    <mergeCell ref="B240:N241"/>
    <mergeCell ref="B239:D239"/>
    <mergeCell ref="B238:D238"/>
    <mergeCell ref="B245:N245"/>
    <mergeCell ref="B244:D244"/>
    <mergeCell ref="B246:C247"/>
    <mergeCell ref="B248:C248"/>
    <mergeCell ref="D246:D247"/>
    <mergeCell ref="G119:H119"/>
    <mergeCell ref="G118:J118"/>
    <mergeCell ref="M118:M119"/>
    <mergeCell ref="B221:C221"/>
    <mergeCell ref="B220:C220"/>
    <mergeCell ref="B235:D236"/>
    <mergeCell ref="B224:C224"/>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5" orientation="landscape" r:id="rId1"/>
  <headerFooter>
    <oddFooter>&amp;L&amp;"Cambria,Regular"&amp;9Compiled by the VDSS Office of Research and Planning.  For more information, contact research@dss.virginia.gov.&amp;R&amp;"Cambria,Regular"&amp;9&amp;P of &amp;N</oddFooter>
  </headerFooter>
  <rowBreaks count="8" manualBreakCount="8">
    <brk id="41" max="13" man="1"/>
    <brk id="80" max="13" man="1"/>
    <brk id="116" max="13" man="1"/>
    <brk id="139" max="13" man="1"/>
    <brk id="175" min="1" max="13" man="1"/>
    <brk id="213" min="1" max="13" man="1"/>
    <brk id="249" max="16383" man="1"/>
    <brk id="287"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I137"/>
  <sheetViews>
    <sheetView workbookViewId="0">
      <pane ySplit="5" topLeftCell="A6" activePane="bottomLeft" state="frozen"/>
      <selection pane="bottomLeft" activeCell="W126" sqref="W126"/>
    </sheetView>
  </sheetViews>
  <sheetFormatPr defaultColWidth="9" defaultRowHeight="15.6" x14ac:dyDescent="0.3"/>
  <cols>
    <col min="1" max="1" width="11.09765625" style="173" customWidth="1"/>
    <col min="2" max="2" width="33.09765625" style="173" customWidth="1"/>
    <col min="3" max="3" width="16.69921875" style="173" customWidth="1"/>
    <col min="4" max="23" width="9.796875" style="173" customWidth="1"/>
    <col min="24" max="24" width="4.19921875" style="173" customWidth="1"/>
    <col min="25" max="44" width="9.796875" style="105" customWidth="1"/>
    <col min="45" max="45" width="2.69921875" style="105" customWidth="1"/>
    <col min="46" max="60" width="9" style="105"/>
    <col min="61" max="61" width="4.5" style="105" customWidth="1"/>
    <col min="62" max="16384" width="9" style="105"/>
  </cols>
  <sheetData>
    <row r="1" spans="1:61" x14ac:dyDescent="0.3">
      <c r="A1" s="88" t="s">
        <v>942</v>
      </c>
    </row>
    <row r="2" spans="1:61" x14ac:dyDescent="0.3">
      <c r="A2" s="88"/>
    </row>
    <row r="3" spans="1:61" x14ac:dyDescent="0.3">
      <c r="D3" s="2502" t="s">
        <v>496</v>
      </c>
      <c r="E3" s="2502"/>
      <c r="F3" s="2502"/>
      <c r="G3" s="2502"/>
      <c r="H3" s="2502"/>
      <c r="I3" s="2502"/>
      <c r="J3" s="2502"/>
      <c r="K3" s="2502"/>
      <c r="L3" s="2502"/>
      <c r="M3" s="2502"/>
      <c r="N3" s="2502"/>
      <c r="O3" s="2502"/>
      <c r="P3" s="2502"/>
      <c r="Q3" s="2502"/>
      <c r="R3" s="2502"/>
      <c r="S3" s="1073"/>
      <c r="T3" s="1396"/>
      <c r="U3" s="1853"/>
      <c r="V3" s="2040"/>
      <c r="W3" s="2125"/>
      <c r="X3" s="937"/>
      <c r="Y3" s="2502" t="s">
        <v>495</v>
      </c>
      <c r="Z3" s="2502"/>
      <c r="AA3" s="2502"/>
      <c r="AB3" s="2502"/>
      <c r="AC3" s="2502"/>
      <c r="AD3" s="2502"/>
      <c r="AE3" s="2502"/>
      <c r="AF3" s="2502"/>
      <c r="AG3" s="2502"/>
      <c r="AH3" s="2502"/>
      <c r="AI3" s="2502"/>
      <c r="AJ3" s="2502"/>
      <c r="AK3" s="2502"/>
      <c r="AL3" s="2502"/>
      <c r="AM3" s="2502"/>
      <c r="AN3" s="1073"/>
      <c r="AO3" s="1396"/>
      <c r="AP3" s="1853"/>
      <c r="AQ3" s="2040"/>
      <c r="AR3" s="2125"/>
      <c r="BI3" s="142"/>
    </row>
    <row r="4" spans="1:61" x14ac:dyDescent="0.3">
      <c r="A4" s="255" t="s">
        <v>4</v>
      </c>
      <c r="B4" s="256" t="s">
        <v>5</v>
      </c>
      <c r="C4" s="1407" t="s">
        <v>250</v>
      </c>
      <c r="D4" s="174">
        <v>2000</v>
      </c>
      <c r="E4" s="175">
        <v>2001</v>
      </c>
      <c r="F4" s="175">
        <v>2002</v>
      </c>
      <c r="G4" s="175">
        <v>2003</v>
      </c>
      <c r="H4" s="175">
        <v>2004</v>
      </c>
      <c r="I4" s="175">
        <v>2005</v>
      </c>
      <c r="J4" s="175">
        <v>2006</v>
      </c>
      <c r="K4" s="175">
        <v>2007</v>
      </c>
      <c r="L4" s="175">
        <v>2008</v>
      </c>
      <c r="M4" s="175">
        <v>2009</v>
      </c>
      <c r="N4" s="176">
        <v>2010</v>
      </c>
      <c r="O4" s="176">
        <v>2011</v>
      </c>
      <c r="P4" s="791">
        <v>2012</v>
      </c>
      <c r="Q4" s="949">
        <v>2013</v>
      </c>
      <c r="R4" s="1084">
        <v>2014</v>
      </c>
      <c r="S4" s="1084">
        <v>2015</v>
      </c>
      <c r="T4" s="1857">
        <v>2016</v>
      </c>
      <c r="U4" s="2060">
        <v>2017</v>
      </c>
      <c r="V4" s="2136">
        <v>2018</v>
      </c>
      <c r="W4" s="2140">
        <v>2019</v>
      </c>
      <c r="X4" s="1086"/>
      <c r="Y4" s="175">
        <v>2000</v>
      </c>
      <c r="Z4" s="175">
        <v>2001</v>
      </c>
      <c r="AA4" s="175">
        <v>2002</v>
      </c>
      <c r="AB4" s="175">
        <v>2003</v>
      </c>
      <c r="AC4" s="175">
        <v>2004</v>
      </c>
      <c r="AD4" s="175">
        <v>2005</v>
      </c>
      <c r="AE4" s="175">
        <v>2006</v>
      </c>
      <c r="AF4" s="175">
        <v>2007</v>
      </c>
      <c r="AG4" s="175">
        <v>2008</v>
      </c>
      <c r="AH4" s="175">
        <v>2009</v>
      </c>
      <c r="AI4" s="175">
        <v>2010</v>
      </c>
      <c r="AJ4" s="175">
        <v>2011</v>
      </c>
      <c r="AK4" s="175">
        <v>2012</v>
      </c>
      <c r="AL4" s="175">
        <v>2013</v>
      </c>
      <c r="AM4" s="1088">
        <v>2014</v>
      </c>
      <c r="AN4" s="1088">
        <v>2015</v>
      </c>
      <c r="AO4" s="1860">
        <v>2016</v>
      </c>
      <c r="AP4" s="2062">
        <v>2017</v>
      </c>
      <c r="AQ4" s="2142">
        <v>2018</v>
      </c>
      <c r="AR4" s="2146">
        <v>2019</v>
      </c>
      <c r="BI4" s="2"/>
    </row>
    <row r="5" spans="1:61" x14ac:dyDescent="0.3">
      <c r="A5" s="178" t="s">
        <v>7</v>
      </c>
      <c r="B5" s="179" t="s">
        <v>8</v>
      </c>
      <c r="C5" s="940"/>
      <c r="D5" s="180">
        <v>0.12155565230837527</v>
      </c>
      <c r="E5" s="181">
        <v>0.112</v>
      </c>
      <c r="F5" s="181">
        <v>0.12495566815144066</v>
      </c>
      <c r="G5" s="181">
        <v>0.13600000000000001</v>
      </c>
      <c r="H5" s="181">
        <v>0.12190485917712804</v>
      </c>
      <c r="I5" s="181">
        <v>0.13300000000000001</v>
      </c>
      <c r="J5" s="181">
        <v>0.12322064717116948</v>
      </c>
      <c r="K5" s="181">
        <v>0.12930216566469369</v>
      </c>
      <c r="L5" s="181">
        <v>0.13580226821250407</v>
      </c>
      <c r="M5" s="181">
        <v>0.14000000000000001</v>
      </c>
      <c r="N5" s="182">
        <v>0.14555376556266278</v>
      </c>
      <c r="O5" s="583">
        <v>0.156</v>
      </c>
      <c r="P5" s="792">
        <v>0.155</v>
      </c>
      <c r="Q5" s="792">
        <v>0.15745553871615489</v>
      </c>
      <c r="R5" s="1085">
        <v>0.15872305329925826</v>
      </c>
      <c r="S5" s="1085">
        <v>0.14973262322463776</v>
      </c>
      <c r="T5" s="1858">
        <v>0.14299999999999999</v>
      </c>
      <c r="U5" s="2061">
        <v>0.14008988319961607</v>
      </c>
      <c r="V5" s="2137">
        <v>0.13783587437996395</v>
      </c>
      <c r="W5" s="2141">
        <v>0.13289110368588561</v>
      </c>
      <c r="X5" s="1087"/>
      <c r="Y5" s="945">
        <v>211862</v>
      </c>
      <c r="Z5" s="945">
        <v>195437</v>
      </c>
      <c r="AA5" s="945">
        <v>224014</v>
      </c>
      <c r="AB5" s="945">
        <v>243635</v>
      </c>
      <c r="AC5" s="945">
        <v>221675</v>
      </c>
      <c r="AD5" s="945">
        <v>237858</v>
      </c>
      <c r="AE5" s="945">
        <v>219261</v>
      </c>
      <c r="AF5" s="945">
        <v>232569</v>
      </c>
      <c r="AG5" s="945">
        <v>244210</v>
      </c>
      <c r="AH5" s="945">
        <v>255156</v>
      </c>
      <c r="AI5" s="945">
        <v>266606</v>
      </c>
      <c r="AJ5" s="946">
        <v>284561</v>
      </c>
      <c r="AK5" s="945">
        <v>283035</v>
      </c>
      <c r="AL5" s="947">
        <v>289032</v>
      </c>
      <c r="AM5" s="1089">
        <v>292525</v>
      </c>
      <c r="AN5" s="1089">
        <v>275747</v>
      </c>
      <c r="AO5" s="1861">
        <v>262642</v>
      </c>
      <c r="AP5" s="2063">
        <v>258038</v>
      </c>
      <c r="AQ5" s="2143">
        <v>253481</v>
      </c>
      <c r="AR5" s="2147"/>
    </row>
    <row r="6" spans="1:61" x14ac:dyDescent="0.3">
      <c r="A6" s="183" t="s">
        <v>9</v>
      </c>
      <c r="B6" s="184" t="s">
        <v>303</v>
      </c>
      <c r="C6" s="191" t="s">
        <v>251</v>
      </c>
      <c r="D6" s="188">
        <v>0.255</v>
      </c>
      <c r="E6" s="189">
        <v>0.22199999999999998</v>
      </c>
      <c r="F6" s="189">
        <v>0.23600000000000002</v>
      </c>
      <c r="G6" s="189">
        <v>0.24399999999999999</v>
      </c>
      <c r="H6" s="189">
        <v>0.2</v>
      </c>
      <c r="I6" s="189">
        <v>0.26399999999999996</v>
      </c>
      <c r="J6" s="189">
        <v>0.23199999999999998</v>
      </c>
      <c r="K6" s="189">
        <v>0.25100000000000006</v>
      </c>
      <c r="L6" s="189">
        <v>0.29699999999999999</v>
      </c>
      <c r="M6" s="189">
        <v>0.27400000000000002</v>
      </c>
      <c r="N6" s="190">
        <v>0.28699999999999998</v>
      </c>
      <c r="O6" s="190">
        <v>0.30499999999999999</v>
      </c>
      <c r="P6" s="190">
        <v>0.314</v>
      </c>
      <c r="Q6" s="950">
        <v>0.29439930354033661</v>
      </c>
      <c r="R6" s="1083">
        <v>0.30916311222238563</v>
      </c>
      <c r="S6" s="951">
        <v>0.3097292472478429</v>
      </c>
      <c r="T6" s="1859">
        <v>0.31782713085234093</v>
      </c>
      <c r="U6" s="1083">
        <v>0.27984344422700586</v>
      </c>
      <c r="V6" s="1083">
        <v>0.26963711529627926</v>
      </c>
      <c r="W6" s="2138">
        <v>0.28486420506560878</v>
      </c>
      <c r="X6" s="790"/>
      <c r="Y6" s="948">
        <v>2334</v>
      </c>
      <c r="Z6" s="948">
        <v>2014</v>
      </c>
      <c r="AA6" s="948">
        <v>2153</v>
      </c>
      <c r="AB6" s="948">
        <v>2232</v>
      </c>
      <c r="AC6" s="948">
        <v>1811</v>
      </c>
      <c r="AD6" s="948">
        <v>2347</v>
      </c>
      <c r="AE6" s="948">
        <v>2041</v>
      </c>
      <c r="AF6" s="948">
        <v>2156</v>
      </c>
      <c r="AG6" s="948">
        <v>2507</v>
      </c>
      <c r="AH6" s="948">
        <v>2272</v>
      </c>
      <c r="AI6" s="948">
        <v>1956</v>
      </c>
      <c r="AJ6" s="948">
        <v>2111</v>
      </c>
      <c r="AK6" s="874">
        <v>2184</v>
      </c>
      <c r="AL6" s="874">
        <v>2029</v>
      </c>
      <c r="AM6" s="1090">
        <v>2102</v>
      </c>
      <c r="AN6" s="871">
        <v>2082</v>
      </c>
      <c r="AO6" s="1862">
        <v>2118</v>
      </c>
      <c r="AP6" s="1090">
        <v>1859</v>
      </c>
      <c r="AQ6" s="1090">
        <v>1761</v>
      </c>
      <c r="AR6" s="2144"/>
    </row>
    <row r="7" spans="1:61" x14ac:dyDescent="0.3">
      <c r="A7" s="183" t="s">
        <v>11</v>
      </c>
      <c r="B7" s="184" t="s">
        <v>304</v>
      </c>
      <c r="C7" s="191" t="s">
        <v>252</v>
      </c>
      <c r="D7" s="188">
        <v>0.08</v>
      </c>
      <c r="E7" s="189">
        <v>7.3000000000000009E-2</v>
      </c>
      <c r="F7" s="189">
        <v>0.08</v>
      </c>
      <c r="G7" s="189">
        <v>9.0999999999999984E-2</v>
      </c>
      <c r="H7" s="189">
        <v>8.199999999999999E-2</v>
      </c>
      <c r="I7" s="189">
        <v>7.9000000000000001E-2</v>
      </c>
      <c r="J7" s="189">
        <v>7.3999999999999996E-2</v>
      </c>
      <c r="K7" s="189">
        <v>9.1999999999999998E-2</v>
      </c>
      <c r="L7" s="189">
        <v>8.3000000000000004E-2</v>
      </c>
      <c r="M7" s="189">
        <v>9.0999999999999984E-2</v>
      </c>
      <c r="N7" s="190">
        <v>0.1</v>
      </c>
      <c r="O7" s="190">
        <v>0.106</v>
      </c>
      <c r="P7" s="190">
        <v>0.11</v>
      </c>
      <c r="Q7" s="951">
        <v>0.11561847296356463</v>
      </c>
      <c r="R7" s="1083">
        <v>0.10301495972382048</v>
      </c>
      <c r="S7" s="951">
        <v>9.6280188766540209E-2</v>
      </c>
      <c r="T7" s="1859">
        <v>9.3825778772617052E-2</v>
      </c>
      <c r="U7" s="1083">
        <v>8.79510760468699E-2</v>
      </c>
      <c r="V7" s="1083">
        <v>9.6323805942083493E-2</v>
      </c>
      <c r="W7" s="2138">
        <v>7.3326748506655381E-2</v>
      </c>
      <c r="X7" s="790"/>
      <c r="Y7" s="948">
        <v>1584</v>
      </c>
      <c r="Z7" s="948">
        <v>1444</v>
      </c>
      <c r="AA7" s="948">
        <v>1613</v>
      </c>
      <c r="AB7" s="948">
        <v>1812</v>
      </c>
      <c r="AC7" s="948">
        <v>1646</v>
      </c>
      <c r="AD7" s="948">
        <v>1561</v>
      </c>
      <c r="AE7" s="948">
        <v>1446</v>
      </c>
      <c r="AF7" s="948">
        <v>1831</v>
      </c>
      <c r="AG7" s="948">
        <v>1642</v>
      </c>
      <c r="AH7" s="948">
        <v>1836</v>
      </c>
      <c r="AI7" s="948">
        <v>2107</v>
      </c>
      <c r="AJ7" s="948">
        <v>2249</v>
      </c>
      <c r="AK7" s="874">
        <v>2350</v>
      </c>
      <c r="AL7" s="874">
        <v>2491</v>
      </c>
      <c r="AM7" s="1090">
        <v>2238</v>
      </c>
      <c r="AN7" s="871">
        <v>2081</v>
      </c>
      <c r="AO7" s="1862">
        <v>2012</v>
      </c>
      <c r="AP7" s="1090">
        <v>1884</v>
      </c>
      <c r="AQ7" s="1090">
        <v>2049</v>
      </c>
      <c r="AR7" s="2144"/>
    </row>
    <row r="8" spans="1:61" ht="31.2" x14ac:dyDescent="0.3">
      <c r="A8" s="183" t="s">
        <v>15</v>
      </c>
      <c r="B8" s="184" t="s">
        <v>484</v>
      </c>
      <c r="C8" s="191" t="s">
        <v>252</v>
      </c>
      <c r="D8" s="188">
        <v>0.15374659685863876</v>
      </c>
      <c r="E8" s="189">
        <v>0.13747924528301886</v>
      </c>
      <c r="F8" s="189">
        <v>0.15099499374217773</v>
      </c>
      <c r="G8" s="189">
        <v>0.18230162900683131</v>
      </c>
      <c r="H8" s="189">
        <v>0.16216525696558184</v>
      </c>
      <c r="I8" s="189">
        <v>0.18170718813046882</v>
      </c>
      <c r="J8" s="189">
        <v>0.17695105515380732</v>
      </c>
      <c r="K8" s="189">
        <v>0.18159462861938733</v>
      </c>
      <c r="L8" s="189">
        <v>0.1933776793706129</v>
      </c>
      <c r="M8" s="189">
        <v>0.20131421510384487</v>
      </c>
      <c r="N8" s="190">
        <v>0.21467522545308657</v>
      </c>
      <c r="O8" s="190">
        <v>0.21782397169394074</v>
      </c>
      <c r="P8" s="190">
        <v>0.216</v>
      </c>
      <c r="Q8" s="951">
        <v>0.22026128810451523</v>
      </c>
      <c r="R8" s="1083">
        <v>0.23280548333727252</v>
      </c>
      <c r="S8" s="951">
        <v>0.25324834518264283</v>
      </c>
      <c r="T8" s="1859">
        <v>0.22964669738863286</v>
      </c>
      <c r="U8" s="1083">
        <v>0.2180293501048218</v>
      </c>
      <c r="V8" s="1083">
        <v>0.22437824542224652</v>
      </c>
      <c r="W8" s="2138">
        <v>0.2014350252458145</v>
      </c>
      <c r="X8" s="790"/>
      <c r="Y8" s="948">
        <v>781</v>
      </c>
      <c r="Z8" s="948">
        <v>690</v>
      </c>
      <c r="AA8" s="948">
        <v>766</v>
      </c>
      <c r="AB8" s="948">
        <v>890</v>
      </c>
      <c r="AC8" s="948">
        <v>790</v>
      </c>
      <c r="AD8" s="948">
        <v>875</v>
      </c>
      <c r="AE8" s="948">
        <v>832</v>
      </c>
      <c r="AF8" s="948">
        <v>843</v>
      </c>
      <c r="AG8" s="948">
        <v>882</v>
      </c>
      <c r="AH8" s="948">
        <v>922</v>
      </c>
      <c r="AI8" s="948">
        <v>989</v>
      </c>
      <c r="AJ8" s="948">
        <v>985</v>
      </c>
      <c r="AK8" s="874">
        <v>962</v>
      </c>
      <c r="AL8" s="874">
        <v>961</v>
      </c>
      <c r="AM8" s="1090">
        <v>985</v>
      </c>
      <c r="AN8" s="871">
        <v>1033</v>
      </c>
      <c r="AO8" s="1862">
        <v>897</v>
      </c>
      <c r="AP8" s="1090">
        <v>832</v>
      </c>
      <c r="AQ8" s="1090">
        <v>821</v>
      </c>
      <c r="AR8" s="2144"/>
    </row>
    <row r="9" spans="1:61" x14ac:dyDescent="0.3">
      <c r="A9" s="183" t="s">
        <v>17</v>
      </c>
      <c r="B9" s="184" t="s">
        <v>305</v>
      </c>
      <c r="C9" s="191" t="s">
        <v>253</v>
      </c>
      <c r="D9" s="188">
        <v>0.12400000000000001</v>
      </c>
      <c r="E9" s="189">
        <v>0.113</v>
      </c>
      <c r="F9" s="189">
        <v>0.129</v>
      </c>
      <c r="G9" s="189">
        <v>0.14199999999999999</v>
      </c>
      <c r="H9" s="189">
        <v>0.124</v>
      </c>
      <c r="I9" s="189">
        <v>0.13400000000000001</v>
      </c>
      <c r="J9" s="189">
        <v>0.125</v>
      </c>
      <c r="K9" s="189">
        <v>0.125</v>
      </c>
      <c r="L9" s="189">
        <v>0.13100000000000001</v>
      </c>
      <c r="M9" s="189">
        <v>0.16499999999999998</v>
      </c>
      <c r="N9" s="190">
        <v>0.16800000000000001</v>
      </c>
      <c r="O9" s="190">
        <v>0.184</v>
      </c>
      <c r="P9" s="190">
        <v>0.19</v>
      </c>
      <c r="Q9" s="951">
        <v>0.18205904617713853</v>
      </c>
      <c r="R9" s="1083">
        <v>0.18928035982008995</v>
      </c>
      <c r="S9" s="951">
        <v>0.16991017964071856</v>
      </c>
      <c r="T9" s="1859">
        <v>0.15471273000375516</v>
      </c>
      <c r="U9" s="1083">
        <v>0.1440329218106996</v>
      </c>
      <c r="V9" s="1083">
        <v>0.1321114929362352</v>
      </c>
      <c r="W9" s="2138">
        <v>0.13759761993306061</v>
      </c>
      <c r="X9" s="790"/>
      <c r="Y9" s="948">
        <v>352</v>
      </c>
      <c r="Z9" s="948">
        <v>315</v>
      </c>
      <c r="AA9" s="948">
        <v>356</v>
      </c>
      <c r="AB9" s="948">
        <v>394</v>
      </c>
      <c r="AC9" s="948">
        <v>349</v>
      </c>
      <c r="AD9" s="948">
        <v>372</v>
      </c>
      <c r="AE9" s="948">
        <v>352</v>
      </c>
      <c r="AF9" s="948">
        <v>358</v>
      </c>
      <c r="AG9" s="948">
        <v>373</v>
      </c>
      <c r="AH9" s="948">
        <v>475</v>
      </c>
      <c r="AI9" s="948">
        <v>467</v>
      </c>
      <c r="AJ9" s="948">
        <v>505</v>
      </c>
      <c r="AK9" s="874">
        <v>516</v>
      </c>
      <c r="AL9" s="874">
        <v>481</v>
      </c>
      <c r="AM9" s="1090">
        <v>505</v>
      </c>
      <c r="AN9" s="871">
        <v>454</v>
      </c>
      <c r="AO9" s="1862">
        <v>412</v>
      </c>
      <c r="AP9" s="1090">
        <v>385</v>
      </c>
      <c r="AQ9" s="1090">
        <v>346</v>
      </c>
      <c r="AR9" s="2144"/>
    </row>
    <row r="10" spans="1:61" x14ac:dyDescent="0.3">
      <c r="A10" s="183" t="s">
        <v>19</v>
      </c>
      <c r="B10" s="184" t="s">
        <v>306</v>
      </c>
      <c r="C10" s="191" t="s">
        <v>252</v>
      </c>
      <c r="D10" s="188">
        <v>0.14300000000000002</v>
      </c>
      <c r="E10" s="189">
        <v>0.129</v>
      </c>
      <c r="F10" s="189">
        <v>0.152</v>
      </c>
      <c r="G10" s="189">
        <v>0.17199999999999999</v>
      </c>
      <c r="H10" s="189">
        <v>0.155</v>
      </c>
      <c r="I10" s="189">
        <v>0.16300000000000001</v>
      </c>
      <c r="J10" s="189">
        <v>0.16</v>
      </c>
      <c r="K10" s="189">
        <v>0.161</v>
      </c>
      <c r="L10" s="189">
        <v>0.17399999999999999</v>
      </c>
      <c r="M10" s="189">
        <v>0.17699999999999999</v>
      </c>
      <c r="N10" s="190">
        <v>0.18899999999999997</v>
      </c>
      <c r="O10" s="190">
        <v>0.20199999999999999</v>
      </c>
      <c r="P10" s="190">
        <v>0.20300000000000001</v>
      </c>
      <c r="Q10" s="951">
        <v>0.20759453946336107</v>
      </c>
      <c r="R10" s="1083">
        <v>0.2047923322683706</v>
      </c>
      <c r="S10" s="951">
        <v>0.20623193061355605</v>
      </c>
      <c r="T10" s="1859">
        <v>0.20932120818447547</v>
      </c>
      <c r="U10" s="1083">
        <v>0.18271999999999999</v>
      </c>
      <c r="V10" s="1083">
        <v>0.18515484188104211</v>
      </c>
      <c r="W10" s="2138">
        <v>0.16880519913347775</v>
      </c>
      <c r="X10" s="790"/>
      <c r="Y10" s="948">
        <v>1046</v>
      </c>
      <c r="Z10" s="948">
        <v>930</v>
      </c>
      <c r="AA10" s="948">
        <v>1101</v>
      </c>
      <c r="AB10" s="948">
        <v>1219</v>
      </c>
      <c r="AC10" s="948">
        <v>1086</v>
      </c>
      <c r="AD10" s="948">
        <v>1104</v>
      </c>
      <c r="AE10" s="948">
        <v>1068</v>
      </c>
      <c r="AF10" s="948">
        <v>1072</v>
      </c>
      <c r="AG10" s="948">
        <v>1131</v>
      </c>
      <c r="AH10" s="948">
        <v>1184</v>
      </c>
      <c r="AI10" s="948">
        <v>1291</v>
      </c>
      <c r="AJ10" s="948">
        <v>1333</v>
      </c>
      <c r="AK10" s="874">
        <v>1333</v>
      </c>
      <c r="AL10" s="874">
        <v>1323</v>
      </c>
      <c r="AM10" s="1090">
        <v>1282</v>
      </c>
      <c r="AN10" s="871">
        <v>1284</v>
      </c>
      <c r="AO10" s="1862">
        <v>1289</v>
      </c>
      <c r="AP10" s="1090">
        <v>1142</v>
      </c>
      <c r="AQ10" s="1090">
        <v>1130</v>
      </c>
      <c r="AR10" s="2144"/>
    </row>
    <row r="11" spans="1:61" x14ac:dyDescent="0.3">
      <c r="A11" s="183" t="s">
        <v>21</v>
      </c>
      <c r="B11" s="184" t="s">
        <v>307</v>
      </c>
      <c r="C11" s="191" t="s">
        <v>252</v>
      </c>
      <c r="D11" s="188">
        <v>0.157</v>
      </c>
      <c r="E11" s="189">
        <v>0.15</v>
      </c>
      <c r="F11" s="189">
        <v>0.17100000000000001</v>
      </c>
      <c r="G11" s="189">
        <v>0.189</v>
      </c>
      <c r="H11" s="189">
        <v>0.161</v>
      </c>
      <c r="I11" s="189">
        <v>0.17599999999999999</v>
      </c>
      <c r="J11" s="189">
        <v>0.17899999999999999</v>
      </c>
      <c r="K11" s="189">
        <v>0.18</v>
      </c>
      <c r="L11" s="189">
        <v>0.2</v>
      </c>
      <c r="M11" s="189">
        <v>0.219</v>
      </c>
      <c r="N11" s="190">
        <v>0.21800000000000003</v>
      </c>
      <c r="O11" s="190">
        <v>0.223</v>
      </c>
      <c r="P11" s="190">
        <v>0.24</v>
      </c>
      <c r="Q11" s="951">
        <v>0.24047546479731788</v>
      </c>
      <c r="R11" s="1083">
        <v>0.21868365180467092</v>
      </c>
      <c r="S11" s="951">
        <v>0.20921770770163736</v>
      </c>
      <c r="T11" s="1859">
        <v>0.19577677224736048</v>
      </c>
      <c r="U11" s="1083">
        <v>0.17462235649546828</v>
      </c>
      <c r="V11" s="1083">
        <v>0.19373479318734793</v>
      </c>
      <c r="W11" s="2138">
        <v>0.18534351145038169</v>
      </c>
      <c r="X11" s="790"/>
      <c r="Y11" s="948">
        <v>520</v>
      </c>
      <c r="Z11" s="948">
        <v>482</v>
      </c>
      <c r="AA11" s="948">
        <v>548</v>
      </c>
      <c r="AB11" s="948">
        <v>598</v>
      </c>
      <c r="AC11" s="948">
        <v>510</v>
      </c>
      <c r="AD11" s="948">
        <v>553</v>
      </c>
      <c r="AE11" s="948">
        <v>551</v>
      </c>
      <c r="AF11" s="948">
        <v>557</v>
      </c>
      <c r="AG11" s="948">
        <v>629</v>
      </c>
      <c r="AH11" s="948">
        <v>689</v>
      </c>
      <c r="AI11" s="948">
        <v>717</v>
      </c>
      <c r="AJ11" s="948">
        <v>725</v>
      </c>
      <c r="AK11" s="874">
        <v>783</v>
      </c>
      <c r="AL11" s="874">
        <v>789</v>
      </c>
      <c r="AM11" s="1090">
        <v>721</v>
      </c>
      <c r="AN11" s="871">
        <v>690</v>
      </c>
      <c r="AO11" s="1862">
        <v>649</v>
      </c>
      <c r="AP11" s="1090">
        <v>578</v>
      </c>
      <c r="AQ11" s="1090">
        <v>637</v>
      </c>
      <c r="AR11" s="2144"/>
    </row>
    <row r="12" spans="1:61" x14ac:dyDescent="0.3">
      <c r="A12" s="183" t="s">
        <v>23</v>
      </c>
      <c r="B12" s="184" t="s">
        <v>308</v>
      </c>
      <c r="C12" s="191" t="s">
        <v>254</v>
      </c>
      <c r="D12" s="188">
        <v>0.1</v>
      </c>
      <c r="E12" s="189">
        <v>8.8999999999999996E-2</v>
      </c>
      <c r="F12" s="189">
        <v>9.5000000000000001E-2</v>
      </c>
      <c r="G12" s="189">
        <v>9.5000000000000001E-2</v>
      </c>
      <c r="H12" s="189">
        <v>9.0999999999999984E-2</v>
      </c>
      <c r="I12" s="189">
        <v>9.5999999999999988E-2</v>
      </c>
      <c r="J12" s="189">
        <v>8.4999999999999992E-2</v>
      </c>
      <c r="K12" s="189">
        <v>8.3999999999999991E-2</v>
      </c>
      <c r="L12" s="189">
        <v>8.8000000000000009E-2</v>
      </c>
      <c r="M12" s="189">
        <v>9.2999999999999999E-2</v>
      </c>
      <c r="N12" s="190">
        <v>0.10400000000000001</v>
      </c>
      <c r="O12" s="190">
        <v>0.10099999999999999</v>
      </c>
      <c r="P12" s="190">
        <v>9.1999999999999998E-2</v>
      </c>
      <c r="Q12" s="951">
        <v>0.11150041775597661</v>
      </c>
      <c r="R12" s="1083">
        <v>0.11036771951662258</v>
      </c>
      <c r="S12" s="951">
        <v>8.7848766680145574E-2</v>
      </c>
      <c r="T12" s="1859">
        <v>8.4126077345321779E-2</v>
      </c>
      <c r="U12" s="1083">
        <v>7.3202425642506494E-2</v>
      </c>
      <c r="V12" s="1083">
        <v>7.3094867807153963E-2</v>
      </c>
      <c r="W12" s="2138">
        <v>9.1177373279505161E-2</v>
      </c>
      <c r="X12" s="790"/>
      <c r="Y12" s="948">
        <v>3124</v>
      </c>
      <c r="Z12" s="948">
        <v>2830</v>
      </c>
      <c r="AA12" s="948">
        <v>3092</v>
      </c>
      <c r="AB12" s="948">
        <v>3195</v>
      </c>
      <c r="AC12" s="948">
        <v>3170</v>
      </c>
      <c r="AD12" s="948">
        <v>3308</v>
      </c>
      <c r="AE12" s="948">
        <v>2955</v>
      </c>
      <c r="AF12" s="948">
        <v>3004</v>
      </c>
      <c r="AG12" s="948">
        <v>3348</v>
      </c>
      <c r="AH12" s="948">
        <v>3284</v>
      </c>
      <c r="AI12" s="948">
        <v>3392</v>
      </c>
      <c r="AJ12" s="948">
        <v>3451</v>
      </c>
      <c r="AK12" s="874">
        <v>3261</v>
      </c>
      <c r="AL12" s="874">
        <v>4137</v>
      </c>
      <c r="AM12" s="1090">
        <v>4256</v>
      </c>
      <c r="AN12" s="871">
        <v>3476</v>
      </c>
      <c r="AO12" s="1862">
        <v>3387</v>
      </c>
      <c r="AP12" s="1090">
        <v>3042</v>
      </c>
      <c r="AQ12" s="1090">
        <v>3102</v>
      </c>
      <c r="AR12" s="2144"/>
    </row>
    <row r="13" spans="1:61" x14ac:dyDescent="0.3">
      <c r="A13" s="183" t="s">
        <v>25</v>
      </c>
      <c r="B13" s="229" t="s">
        <v>485</v>
      </c>
      <c r="C13" s="229" t="s">
        <v>252</v>
      </c>
      <c r="D13" s="188">
        <v>0.13087876336093662</v>
      </c>
      <c r="E13" s="189">
        <v>0.12328640660095588</v>
      </c>
      <c r="F13" s="189">
        <v>0.1346739708466082</v>
      </c>
      <c r="G13" s="189">
        <v>0.14416955964817399</v>
      </c>
      <c r="H13" s="189">
        <v>0.13188270816880912</v>
      </c>
      <c r="I13" s="189">
        <v>0.14273149548278821</v>
      </c>
      <c r="J13" s="189">
        <v>0.14512539405354707</v>
      </c>
      <c r="K13" s="189">
        <v>0.14915355306345557</v>
      </c>
      <c r="L13" s="189">
        <v>0.15178195639792957</v>
      </c>
      <c r="M13" s="189">
        <v>0.16398952402216457</v>
      </c>
      <c r="N13" s="190">
        <v>0.17830952995295352</v>
      </c>
      <c r="O13" s="190">
        <v>0.18582548136009833</v>
      </c>
      <c r="P13" s="190">
        <v>0.17899999999999999</v>
      </c>
      <c r="Q13" s="951">
        <v>0.17762635341331884</v>
      </c>
      <c r="R13" s="1083">
        <v>0.18326239939319877</v>
      </c>
      <c r="S13" s="951">
        <v>0.17564988762139011</v>
      </c>
      <c r="T13" s="1859">
        <v>0.16416077252128244</v>
      </c>
      <c r="U13" s="1083">
        <v>0.15500376222723852</v>
      </c>
      <c r="V13" s="1083">
        <v>0.16322529512368081</v>
      </c>
      <c r="W13" s="2138">
        <v>0.14180970544606908</v>
      </c>
      <c r="X13" s="790"/>
      <c r="Y13" s="948">
        <v>3191</v>
      </c>
      <c r="Z13" s="948">
        <v>2991</v>
      </c>
      <c r="AA13" s="948">
        <v>3298</v>
      </c>
      <c r="AB13" s="948">
        <v>3529</v>
      </c>
      <c r="AC13" s="948">
        <v>3272</v>
      </c>
      <c r="AD13" s="948">
        <v>3505</v>
      </c>
      <c r="AE13" s="948">
        <v>3505</v>
      </c>
      <c r="AF13" s="948">
        <v>3697</v>
      </c>
      <c r="AG13" s="948">
        <v>3724</v>
      </c>
      <c r="AH13" s="948">
        <v>4096</v>
      </c>
      <c r="AI13" s="948">
        <v>4400</v>
      </c>
      <c r="AJ13" s="948">
        <v>4536</v>
      </c>
      <c r="AK13" s="874">
        <v>4306</v>
      </c>
      <c r="AL13" s="874">
        <v>4249</v>
      </c>
      <c r="AM13" s="1090">
        <v>4349</v>
      </c>
      <c r="AN13" s="871">
        <v>4142</v>
      </c>
      <c r="AO13" s="1862">
        <v>3876</v>
      </c>
      <c r="AP13" s="1090">
        <v>3708</v>
      </c>
      <c r="AQ13" s="1090">
        <v>3913</v>
      </c>
      <c r="AR13" s="2144"/>
    </row>
    <row r="14" spans="1:61" x14ac:dyDescent="0.3">
      <c r="A14" s="183" t="s">
        <v>26</v>
      </c>
      <c r="B14" s="184" t="s">
        <v>309</v>
      </c>
      <c r="C14" s="191" t="s">
        <v>252</v>
      </c>
      <c r="D14" s="188">
        <v>0.10099999999999999</v>
      </c>
      <c r="E14" s="189">
        <v>9.8000000000000004E-2</v>
      </c>
      <c r="F14" s="189">
        <v>9.9000000000000005E-2</v>
      </c>
      <c r="G14" s="189">
        <v>0.106</v>
      </c>
      <c r="H14" s="189">
        <v>9.1999999999999985E-2</v>
      </c>
      <c r="I14" s="189">
        <v>0.1</v>
      </c>
      <c r="J14" s="189">
        <v>0.106</v>
      </c>
      <c r="K14" s="189">
        <v>0.10300000000000001</v>
      </c>
      <c r="L14" s="189">
        <v>0.12300000000000001</v>
      </c>
      <c r="M14" s="189">
        <v>0.14799999999999999</v>
      </c>
      <c r="N14" s="190">
        <v>0.157</v>
      </c>
      <c r="O14" s="190">
        <v>0.159</v>
      </c>
      <c r="P14" s="190">
        <v>0.16400000000000001</v>
      </c>
      <c r="Q14" s="951">
        <v>0.17886178861788618</v>
      </c>
      <c r="R14" s="1083">
        <v>0.15642458100558659</v>
      </c>
      <c r="S14" s="951">
        <v>0.14595375722543352</v>
      </c>
      <c r="T14" s="1859">
        <v>0.17681159420289855</v>
      </c>
      <c r="U14" s="1083">
        <v>0.14152410575427682</v>
      </c>
      <c r="V14" s="1083">
        <v>0.14849921011058451</v>
      </c>
      <c r="W14" s="2138">
        <v>0.1360655737704918</v>
      </c>
      <c r="X14" s="790"/>
      <c r="Y14" s="948">
        <v>102</v>
      </c>
      <c r="Z14" s="948">
        <v>97</v>
      </c>
      <c r="AA14" s="948">
        <v>95</v>
      </c>
      <c r="AB14" s="948">
        <v>99</v>
      </c>
      <c r="AC14" s="948">
        <v>83</v>
      </c>
      <c r="AD14" s="948">
        <v>89</v>
      </c>
      <c r="AE14" s="948">
        <v>88</v>
      </c>
      <c r="AF14" s="948">
        <v>80</v>
      </c>
      <c r="AG14" s="948">
        <v>89</v>
      </c>
      <c r="AH14" s="948">
        <v>117</v>
      </c>
      <c r="AI14" s="948">
        <v>123</v>
      </c>
      <c r="AJ14" s="948">
        <v>122</v>
      </c>
      <c r="AK14" s="874">
        <v>124</v>
      </c>
      <c r="AL14" s="874">
        <v>132</v>
      </c>
      <c r="AM14" s="1090">
        <v>112</v>
      </c>
      <c r="AN14" s="871">
        <v>101</v>
      </c>
      <c r="AO14" s="1862">
        <v>122</v>
      </c>
      <c r="AP14" s="1090">
        <v>91</v>
      </c>
      <c r="AQ14" s="1090">
        <v>94</v>
      </c>
      <c r="AR14" s="2144"/>
    </row>
    <row r="15" spans="1:61" x14ac:dyDescent="0.3">
      <c r="A15" s="183" t="s">
        <v>28</v>
      </c>
      <c r="B15" s="184" t="s">
        <v>568</v>
      </c>
      <c r="C15" s="191" t="s">
        <v>252</v>
      </c>
      <c r="D15" s="188">
        <v>0.10357569534845344</v>
      </c>
      <c r="E15" s="189">
        <v>9.7851076521047547E-2</v>
      </c>
      <c r="F15" s="189">
        <v>0.10470836582956378</v>
      </c>
      <c r="G15" s="189">
        <v>0.11985001266072082</v>
      </c>
      <c r="H15" s="189">
        <v>0.11006986120613819</v>
      </c>
      <c r="I15" s="189">
        <v>0.11585807105652593</v>
      </c>
      <c r="J15" s="189">
        <v>0.10915386192773553</v>
      </c>
      <c r="K15" s="189">
        <v>0.11852155883037152</v>
      </c>
      <c r="L15" s="189">
        <v>0.11587898985228509</v>
      </c>
      <c r="M15" s="189">
        <v>0.12334881658541039</v>
      </c>
      <c r="N15" s="190">
        <v>0.14051075101595445</v>
      </c>
      <c r="O15" s="190">
        <v>0.14869402985074626</v>
      </c>
      <c r="P15" s="190">
        <v>0.14499999999999999</v>
      </c>
      <c r="Q15" s="951">
        <v>0.13675599072404018</v>
      </c>
      <c r="R15" s="1083">
        <v>0.13628123786093488</v>
      </c>
      <c r="S15" s="951">
        <v>0.12843393460386257</v>
      </c>
      <c r="T15" s="1859">
        <v>0.12682074189162945</v>
      </c>
      <c r="U15" s="1083">
        <v>0.12451970042331488</v>
      </c>
      <c r="V15" s="1083">
        <v>0.13124349635796045</v>
      </c>
      <c r="W15" s="2138">
        <v>0.11033940505831477</v>
      </c>
      <c r="X15" s="790"/>
      <c r="Y15" s="948">
        <v>1623</v>
      </c>
      <c r="Z15" s="948">
        <v>1526</v>
      </c>
      <c r="AA15" s="948">
        <v>1664</v>
      </c>
      <c r="AB15" s="948">
        <v>1861</v>
      </c>
      <c r="AC15" s="948">
        <v>1732</v>
      </c>
      <c r="AD15" s="948">
        <v>1803</v>
      </c>
      <c r="AE15" s="948">
        <v>1685</v>
      </c>
      <c r="AF15" s="948">
        <v>1839</v>
      </c>
      <c r="AG15" s="948">
        <v>1773</v>
      </c>
      <c r="AH15" s="948">
        <v>1987</v>
      </c>
      <c r="AI15" s="948">
        <v>2297</v>
      </c>
      <c r="AJ15" s="948">
        <v>2391</v>
      </c>
      <c r="AK15" s="874">
        <v>2277</v>
      </c>
      <c r="AL15" s="874">
        <v>2123</v>
      </c>
      <c r="AM15" s="1090">
        <v>2105</v>
      </c>
      <c r="AN15" s="871">
        <v>2015</v>
      </c>
      <c r="AO15" s="1862">
        <v>1959</v>
      </c>
      <c r="AP15" s="1090">
        <v>1912</v>
      </c>
      <c r="AQ15" s="1090">
        <v>2018</v>
      </c>
      <c r="AR15" s="2144"/>
    </row>
    <row r="16" spans="1:61" x14ac:dyDescent="0.3">
      <c r="A16" s="183" t="s">
        <v>29</v>
      </c>
      <c r="B16" s="184" t="s">
        <v>310</v>
      </c>
      <c r="C16" s="191" t="s">
        <v>255</v>
      </c>
      <c r="D16" s="188">
        <v>0.14099999999999999</v>
      </c>
      <c r="E16" s="189">
        <v>0.13499999999999998</v>
      </c>
      <c r="F16" s="189">
        <v>0.14399999999999999</v>
      </c>
      <c r="G16" s="189">
        <v>0.16800000000000001</v>
      </c>
      <c r="H16" s="189">
        <v>0.14500000000000002</v>
      </c>
      <c r="I16" s="189">
        <v>0.16899999999999998</v>
      </c>
      <c r="J16" s="189">
        <v>0.16500000000000001</v>
      </c>
      <c r="K16" s="189">
        <v>0.17500000000000002</v>
      </c>
      <c r="L16" s="189">
        <v>0.18000000000000002</v>
      </c>
      <c r="M16" s="189">
        <v>0.17800000000000002</v>
      </c>
      <c r="N16" s="190">
        <v>0.18</v>
      </c>
      <c r="O16" s="190">
        <v>0.187</v>
      </c>
      <c r="P16" s="190">
        <v>0.187</v>
      </c>
      <c r="Q16" s="951">
        <v>0.2017467248908297</v>
      </c>
      <c r="R16" s="1083">
        <v>0.17387304507819687</v>
      </c>
      <c r="S16" s="951">
        <v>0.17784256559766765</v>
      </c>
      <c r="T16" s="1859">
        <v>0.16699029126213591</v>
      </c>
      <c r="U16" s="1083">
        <v>0.17220543806646527</v>
      </c>
      <c r="V16" s="1083">
        <v>0.14952279957582185</v>
      </c>
      <c r="W16" s="2138">
        <v>0.15594329334787349</v>
      </c>
      <c r="X16" s="790"/>
      <c r="Y16" s="948">
        <v>186</v>
      </c>
      <c r="Z16" s="948">
        <v>172</v>
      </c>
      <c r="AA16" s="948">
        <v>184</v>
      </c>
      <c r="AB16" s="948">
        <v>209</v>
      </c>
      <c r="AC16" s="948">
        <v>177</v>
      </c>
      <c r="AD16" s="948">
        <v>204</v>
      </c>
      <c r="AE16" s="948">
        <v>191</v>
      </c>
      <c r="AF16" s="948">
        <v>202</v>
      </c>
      <c r="AG16" s="948">
        <v>204</v>
      </c>
      <c r="AH16" s="948">
        <v>214</v>
      </c>
      <c r="AI16" s="948">
        <v>214</v>
      </c>
      <c r="AJ16" s="948">
        <v>221</v>
      </c>
      <c r="AK16" s="874">
        <v>215</v>
      </c>
      <c r="AL16" s="874">
        <v>231</v>
      </c>
      <c r="AM16" s="1090">
        <v>189</v>
      </c>
      <c r="AN16" s="871">
        <v>183</v>
      </c>
      <c r="AO16" s="1862">
        <v>172</v>
      </c>
      <c r="AP16" s="1090">
        <v>171</v>
      </c>
      <c r="AQ16" s="1090">
        <v>141</v>
      </c>
      <c r="AR16" s="2144"/>
    </row>
    <row r="17" spans="1:44" x14ac:dyDescent="0.3">
      <c r="A17" s="183" t="s">
        <v>31</v>
      </c>
      <c r="B17" s="184" t="s">
        <v>311</v>
      </c>
      <c r="C17" s="191" t="s">
        <v>252</v>
      </c>
      <c r="D17" s="188">
        <v>6.8000000000000005E-2</v>
      </c>
      <c r="E17" s="189">
        <v>6.6000000000000003E-2</v>
      </c>
      <c r="F17" s="189">
        <v>7.2999999999999995E-2</v>
      </c>
      <c r="G17" s="189">
        <v>8.199999999999999E-2</v>
      </c>
      <c r="H17" s="189">
        <v>7.3999999999999996E-2</v>
      </c>
      <c r="I17" s="189">
        <v>7.400000000000001E-2</v>
      </c>
      <c r="J17" s="189">
        <v>6.9000000000000006E-2</v>
      </c>
      <c r="K17" s="189">
        <v>7.3999999999999996E-2</v>
      </c>
      <c r="L17" s="189">
        <v>0.08</v>
      </c>
      <c r="M17" s="189">
        <v>8.5000000000000006E-2</v>
      </c>
      <c r="N17" s="190">
        <v>8.8000000000000009E-2</v>
      </c>
      <c r="O17" s="190">
        <v>0.10099999999999999</v>
      </c>
      <c r="P17" s="190">
        <v>0.10100000000000001</v>
      </c>
      <c r="Q17" s="951">
        <v>0.10003003905076599</v>
      </c>
      <c r="R17" s="1083">
        <v>0.10581039755351682</v>
      </c>
      <c r="S17" s="951">
        <v>9.3436293436293436E-2</v>
      </c>
      <c r="T17" s="1859">
        <v>9.4071146245059287E-2</v>
      </c>
      <c r="U17" s="1083">
        <v>8.2727419615446759E-2</v>
      </c>
      <c r="V17" s="1083">
        <v>8.614536015574302E-2</v>
      </c>
      <c r="W17" s="2138">
        <v>7.866623502751699E-2</v>
      </c>
      <c r="X17" s="790"/>
      <c r="Y17" s="948">
        <v>473</v>
      </c>
      <c r="Z17" s="948">
        <v>453</v>
      </c>
      <c r="AA17" s="948">
        <v>497</v>
      </c>
      <c r="AB17" s="948">
        <v>556</v>
      </c>
      <c r="AC17" s="948">
        <v>501</v>
      </c>
      <c r="AD17" s="948">
        <v>493</v>
      </c>
      <c r="AE17" s="948">
        <v>440</v>
      </c>
      <c r="AF17" s="948">
        <v>476</v>
      </c>
      <c r="AG17" s="948">
        <v>501</v>
      </c>
      <c r="AH17" s="948">
        <v>578</v>
      </c>
      <c r="AI17" s="948">
        <v>646</v>
      </c>
      <c r="AJ17" s="948">
        <v>715</v>
      </c>
      <c r="AK17" s="874">
        <v>700</v>
      </c>
      <c r="AL17" s="874">
        <v>666</v>
      </c>
      <c r="AM17" s="1090">
        <v>692</v>
      </c>
      <c r="AN17" s="871">
        <v>605</v>
      </c>
      <c r="AO17" s="1862">
        <v>595</v>
      </c>
      <c r="AP17" s="1090">
        <v>512</v>
      </c>
      <c r="AQ17" s="1090">
        <v>531</v>
      </c>
      <c r="AR17" s="2144"/>
    </row>
    <row r="18" spans="1:44" x14ac:dyDescent="0.3">
      <c r="A18" s="183" t="s">
        <v>35</v>
      </c>
      <c r="B18" s="184" t="s">
        <v>312</v>
      </c>
      <c r="C18" s="191" t="s">
        <v>251</v>
      </c>
      <c r="D18" s="188">
        <v>0.20200000000000001</v>
      </c>
      <c r="E18" s="189">
        <v>0.18600000000000003</v>
      </c>
      <c r="F18" s="189">
        <v>0.22199999999999998</v>
      </c>
      <c r="G18" s="189">
        <v>0.24199999999999999</v>
      </c>
      <c r="H18" s="189">
        <v>0.217</v>
      </c>
      <c r="I18" s="189">
        <v>0.245</v>
      </c>
      <c r="J18" s="189">
        <v>0.24199999999999999</v>
      </c>
      <c r="K18" s="189">
        <v>0.26300000000000001</v>
      </c>
      <c r="L18" s="189">
        <v>0.248</v>
      </c>
      <c r="M18" s="189">
        <v>0.26300000000000001</v>
      </c>
      <c r="N18" s="190">
        <v>0.26899999999999996</v>
      </c>
      <c r="O18" s="190">
        <v>0.31</v>
      </c>
      <c r="P18" s="190">
        <v>0.30499999999999999</v>
      </c>
      <c r="Q18" s="951">
        <v>0.28860172299536119</v>
      </c>
      <c r="R18" s="1083">
        <v>0.31456378171706639</v>
      </c>
      <c r="S18" s="951">
        <v>0.2921708185053381</v>
      </c>
      <c r="T18" s="1859">
        <v>0.29996346364632809</v>
      </c>
      <c r="U18" s="1083">
        <v>0.30068419157364062</v>
      </c>
      <c r="V18" s="1083">
        <v>0.27044503613541271</v>
      </c>
      <c r="W18" s="2138">
        <v>0.26651393661702938</v>
      </c>
      <c r="X18" s="790"/>
      <c r="Y18" s="948">
        <v>737</v>
      </c>
      <c r="Z18" s="948">
        <v>665</v>
      </c>
      <c r="AA18" s="948">
        <v>787</v>
      </c>
      <c r="AB18" s="948">
        <v>847</v>
      </c>
      <c r="AC18" s="948">
        <v>742</v>
      </c>
      <c r="AD18" s="948">
        <v>828</v>
      </c>
      <c r="AE18" s="948">
        <v>792</v>
      </c>
      <c r="AF18" s="948">
        <v>834</v>
      </c>
      <c r="AG18" s="948">
        <v>761</v>
      </c>
      <c r="AH18" s="948">
        <v>816</v>
      </c>
      <c r="AI18" s="948">
        <v>888</v>
      </c>
      <c r="AJ18" s="948">
        <v>979</v>
      </c>
      <c r="AK18" s="874">
        <v>931</v>
      </c>
      <c r="AL18" s="874">
        <v>871</v>
      </c>
      <c r="AM18" s="1090">
        <v>905</v>
      </c>
      <c r="AN18" s="871">
        <v>821</v>
      </c>
      <c r="AO18" s="1862">
        <v>821</v>
      </c>
      <c r="AP18" s="1090">
        <v>835</v>
      </c>
      <c r="AQ18" s="1090">
        <v>711</v>
      </c>
      <c r="AR18" s="2144"/>
    </row>
    <row r="19" spans="1:44" x14ac:dyDescent="0.3">
      <c r="A19" s="183" t="s">
        <v>37</v>
      </c>
      <c r="B19" s="184" t="s">
        <v>313</v>
      </c>
      <c r="C19" s="191" t="s">
        <v>255</v>
      </c>
      <c r="D19" s="188">
        <v>0.28999999999999998</v>
      </c>
      <c r="E19" s="189">
        <v>0.25600000000000001</v>
      </c>
      <c r="F19" s="189">
        <v>0.29600000000000004</v>
      </c>
      <c r="G19" s="189">
        <v>0.318</v>
      </c>
      <c r="H19" s="189">
        <v>0.28100000000000003</v>
      </c>
      <c r="I19" s="189">
        <v>0.34500000000000003</v>
      </c>
      <c r="J19" s="189">
        <v>0.30899999999999994</v>
      </c>
      <c r="K19" s="189">
        <v>0.3</v>
      </c>
      <c r="L19" s="189">
        <v>0.33100000000000002</v>
      </c>
      <c r="M19" s="189">
        <v>0.34299999999999997</v>
      </c>
      <c r="N19" s="190">
        <v>0.34900000000000003</v>
      </c>
      <c r="O19" s="190">
        <v>0.308</v>
      </c>
      <c r="P19" s="190">
        <v>0.29099999999999998</v>
      </c>
      <c r="Q19" s="951">
        <v>0.32803180914512925</v>
      </c>
      <c r="R19" s="1083">
        <v>0.31325611325611324</v>
      </c>
      <c r="S19" s="951">
        <v>0.33645102624058199</v>
      </c>
      <c r="T19" s="1859">
        <v>0.30667743672590198</v>
      </c>
      <c r="U19" s="1083">
        <v>0.40318524727577537</v>
      </c>
      <c r="V19" s="1083">
        <v>0.32434000580214678</v>
      </c>
      <c r="W19" s="2138">
        <v>0.3126645217899971</v>
      </c>
      <c r="X19" s="790"/>
      <c r="Y19" s="948">
        <v>1507</v>
      </c>
      <c r="Z19" s="948">
        <v>1287</v>
      </c>
      <c r="AA19" s="948">
        <v>1473</v>
      </c>
      <c r="AB19" s="948">
        <v>1531</v>
      </c>
      <c r="AC19" s="948">
        <v>1333</v>
      </c>
      <c r="AD19" s="948">
        <v>1593</v>
      </c>
      <c r="AE19" s="948">
        <v>1402</v>
      </c>
      <c r="AF19" s="948">
        <v>1284</v>
      </c>
      <c r="AG19" s="948">
        <v>1365</v>
      </c>
      <c r="AH19" s="948">
        <v>1464</v>
      </c>
      <c r="AI19" s="948">
        <v>1497</v>
      </c>
      <c r="AJ19" s="948">
        <v>1268</v>
      </c>
      <c r="AK19" s="874">
        <v>1200</v>
      </c>
      <c r="AL19" s="874">
        <v>1320</v>
      </c>
      <c r="AM19" s="1090">
        <v>1217</v>
      </c>
      <c r="AN19" s="871">
        <v>1295</v>
      </c>
      <c r="AO19" s="1862">
        <v>1139</v>
      </c>
      <c r="AP19" s="1090">
        <v>1443</v>
      </c>
      <c r="AQ19" s="1090">
        <v>1118</v>
      </c>
      <c r="AR19" s="2144"/>
    </row>
    <row r="20" spans="1:44" x14ac:dyDescent="0.3">
      <c r="A20" s="183" t="s">
        <v>39</v>
      </c>
      <c r="B20" s="184" t="s">
        <v>314</v>
      </c>
      <c r="C20" s="191" t="s">
        <v>253</v>
      </c>
      <c r="D20" s="188">
        <v>0.20299999999999999</v>
      </c>
      <c r="E20" s="189">
        <v>0.182</v>
      </c>
      <c r="F20" s="189">
        <v>0.19700000000000001</v>
      </c>
      <c r="G20" s="189">
        <v>0.21999999999999997</v>
      </c>
      <c r="H20" s="189">
        <v>0.20600000000000002</v>
      </c>
      <c r="I20" s="189">
        <v>0.24500000000000002</v>
      </c>
      <c r="J20" s="189">
        <v>0.21899999999999997</v>
      </c>
      <c r="K20" s="189">
        <v>0.24199999999999999</v>
      </c>
      <c r="L20" s="189">
        <v>0.248</v>
      </c>
      <c r="M20" s="189">
        <v>0.26300000000000001</v>
      </c>
      <c r="N20" s="190">
        <v>0.252</v>
      </c>
      <c r="O20" s="190">
        <v>0.26300000000000001</v>
      </c>
      <c r="P20" s="190">
        <v>0.28299999999999997</v>
      </c>
      <c r="Q20" s="951">
        <v>0.28427355814686417</v>
      </c>
      <c r="R20" s="1083">
        <v>0.27098014093529788</v>
      </c>
      <c r="S20" s="951">
        <v>0.27459807073954984</v>
      </c>
      <c r="T20" s="1859">
        <v>0.24338282763072949</v>
      </c>
      <c r="U20" s="1083">
        <v>0.22693850267379678</v>
      </c>
      <c r="V20" s="1083">
        <v>0.24889191953631096</v>
      </c>
      <c r="W20" s="2138">
        <v>0.22169651909428861</v>
      </c>
      <c r="X20" s="790"/>
      <c r="Y20" s="948">
        <v>682</v>
      </c>
      <c r="Z20" s="948">
        <v>594</v>
      </c>
      <c r="AA20" s="948">
        <v>641</v>
      </c>
      <c r="AB20" s="948">
        <v>710</v>
      </c>
      <c r="AC20" s="948">
        <v>658</v>
      </c>
      <c r="AD20" s="948">
        <v>771</v>
      </c>
      <c r="AE20" s="948">
        <v>667</v>
      </c>
      <c r="AF20" s="948">
        <v>717</v>
      </c>
      <c r="AG20" s="948">
        <v>713</v>
      </c>
      <c r="AH20" s="948">
        <v>775</v>
      </c>
      <c r="AI20" s="948">
        <v>814</v>
      </c>
      <c r="AJ20" s="948">
        <v>843</v>
      </c>
      <c r="AK20" s="874">
        <v>899</v>
      </c>
      <c r="AL20" s="874">
        <v>902</v>
      </c>
      <c r="AM20" s="1090">
        <v>846</v>
      </c>
      <c r="AN20" s="871">
        <v>854</v>
      </c>
      <c r="AO20" s="1862">
        <v>754</v>
      </c>
      <c r="AP20" s="1090">
        <v>679</v>
      </c>
      <c r="AQ20" s="1090">
        <v>730</v>
      </c>
      <c r="AR20" s="2144"/>
    </row>
    <row r="21" spans="1:44" x14ac:dyDescent="0.3">
      <c r="A21" s="183" t="s">
        <v>41</v>
      </c>
      <c r="B21" s="184" t="s">
        <v>315</v>
      </c>
      <c r="C21" s="191" t="s">
        <v>252</v>
      </c>
      <c r="D21" s="188">
        <v>0.14099999999999999</v>
      </c>
      <c r="E21" s="189">
        <v>0.129</v>
      </c>
      <c r="F21" s="189">
        <v>0.15</v>
      </c>
      <c r="G21" s="189">
        <v>0.16800000000000001</v>
      </c>
      <c r="H21" s="189">
        <v>0.15</v>
      </c>
      <c r="I21" s="189">
        <v>0.154</v>
      </c>
      <c r="J21" s="189">
        <v>0.153</v>
      </c>
      <c r="K21" s="189">
        <v>0.153</v>
      </c>
      <c r="L21" s="189">
        <v>0.16200000000000001</v>
      </c>
      <c r="M21" s="189">
        <v>0.17799999999999999</v>
      </c>
      <c r="N21" s="190">
        <v>0.18600000000000003</v>
      </c>
      <c r="O21" s="190">
        <v>0.23</v>
      </c>
      <c r="P21" s="190">
        <v>0.192</v>
      </c>
      <c r="Q21" s="951">
        <v>0.18702392687516803</v>
      </c>
      <c r="R21" s="1083">
        <v>0.19370194068106922</v>
      </c>
      <c r="S21" s="951">
        <v>0.16260612772240679</v>
      </c>
      <c r="T21" s="1859">
        <v>0.18388775320572384</v>
      </c>
      <c r="U21" s="1083">
        <v>0.15768407335008844</v>
      </c>
      <c r="V21" s="1083">
        <v>0.16566466265865062</v>
      </c>
      <c r="W21" s="2138">
        <v>0.14338902147971361</v>
      </c>
      <c r="X21" s="790"/>
      <c r="Y21" s="948">
        <v>1693</v>
      </c>
      <c r="Z21" s="948">
        <v>1540</v>
      </c>
      <c r="AA21" s="948">
        <v>1797</v>
      </c>
      <c r="AB21" s="948">
        <v>2001</v>
      </c>
      <c r="AC21" s="948">
        <v>1800</v>
      </c>
      <c r="AD21" s="948">
        <v>1823</v>
      </c>
      <c r="AE21" s="948">
        <v>1756</v>
      </c>
      <c r="AF21" s="948">
        <v>1759</v>
      </c>
      <c r="AG21" s="948">
        <v>1816</v>
      </c>
      <c r="AH21" s="948">
        <v>1996</v>
      </c>
      <c r="AI21" s="948">
        <v>2211</v>
      </c>
      <c r="AJ21" s="948">
        <v>2674</v>
      </c>
      <c r="AK21" s="874">
        <v>2199</v>
      </c>
      <c r="AL21" s="874">
        <v>2087</v>
      </c>
      <c r="AM21" s="1090">
        <v>2116</v>
      </c>
      <c r="AN21" s="871">
        <v>1762</v>
      </c>
      <c r="AO21" s="1862">
        <v>1979</v>
      </c>
      <c r="AP21" s="1090">
        <v>1694</v>
      </c>
      <c r="AQ21" s="1090">
        <v>1736</v>
      </c>
      <c r="AR21" s="2144"/>
    </row>
    <row r="22" spans="1:44" x14ac:dyDescent="0.3">
      <c r="A22" s="183" t="s">
        <v>43</v>
      </c>
      <c r="B22" s="184" t="s">
        <v>316</v>
      </c>
      <c r="C22" s="191" t="s">
        <v>253</v>
      </c>
      <c r="D22" s="188">
        <v>0.14099999999999999</v>
      </c>
      <c r="E22" s="189">
        <v>0.13</v>
      </c>
      <c r="F22" s="189">
        <v>0.15</v>
      </c>
      <c r="G22" s="189">
        <v>0.14699999999999999</v>
      </c>
      <c r="H22" s="189">
        <v>0.13300000000000001</v>
      </c>
      <c r="I22" s="189">
        <v>0.14599999999999999</v>
      </c>
      <c r="J22" s="189">
        <v>0.126</v>
      </c>
      <c r="K22" s="189">
        <v>0.13300000000000001</v>
      </c>
      <c r="L22" s="189">
        <v>0.14199999999999999</v>
      </c>
      <c r="M22" s="189">
        <v>0.16500000000000001</v>
      </c>
      <c r="N22" s="190">
        <v>0.16600000000000001</v>
      </c>
      <c r="O22" s="190">
        <v>0.18899999999999997</v>
      </c>
      <c r="P22" s="190">
        <v>0.182</v>
      </c>
      <c r="Q22" s="951">
        <v>0.21008778455586966</v>
      </c>
      <c r="R22" s="1083">
        <v>0.17336829836829837</v>
      </c>
      <c r="S22" s="951">
        <v>0.17193534544414246</v>
      </c>
      <c r="T22" s="1859">
        <v>0.15039768618944324</v>
      </c>
      <c r="U22" s="1083">
        <v>0.15015700827861833</v>
      </c>
      <c r="V22" s="1083">
        <v>0.1521927293710329</v>
      </c>
      <c r="W22" s="2138">
        <v>0.140563421398336</v>
      </c>
      <c r="X22" s="790"/>
      <c r="Y22" s="948">
        <v>750</v>
      </c>
      <c r="Z22" s="948">
        <v>699</v>
      </c>
      <c r="AA22" s="948">
        <v>823</v>
      </c>
      <c r="AB22" s="948">
        <v>827</v>
      </c>
      <c r="AC22" s="948">
        <v>797</v>
      </c>
      <c r="AD22" s="948">
        <v>862</v>
      </c>
      <c r="AE22" s="948">
        <v>753</v>
      </c>
      <c r="AF22" s="948">
        <v>864</v>
      </c>
      <c r="AG22" s="948">
        <v>927</v>
      </c>
      <c r="AH22" s="948">
        <v>1058</v>
      </c>
      <c r="AI22" s="948">
        <v>1116</v>
      </c>
      <c r="AJ22" s="948">
        <v>1252</v>
      </c>
      <c r="AK22" s="874">
        <v>1225</v>
      </c>
      <c r="AL22" s="874">
        <v>1412</v>
      </c>
      <c r="AM22" s="1090">
        <v>1190</v>
      </c>
      <c r="AN22" s="871">
        <v>1202</v>
      </c>
      <c r="AO22" s="1862">
        <v>1040</v>
      </c>
      <c r="AP22" s="1090">
        <v>1052</v>
      </c>
      <c r="AQ22" s="1090">
        <v>1055</v>
      </c>
      <c r="AR22" s="2144"/>
    </row>
    <row r="23" spans="1:44" x14ac:dyDescent="0.3">
      <c r="A23" s="183" t="s">
        <v>45</v>
      </c>
      <c r="B23" s="184" t="s">
        <v>317</v>
      </c>
      <c r="C23" s="191" t="s">
        <v>255</v>
      </c>
      <c r="D23" s="188">
        <v>0.186</v>
      </c>
      <c r="E23" s="189">
        <v>0.18300000000000002</v>
      </c>
      <c r="F23" s="189">
        <v>0.20600000000000002</v>
      </c>
      <c r="G23" s="189">
        <v>0.22600000000000001</v>
      </c>
      <c r="H23" s="189">
        <v>0.18899999999999997</v>
      </c>
      <c r="I23" s="189">
        <v>0.23100000000000004</v>
      </c>
      <c r="J23" s="189">
        <v>0.20500000000000002</v>
      </c>
      <c r="K23" s="189">
        <v>0.20300000000000001</v>
      </c>
      <c r="L23" s="189">
        <v>0.22500000000000001</v>
      </c>
      <c r="M23" s="189">
        <v>0.26100000000000001</v>
      </c>
      <c r="N23" s="190">
        <v>0.249</v>
      </c>
      <c r="O23" s="190">
        <v>0.29399999999999998</v>
      </c>
      <c r="P23" s="190">
        <v>0.26400000000000001</v>
      </c>
      <c r="Q23" s="951">
        <v>0.25639241607236041</v>
      </c>
      <c r="R23" s="1083">
        <v>0.24964336661911554</v>
      </c>
      <c r="S23" s="951">
        <v>0.24252252252252252</v>
      </c>
      <c r="T23" s="1859">
        <v>0.22641853676336435</v>
      </c>
      <c r="U23" s="1083">
        <v>0.22685355957211362</v>
      </c>
      <c r="V23" s="1083">
        <v>0.2304628224582701</v>
      </c>
      <c r="W23" s="2138">
        <v>0.20297125217055759</v>
      </c>
      <c r="X23" s="790"/>
      <c r="Y23" s="948">
        <v>1114</v>
      </c>
      <c r="Z23" s="948">
        <v>1082</v>
      </c>
      <c r="AA23" s="948">
        <v>1233</v>
      </c>
      <c r="AB23" s="948">
        <v>1354</v>
      </c>
      <c r="AC23" s="948">
        <v>1122</v>
      </c>
      <c r="AD23" s="948">
        <v>1357</v>
      </c>
      <c r="AE23" s="948">
        <v>1186</v>
      </c>
      <c r="AF23" s="948">
        <v>1154</v>
      </c>
      <c r="AG23" s="948">
        <v>1262</v>
      </c>
      <c r="AH23" s="948">
        <v>1467</v>
      </c>
      <c r="AI23" s="948">
        <v>1518</v>
      </c>
      <c r="AJ23" s="948">
        <v>1755</v>
      </c>
      <c r="AK23" s="874">
        <v>1541</v>
      </c>
      <c r="AL23" s="874">
        <v>1474</v>
      </c>
      <c r="AM23" s="1090">
        <v>1400</v>
      </c>
      <c r="AN23" s="871">
        <v>1346</v>
      </c>
      <c r="AO23" s="1862">
        <v>1241</v>
      </c>
      <c r="AP23" s="1090">
        <v>1230</v>
      </c>
      <c r="AQ23" s="1090">
        <v>1215</v>
      </c>
      <c r="AR23" s="2144"/>
    </row>
    <row r="24" spans="1:44" x14ac:dyDescent="0.3">
      <c r="A24" s="183" t="s">
        <v>47</v>
      </c>
      <c r="B24" s="184" t="s">
        <v>318</v>
      </c>
      <c r="C24" s="191" t="s">
        <v>253</v>
      </c>
      <c r="D24" s="188">
        <v>0.14100000000000001</v>
      </c>
      <c r="E24" s="189">
        <v>0.126</v>
      </c>
      <c r="F24" s="189">
        <v>0.14699999999999999</v>
      </c>
      <c r="G24" s="189">
        <v>0.15699999999999997</v>
      </c>
      <c r="H24" s="189">
        <v>0.13099999999999998</v>
      </c>
      <c r="I24" s="189">
        <v>0.14900000000000002</v>
      </c>
      <c r="J24" s="189">
        <v>0.152</v>
      </c>
      <c r="K24" s="189">
        <v>0.15000000000000002</v>
      </c>
      <c r="L24" s="189">
        <v>0.16699999999999998</v>
      </c>
      <c r="M24" s="189">
        <v>0.17200000000000001</v>
      </c>
      <c r="N24" s="190">
        <v>0.184</v>
      </c>
      <c r="O24" s="190">
        <v>0.18100000000000002</v>
      </c>
      <c r="P24" s="190">
        <v>0.20100000000000001</v>
      </c>
      <c r="Q24" s="951">
        <v>0.19565217391304349</v>
      </c>
      <c r="R24" s="1083">
        <v>0.19121683440073192</v>
      </c>
      <c r="S24" s="951">
        <v>0.19537037037037036</v>
      </c>
      <c r="T24" s="1859">
        <v>0.19981412639405205</v>
      </c>
      <c r="U24" s="1083">
        <v>0.17537313432835822</v>
      </c>
      <c r="V24" s="1083">
        <v>0.18798449612403101</v>
      </c>
      <c r="W24" s="2138">
        <v>0.18662674650698602</v>
      </c>
      <c r="X24" s="790"/>
      <c r="Y24" s="948">
        <v>207</v>
      </c>
      <c r="Z24" s="948">
        <v>182</v>
      </c>
      <c r="AA24" s="948">
        <v>213</v>
      </c>
      <c r="AB24" s="948">
        <v>223</v>
      </c>
      <c r="AC24" s="948">
        <v>179</v>
      </c>
      <c r="AD24" s="948">
        <v>201</v>
      </c>
      <c r="AE24" s="948">
        <v>204</v>
      </c>
      <c r="AF24" s="948">
        <v>200</v>
      </c>
      <c r="AG24" s="948">
        <v>227</v>
      </c>
      <c r="AH24" s="948">
        <v>225</v>
      </c>
      <c r="AI24" s="948">
        <v>238</v>
      </c>
      <c r="AJ24" s="948">
        <v>223</v>
      </c>
      <c r="AK24" s="874">
        <v>234</v>
      </c>
      <c r="AL24" s="874">
        <v>225</v>
      </c>
      <c r="AM24" s="1090">
        <v>209</v>
      </c>
      <c r="AN24" s="871">
        <v>211</v>
      </c>
      <c r="AO24" s="1862">
        <v>215</v>
      </c>
      <c r="AP24" s="1090">
        <v>188</v>
      </c>
      <c r="AQ24" s="1090">
        <v>194</v>
      </c>
      <c r="AR24" s="2144"/>
    </row>
    <row r="25" spans="1:44" x14ac:dyDescent="0.3">
      <c r="A25" s="183" t="s">
        <v>49</v>
      </c>
      <c r="B25" s="184" t="s">
        <v>319</v>
      </c>
      <c r="C25" s="191" t="s">
        <v>252</v>
      </c>
      <c r="D25" s="188">
        <v>0.21100000000000002</v>
      </c>
      <c r="E25" s="189">
        <v>0.2</v>
      </c>
      <c r="F25" s="189">
        <v>0.22</v>
      </c>
      <c r="G25" s="189">
        <v>0.23799999999999999</v>
      </c>
      <c r="H25" s="189">
        <v>0.20300000000000001</v>
      </c>
      <c r="I25" s="189">
        <v>0.23499999999999999</v>
      </c>
      <c r="J25" s="189">
        <v>0.23500000000000001</v>
      </c>
      <c r="K25" s="189">
        <v>0.26100000000000001</v>
      </c>
      <c r="L25" s="189">
        <v>0.25900000000000001</v>
      </c>
      <c r="M25" s="189">
        <v>0.27199999999999996</v>
      </c>
      <c r="N25" s="190">
        <v>0.28100000000000003</v>
      </c>
      <c r="O25" s="190">
        <v>0.30499999999999999</v>
      </c>
      <c r="P25" s="190">
        <v>0.28399999999999997</v>
      </c>
      <c r="Q25" s="951">
        <v>0.27573253193087904</v>
      </c>
      <c r="R25" s="1083">
        <v>0.30421337456513337</v>
      </c>
      <c r="S25" s="951">
        <v>0.28385826771653544</v>
      </c>
      <c r="T25" s="1859">
        <v>0.29333852746396571</v>
      </c>
      <c r="U25" s="1083">
        <v>0.26158680282796543</v>
      </c>
      <c r="V25" s="1083">
        <v>0.2969647251845775</v>
      </c>
      <c r="W25" s="2138">
        <v>0.2946023897816234</v>
      </c>
      <c r="X25" s="790"/>
      <c r="Y25" s="948">
        <v>618</v>
      </c>
      <c r="Z25" s="948">
        <v>581</v>
      </c>
      <c r="AA25" s="948">
        <v>638</v>
      </c>
      <c r="AB25" s="948">
        <v>682</v>
      </c>
      <c r="AC25" s="948">
        <v>580</v>
      </c>
      <c r="AD25" s="948">
        <v>662</v>
      </c>
      <c r="AE25" s="948">
        <v>646</v>
      </c>
      <c r="AF25" s="948">
        <v>691</v>
      </c>
      <c r="AG25" s="948">
        <v>674</v>
      </c>
      <c r="AH25" s="948">
        <v>724</v>
      </c>
      <c r="AI25" s="948">
        <v>796</v>
      </c>
      <c r="AJ25" s="948">
        <v>830</v>
      </c>
      <c r="AK25" s="874">
        <v>756</v>
      </c>
      <c r="AL25" s="874">
        <v>734</v>
      </c>
      <c r="AM25" s="1090">
        <v>787</v>
      </c>
      <c r="AN25" s="871">
        <v>721</v>
      </c>
      <c r="AO25" s="1862">
        <v>753</v>
      </c>
      <c r="AP25" s="1090">
        <v>666</v>
      </c>
      <c r="AQ25" s="1090">
        <v>724</v>
      </c>
      <c r="AR25" s="2144"/>
    </row>
    <row r="26" spans="1:44" x14ac:dyDescent="0.3">
      <c r="A26" s="183" t="s">
        <v>55</v>
      </c>
      <c r="B26" s="184" t="s">
        <v>486</v>
      </c>
      <c r="C26" s="191" t="s">
        <v>253</v>
      </c>
      <c r="D26" s="188">
        <v>6.6162592847827204E-2</v>
      </c>
      <c r="E26" s="189">
        <v>6.1985132760176691E-2</v>
      </c>
      <c r="F26" s="189">
        <v>7.6745253964520699E-2</v>
      </c>
      <c r="G26" s="189">
        <v>8.9098295969368371E-2</v>
      </c>
      <c r="H26" s="189">
        <v>8.4639475052664961E-2</v>
      </c>
      <c r="I26" s="189">
        <v>8.5835080186892287E-2</v>
      </c>
      <c r="J26" s="189">
        <v>7.5312499027605631E-2</v>
      </c>
      <c r="K26" s="189">
        <v>7.7429640998764648E-2</v>
      </c>
      <c r="L26" s="189">
        <v>8.2993030907240153E-2</v>
      </c>
      <c r="M26" s="189">
        <v>8.8543304157549227E-2</v>
      </c>
      <c r="N26" s="190">
        <v>9.271632452521289E-2</v>
      </c>
      <c r="O26" s="190">
        <v>0.10659729250258962</v>
      </c>
      <c r="P26" s="190">
        <v>0.1</v>
      </c>
      <c r="Q26" s="951">
        <v>0.11103941881444838</v>
      </c>
      <c r="R26" s="1083">
        <v>0.11519602008997644</v>
      </c>
      <c r="S26" s="951">
        <v>9.8614439251227787E-2</v>
      </c>
      <c r="T26" s="1859">
        <v>9.6206785599370778E-2</v>
      </c>
      <c r="U26" s="1083">
        <v>9.090587985965573E-2</v>
      </c>
      <c r="V26" s="1083">
        <v>0.10282437041536233</v>
      </c>
      <c r="W26" s="2138">
        <v>9.4315124575973797E-2</v>
      </c>
      <c r="X26" s="790"/>
      <c r="Y26" s="948">
        <v>5095</v>
      </c>
      <c r="Z26" s="948">
        <v>4754</v>
      </c>
      <c r="AA26" s="948">
        <v>5992</v>
      </c>
      <c r="AB26" s="948">
        <v>6928</v>
      </c>
      <c r="AC26" s="948">
        <v>6652</v>
      </c>
      <c r="AD26" s="948">
        <v>6664</v>
      </c>
      <c r="AE26" s="948">
        <v>5829</v>
      </c>
      <c r="AF26" s="948">
        <v>6162</v>
      </c>
      <c r="AG26" s="948">
        <v>6555</v>
      </c>
      <c r="AH26" s="948">
        <v>7447</v>
      </c>
      <c r="AI26" s="948">
        <v>7901</v>
      </c>
      <c r="AJ26" s="948">
        <v>8953</v>
      </c>
      <c r="AK26" s="874">
        <v>8309</v>
      </c>
      <c r="AL26" s="874">
        <v>9293</v>
      </c>
      <c r="AM26" s="1090">
        <v>9679</v>
      </c>
      <c r="AN26" s="871">
        <v>8313</v>
      </c>
      <c r="AO26" s="1862">
        <v>8073</v>
      </c>
      <c r="AP26" s="1090">
        <v>7721</v>
      </c>
      <c r="AQ26" s="1090">
        <v>8803</v>
      </c>
      <c r="AR26" s="2144"/>
    </row>
    <row r="27" spans="1:44" x14ac:dyDescent="0.3">
      <c r="A27" s="183" t="s">
        <v>57</v>
      </c>
      <c r="B27" s="184" t="s">
        <v>320</v>
      </c>
      <c r="C27" s="191" t="s">
        <v>254</v>
      </c>
      <c r="D27" s="188">
        <v>0.09</v>
      </c>
      <c r="E27" s="189">
        <v>7.4999999999999997E-2</v>
      </c>
      <c r="F27" s="189">
        <v>7.1999999999999995E-2</v>
      </c>
      <c r="G27" s="189">
        <v>8.4000000000000005E-2</v>
      </c>
      <c r="H27" s="189">
        <v>7.2999999999999995E-2</v>
      </c>
      <c r="I27" s="189">
        <v>7.9000000000000001E-2</v>
      </c>
      <c r="J27" s="189">
        <v>7.3000000000000009E-2</v>
      </c>
      <c r="K27" s="189">
        <v>7.3999999999999996E-2</v>
      </c>
      <c r="L27" s="189">
        <v>9.4E-2</v>
      </c>
      <c r="M27" s="189">
        <v>9.4E-2</v>
      </c>
      <c r="N27" s="190">
        <v>0.10099999999999999</v>
      </c>
      <c r="O27" s="190">
        <v>0.10300000000000001</v>
      </c>
      <c r="P27" s="190">
        <v>0.105</v>
      </c>
      <c r="Q27" s="951">
        <v>9.8662207357859535E-2</v>
      </c>
      <c r="R27" s="1083">
        <v>0.10641835716661124</v>
      </c>
      <c r="S27" s="951">
        <v>0.10434197239986537</v>
      </c>
      <c r="T27" s="1859">
        <v>9.1283459162663005E-2</v>
      </c>
      <c r="U27" s="1083">
        <v>8.0600139567341245E-2</v>
      </c>
      <c r="V27" s="1083">
        <v>8.0156750979693617E-2</v>
      </c>
      <c r="W27" s="2138">
        <v>7.5784915193071095E-2</v>
      </c>
      <c r="X27" s="790"/>
      <c r="Y27" s="948">
        <v>264</v>
      </c>
      <c r="Z27" s="948">
        <v>221</v>
      </c>
      <c r="AA27" s="948">
        <v>216</v>
      </c>
      <c r="AB27" s="948">
        <v>250</v>
      </c>
      <c r="AC27" s="948">
        <v>223</v>
      </c>
      <c r="AD27" s="948">
        <v>238</v>
      </c>
      <c r="AE27" s="948">
        <v>217</v>
      </c>
      <c r="AF27" s="948">
        <v>222</v>
      </c>
      <c r="AG27" s="948">
        <v>278</v>
      </c>
      <c r="AH27" s="948">
        <v>286</v>
      </c>
      <c r="AI27" s="948">
        <v>316</v>
      </c>
      <c r="AJ27" s="948">
        <v>318</v>
      </c>
      <c r="AK27" s="874">
        <v>323</v>
      </c>
      <c r="AL27" s="874">
        <v>295</v>
      </c>
      <c r="AM27" s="1090">
        <v>320</v>
      </c>
      <c r="AN27" s="871">
        <v>310</v>
      </c>
      <c r="AO27" s="1862">
        <v>266</v>
      </c>
      <c r="AP27" s="1090">
        <v>231</v>
      </c>
      <c r="AQ27" s="1090">
        <v>225</v>
      </c>
      <c r="AR27" s="2144"/>
    </row>
    <row r="28" spans="1:44" x14ac:dyDescent="0.3">
      <c r="A28" s="183" t="s">
        <v>59</v>
      </c>
      <c r="B28" s="184" t="s">
        <v>321</v>
      </c>
      <c r="C28" s="191" t="s">
        <v>252</v>
      </c>
      <c r="D28" s="188">
        <v>0.127</v>
      </c>
      <c r="E28" s="189">
        <v>0.10900000000000001</v>
      </c>
      <c r="F28" s="189">
        <v>0.11800000000000001</v>
      </c>
      <c r="G28" s="189">
        <v>0.14800000000000002</v>
      </c>
      <c r="H28" s="189">
        <v>0.127</v>
      </c>
      <c r="I28" s="189">
        <v>0.15300000000000002</v>
      </c>
      <c r="J28" s="189">
        <v>0.15</v>
      </c>
      <c r="K28" s="189">
        <v>0.14900000000000002</v>
      </c>
      <c r="L28" s="189">
        <v>0.17100000000000001</v>
      </c>
      <c r="M28" s="189">
        <v>0.185</v>
      </c>
      <c r="N28" s="190">
        <v>0.17899999999999999</v>
      </c>
      <c r="O28" s="190">
        <v>0.19899999999999998</v>
      </c>
      <c r="P28" s="190">
        <v>0.221</v>
      </c>
      <c r="Q28" s="951">
        <v>0.21725888324873097</v>
      </c>
      <c r="R28" s="1083">
        <v>0.21031344792719919</v>
      </c>
      <c r="S28" s="951">
        <v>0.21658031088082902</v>
      </c>
      <c r="T28" s="1859">
        <v>0.22280887011615627</v>
      </c>
      <c r="U28" s="1083">
        <v>0.1925601750547046</v>
      </c>
      <c r="V28" s="1083">
        <v>0.21180555555555555</v>
      </c>
      <c r="W28" s="2138">
        <v>0.19107551487414187</v>
      </c>
      <c r="X28" s="790"/>
      <c r="Y28" s="948">
        <v>146</v>
      </c>
      <c r="Z28" s="948">
        <v>126</v>
      </c>
      <c r="AA28" s="948">
        <v>138</v>
      </c>
      <c r="AB28" s="948">
        <v>170</v>
      </c>
      <c r="AC28" s="948">
        <v>146</v>
      </c>
      <c r="AD28" s="948">
        <v>173</v>
      </c>
      <c r="AE28" s="948">
        <v>162</v>
      </c>
      <c r="AF28" s="948">
        <v>159</v>
      </c>
      <c r="AG28" s="948">
        <v>172</v>
      </c>
      <c r="AH28" s="948">
        <v>183</v>
      </c>
      <c r="AI28" s="948">
        <v>197</v>
      </c>
      <c r="AJ28" s="948">
        <v>214</v>
      </c>
      <c r="AK28" s="874">
        <v>234</v>
      </c>
      <c r="AL28" s="874">
        <v>214</v>
      </c>
      <c r="AM28" s="1090">
        <v>208</v>
      </c>
      <c r="AN28" s="871">
        <v>209</v>
      </c>
      <c r="AO28" s="1862">
        <v>211</v>
      </c>
      <c r="AP28" s="1090">
        <v>176</v>
      </c>
      <c r="AQ28" s="1090">
        <v>183</v>
      </c>
      <c r="AR28" s="2144"/>
    </row>
    <row r="29" spans="1:44" x14ac:dyDescent="0.3">
      <c r="A29" s="183" t="s">
        <v>61</v>
      </c>
      <c r="B29" s="184" t="s">
        <v>322</v>
      </c>
      <c r="C29" s="191" t="s">
        <v>254</v>
      </c>
      <c r="D29" s="188">
        <v>0.122</v>
      </c>
      <c r="E29" s="189">
        <v>0.11</v>
      </c>
      <c r="F29" s="189">
        <v>0.114</v>
      </c>
      <c r="G29" s="189">
        <v>0.121</v>
      </c>
      <c r="H29" s="189">
        <v>0.10400000000000001</v>
      </c>
      <c r="I29" s="189">
        <v>0.111</v>
      </c>
      <c r="J29" s="189">
        <v>0.10100000000000001</v>
      </c>
      <c r="K29" s="189">
        <v>0.10800000000000001</v>
      </c>
      <c r="L29" s="189">
        <v>0.11099999999999999</v>
      </c>
      <c r="M29" s="189">
        <v>0.14000000000000001</v>
      </c>
      <c r="N29" s="190">
        <v>0.14800000000000002</v>
      </c>
      <c r="O29" s="190">
        <v>0.16399999999999998</v>
      </c>
      <c r="P29" s="190">
        <v>0.155</v>
      </c>
      <c r="Q29" s="951">
        <v>0.15169243627246135</v>
      </c>
      <c r="R29" s="1083">
        <v>0.15268304708686006</v>
      </c>
      <c r="S29" s="951">
        <v>0.14883951433055256</v>
      </c>
      <c r="T29" s="1859">
        <v>0.1341513292433538</v>
      </c>
      <c r="U29" s="1083">
        <v>0.13168364099299809</v>
      </c>
      <c r="V29" s="1083">
        <v>0.11310377809660449</v>
      </c>
      <c r="W29" s="2138">
        <v>0.11192617132039753</v>
      </c>
      <c r="X29" s="790"/>
      <c r="Y29" s="948">
        <v>1068</v>
      </c>
      <c r="Z29" s="948">
        <v>979</v>
      </c>
      <c r="AA29" s="948">
        <v>1066</v>
      </c>
      <c r="AB29" s="948">
        <v>1169</v>
      </c>
      <c r="AC29" s="948">
        <v>1059</v>
      </c>
      <c r="AD29" s="948">
        <v>1114</v>
      </c>
      <c r="AE29" s="948">
        <v>1025</v>
      </c>
      <c r="AF29" s="948">
        <v>1194</v>
      </c>
      <c r="AG29" s="948">
        <v>1230</v>
      </c>
      <c r="AH29" s="948">
        <v>1639</v>
      </c>
      <c r="AI29" s="948">
        <v>1746</v>
      </c>
      <c r="AJ29" s="948">
        <v>1926</v>
      </c>
      <c r="AK29" s="874">
        <v>1830</v>
      </c>
      <c r="AL29" s="874">
        <v>1815</v>
      </c>
      <c r="AM29" s="1090">
        <v>1858</v>
      </c>
      <c r="AN29" s="871">
        <v>1802</v>
      </c>
      <c r="AO29" s="1862">
        <v>1640</v>
      </c>
      <c r="AP29" s="1090">
        <v>1655</v>
      </c>
      <c r="AQ29" s="1090">
        <v>1419</v>
      </c>
      <c r="AR29" s="2144"/>
    </row>
    <row r="30" spans="1:44" x14ac:dyDescent="0.3">
      <c r="A30" s="183" t="s">
        <v>63</v>
      </c>
      <c r="B30" s="184" t="s">
        <v>323</v>
      </c>
      <c r="C30" s="191" t="s">
        <v>253</v>
      </c>
      <c r="D30" s="188">
        <v>0.19899999999999995</v>
      </c>
      <c r="E30" s="189">
        <v>0.18500000000000003</v>
      </c>
      <c r="F30" s="189">
        <v>0.20199999999999999</v>
      </c>
      <c r="G30" s="189">
        <v>0.222</v>
      </c>
      <c r="H30" s="189">
        <v>0.19800000000000001</v>
      </c>
      <c r="I30" s="189">
        <v>0.24600000000000002</v>
      </c>
      <c r="J30" s="189">
        <v>0.22399999999999998</v>
      </c>
      <c r="K30" s="189">
        <v>0.217</v>
      </c>
      <c r="L30" s="189">
        <v>0.22899999999999995</v>
      </c>
      <c r="M30" s="189">
        <v>0.24899999999999997</v>
      </c>
      <c r="N30" s="190">
        <v>0.26</v>
      </c>
      <c r="O30" s="190">
        <v>0.27100000000000002</v>
      </c>
      <c r="P30" s="190">
        <v>0.25800000000000001</v>
      </c>
      <c r="Q30" s="951">
        <v>0.27826941986234022</v>
      </c>
      <c r="R30" s="1083">
        <v>0.29348358647721706</v>
      </c>
      <c r="S30" s="951">
        <v>0.30792529025744575</v>
      </c>
      <c r="T30" s="1859">
        <v>0.26354550236717517</v>
      </c>
      <c r="U30" s="1083">
        <v>0.23655352480417755</v>
      </c>
      <c r="V30" s="1083">
        <v>0.2516025641025641</v>
      </c>
      <c r="W30" s="2138">
        <v>0.23351351351351352</v>
      </c>
      <c r="X30" s="790"/>
      <c r="Y30" s="948">
        <v>422</v>
      </c>
      <c r="Z30" s="948">
        <v>395</v>
      </c>
      <c r="AA30" s="948">
        <v>445</v>
      </c>
      <c r="AB30" s="948">
        <v>479</v>
      </c>
      <c r="AC30" s="948">
        <v>434</v>
      </c>
      <c r="AD30" s="948">
        <v>532</v>
      </c>
      <c r="AE30" s="948">
        <v>466</v>
      </c>
      <c r="AF30" s="948">
        <v>473</v>
      </c>
      <c r="AG30" s="948">
        <v>493</v>
      </c>
      <c r="AH30" s="948">
        <v>529</v>
      </c>
      <c r="AI30" s="948">
        <v>588</v>
      </c>
      <c r="AJ30" s="948">
        <v>598</v>
      </c>
      <c r="AK30" s="874">
        <v>550</v>
      </c>
      <c r="AL30" s="874">
        <v>566</v>
      </c>
      <c r="AM30" s="1090">
        <v>599</v>
      </c>
      <c r="AN30" s="871">
        <v>610</v>
      </c>
      <c r="AO30" s="1862">
        <v>501</v>
      </c>
      <c r="AP30" s="1090">
        <v>453</v>
      </c>
      <c r="AQ30" s="1090">
        <v>471</v>
      </c>
      <c r="AR30" s="2144"/>
    </row>
    <row r="31" spans="1:44" x14ac:dyDescent="0.3">
      <c r="A31" s="183" t="s">
        <v>67</v>
      </c>
      <c r="B31" s="184" t="s">
        <v>324</v>
      </c>
      <c r="C31" s="191" t="s">
        <v>255</v>
      </c>
      <c r="D31" s="188">
        <v>0.26</v>
      </c>
      <c r="E31" s="189">
        <v>0.22699999999999998</v>
      </c>
      <c r="F31" s="189">
        <v>0.246</v>
      </c>
      <c r="G31" s="189">
        <v>0.27300000000000002</v>
      </c>
      <c r="H31" s="189">
        <v>0.24199999999999997</v>
      </c>
      <c r="I31" s="189">
        <v>0.3</v>
      </c>
      <c r="J31" s="189">
        <v>0.25600000000000001</v>
      </c>
      <c r="K31" s="189">
        <v>0.27899999999999997</v>
      </c>
      <c r="L31" s="189">
        <v>0.28999999999999998</v>
      </c>
      <c r="M31" s="189">
        <v>0.27</v>
      </c>
      <c r="N31" s="190">
        <v>0.26600000000000001</v>
      </c>
      <c r="O31" s="190">
        <v>0.26899999999999996</v>
      </c>
      <c r="P31" s="190">
        <v>0.26900000000000002</v>
      </c>
      <c r="Q31" s="951">
        <v>0.27476340694006307</v>
      </c>
      <c r="R31" s="1083">
        <v>0.27092016672010261</v>
      </c>
      <c r="S31" s="951">
        <v>0.33029315960912053</v>
      </c>
      <c r="T31" s="1859">
        <v>0.29867030344357315</v>
      </c>
      <c r="U31" s="1083">
        <v>0.30735042735042734</v>
      </c>
      <c r="V31" s="1083">
        <v>0.2874779541446208</v>
      </c>
      <c r="W31" s="2138">
        <v>0.27624909485879795</v>
      </c>
      <c r="X31" s="790"/>
      <c r="Y31" s="948">
        <v>889</v>
      </c>
      <c r="Z31" s="948">
        <v>759</v>
      </c>
      <c r="AA31" s="948">
        <v>816</v>
      </c>
      <c r="AB31" s="948">
        <v>903</v>
      </c>
      <c r="AC31" s="948">
        <v>803</v>
      </c>
      <c r="AD31" s="948">
        <v>982</v>
      </c>
      <c r="AE31" s="948">
        <v>808</v>
      </c>
      <c r="AF31" s="948">
        <v>866</v>
      </c>
      <c r="AG31" s="948">
        <v>901</v>
      </c>
      <c r="AH31" s="948">
        <v>874</v>
      </c>
      <c r="AI31" s="948">
        <v>874</v>
      </c>
      <c r="AJ31" s="948">
        <v>859</v>
      </c>
      <c r="AK31" s="874">
        <v>860</v>
      </c>
      <c r="AL31" s="874">
        <v>871</v>
      </c>
      <c r="AM31" s="1090">
        <v>845</v>
      </c>
      <c r="AN31" s="871">
        <v>1014</v>
      </c>
      <c r="AO31" s="1862">
        <v>876</v>
      </c>
      <c r="AP31" s="1090">
        <v>899</v>
      </c>
      <c r="AQ31" s="1090">
        <v>815</v>
      </c>
      <c r="AR31" s="2144"/>
    </row>
    <row r="32" spans="1:44" x14ac:dyDescent="0.3">
      <c r="A32" s="183" t="s">
        <v>69</v>
      </c>
      <c r="B32" s="184" t="s">
        <v>325</v>
      </c>
      <c r="C32" s="191" t="s">
        <v>251</v>
      </c>
      <c r="D32" s="188">
        <v>0.129</v>
      </c>
      <c r="E32" s="189">
        <v>0.11199999999999999</v>
      </c>
      <c r="F32" s="189">
        <v>0.127</v>
      </c>
      <c r="G32" s="189">
        <v>0.151</v>
      </c>
      <c r="H32" s="189">
        <v>0.13499999999999998</v>
      </c>
      <c r="I32" s="189">
        <v>0.13900000000000001</v>
      </c>
      <c r="J32" s="189">
        <v>0.152</v>
      </c>
      <c r="K32" s="189">
        <v>0.14199999999999999</v>
      </c>
      <c r="L32" s="189">
        <v>0.14900000000000002</v>
      </c>
      <c r="M32" s="189">
        <v>0.151</v>
      </c>
      <c r="N32" s="190">
        <v>0.16600000000000001</v>
      </c>
      <c r="O32" s="190">
        <v>0.18899999999999997</v>
      </c>
      <c r="P32" s="190">
        <v>0.17199999999999999</v>
      </c>
      <c r="Q32" s="951">
        <v>0.20202378838984555</v>
      </c>
      <c r="R32" s="1083">
        <v>0.17710389377355104</v>
      </c>
      <c r="S32" s="951">
        <v>0.17527442864855139</v>
      </c>
      <c r="T32" s="1859">
        <v>0.18381690394665706</v>
      </c>
      <c r="U32" s="1083">
        <v>0.1601576495879613</v>
      </c>
      <c r="V32" s="1083">
        <v>0.17792068595927116</v>
      </c>
      <c r="W32" s="2138">
        <v>0.15084199211752061</v>
      </c>
      <c r="X32" s="790"/>
      <c r="Y32" s="948">
        <v>739</v>
      </c>
      <c r="Z32" s="948">
        <v>635</v>
      </c>
      <c r="AA32" s="948">
        <v>727</v>
      </c>
      <c r="AB32" s="948">
        <v>863</v>
      </c>
      <c r="AC32" s="948">
        <v>763</v>
      </c>
      <c r="AD32" s="948">
        <v>779</v>
      </c>
      <c r="AE32" s="948">
        <v>847</v>
      </c>
      <c r="AF32" s="948">
        <v>805</v>
      </c>
      <c r="AG32" s="948">
        <v>842</v>
      </c>
      <c r="AH32" s="948">
        <v>871</v>
      </c>
      <c r="AI32" s="948">
        <v>1043</v>
      </c>
      <c r="AJ32" s="948">
        <v>1141</v>
      </c>
      <c r="AK32" s="874">
        <v>991</v>
      </c>
      <c r="AL32" s="874">
        <v>1138</v>
      </c>
      <c r="AM32" s="1090">
        <v>987</v>
      </c>
      <c r="AN32" s="871">
        <v>974</v>
      </c>
      <c r="AO32" s="1862">
        <v>1020</v>
      </c>
      <c r="AP32" s="1090">
        <v>894</v>
      </c>
      <c r="AQ32" s="1090">
        <v>996</v>
      </c>
      <c r="AR32" s="2144"/>
    </row>
    <row r="33" spans="1:44" x14ac:dyDescent="0.3">
      <c r="A33" s="183" t="s">
        <v>71</v>
      </c>
      <c r="B33" s="184" t="s">
        <v>326</v>
      </c>
      <c r="C33" s="191" t="s">
        <v>253</v>
      </c>
      <c r="D33" s="188">
        <v>0.18300000000000002</v>
      </c>
      <c r="E33" s="189">
        <v>0.153</v>
      </c>
      <c r="F33" s="189">
        <v>0.188</v>
      </c>
      <c r="G33" s="189">
        <v>0.20599999999999999</v>
      </c>
      <c r="H33" s="189">
        <v>0.17799999999999999</v>
      </c>
      <c r="I33" s="189">
        <v>0.20799999999999999</v>
      </c>
      <c r="J33" s="189">
        <v>0.19299999999999998</v>
      </c>
      <c r="K33" s="189">
        <v>0.18500000000000003</v>
      </c>
      <c r="L33" s="189">
        <v>0.20499999999999999</v>
      </c>
      <c r="M33" s="189">
        <v>0.217</v>
      </c>
      <c r="N33" s="190">
        <v>0.23600000000000002</v>
      </c>
      <c r="O33" s="190">
        <v>0.247</v>
      </c>
      <c r="P33" s="190">
        <v>0.26</v>
      </c>
      <c r="Q33" s="951">
        <v>0.26057906458797325</v>
      </c>
      <c r="R33" s="1083">
        <v>0.24559777571825764</v>
      </c>
      <c r="S33" s="951">
        <v>0.26745283018867927</v>
      </c>
      <c r="T33" s="1859">
        <v>0.23986804901036757</v>
      </c>
      <c r="U33" s="1083">
        <v>0.2339913336543091</v>
      </c>
      <c r="V33" s="1083">
        <v>0.2344546381243629</v>
      </c>
      <c r="W33" s="2138">
        <v>0.26936890713186251</v>
      </c>
      <c r="X33" s="790"/>
      <c r="Y33" s="948">
        <v>412</v>
      </c>
      <c r="Z33" s="948">
        <v>344</v>
      </c>
      <c r="AA33" s="948">
        <v>429</v>
      </c>
      <c r="AB33" s="948">
        <v>475</v>
      </c>
      <c r="AC33" s="948">
        <v>401</v>
      </c>
      <c r="AD33" s="948">
        <v>463</v>
      </c>
      <c r="AE33" s="948">
        <v>431</v>
      </c>
      <c r="AF33" s="948">
        <v>430</v>
      </c>
      <c r="AG33" s="948">
        <v>472</v>
      </c>
      <c r="AH33" s="948">
        <v>511</v>
      </c>
      <c r="AI33" s="948">
        <v>562</v>
      </c>
      <c r="AJ33" s="948">
        <v>581</v>
      </c>
      <c r="AK33" s="874">
        <v>608</v>
      </c>
      <c r="AL33" s="874">
        <v>585</v>
      </c>
      <c r="AM33" s="1090">
        <v>530</v>
      </c>
      <c r="AN33" s="871">
        <v>567</v>
      </c>
      <c r="AO33" s="1862">
        <v>509</v>
      </c>
      <c r="AP33" s="1090">
        <v>486</v>
      </c>
      <c r="AQ33" s="1090">
        <v>460</v>
      </c>
      <c r="AR33" s="2144"/>
    </row>
    <row r="34" spans="1:44" x14ac:dyDescent="0.3">
      <c r="A34" s="183" t="s">
        <v>73</v>
      </c>
      <c r="B34" s="184" t="s">
        <v>405</v>
      </c>
      <c r="C34" s="191" t="s">
        <v>254</v>
      </c>
      <c r="D34" s="188">
        <v>5.6980692580757518E-2</v>
      </c>
      <c r="E34" s="189">
        <v>5.4791857402856935E-2</v>
      </c>
      <c r="F34" s="189">
        <v>6.0754586948858096E-2</v>
      </c>
      <c r="G34" s="189">
        <v>6.8447406952050621E-2</v>
      </c>
      <c r="H34" s="189">
        <v>6.3557765840483643E-2</v>
      </c>
      <c r="I34" s="189">
        <v>6.3590983205997847E-2</v>
      </c>
      <c r="J34" s="189">
        <v>5.775728967223534E-2</v>
      </c>
      <c r="K34" s="189">
        <v>6.1628252698446059E-2</v>
      </c>
      <c r="L34" s="189">
        <v>6.3773625796764905E-2</v>
      </c>
      <c r="M34" s="189">
        <v>6.8738335644825926E-2</v>
      </c>
      <c r="N34" s="190">
        <v>7.2617408043070833E-2</v>
      </c>
      <c r="O34" s="190">
        <v>8.9207187298385601E-2</v>
      </c>
      <c r="P34" s="190">
        <v>7.8E-2</v>
      </c>
      <c r="Q34" s="951">
        <v>7.6301450489454428E-2</v>
      </c>
      <c r="R34" s="1083">
        <v>8.5946163927815303E-2</v>
      </c>
      <c r="S34" s="951">
        <v>7.4455229829706343E-2</v>
      </c>
      <c r="T34" s="1859">
        <v>7.1185987044598845E-2</v>
      </c>
      <c r="U34" s="1083">
        <v>8.5432317518181922E-2</v>
      </c>
      <c r="V34" s="1083">
        <v>7.1389440153249481E-2</v>
      </c>
      <c r="W34" s="2138">
        <v>7.8252185502436081E-2</v>
      </c>
      <c r="X34" s="790"/>
      <c r="Y34" s="948">
        <v>14781</v>
      </c>
      <c r="Z34" s="948">
        <v>14104</v>
      </c>
      <c r="AA34" s="948">
        <v>15917</v>
      </c>
      <c r="AB34" s="948">
        <v>18019</v>
      </c>
      <c r="AC34" s="948">
        <v>16697</v>
      </c>
      <c r="AD34" s="948">
        <v>16645</v>
      </c>
      <c r="AE34" s="948">
        <v>14925</v>
      </c>
      <c r="AF34" s="948">
        <v>15368</v>
      </c>
      <c r="AG34" s="948">
        <v>16089</v>
      </c>
      <c r="AH34" s="948">
        <v>17979</v>
      </c>
      <c r="AI34" s="948">
        <v>19599</v>
      </c>
      <c r="AJ34" s="948">
        <v>24059</v>
      </c>
      <c r="AK34" s="874">
        <v>21279</v>
      </c>
      <c r="AL34" s="874">
        <v>21131</v>
      </c>
      <c r="AM34" s="1090">
        <v>23870</v>
      </c>
      <c r="AN34" s="871">
        <v>20641</v>
      </c>
      <c r="AO34" s="1862">
        <v>19682</v>
      </c>
      <c r="AP34" s="1090">
        <v>23529</v>
      </c>
      <c r="AQ34" s="1090">
        <v>19677</v>
      </c>
      <c r="AR34" s="2144"/>
    </row>
    <row r="35" spans="1:44" x14ac:dyDescent="0.3">
      <c r="A35" s="183" t="s">
        <v>75</v>
      </c>
      <c r="B35" s="184" t="s">
        <v>327</v>
      </c>
      <c r="C35" s="191" t="s">
        <v>254</v>
      </c>
      <c r="D35" s="188">
        <v>6.5000000000000002E-2</v>
      </c>
      <c r="E35" s="189">
        <v>5.4000000000000006E-2</v>
      </c>
      <c r="F35" s="189">
        <v>6.0999999999999999E-2</v>
      </c>
      <c r="G35" s="189">
        <v>6.9999999999999993E-2</v>
      </c>
      <c r="H35" s="189">
        <v>6.4000000000000001E-2</v>
      </c>
      <c r="I35" s="189">
        <v>0.06</v>
      </c>
      <c r="J35" s="189">
        <v>5.9000000000000004E-2</v>
      </c>
      <c r="K35" s="189">
        <v>0.06</v>
      </c>
      <c r="L35" s="189">
        <v>7.2999999999999995E-2</v>
      </c>
      <c r="M35" s="189">
        <v>0.08</v>
      </c>
      <c r="N35" s="190">
        <v>9.0999999999999998E-2</v>
      </c>
      <c r="O35" s="190">
        <v>8.8000000000000009E-2</v>
      </c>
      <c r="P35" s="190">
        <v>8.5999999999999993E-2</v>
      </c>
      <c r="Q35" s="951">
        <v>8.8117573483427136E-2</v>
      </c>
      <c r="R35" s="1083">
        <v>9.4386487829110785E-2</v>
      </c>
      <c r="S35" s="951">
        <v>8.3208955223880596E-2</v>
      </c>
      <c r="T35" s="1859">
        <v>7.1558825378859339E-2</v>
      </c>
      <c r="U35" s="1083">
        <v>6.6291783817557015E-2</v>
      </c>
      <c r="V35" s="1083">
        <v>6.8083795440542202E-2</v>
      </c>
      <c r="W35" s="2138">
        <v>6.9862504645113344E-2</v>
      </c>
      <c r="X35" s="790"/>
      <c r="Y35" s="948">
        <v>975</v>
      </c>
      <c r="Z35" s="948">
        <v>814</v>
      </c>
      <c r="AA35" s="948">
        <v>945</v>
      </c>
      <c r="AB35" s="948">
        <v>1101</v>
      </c>
      <c r="AC35" s="948">
        <v>1017</v>
      </c>
      <c r="AD35" s="948">
        <v>948</v>
      </c>
      <c r="AE35" s="948">
        <v>917</v>
      </c>
      <c r="AF35" s="948">
        <v>966</v>
      </c>
      <c r="AG35" s="948">
        <v>1162</v>
      </c>
      <c r="AH35" s="948">
        <v>1350</v>
      </c>
      <c r="AI35" s="948">
        <v>1480</v>
      </c>
      <c r="AJ35" s="948">
        <v>1421</v>
      </c>
      <c r="AK35" s="874">
        <v>1364</v>
      </c>
      <c r="AL35" s="874">
        <v>1409</v>
      </c>
      <c r="AM35" s="1090">
        <v>1520</v>
      </c>
      <c r="AN35" s="871">
        <v>1338</v>
      </c>
      <c r="AO35" s="1862">
        <v>1138</v>
      </c>
      <c r="AP35" s="1090">
        <v>1061</v>
      </c>
      <c r="AQ35" s="1090">
        <v>1105</v>
      </c>
      <c r="AR35" s="2144"/>
    </row>
    <row r="36" spans="1:44" x14ac:dyDescent="0.3">
      <c r="A36" s="183" t="s">
        <v>77</v>
      </c>
      <c r="B36" s="184" t="s">
        <v>328</v>
      </c>
      <c r="C36" s="191" t="s">
        <v>255</v>
      </c>
      <c r="D36" s="188">
        <v>0.14499999999999999</v>
      </c>
      <c r="E36" s="189">
        <v>0.13</v>
      </c>
      <c r="F36" s="189">
        <v>0.14800000000000002</v>
      </c>
      <c r="G36" s="189">
        <v>0.16</v>
      </c>
      <c r="H36" s="189">
        <v>0.14199999999999999</v>
      </c>
      <c r="I36" s="189">
        <v>0.16</v>
      </c>
      <c r="J36" s="189">
        <v>0.187</v>
      </c>
      <c r="K36" s="189">
        <v>0.16</v>
      </c>
      <c r="L36" s="189">
        <v>0.16699999999999998</v>
      </c>
      <c r="M36" s="189">
        <v>0.192</v>
      </c>
      <c r="N36" s="190">
        <v>0.19600000000000001</v>
      </c>
      <c r="O36" s="190">
        <v>0.20899999999999999</v>
      </c>
      <c r="P36" s="190">
        <v>0.20100000000000001</v>
      </c>
      <c r="Q36" s="951">
        <v>0.21148989898989898</v>
      </c>
      <c r="R36" s="1083">
        <v>0.19955513187162377</v>
      </c>
      <c r="S36" s="951">
        <v>0.18199052132701421</v>
      </c>
      <c r="T36" s="1859">
        <v>0.1722702529618956</v>
      </c>
      <c r="U36" s="1083">
        <v>0.17742966751918157</v>
      </c>
      <c r="V36" s="1083">
        <v>0.18303425774877652</v>
      </c>
      <c r="W36" s="2138">
        <v>0.16455273698264353</v>
      </c>
      <c r="X36" s="790"/>
      <c r="Y36" s="948">
        <v>442</v>
      </c>
      <c r="Z36" s="948">
        <v>397</v>
      </c>
      <c r="AA36" s="948">
        <v>451</v>
      </c>
      <c r="AB36" s="948">
        <v>493</v>
      </c>
      <c r="AC36" s="948">
        <v>443</v>
      </c>
      <c r="AD36" s="948">
        <v>492</v>
      </c>
      <c r="AE36" s="948">
        <v>568</v>
      </c>
      <c r="AF36" s="948">
        <v>487</v>
      </c>
      <c r="AG36" s="948">
        <v>511</v>
      </c>
      <c r="AH36" s="948">
        <v>591</v>
      </c>
      <c r="AI36" s="948">
        <v>650</v>
      </c>
      <c r="AJ36" s="948">
        <v>682</v>
      </c>
      <c r="AK36" s="874">
        <v>643</v>
      </c>
      <c r="AL36" s="874">
        <v>670</v>
      </c>
      <c r="AM36" s="1090">
        <v>628</v>
      </c>
      <c r="AN36" s="871">
        <v>576</v>
      </c>
      <c r="AO36" s="1862">
        <v>538</v>
      </c>
      <c r="AP36" s="1090">
        <v>555</v>
      </c>
      <c r="AQ36" s="1090">
        <v>561</v>
      </c>
      <c r="AR36" s="2144"/>
    </row>
    <row r="37" spans="1:44" x14ac:dyDescent="0.3">
      <c r="A37" s="183" t="s">
        <v>79</v>
      </c>
      <c r="B37" s="184" t="s">
        <v>329</v>
      </c>
      <c r="C37" s="191" t="s">
        <v>253</v>
      </c>
      <c r="D37" s="188">
        <v>0.09</v>
      </c>
      <c r="E37" s="189">
        <v>7.0000000000000007E-2</v>
      </c>
      <c r="F37" s="189">
        <v>7.8E-2</v>
      </c>
      <c r="G37" s="189">
        <v>8.4000000000000005E-2</v>
      </c>
      <c r="H37" s="189">
        <v>7.4999999999999997E-2</v>
      </c>
      <c r="I37" s="189">
        <v>0.109</v>
      </c>
      <c r="J37" s="189">
        <v>7.6999999999999999E-2</v>
      </c>
      <c r="K37" s="189">
        <v>7.9000000000000001E-2</v>
      </c>
      <c r="L37" s="189">
        <v>8.3000000000000004E-2</v>
      </c>
      <c r="M37" s="189">
        <v>9.0999999999999998E-2</v>
      </c>
      <c r="N37" s="190">
        <v>9.1999999999999985E-2</v>
      </c>
      <c r="O37" s="190">
        <v>0.10199999999999999</v>
      </c>
      <c r="P37" s="190">
        <v>0.108</v>
      </c>
      <c r="Q37" s="951">
        <v>0.10471392587261605</v>
      </c>
      <c r="R37" s="1083">
        <v>0.10674465362822153</v>
      </c>
      <c r="S37" s="951">
        <v>0.1036653091447612</v>
      </c>
      <c r="T37" s="1859">
        <v>9.7776940467219298E-2</v>
      </c>
      <c r="U37" s="1083">
        <v>9.0235562310030396E-2</v>
      </c>
      <c r="V37" s="1083">
        <v>9.026173979984603E-2</v>
      </c>
      <c r="W37" s="2138">
        <v>9.3732354601919823E-2</v>
      </c>
      <c r="X37" s="790"/>
      <c r="Y37" s="948">
        <v>438</v>
      </c>
      <c r="Z37" s="948">
        <v>356</v>
      </c>
      <c r="AA37" s="948">
        <v>412</v>
      </c>
      <c r="AB37" s="948">
        <v>465</v>
      </c>
      <c r="AC37" s="948">
        <v>427</v>
      </c>
      <c r="AD37" s="948">
        <v>615</v>
      </c>
      <c r="AE37" s="948">
        <v>435</v>
      </c>
      <c r="AF37" s="948">
        <v>468</v>
      </c>
      <c r="AG37" s="948">
        <v>491</v>
      </c>
      <c r="AH37" s="948">
        <v>525</v>
      </c>
      <c r="AI37" s="948">
        <v>540</v>
      </c>
      <c r="AJ37" s="948">
        <v>589</v>
      </c>
      <c r="AK37" s="874">
        <v>614</v>
      </c>
      <c r="AL37" s="874">
        <v>582</v>
      </c>
      <c r="AM37" s="1090">
        <v>584</v>
      </c>
      <c r="AN37" s="871">
        <v>560</v>
      </c>
      <c r="AO37" s="1862">
        <v>519</v>
      </c>
      <c r="AP37" s="1090">
        <v>475</v>
      </c>
      <c r="AQ37" s="1090">
        <v>469</v>
      </c>
      <c r="AR37" s="2144"/>
    </row>
    <row r="38" spans="1:44" x14ac:dyDescent="0.3">
      <c r="A38" s="183" t="s">
        <v>83</v>
      </c>
      <c r="B38" s="184" t="s">
        <v>84</v>
      </c>
      <c r="C38" s="191" t="s">
        <v>252</v>
      </c>
      <c r="D38" s="188">
        <v>0.14800000000000002</v>
      </c>
      <c r="E38" s="189">
        <v>0.14300000000000002</v>
      </c>
      <c r="F38" s="189">
        <v>0.16999999999999998</v>
      </c>
      <c r="G38" s="189">
        <v>0.18</v>
      </c>
      <c r="H38" s="189">
        <v>0.154</v>
      </c>
      <c r="I38" s="189">
        <v>0.161</v>
      </c>
      <c r="J38" s="189">
        <v>0.159</v>
      </c>
      <c r="K38" s="189">
        <v>0.17300000000000001</v>
      </c>
      <c r="L38" s="189">
        <v>0.18699999999999997</v>
      </c>
      <c r="M38" s="189">
        <v>0.21699999999999997</v>
      </c>
      <c r="N38" s="190">
        <v>0.21600000000000003</v>
      </c>
      <c r="O38" s="190">
        <v>0.217</v>
      </c>
      <c r="P38" s="190">
        <v>0.21</v>
      </c>
      <c r="Q38" s="951">
        <v>0.22638749199963426</v>
      </c>
      <c r="R38" s="1083">
        <v>0.23911452616172704</v>
      </c>
      <c r="S38" s="951">
        <v>0.19117921883760045</v>
      </c>
      <c r="T38" s="1859">
        <v>0.18407960199004975</v>
      </c>
      <c r="U38" s="1083">
        <v>0.18447777881300662</v>
      </c>
      <c r="V38" s="1083">
        <v>0.22952677812411448</v>
      </c>
      <c r="W38" s="2138">
        <v>0.17808618012422361</v>
      </c>
      <c r="X38" s="790"/>
      <c r="Y38" s="948">
        <v>1545</v>
      </c>
      <c r="Z38" s="948">
        <v>1497</v>
      </c>
      <c r="AA38" s="948">
        <v>1809</v>
      </c>
      <c r="AB38" s="948">
        <v>1906</v>
      </c>
      <c r="AC38" s="948">
        <v>1633</v>
      </c>
      <c r="AD38" s="948">
        <v>1690</v>
      </c>
      <c r="AE38" s="948">
        <v>1647</v>
      </c>
      <c r="AF38" s="948">
        <v>1818</v>
      </c>
      <c r="AG38" s="948">
        <v>1945</v>
      </c>
      <c r="AH38" s="948">
        <v>2267</v>
      </c>
      <c r="AI38" s="948">
        <v>2478</v>
      </c>
      <c r="AJ38" s="948">
        <v>2460</v>
      </c>
      <c r="AK38" s="874">
        <v>2332</v>
      </c>
      <c r="AL38" s="874">
        <v>2476</v>
      </c>
      <c r="AM38" s="1090">
        <v>2614</v>
      </c>
      <c r="AN38" s="871">
        <v>2046</v>
      </c>
      <c r="AO38" s="1862">
        <v>1961</v>
      </c>
      <c r="AP38" s="1090">
        <v>1980</v>
      </c>
      <c r="AQ38" s="1090">
        <v>2430</v>
      </c>
      <c r="AR38" s="2144"/>
    </row>
    <row r="39" spans="1:44" x14ac:dyDescent="0.3">
      <c r="A39" s="183" t="s">
        <v>85</v>
      </c>
      <c r="B39" s="184" t="s">
        <v>330</v>
      </c>
      <c r="C39" s="191" t="s">
        <v>254</v>
      </c>
      <c r="D39" s="188">
        <v>8.4000000000000005E-2</v>
      </c>
      <c r="E39" s="189">
        <v>7.4999999999999997E-2</v>
      </c>
      <c r="F39" s="189">
        <v>8.1000000000000003E-2</v>
      </c>
      <c r="G39" s="189">
        <v>9.1999999999999998E-2</v>
      </c>
      <c r="H39" s="189">
        <v>0.08</v>
      </c>
      <c r="I39" s="189">
        <v>7.9000000000000015E-2</v>
      </c>
      <c r="J39" s="189">
        <v>8.3000000000000004E-2</v>
      </c>
      <c r="K39" s="189">
        <v>8.8000000000000009E-2</v>
      </c>
      <c r="L39" s="189">
        <v>9.8000000000000004E-2</v>
      </c>
      <c r="M39" s="189">
        <v>0.11800000000000001</v>
      </c>
      <c r="N39" s="190">
        <v>0.10999999999999999</v>
      </c>
      <c r="O39" s="190">
        <v>0.124</v>
      </c>
      <c r="P39" s="190">
        <v>0.12</v>
      </c>
      <c r="Q39" s="951">
        <v>0.11627662371811727</v>
      </c>
      <c r="R39" s="1083">
        <v>0.11542899097965177</v>
      </c>
      <c r="S39" s="951">
        <v>0.10672890334085068</v>
      </c>
      <c r="T39" s="1859">
        <v>9.9329070133137645E-2</v>
      </c>
      <c r="U39" s="1083">
        <v>8.8426066686936255E-2</v>
      </c>
      <c r="V39" s="1083">
        <v>9.7868507955568895E-2</v>
      </c>
      <c r="W39" s="2138">
        <v>8.9592031792343679E-2</v>
      </c>
      <c r="X39" s="790"/>
      <c r="Y39" s="948">
        <v>1306</v>
      </c>
      <c r="Z39" s="948">
        <v>1168</v>
      </c>
      <c r="AA39" s="948">
        <v>1295</v>
      </c>
      <c r="AB39" s="948">
        <v>1490</v>
      </c>
      <c r="AC39" s="948">
        <v>1347</v>
      </c>
      <c r="AD39" s="948">
        <v>1314</v>
      </c>
      <c r="AE39" s="948">
        <v>1385</v>
      </c>
      <c r="AF39" s="948">
        <v>1559</v>
      </c>
      <c r="AG39" s="948">
        <v>1733</v>
      </c>
      <c r="AH39" s="948">
        <v>2218</v>
      </c>
      <c r="AI39" s="948">
        <v>2140</v>
      </c>
      <c r="AJ39" s="948">
        <v>2396</v>
      </c>
      <c r="AK39" s="874">
        <v>2303</v>
      </c>
      <c r="AL39" s="874">
        <v>2211</v>
      </c>
      <c r="AM39" s="1090">
        <v>2201</v>
      </c>
      <c r="AN39" s="871">
        <v>2035</v>
      </c>
      <c r="AO39" s="1862">
        <v>1895</v>
      </c>
      <c r="AP39" s="1090">
        <v>1745</v>
      </c>
      <c r="AQ39" s="1090">
        <v>1956</v>
      </c>
      <c r="AR39" s="2144"/>
    </row>
    <row r="40" spans="1:44" x14ac:dyDescent="0.3">
      <c r="A40" s="183" t="s">
        <v>91</v>
      </c>
      <c r="B40" s="184" t="s">
        <v>331</v>
      </c>
      <c r="C40" s="191" t="s">
        <v>255</v>
      </c>
      <c r="D40" s="188">
        <v>0.13300000000000001</v>
      </c>
      <c r="E40" s="189">
        <v>0.125</v>
      </c>
      <c r="F40" s="189">
        <v>0.14799999999999999</v>
      </c>
      <c r="G40" s="189">
        <v>0.16499999999999998</v>
      </c>
      <c r="H40" s="189">
        <v>0.14000000000000001</v>
      </c>
      <c r="I40" s="189">
        <v>0.16300000000000001</v>
      </c>
      <c r="J40" s="189">
        <v>0.153</v>
      </c>
      <c r="K40" s="189">
        <v>0.14400000000000002</v>
      </c>
      <c r="L40" s="189">
        <v>0.16699999999999998</v>
      </c>
      <c r="M40" s="189">
        <v>0.18300000000000002</v>
      </c>
      <c r="N40" s="190">
        <v>0.18899999999999997</v>
      </c>
      <c r="O40" s="190">
        <v>0.191</v>
      </c>
      <c r="P40" s="190">
        <v>0.17699999999999999</v>
      </c>
      <c r="Q40" s="951">
        <v>0.17842799770510614</v>
      </c>
      <c r="R40" s="1083">
        <v>0.18221574344023322</v>
      </c>
      <c r="S40" s="951">
        <v>0.17620751341681573</v>
      </c>
      <c r="T40" s="1859">
        <v>0.17701953922426364</v>
      </c>
      <c r="U40" s="1083">
        <v>0.16245277535600117</v>
      </c>
      <c r="V40" s="1083">
        <v>0.17992978349912228</v>
      </c>
      <c r="W40" s="2138">
        <v>0.16541804015582859</v>
      </c>
      <c r="X40" s="790"/>
      <c r="Y40" s="948">
        <v>492</v>
      </c>
      <c r="Z40" s="948">
        <v>455</v>
      </c>
      <c r="AA40" s="948">
        <v>550</v>
      </c>
      <c r="AB40" s="948">
        <v>615</v>
      </c>
      <c r="AC40" s="948">
        <v>525</v>
      </c>
      <c r="AD40" s="948">
        <v>600</v>
      </c>
      <c r="AE40" s="948">
        <v>561</v>
      </c>
      <c r="AF40" s="948">
        <v>524</v>
      </c>
      <c r="AG40" s="948">
        <v>597</v>
      </c>
      <c r="AH40" s="948">
        <v>675</v>
      </c>
      <c r="AI40" s="948">
        <v>696</v>
      </c>
      <c r="AJ40" s="948">
        <v>677</v>
      </c>
      <c r="AK40" s="874">
        <v>613</v>
      </c>
      <c r="AL40" s="874">
        <v>622</v>
      </c>
      <c r="AM40" s="1090">
        <v>625</v>
      </c>
      <c r="AN40" s="871">
        <v>591</v>
      </c>
      <c r="AO40" s="1862">
        <v>607</v>
      </c>
      <c r="AP40" s="1090">
        <v>559</v>
      </c>
      <c r="AQ40" s="1090">
        <v>615</v>
      </c>
      <c r="AR40" s="2144"/>
    </row>
    <row r="41" spans="1:44" x14ac:dyDescent="0.3">
      <c r="A41" s="183" t="s">
        <v>93</v>
      </c>
      <c r="B41" s="184" t="s">
        <v>332</v>
      </c>
      <c r="C41" s="191" t="s">
        <v>251</v>
      </c>
      <c r="D41" s="188">
        <v>0.11900000000000001</v>
      </c>
      <c r="E41" s="189">
        <v>0.10400000000000001</v>
      </c>
      <c r="F41" s="189">
        <v>0.11899999999999999</v>
      </c>
      <c r="G41" s="189">
        <v>0.129</v>
      </c>
      <c r="H41" s="189">
        <v>0.11700000000000001</v>
      </c>
      <c r="I41" s="189">
        <v>0.126</v>
      </c>
      <c r="J41" s="189">
        <v>0.125</v>
      </c>
      <c r="K41" s="189">
        <v>0.12000000000000001</v>
      </c>
      <c r="L41" s="189">
        <v>0.13300000000000001</v>
      </c>
      <c r="M41" s="189">
        <v>0.13499999999999998</v>
      </c>
      <c r="N41" s="190">
        <v>0.14099999999999999</v>
      </c>
      <c r="O41" s="190">
        <v>0.151</v>
      </c>
      <c r="P41" s="190">
        <v>0.151</v>
      </c>
      <c r="Q41" s="951">
        <v>0.16014570966001079</v>
      </c>
      <c r="R41" s="1083">
        <v>0.15231345279486494</v>
      </c>
      <c r="S41" s="951">
        <v>0.14701542588866531</v>
      </c>
      <c r="T41" s="1859">
        <v>0.13656505975560629</v>
      </c>
      <c r="U41" s="1083">
        <v>0.13755754129434064</v>
      </c>
      <c r="V41" s="1083">
        <v>0.1337510215200218</v>
      </c>
      <c r="W41" s="2138">
        <v>0.12935050698821596</v>
      </c>
      <c r="X41" s="790"/>
      <c r="Y41" s="948">
        <v>1069</v>
      </c>
      <c r="Z41" s="948">
        <v>919</v>
      </c>
      <c r="AA41" s="948">
        <v>1073</v>
      </c>
      <c r="AB41" s="948">
        <v>1136</v>
      </c>
      <c r="AC41" s="948">
        <v>1032</v>
      </c>
      <c r="AD41" s="948">
        <v>1093</v>
      </c>
      <c r="AE41" s="948">
        <v>1066</v>
      </c>
      <c r="AF41" s="948">
        <v>1028</v>
      </c>
      <c r="AG41" s="948">
        <v>1118</v>
      </c>
      <c r="AH41" s="948">
        <v>1156</v>
      </c>
      <c r="AI41" s="948">
        <v>1134</v>
      </c>
      <c r="AJ41" s="948">
        <v>1175</v>
      </c>
      <c r="AK41" s="874">
        <v>1154</v>
      </c>
      <c r="AL41" s="874">
        <v>1187</v>
      </c>
      <c r="AM41" s="1090">
        <v>1139</v>
      </c>
      <c r="AN41" s="871">
        <v>1096</v>
      </c>
      <c r="AO41" s="1862">
        <v>1017</v>
      </c>
      <c r="AP41" s="1090">
        <v>1016</v>
      </c>
      <c r="AQ41" s="1090">
        <v>982</v>
      </c>
      <c r="AR41" s="2144"/>
    </row>
    <row r="42" spans="1:44" x14ac:dyDescent="0.3">
      <c r="A42" s="183" t="s">
        <v>95</v>
      </c>
      <c r="B42" s="184" t="s">
        <v>333</v>
      </c>
      <c r="C42" s="191" t="s">
        <v>253</v>
      </c>
      <c r="D42" s="188">
        <v>8.6999999999999994E-2</v>
      </c>
      <c r="E42" s="189">
        <v>6.8000000000000005E-2</v>
      </c>
      <c r="F42" s="189">
        <v>7.8E-2</v>
      </c>
      <c r="G42" s="189">
        <v>9.0999999999999998E-2</v>
      </c>
      <c r="H42" s="189">
        <v>0.08</v>
      </c>
      <c r="I42" s="189">
        <v>7.9000000000000001E-2</v>
      </c>
      <c r="J42" s="189">
        <v>7.4999999999999997E-2</v>
      </c>
      <c r="K42" s="189">
        <v>6.9999999999999993E-2</v>
      </c>
      <c r="L42" s="189">
        <v>7.4999999999999997E-2</v>
      </c>
      <c r="M42" s="189">
        <v>8.8000000000000009E-2</v>
      </c>
      <c r="N42" s="190">
        <v>9.8000000000000004E-2</v>
      </c>
      <c r="O42" s="190">
        <v>0.10400000000000001</v>
      </c>
      <c r="P42" s="190">
        <v>9.2999999999999999E-2</v>
      </c>
      <c r="Q42" s="951">
        <v>9.4548133595284869E-2</v>
      </c>
      <c r="R42" s="1083">
        <v>0.10357403355215171</v>
      </c>
      <c r="S42" s="951">
        <v>9.837278106508876E-2</v>
      </c>
      <c r="T42" s="1859">
        <v>8.5521561069621777E-2</v>
      </c>
      <c r="U42" s="1083">
        <v>7.9013588324106696E-2</v>
      </c>
      <c r="V42" s="1083">
        <v>7.9097446069923139E-2</v>
      </c>
      <c r="W42" s="2138">
        <v>7.1947856605665578E-2</v>
      </c>
      <c r="X42" s="790"/>
      <c r="Y42" s="948">
        <v>304</v>
      </c>
      <c r="Z42" s="948">
        <v>243</v>
      </c>
      <c r="AA42" s="948">
        <v>293</v>
      </c>
      <c r="AB42" s="948">
        <v>349</v>
      </c>
      <c r="AC42" s="948">
        <v>309</v>
      </c>
      <c r="AD42" s="948">
        <v>301</v>
      </c>
      <c r="AE42" s="948">
        <v>291</v>
      </c>
      <c r="AF42" s="948">
        <v>292</v>
      </c>
      <c r="AG42" s="948">
        <v>314</v>
      </c>
      <c r="AH42" s="948">
        <v>361</v>
      </c>
      <c r="AI42" s="948">
        <v>423</v>
      </c>
      <c r="AJ42" s="948">
        <v>437</v>
      </c>
      <c r="AK42" s="874">
        <v>382</v>
      </c>
      <c r="AL42" s="874">
        <v>385</v>
      </c>
      <c r="AM42" s="1090">
        <v>426</v>
      </c>
      <c r="AN42" s="871">
        <v>399</v>
      </c>
      <c r="AO42" s="1862">
        <v>355</v>
      </c>
      <c r="AP42" s="1090">
        <v>314</v>
      </c>
      <c r="AQ42" s="1090">
        <v>319</v>
      </c>
      <c r="AR42" s="2144"/>
    </row>
    <row r="43" spans="1:44" x14ac:dyDescent="0.3">
      <c r="A43" s="183" t="s">
        <v>97</v>
      </c>
      <c r="B43" s="184" t="s">
        <v>334</v>
      </c>
      <c r="C43" s="191" t="s">
        <v>255</v>
      </c>
      <c r="D43" s="188">
        <v>0.19900000000000001</v>
      </c>
      <c r="E43" s="189">
        <v>0.19</v>
      </c>
      <c r="F43" s="189">
        <v>0.217</v>
      </c>
      <c r="G43" s="189">
        <v>0.24100000000000002</v>
      </c>
      <c r="H43" s="189">
        <v>0.20699999999999999</v>
      </c>
      <c r="I43" s="189">
        <v>0.255</v>
      </c>
      <c r="J43" s="189">
        <v>0.23299999999999998</v>
      </c>
      <c r="K43" s="189">
        <v>0.23199999999999998</v>
      </c>
      <c r="L43" s="189">
        <v>0.25700000000000001</v>
      </c>
      <c r="M43" s="189">
        <v>0.25600000000000001</v>
      </c>
      <c r="N43" s="190">
        <v>0.27400000000000002</v>
      </c>
      <c r="O43" s="190">
        <v>0.28999999999999998</v>
      </c>
      <c r="P43" s="190">
        <v>0.27</v>
      </c>
      <c r="Q43" s="951">
        <v>0.29069767441860467</v>
      </c>
      <c r="R43" s="1083">
        <v>0.29037092544023979</v>
      </c>
      <c r="S43" s="951">
        <v>0.29437545653761871</v>
      </c>
      <c r="T43" s="1859">
        <v>0.25854383358098071</v>
      </c>
      <c r="U43" s="1083">
        <v>0.26551724137931032</v>
      </c>
      <c r="V43" s="1083">
        <v>0.27463965718737826</v>
      </c>
      <c r="W43" s="2138">
        <v>0.25527678215850258</v>
      </c>
      <c r="X43" s="790"/>
      <c r="Y43" s="948">
        <v>672</v>
      </c>
      <c r="Z43" s="948">
        <v>629</v>
      </c>
      <c r="AA43" s="948">
        <v>718</v>
      </c>
      <c r="AB43" s="948">
        <v>794</v>
      </c>
      <c r="AC43" s="948">
        <v>668</v>
      </c>
      <c r="AD43" s="948">
        <v>812</v>
      </c>
      <c r="AE43" s="948">
        <v>716</v>
      </c>
      <c r="AF43" s="948">
        <v>694</v>
      </c>
      <c r="AG43" s="948">
        <v>752</v>
      </c>
      <c r="AH43" s="948">
        <v>739</v>
      </c>
      <c r="AI43" s="948">
        <v>796</v>
      </c>
      <c r="AJ43" s="948">
        <v>816</v>
      </c>
      <c r="AK43" s="874">
        <v>735</v>
      </c>
      <c r="AL43" s="874">
        <v>775</v>
      </c>
      <c r="AM43" s="1090">
        <v>775</v>
      </c>
      <c r="AN43" s="871">
        <v>806</v>
      </c>
      <c r="AO43" s="1862">
        <v>696</v>
      </c>
      <c r="AP43" s="1090">
        <v>693</v>
      </c>
      <c r="AQ43" s="1090">
        <v>705</v>
      </c>
      <c r="AR43" s="2144"/>
    </row>
    <row r="44" spans="1:44" x14ac:dyDescent="0.3">
      <c r="A44" s="183" t="s">
        <v>99</v>
      </c>
      <c r="B44" s="184" t="s">
        <v>335</v>
      </c>
      <c r="C44" s="191" t="s">
        <v>254</v>
      </c>
      <c r="D44" s="188">
        <v>9.5999999999999988E-2</v>
      </c>
      <c r="E44" s="189">
        <v>8.7000000000000008E-2</v>
      </c>
      <c r="F44" s="189">
        <v>9.9000000000000005E-2</v>
      </c>
      <c r="G44" s="189">
        <v>0.10900000000000001</v>
      </c>
      <c r="H44" s="189">
        <v>0.10099999999999999</v>
      </c>
      <c r="I44" s="189">
        <v>0.11099999999999999</v>
      </c>
      <c r="J44" s="189">
        <v>0.10300000000000001</v>
      </c>
      <c r="K44" s="189">
        <v>0.10100000000000001</v>
      </c>
      <c r="L44" s="189">
        <v>0.109</v>
      </c>
      <c r="M44" s="189">
        <v>0.12099999999999998</v>
      </c>
      <c r="N44" s="190">
        <v>0.13300000000000001</v>
      </c>
      <c r="O44" s="190">
        <v>0.13900000000000001</v>
      </c>
      <c r="P44" s="190">
        <v>0.13600000000000001</v>
      </c>
      <c r="Q44" s="951">
        <v>0.1660746003552398</v>
      </c>
      <c r="R44" s="1083">
        <v>0.13803680981595093</v>
      </c>
      <c r="S44" s="951">
        <v>0.13877281724213766</v>
      </c>
      <c r="T44" s="1859">
        <v>0.12766884531590414</v>
      </c>
      <c r="U44" s="1083">
        <v>0.12290027641930683</v>
      </c>
      <c r="V44" s="1083">
        <v>0.1224271012006861</v>
      </c>
      <c r="W44" s="2138">
        <v>0.11067961165048544</v>
      </c>
      <c r="X44" s="790"/>
      <c r="Y44" s="948">
        <v>409</v>
      </c>
      <c r="Z44" s="948">
        <v>383</v>
      </c>
      <c r="AA44" s="948">
        <v>454</v>
      </c>
      <c r="AB44" s="948">
        <v>505</v>
      </c>
      <c r="AC44" s="948">
        <v>475</v>
      </c>
      <c r="AD44" s="948">
        <v>518</v>
      </c>
      <c r="AE44" s="948">
        <v>476</v>
      </c>
      <c r="AF44" s="948">
        <v>473</v>
      </c>
      <c r="AG44" s="948">
        <v>507</v>
      </c>
      <c r="AH44" s="948">
        <v>559</v>
      </c>
      <c r="AI44" s="948">
        <v>607</v>
      </c>
      <c r="AJ44" s="948">
        <v>639</v>
      </c>
      <c r="AK44" s="874">
        <v>616</v>
      </c>
      <c r="AL44" s="874">
        <v>748</v>
      </c>
      <c r="AM44" s="1090">
        <v>630</v>
      </c>
      <c r="AN44" s="871">
        <v>631</v>
      </c>
      <c r="AO44" s="1862">
        <v>586</v>
      </c>
      <c r="AP44" s="1090">
        <v>578</v>
      </c>
      <c r="AQ44" s="1090">
        <v>571</v>
      </c>
      <c r="AR44" s="2144"/>
    </row>
    <row r="45" spans="1:44" x14ac:dyDescent="0.3">
      <c r="A45" s="183" t="s">
        <v>101</v>
      </c>
      <c r="B45" s="184" t="s">
        <v>487</v>
      </c>
      <c r="C45" s="191" t="s">
        <v>251</v>
      </c>
      <c r="D45" s="188">
        <v>0.20724231754161332</v>
      </c>
      <c r="E45" s="189">
        <v>0.19890120481927712</v>
      </c>
      <c r="F45" s="189">
        <v>0.20426443081771778</v>
      </c>
      <c r="G45" s="189">
        <v>0.21502171135061685</v>
      </c>
      <c r="H45" s="189">
        <v>0.19648156474820144</v>
      </c>
      <c r="I45" s="189">
        <v>0.23248045054375974</v>
      </c>
      <c r="J45" s="189">
        <v>0.23066181801881558</v>
      </c>
      <c r="K45" s="189">
        <v>0.22627145085803432</v>
      </c>
      <c r="L45" s="189">
        <v>0.25454693004130152</v>
      </c>
      <c r="M45" s="189">
        <v>0.27317842460121688</v>
      </c>
      <c r="N45" s="190">
        <v>0.28265350547965773</v>
      </c>
      <c r="O45" s="190">
        <v>0.29271916790490343</v>
      </c>
      <c r="P45" s="190">
        <v>0.29899999999999999</v>
      </c>
      <c r="Q45" s="951">
        <v>0.33878292461398729</v>
      </c>
      <c r="R45" s="1083">
        <v>0.3291526460691343</v>
      </c>
      <c r="S45" s="951">
        <v>0.32730109204368174</v>
      </c>
      <c r="T45" s="1859">
        <v>0.31385696040868455</v>
      </c>
      <c r="U45" s="1083">
        <v>0.29821769573520052</v>
      </c>
      <c r="V45" s="1083">
        <v>0.30789648307896483</v>
      </c>
      <c r="W45" s="2138">
        <v>0.29251477347340776</v>
      </c>
      <c r="X45" s="790"/>
      <c r="Y45" s="948">
        <v>705</v>
      </c>
      <c r="Z45" s="948">
        <v>670</v>
      </c>
      <c r="AA45" s="948">
        <v>695</v>
      </c>
      <c r="AB45" s="948">
        <v>731</v>
      </c>
      <c r="AC45" s="948">
        <v>660</v>
      </c>
      <c r="AD45" s="948">
        <v>773</v>
      </c>
      <c r="AE45" s="948">
        <v>752</v>
      </c>
      <c r="AF45" s="948">
        <v>740</v>
      </c>
      <c r="AG45" s="948">
        <v>830</v>
      </c>
      <c r="AH45" s="948">
        <v>938</v>
      </c>
      <c r="AI45" s="948">
        <v>973</v>
      </c>
      <c r="AJ45" s="948">
        <v>985</v>
      </c>
      <c r="AK45" s="874">
        <v>992</v>
      </c>
      <c r="AL45" s="874">
        <v>1119</v>
      </c>
      <c r="AM45" s="1090">
        <v>1076</v>
      </c>
      <c r="AN45" s="871">
        <v>1049</v>
      </c>
      <c r="AO45" s="1862">
        <v>983</v>
      </c>
      <c r="AP45" s="1090">
        <v>937</v>
      </c>
      <c r="AQ45" s="1090">
        <v>928</v>
      </c>
      <c r="AR45" s="2144"/>
    </row>
    <row r="46" spans="1:44" x14ac:dyDescent="0.3">
      <c r="A46" s="183" t="s">
        <v>103</v>
      </c>
      <c r="B46" s="184" t="s">
        <v>488</v>
      </c>
      <c r="C46" s="191" t="s">
        <v>252</v>
      </c>
      <c r="D46" s="188">
        <v>0.19500000000000001</v>
      </c>
      <c r="E46" s="189">
        <v>0.191</v>
      </c>
      <c r="F46" s="189">
        <v>0.22399999999999998</v>
      </c>
      <c r="G46" s="189">
        <v>0.24000000000000002</v>
      </c>
      <c r="H46" s="189">
        <v>0.21000000000000002</v>
      </c>
      <c r="I46" s="189">
        <v>0.21100000000000002</v>
      </c>
      <c r="J46" s="189">
        <v>0.24299999999999999</v>
      </c>
      <c r="K46" s="189">
        <v>0.22100000000000003</v>
      </c>
      <c r="L46" s="189">
        <v>0.23399999999999999</v>
      </c>
      <c r="M46" s="189">
        <v>0.27800000000000002</v>
      </c>
      <c r="N46" s="190">
        <v>0.28299999999999997</v>
      </c>
      <c r="O46" s="190">
        <v>0.26200000000000001</v>
      </c>
      <c r="P46" s="190">
        <v>0.28699999999999998</v>
      </c>
      <c r="Q46" s="951">
        <v>0.28868518265152554</v>
      </c>
      <c r="R46" s="1083">
        <v>0.25322245322245324</v>
      </c>
      <c r="S46" s="951">
        <v>0.25613154960981049</v>
      </c>
      <c r="T46" s="1859">
        <v>0.25817872822546384</v>
      </c>
      <c r="U46" s="1083">
        <v>0.24407212835439443</v>
      </c>
      <c r="V46" s="1083">
        <v>0.22354322618523412</v>
      </c>
      <c r="W46" s="2138">
        <v>0.23623102113724323</v>
      </c>
      <c r="X46" s="790"/>
      <c r="Y46" s="948">
        <v>1650</v>
      </c>
      <c r="Z46" s="948">
        <v>1584</v>
      </c>
      <c r="AA46" s="948">
        <v>1864</v>
      </c>
      <c r="AB46" s="948">
        <v>1972</v>
      </c>
      <c r="AC46" s="948">
        <v>1734</v>
      </c>
      <c r="AD46" s="948">
        <v>1721</v>
      </c>
      <c r="AE46" s="948">
        <v>1915</v>
      </c>
      <c r="AF46" s="948">
        <v>1706</v>
      </c>
      <c r="AG46" s="948">
        <v>1764</v>
      </c>
      <c r="AH46" s="948">
        <v>2128</v>
      </c>
      <c r="AI46" s="948">
        <v>2225</v>
      </c>
      <c r="AJ46" s="948">
        <v>2028</v>
      </c>
      <c r="AK46" s="874">
        <v>2170</v>
      </c>
      <c r="AL46" s="874">
        <v>2110</v>
      </c>
      <c r="AM46" s="1090">
        <v>1827</v>
      </c>
      <c r="AN46" s="871">
        <v>1838</v>
      </c>
      <c r="AO46" s="1862">
        <v>1823</v>
      </c>
      <c r="AP46" s="1090">
        <v>1719</v>
      </c>
      <c r="AQ46" s="1090">
        <v>1523</v>
      </c>
      <c r="AR46" s="2144"/>
    </row>
    <row r="47" spans="1:44" x14ac:dyDescent="0.3">
      <c r="A47" s="183" t="s">
        <v>107</v>
      </c>
      <c r="B47" s="184" t="s">
        <v>336</v>
      </c>
      <c r="C47" s="191" t="s">
        <v>253</v>
      </c>
      <c r="D47" s="188">
        <v>4.5999999999999999E-2</v>
      </c>
      <c r="E47" s="189">
        <v>0.04</v>
      </c>
      <c r="F47" s="189">
        <v>0.05</v>
      </c>
      <c r="G47" s="189">
        <v>5.9000000000000004E-2</v>
      </c>
      <c r="H47" s="189">
        <v>5.5999999999999994E-2</v>
      </c>
      <c r="I47" s="189">
        <v>5.5000000000000007E-2</v>
      </c>
      <c r="J47" s="189">
        <v>5.0999999999999997E-2</v>
      </c>
      <c r="K47" s="189">
        <v>5.5999999999999994E-2</v>
      </c>
      <c r="L47" s="189">
        <v>5.5E-2</v>
      </c>
      <c r="M47" s="189">
        <v>6.0999999999999992E-2</v>
      </c>
      <c r="N47" s="190">
        <v>6.4000000000000001E-2</v>
      </c>
      <c r="O47" s="190">
        <v>7.2999999999999995E-2</v>
      </c>
      <c r="P47" s="190">
        <v>7.4999999999999997E-2</v>
      </c>
      <c r="Q47" s="951">
        <v>6.7997075394606685E-2</v>
      </c>
      <c r="R47" s="1083">
        <v>7.851149850019562E-2</v>
      </c>
      <c r="S47" s="951">
        <v>7.1185405027932955E-2</v>
      </c>
      <c r="T47" s="1859">
        <v>6.5137934035331996E-2</v>
      </c>
      <c r="U47" s="1083">
        <v>5.9337272026714613E-2</v>
      </c>
      <c r="V47" s="1083">
        <v>6.1728395061728392E-2</v>
      </c>
      <c r="W47" s="2138">
        <v>5.7780667533593413E-2</v>
      </c>
      <c r="X47" s="790"/>
      <c r="Y47" s="948">
        <v>1074</v>
      </c>
      <c r="Z47" s="948">
        <v>943</v>
      </c>
      <c r="AA47" s="948">
        <v>1198</v>
      </c>
      <c r="AB47" s="948">
        <v>1391</v>
      </c>
      <c r="AC47" s="948">
        <v>1329</v>
      </c>
      <c r="AD47" s="948">
        <v>1286</v>
      </c>
      <c r="AE47" s="948">
        <v>1196</v>
      </c>
      <c r="AF47" s="948">
        <v>1308</v>
      </c>
      <c r="AG47" s="948">
        <v>1274</v>
      </c>
      <c r="AH47" s="948">
        <v>1494</v>
      </c>
      <c r="AI47" s="948">
        <v>1582</v>
      </c>
      <c r="AJ47" s="948">
        <v>1764</v>
      </c>
      <c r="AK47" s="874">
        <v>1746</v>
      </c>
      <c r="AL47" s="874">
        <v>1581</v>
      </c>
      <c r="AM47" s="1090">
        <v>1806</v>
      </c>
      <c r="AN47" s="871">
        <v>1631</v>
      </c>
      <c r="AO47" s="1862">
        <v>1497</v>
      </c>
      <c r="AP47" s="1090">
        <v>1386</v>
      </c>
      <c r="AQ47" s="1090">
        <v>1440</v>
      </c>
      <c r="AR47" s="2144"/>
    </row>
    <row r="48" spans="1:44" x14ac:dyDescent="0.3">
      <c r="A48" s="183" t="s">
        <v>109</v>
      </c>
      <c r="B48" s="184" t="s">
        <v>337</v>
      </c>
      <c r="C48" s="191" t="s">
        <v>253</v>
      </c>
      <c r="D48" s="188">
        <v>8.5000000000000006E-2</v>
      </c>
      <c r="E48" s="189">
        <v>0.08</v>
      </c>
      <c r="F48" s="189">
        <v>9.0999999999999998E-2</v>
      </c>
      <c r="G48" s="189">
        <v>0.10400000000000001</v>
      </c>
      <c r="H48" s="189">
        <v>9.5999999999999988E-2</v>
      </c>
      <c r="I48" s="189">
        <v>0.10299999999999999</v>
      </c>
      <c r="J48" s="189">
        <v>0.10200000000000001</v>
      </c>
      <c r="K48" s="189">
        <v>0.11800000000000001</v>
      </c>
      <c r="L48" s="189">
        <v>0.115</v>
      </c>
      <c r="M48" s="189">
        <v>0.12699999999999997</v>
      </c>
      <c r="N48" s="190">
        <v>0.13400000000000001</v>
      </c>
      <c r="O48" s="190">
        <v>0.14899999999999999</v>
      </c>
      <c r="P48" s="190">
        <v>0.13600000000000001</v>
      </c>
      <c r="Q48" s="951">
        <v>0.14602973657275226</v>
      </c>
      <c r="R48" s="1083">
        <v>0.17245258759241403</v>
      </c>
      <c r="S48" s="951">
        <v>0.13011650823870111</v>
      </c>
      <c r="T48" s="1859">
        <v>0.118393036491463</v>
      </c>
      <c r="U48" s="1083">
        <v>0.13908488635139502</v>
      </c>
      <c r="V48" s="1083">
        <v>0.1261434433492836</v>
      </c>
      <c r="W48" s="2138">
        <v>0.12896651712441187</v>
      </c>
      <c r="X48" s="790"/>
      <c r="Y48" s="948">
        <v>5536</v>
      </c>
      <c r="Z48" s="948">
        <v>5204</v>
      </c>
      <c r="AA48" s="948">
        <v>6080</v>
      </c>
      <c r="AB48" s="948">
        <v>7045</v>
      </c>
      <c r="AC48" s="948">
        <v>6637</v>
      </c>
      <c r="AD48" s="948">
        <v>7048</v>
      </c>
      <c r="AE48" s="948">
        <v>6972</v>
      </c>
      <c r="AF48" s="948">
        <v>8246</v>
      </c>
      <c r="AG48" s="948">
        <v>8042</v>
      </c>
      <c r="AH48" s="948">
        <v>8813</v>
      </c>
      <c r="AI48" s="948">
        <v>9849</v>
      </c>
      <c r="AJ48" s="948">
        <v>10914</v>
      </c>
      <c r="AK48" s="874">
        <v>10016</v>
      </c>
      <c r="AL48" s="874">
        <v>10843</v>
      </c>
      <c r="AM48" s="1090">
        <v>12876</v>
      </c>
      <c r="AN48" s="871">
        <v>9705</v>
      </c>
      <c r="AO48" s="1862">
        <v>8841</v>
      </c>
      <c r="AP48" s="1090">
        <v>10329</v>
      </c>
      <c r="AQ48" s="1090">
        <v>9253</v>
      </c>
      <c r="AR48" s="2144"/>
    </row>
    <row r="49" spans="1:44" x14ac:dyDescent="0.3">
      <c r="A49" s="183" t="s">
        <v>111</v>
      </c>
      <c r="B49" s="184" t="s">
        <v>489</v>
      </c>
      <c r="C49" s="191" t="s">
        <v>252</v>
      </c>
      <c r="D49" s="188">
        <v>0.18630603454114458</v>
      </c>
      <c r="E49" s="189">
        <v>0.18404195178590124</v>
      </c>
      <c r="F49" s="189">
        <v>0.20421486172728284</v>
      </c>
      <c r="G49" s="189">
        <v>0.22610694318889932</v>
      </c>
      <c r="H49" s="189">
        <v>0.20544691510861401</v>
      </c>
      <c r="I49" s="189">
        <v>0.23930468656616982</v>
      </c>
      <c r="J49" s="189">
        <v>0.23114323370386328</v>
      </c>
      <c r="K49" s="189">
        <v>0.27677925198745235</v>
      </c>
      <c r="L49" s="189">
        <v>0.26291531358477926</v>
      </c>
      <c r="M49" s="189">
        <v>0.29257510477431536</v>
      </c>
      <c r="N49" s="190">
        <v>0.29068673718230797</v>
      </c>
      <c r="O49" s="190">
        <v>0.34396022228721856</v>
      </c>
      <c r="P49" s="190">
        <v>0.30599999999999999</v>
      </c>
      <c r="Q49" s="951">
        <v>0.31474459067588667</v>
      </c>
      <c r="R49" s="1083">
        <v>0.32255892255892255</v>
      </c>
      <c r="S49" s="951">
        <v>0.32013201320132012</v>
      </c>
      <c r="T49" s="1859">
        <v>0.29813098313326242</v>
      </c>
      <c r="U49" s="1083">
        <v>0.2720661410089566</v>
      </c>
      <c r="V49" s="1083">
        <v>0.29400821641733199</v>
      </c>
      <c r="W49" s="2138">
        <v>0.25019737880941101</v>
      </c>
      <c r="X49" s="790"/>
      <c r="Y49" s="948">
        <v>2979</v>
      </c>
      <c r="Z49" s="948">
        <v>2892</v>
      </c>
      <c r="AA49" s="948">
        <v>3231</v>
      </c>
      <c r="AB49" s="948">
        <v>3497</v>
      </c>
      <c r="AC49" s="948">
        <v>3140</v>
      </c>
      <c r="AD49" s="948">
        <v>3600</v>
      </c>
      <c r="AE49" s="948">
        <v>3363</v>
      </c>
      <c r="AF49" s="948">
        <v>3904</v>
      </c>
      <c r="AG49" s="948">
        <v>3649</v>
      </c>
      <c r="AH49" s="948">
        <v>4171</v>
      </c>
      <c r="AI49" s="948">
        <v>4023</v>
      </c>
      <c r="AJ49" s="948">
        <v>4704</v>
      </c>
      <c r="AK49" s="874">
        <v>4158</v>
      </c>
      <c r="AL49" s="874">
        <v>4233</v>
      </c>
      <c r="AM49" s="1090">
        <v>4311</v>
      </c>
      <c r="AN49" s="871">
        <v>4268</v>
      </c>
      <c r="AO49" s="1862">
        <v>3924</v>
      </c>
      <c r="AP49" s="1090">
        <v>3554</v>
      </c>
      <c r="AQ49" s="1090">
        <v>3793</v>
      </c>
      <c r="AR49" s="2144"/>
    </row>
    <row r="50" spans="1:44" x14ac:dyDescent="0.3">
      <c r="A50" s="183" t="s">
        <v>113</v>
      </c>
      <c r="B50" s="184" t="s">
        <v>338</v>
      </c>
      <c r="C50" s="191" t="s">
        <v>252</v>
      </c>
      <c r="D50" s="188">
        <v>0.18600000000000003</v>
      </c>
      <c r="E50" s="189">
        <v>0.14699999999999999</v>
      </c>
      <c r="F50" s="189">
        <v>0.158</v>
      </c>
      <c r="G50" s="189">
        <v>0.16500000000000001</v>
      </c>
      <c r="H50" s="189">
        <v>0.13900000000000001</v>
      </c>
      <c r="I50" s="189">
        <v>0.17300000000000001</v>
      </c>
      <c r="J50" s="189">
        <v>0.16899999999999998</v>
      </c>
      <c r="K50" s="189">
        <v>0.17800000000000002</v>
      </c>
      <c r="L50" s="189">
        <v>0.187</v>
      </c>
      <c r="M50" s="189">
        <v>0.221</v>
      </c>
      <c r="N50" s="190">
        <v>0.22800000000000001</v>
      </c>
      <c r="O50" s="190">
        <v>0.22899999999999998</v>
      </c>
      <c r="P50" s="190">
        <v>0.21199999999999999</v>
      </c>
      <c r="Q50" s="951">
        <v>0.24275362318840579</v>
      </c>
      <c r="R50" s="1083">
        <v>0.21843003412969283</v>
      </c>
      <c r="S50" s="951">
        <v>0.24221453287197231</v>
      </c>
      <c r="T50" s="1859">
        <v>0.19191919191919191</v>
      </c>
      <c r="U50" s="1083">
        <v>0.18027210884353742</v>
      </c>
      <c r="V50" s="1083">
        <v>0.21201413427561838</v>
      </c>
      <c r="W50" s="2138">
        <v>0.19718309859154928</v>
      </c>
      <c r="X50" s="790"/>
      <c r="Y50" s="948">
        <v>91</v>
      </c>
      <c r="Z50" s="948">
        <v>68</v>
      </c>
      <c r="AA50" s="948">
        <v>74</v>
      </c>
      <c r="AB50" s="948">
        <v>74</v>
      </c>
      <c r="AC50" s="948">
        <v>59</v>
      </c>
      <c r="AD50" s="948">
        <v>73</v>
      </c>
      <c r="AE50" s="948">
        <v>67</v>
      </c>
      <c r="AF50" s="948">
        <v>67</v>
      </c>
      <c r="AG50" s="948">
        <v>67</v>
      </c>
      <c r="AH50" s="948">
        <v>83</v>
      </c>
      <c r="AI50" s="948">
        <v>78</v>
      </c>
      <c r="AJ50" s="948">
        <v>72</v>
      </c>
      <c r="AK50" s="874">
        <v>62</v>
      </c>
      <c r="AL50" s="874">
        <v>67</v>
      </c>
      <c r="AM50" s="1090">
        <v>64</v>
      </c>
      <c r="AN50" s="871">
        <v>70</v>
      </c>
      <c r="AO50" s="1862">
        <v>57</v>
      </c>
      <c r="AP50" s="1090">
        <v>53</v>
      </c>
      <c r="AQ50" s="1090">
        <v>60</v>
      </c>
      <c r="AR50" s="2144"/>
    </row>
    <row r="51" spans="1:44" x14ac:dyDescent="0.3">
      <c r="A51" s="183" t="s">
        <v>117</v>
      </c>
      <c r="B51" s="184" t="s">
        <v>490</v>
      </c>
      <c r="C51" s="191" t="s">
        <v>251</v>
      </c>
      <c r="D51" s="188">
        <v>0.115</v>
      </c>
      <c r="E51" s="189">
        <v>0.10099999999999999</v>
      </c>
      <c r="F51" s="189">
        <v>0.121</v>
      </c>
      <c r="G51" s="189">
        <v>0.13500000000000001</v>
      </c>
      <c r="H51" s="189">
        <v>0.115</v>
      </c>
      <c r="I51" s="189">
        <v>0.114</v>
      </c>
      <c r="J51" s="189">
        <v>0.11</v>
      </c>
      <c r="K51" s="189">
        <v>0.10699999999999998</v>
      </c>
      <c r="L51" s="189">
        <v>0.106</v>
      </c>
      <c r="M51" s="189">
        <v>0.14699999999999999</v>
      </c>
      <c r="N51" s="190">
        <v>0.12300000000000001</v>
      </c>
      <c r="O51" s="190">
        <v>0.156</v>
      </c>
      <c r="P51" s="190">
        <v>0.13300000000000001</v>
      </c>
      <c r="Q51" s="951">
        <v>0.1397286040575037</v>
      </c>
      <c r="R51" s="1083">
        <v>0.13696084936960851</v>
      </c>
      <c r="S51" s="951">
        <v>0.13055518923908743</v>
      </c>
      <c r="T51" s="1859">
        <v>0.12396585686145765</v>
      </c>
      <c r="U51" s="1083">
        <v>0.11190006574621959</v>
      </c>
      <c r="V51" s="1083">
        <v>0.12106856165284906</v>
      </c>
      <c r="W51" s="2138">
        <v>0.13725747246984793</v>
      </c>
      <c r="X51" s="790"/>
      <c r="Y51" s="948">
        <v>859</v>
      </c>
      <c r="Z51" s="948">
        <v>747</v>
      </c>
      <c r="AA51" s="948">
        <v>929</v>
      </c>
      <c r="AB51" s="948">
        <v>1034</v>
      </c>
      <c r="AC51" s="948">
        <v>880</v>
      </c>
      <c r="AD51" s="948">
        <v>862</v>
      </c>
      <c r="AE51" s="948">
        <v>837</v>
      </c>
      <c r="AF51" s="948">
        <v>851</v>
      </c>
      <c r="AG51" s="948">
        <v>830</v>
      </c>
      <c r="AH51" s="948">
        <v>1179</v>
      </c>
      <c r="AI51" s="948">
        <v>975</v>
      </c>
      <c r="AJ51" s="948">
        <v>1213</v>
      </c>
      <c r="AK51" s="874">
        <v>1016</v>
      </c>
      <c r="AL51" s="874">
        <v>1040</v>
      </c>
      <c r="AM51" s="1090">
        <v>1032</v>
      </c>
      <c r="AN51" s="871">
        <v>990</v>
      </c>
      <c r="AO51" s="1862">
        <v>944</v>
      </c>
      <c r="AP51" s="1090">
        <v>851</v>
      </c>
      <c r="AQ51" s="1090">
        <v>920</v>
      </c>
      <c r="AR51" s="2144"/>
    </row>
    <row r="52" spans="1:44" x14ac:dyDescent="0.3">
      <c r="A52" s="183" t="s">
        <v>119</v>
      </c>
      <c r="B52" s="184" t="s">
        <v>266</v>
      </c>
      <c r="C52" s="191" t="s">
        <v>251</v>
      </c>
      <c r="D52" s="188">
        <v>8.4999999999999992E-2</v>
      </c>
      <c r="E52" s="189">
        <v>7.6999999999999999E-2</v>
      </c>
      <c r="F52" s="189">
        <v>8.8000000000000009E-2</v>
      </c>
      <c r="G52" s="189">
        <v>9.5999999999999988E-2</v>
      </c>
      <c r="H52" s="189">
        <v>8.3000000000000004E-2</v>
      </c>
      <c r="I52" s="189">
        <v>8.0999999999999989E-2</v>
      </c>
      <c r="J52" s="189">
        <v>8.199999999999999E-2</v>
      </c>
      <c r="K52" s="189">
        <v>7.9000000000000001E-2</v>
      </c>
      <c r="L52" s="189">
        <v>0.09</v>
      </c>
      <c r="M52" s="189">
        <v>0.10300000000000001</v>
      </c>
      <c r="N52" s="190">
        <v>0.10300000000000001</v>
      </c>
      <c r="O52" s="190">
        <v>0.11199999999999999</v>
      </c>
      <c r="P52" s="190">
        <v>0.114</v>
      </c>
      <c r="Q52" s="951">
        <v>0.1123213070115725</v>
      </c>
      <c r="R52" s="1083">
        <v>0.11459437963944857</v>
      </c>
      <c r="S52" s="951">
        <v>0.102105762069199</v>
      </c>
      <c r="T52" s="1859">
        <v>9.3798397414315532E-2</v>
      </c>
      <c r="U52" s="1083">
        <v>9.1175101416505949E-2</v>
      </c>
      <c r="V52" s="1083">
        <v>9.2630603191418928E-2</v>
      </c>
      <c r="W52" s="2138">
        <v>8.2841427421518649E-2</v>
      </c>
      <c r="X52" s="790"/>
      <c r="Y52" s="948">
        <v>946</v>
      </c>
      <c r="Z52" s="948">
        <v>872</v>
      </c>
      <c r="AA52" s="948">
        <v>1030</v>
      </c>
      <c r="AB52" s="948">
        <v>1108</v>
      </c>
      <c r="AC52" s="948">
        <v>989</v>
      </c>
      <c r="AD52" s="948">
        <v>947</v>
      </c>
      <c r="AE52" s="948">
        <v>947</v>
      </c>
      <c r="AF52" s="948">
        <v>986</v>
      </c>
      <c r="AG52" s="948">
        <v>1120</v>
      </c>
      <c r="AH52" s="948">
        <v>1354</v>
      </c>
      <c r="AI52" s="948">
        <v>1475</v>
      </c>
      <c r="AJ52" s="948">
        <v>1595</v>
      </c>
      <c r="AK52" s="874">
        <v>1611</v>
      </c>
      <c r="AL52" s="874">
        <v>1650</v>
      </c>
      <c r="AM52" s="1090">
        <v>1729</v>
      </c>
      <c r="AN52" s="871">
        <v>1508</v>
      </c>
      <c r="AO52" s="1862">
        <v>1393</v>
      </c>
      <c r="AP52" s="1090">
        <v>1371</v>
      </c>
      <c r="AQ52" s="1090">
        <v>1399</v>
      </c>
      <c r="AR52" s="2144"/>
    </row>
    <row r="53" spans="1:44" x14ac:dyDescent="0.3">
      <c r="A53" s="183" t="s">
        <v>121</v>
      </c>
      <c r="B53" s="184" t="s">
        <v>491</v>
      </c>
      <c r="C53" s="191" t="s">
        <v>253</v>
      </c>
      <c r="D53" s="188">
        <v>0.151</v>
      </c>
      <c r="E53" s="189">
        <v>0.13300000000000001</v>
      </c>
      <c r="F53" s="189">
        <v>0.15300000000000002</v>
      </c>
      <c r="G53" s="189">
        <v>0.16200000000000001</v>
      </c>
      <c r="H53" s="189">
        <v>0.13700000000000001</v>
      </c>
      <c r="I53" s="189">
        <v>0.17600000000000002</v>
      </c>
      <c r="J53" s="189">
        <v>0.16</v>
      </c>
      <c r="K53" s="189">
        <v>0.16300000000000001</v>
      </c>
      <c r="L53" s="189">
        <v>0.16600000000000001</v>
      </c>
      <c r="M53" s="189">
        <v>0.2</v>
      </c>
      <c r="N53" s="190">
        <v>0.19400000000000001</v>
      </c>
      <c r="O53" s="190">
        <v>0.20300000000000001</v>
      </c>
      <c r="P53" s="190">
        <v>0.20899999999999999</v>
      </c>
      <c r="Q53" s="951">
        <v>0.21143717080511662</v>
      </c>
      <c r="R53" s="1083">
        <v>0.22874341610233259</v>
      </c>
      <c r="S53" s="951">
        <v>0.20477290223248654</v>
      </c>
      <c r="T53" s="1859">
        <v>0.18683001531393567</v>
      </c>
      <c r="U53" s="1083">
        <v>0.18124006359300476</v>
      </c>
      <c r="V53" s="1083">
        <v>0.19293924466338258</v>
      </c>
      <c r="W53" s="2138">
        <v>0.18016528925619835</v>
      </c>
      <c r="X53" s="790"/>
      <c r="Y53" s="948">
        <v>216</v>
      </c>
      <c r="Z53" s="948">
        <v>190</v>
      </c>
      <c r="AA53" s="948">
        <v>217</v>
      </c>
      <c r="AB53" s="948">
        <v>233</v>
      </c>
      <c r="AC53" s="948">
        <v>199</v>
      </c>
      <c r="AD53" s="948">
        <v>251</v>
      </c>
      <c r="AE53" s="948">
        <v>221</v>
      </c>
      <c r="AF53" s="948">
        <v>228</v>
      </c>
      <c r="AG53" s="948">
        <v>226</v>
      </c>
      <c r="AH53" s="948">
        <v>258</v>
      </c>
      <c r="AI53" s="948">
        <v>276</v>
      </c>
      <c r="AJ53" s="948">
        <v>278</v>
      </c>
      <c r="AK53" s="874">
        <v>278</v>
      </c>
      <c r="AL53" s="874">
        <v>281</v>
      </c>
      <c r="AM53" s="1090">
        <v>304</v>
      </c>
      <c r="AN53" s="871">
        <v>266</v>
      </c>
      <c r="AO53" s="1862">
        <v>244</v>
      </c>
      <c r="AP53" s="1090">
        <v>228</v>
      </c>
      <c r="AQ53" s="1090">
        <v>235</v>
      </c>
      <c r="AR53" s="2144"/>
    </row>
    <row r="54" spans="1:44" x14ac:dyDescent="0.3">
      <c r="A54" s="183" t="s">
        <v>123</v>
      </c>
      <c r="B54" s="184" t="s">
        <v>339</v>
      </c>
      <c r="C54" s="191" t="s">
        <v>254</v>
      </c>
      <c r="D54" s="188">
        <v>9.0000000000000011E-2</v>
      </c>
      <c r="E54" s="189">
        <v>7.5999999999999984E-2</v>
      </c>
      <c r="F54" s="189">
        <v>8.5999999999999993E-2</v>
      </c>
      <c r="G54" s="189">
        <v>9.5000000000000001E-2</v>
      </c>
      <c r="H54" s="189">
        <v>0.08</v>
      </c>
      <c r="I54" s="189">
        <v>8.3000000000000004E-2</v>
      </c>
      <c r="J54" s="189">
        <v>7.6999999999999999E-2</v>
      </c>
      <c r="K54" s="189">
        <v>7.5999999999999998E-2</v>
      </c>
      <c r="L54" s="189">
        <v>0.08</v>
      </c>
      <c r="M54" s="189">
        <v>9.2999999999999999E-2</v>
      </c>
      <c r="N54" s="190">
        <v>9.0000000000000011E-2</v>
      </c>
      <c r="O54" s="190">
        <v>9.6999999999999989E-2</v>
      </c>
      <c r="P54" s="190">
        <v>0.10299999999999999</v>
      </c>
      <c r="Q54" s="951">
        <v>0.10768522779567419</v>
      </c>
      <c r="R54" s="1083">
        <v>0.10508681084374048</v>
      </c>
      <c r="S54" s="951">
        <v>9.5759444872783345E-2</v>
      </c>
      <c r="T54" s="1859">
        <v>8.9018943477591247E-2</v>
      </c>
      <c r="U54" s="1083">
        <v>8.4941498252545211E-2</v>
      </c>
      <c r="V54" s="1083">
        <v>9.1174213353798925E-2</v>
      </c>
      <c r="W54" s="2138">
        <v>7.7386468952734017E-2</v>
      </c>
      <c r="X54" s="790"/>
      <c r="Y54" s="948">
        <v>417</v>
      </c>
      <c r="Z54" s="948">
        <v>354</v>
      </c>
      <c r="AA54" s="948">
        <v>413</v>
      </c>
      <c r="AB54" s="948">
        <v>476</v>
      </c>
      <c r="AC54" s="948">
        <v>425</v>
      </c>
      <c r="AD54" s="948">
        <v>438</v>
      </c>
      <c r="AE54" s="948">
        <v>415</v>
      </c>
      <c r="AF54" s="948">
        <v>450</v>
      </c>
      <c r="AG54" s="948">
        <v>484</v>
      </c>
      <c r="AH54" s="948">
        <v>577</v>
      </c>
      <c r="AI54" s="948">
        <v>583</v>
      </c>
      <c r="AJ54" s="948">
        <v>627</v>
      </c>
      <c r="AK54" s="874">
        <v>659</v>
      </c>
      <c r="AL54" s="874">
        <v>702</v>
      </c>
      <c r="AM54" s="1090">
        <v>690</v>
      </c>
      <c r="AN54" s="871">
        <v>621</v>
      </c>
      <c r="AO54" s="1862">
        <v>578</v>
      </c>
      <c r="AP54" s="1090">
        <v>559</v>
      </c>
      <c r="AQ54" s="1090">
        <v>594</v>
      </c>
      <c r="AR54" s="2144"/>
    </row>
    <row r="55" spans="1:44" x14ac:dyDescent="0.3">
      <c r="A55" s="183" t="s">
        <v>125</v>
      </c>
      <c r="B55" s="184" t="s">
        <v>340</v>
      </c>
      <c r="C55" s="191" t="s">
        <v>253</v>
      </c>
      <c r="D55" s="188">
        <v>9.4E-2</v>
      </c>
      <c r="E55" s="189">
        <v>7.8E-2</v>
      </c>
      <c r="F55" s="189">
        <v>8.6999999999999994E-2</v>
      </c>
      <c r="G55" s="189">
        <v>0.1</v>
      </c>
      <c r="H55" s="189">
        <v>9.0999999999999998E-2</v>
      </c>
      <c r="I55" s="189">
        <v>9.5000000000000001E-2</v>
      </c>
      <c r="J55" s="189">
        <v>9.4E-2</v>
      </c>
      <c r="K55" s="189">
        <v>8.5999999999999993E-2</v>
      </c>
      <c r="L55" s="189">
        <v>8.199999999999999E-2</v>
      </c>
      <c r="M55" s="189">
        <v>9.9000000000000005E-2</v>
      </c>
      <c r="N55" s="190">
        <v>0.11</v>
      </c>
      <c r="O55" s="190">
        <v>0.129</v>
      </c>
      <c r="P55" s="190">
        <v>0.125</v>
      </c>
      <c r="Q55" s="951">
        <v>0.13313922710428799</v>
      </c>
      <c r="R55" s="1083">
        <v>0.13370547581073897</v>
      </c>
      <c r="S55" s="951">
        <v>0.12160723789249601</v>
      </c>
      <c r="T55" s="1859">
        <v>0.11463087248322147</v>
      </c>
      <c r="U55" s="1083">
        <v>9.8146697990080925E-2</v>
      </c>
      <c r="V55" s="1083">
        <v>0.10243775933609958</v>
      </c>
      <c r="W55" s="2138">
        <v>9.9662600570983653E-2</v>
      </c>
      <c r="X55" s="790"/>
      <c r="Y55" s="948">
        <v>321</v>
      </c>
      <c r="Z55" s="948">
        <v>270</v>
      </c>
      <c r="AA55" s="948">
        <v>309</v>
      </c>
      <c r="AB55" s="948">
        <v>361</v>
      </c>
      <c r="AC55" s="948">
        <v>331</v>
      </c>
      <c r="AD55" s="948">
        <v>341</v>
      </c>
      <c r="AE55" s="948">
        <v>342</v>
      </c>
      <c r="AF55" s="948">
        <v>328</v>
      </c>
      <c r="AG55" s="948">
        <v>318</v>
      </c>
      <c r="AH55" s="948">
        <v>403</v>
      </c>
      <c r="AI55" s="948">
        <v>429</v>
      </c>
      <c r="AJ55" s="948">
        <v>495</v>
      </c>
      <c r="AK55" s="874">
        <v>477</v>
      </c>
      <c r="AL55" s="874">
        <v>503</v>
      </c>
      <c r="AM55" s="1090">
        <v>503</v>
      </c>
      <c r="AN55" s="871">
        <v>457</v>
      </c>
      <c r="AO55" s="1862">
        <v>427</v>
      </c>
      <c r="AP55" s="1090">
        <v>376</v>
      </c>
      <c r="AQ55" s="1090">
        <v>395</v>
      </c>
      <c r="AR55" s="2144"/>
    </row>
    <row r="56" spans="1:44" x14ac:dyDescent="0.3">
      <c r="A56" s="183" t="s">
        <v>127</v>
      </c>
      <c r="B56" s="184" t="s">
        <v>341</v>
      </c>
      <c r="C56" s="191" t="s">
        <v>253</v>
      </c>
      <c r="D56" s="188">
        <v>0.21500000000000002</v>
      </c>
      <c r="E56" s="189">
        <v>0.18800000000000003</v>
      </c>
      <c r="F56" s="189">
        <v>0.214</v>
      </c>
      <c r="G56" s="189">
        <v>0.22100000000000003</v>
      </c>
      <c r="H56" s="189">
        <v>0.19299999999999998</v>
      </c>
      <c r="I56" s="189">
        <v>0.22399999999999998</v>
      </c>
      <c r="J56" s="189">
        <v>0.223</v>
      </c>
      <c r="K56" s="189">
        <v>0.215</v>
      </c>
      <c r="L56" s="189">
        <v>0.224</v>
      </c>
      <c r="M56" s="189">
        <v>0.23</v>
      </c>
      <c r="N56" s="190">
        <v>0.26100000000000001</v>
      </c>
      <c r="O56" s="190">
        <v>0.27399999999999997</v>
      </c>
      <c r="P56" s="190">
        <v>0.27600000000000002</v>
      </c>
      <c r="Q56" s="951">
        <v>0.28352941176470586</v>
      </c>
      <c r="R56" s="1083">
        <v>0.26364193746167996</v>
      </c>
      <c r="S56" s="951">
        <v>0.26169405815423513</v>
      </c>
      <c r="T56" s="1859">
        <v>0.26958667489204197</v>
      </c>
      <c r="U56" s="1083">
        <v>0.23730886850152905</v>
      </c>
      <c r="V56" s="1083">
        <v>0.24101355332940483</v>
      </c>
      <c r="W56" s="2138">
        <v>0.23883374689826303</v>
      </c>
      <c r="X56" s="790"/>
      <c r="Y56" s="948">
        <v>462</v>
      </c>
      <c r="Z56" s="948">
        <v>394</v>
      </c>
      <c r="AA56" s="948">
        <v>454</v>
      </c>
      <c r="AB56" s="948">
        <v>461</v>
      </c>
      <c r="AC56" s="948">
        <v>396</v>
      </c>
      <c r="AD56" s="948">
        <v>454</v>
      </c>
      <c r="AE56" s="948">
        <v>435</v>
      </c>
      <c r="AF56" s="948">
        <v>426</v>
      </c>
      <c r="AG56" s="948">
        <v>428</v>
      </c>
      <c r="AH56" s="948">
        <v>427</v>
      </c>
      <c r="AI56" s="948">
        <v>470</v>
      </c>
      <c r="AJ56" s="948">
        <v>483</v>
      </c>
      <c r="AK56" s="874">
        <v>470</v>
      </c>
      <c r="AL56" s="874">
        <v>482</v>
      </c>
      <c r="AM56" s="1090">
        <v>430</v>
      </c>
      <c r="AN56" s="871">
        <v>414</v>
      </c>
      <c r="AO56" s="1862">
        <v>437</v>
      </c>
      <c r="AP56" s="1090">
        <v>388</v>
      </c>
      <c r="AQ56" s="1090">
        <v>409</v>
      </c>
      <c r="AR56" s="2144"/>
    </row>
    <row r="57" spans="1:44" x14ac:dyDescent="0.3">
      <c r="A57" s="183" t="s">
        <v>129</v>
      </c>
      <c r="B57" s="184" t="s">
        <v>342</v>
      </c>
      <c r="C57" s="191" t="s">
        <v>255</v>
      </c>
      <c r="D57" s="188">
        <v>0.29699999999999999</v>
      </c>
      <c r="E57" s="189">
        <v>0.25800000000000001</v>
      </c>
      <c r="F57" s="189">
        <v>0.308</v>
      </c>
      <c r="G57" s="189">
        <v>0.33099999999999996</v>
      </c>
      <c r="H57" s="189">
        <v>0.28499999999999998</v>
      </c>
      <c r="I57" s="189">
        <v>0.35299999999999998</v>
      </c>
      <c r="J57" s="189">
        <v>0.309</v>
      </c>
      <c r="K57" s="189">
        <v>0.31900000000000001</v>
      </c>
      <c r="L57" s="189">
        <v>0.33799999999999997</v>
      </c>
      <c r="M57" s="189">
        <v>0.33599999999999997</v>
      </c>
      <c r="N57" s="190">
        <v>0.33100000000000002</v>
      </c>
      <c r="O57" s="190">
        <v>0.35600000000000004</v>
      </c>
      <c r="P57" s="190">
        <v>0.372</v>
      </c>
      <c r="Q57" s="951">
        <v>0.38628382565585623</v>
      </c>
      <c r="R57" s="1083">
        <v>0.31877362452750946</v>
      </c>
      <c r="S57" s="951">
        <v>0.36342042755344417</v>
      </c>
      <c r="T57" s="1859">
        <v>0.37452428923214687</v>
      </c>
      <c r="U57" s="1083">
        <v>0.32979683972911966</v>
      </c>
      <c r="V57" s="1083">
        <v>0.32505747126436779</v>
      </c>
      <c r="W57" s="2138">
        <v>0.42796709753231493</v>
      </c>
      <c r="X57" s="790"/>
      <c r="Y57" s="948">
        <v>1523</v>
      </c>
      <c r="Z57" s="948">
        <v>1328</v>
      </c>
      <c r="AA57" s="948">
        <v>1602</v>
      </c>
      <c r="AB57" s="948">
        <v>1708</v>
      </c>
      <c r="AC57" s="948">
        <v>1460</v>
      </c>
      <c r="AD57" s="948">
        <v>1785</v>
      </c>
      <c r="AE57" s="948">
        <v>1521</v>
      </c>
      <c r="AF57" s="948">
        <v>1556</v>
      </c>
      <c r="AG57" s="948">
        <v>1605</v>
      </c>
      <c r="AH57" s="948">
        <v>1649</v>
      </c>
      <c r="AI57" s="948">
        <v>1689</v>
      </c>
      <c r="AJ57" s="948">
        <v>1794</v>
      </c>
      <c r="AK57" s="874">
        <v>1848</v>
      </c>
      <c r="AL57" s="874">
        <v>1870</v>
      </c>
      <c r="AM57" s="1090">
        <v>1518</v>
      </c>
      <c r="AN57" s="871">
        <v>1683</v>
      </c>
      <c r="AO57" s="1862">
        <v>1673</v>
      </c>
      <c r="AP57" s="1090">
        <v>1461</v>
      </c>
      <c r="AQ57" s="1090">
        <v>1414</v>
      </c>
      <c r="AR57" s="2144"/>
    </row>
    <row r="58" spans="1:44" x14ac:dyDescent="0.3">
      <c r="A58" s="183" t="s">
        <v>131</v>
      </c>
      <c r="B58" s="184" t="s">
        <v>343</v>
      </c>
      <c r="C58" s="191" t="s">
        <v>254</v>
      </c>
      <c r="D58" s="188">
        <v>3.1000000000000003E-2</v>
      </c>
      <c r="E58" s="189">
        <v>2.8000000000000001E-2</v>
      </c>
      <c r="F58" s="189">
        <v>3.3000000000000002E-2</v>
      </c>
      <c r="G58" s="189">
        <v>4.0999999999999995E-2</v>
      </c>
      <c r="H58" s="189">
        <v>3.6999999999999998E-2</v>
      </c>
      <c r="I58" s="189">
        <v>2.8000000000000001E-2</v>
      </c>
      <c r="J58" s="189">
        <v>2.8999999999999998E-2</v>
      </c>
      <c r="K58" s="189">
        <v>2.8999999999999998E-2</v>
      </c>
      <c r="L58" s="189">
        <v>3.5000000000000003E-2</v>
      </c>
      <c r="M58" s="189">
        <v>3.9E-2</v>
      </c>
      <c r="N58" s="190">
        <v>4.2000000000000003E-2</v>
      </c>
      <c r="O58" s="190">
        <v>4.4999999999999998E-2</v>
      </c>
      <c r="P58" s="190">
        <v>4.2999999999999997E-2</v>
      </c>
      <c r="Q58" s="951">
        <v>4.1029470233996952E-2</v>
      </c>
      <c r="R58" s="1083">
        <v>4.3724420835735689E-2</v>
      </c>
      <c r="S58" s="951">
        <v>3.9522661568160193E-2</v>
      </c>
      <c r="T58" s="1859">
        <v>3.5378778205432226E-2</v>
      </c>
      <c r="U58" s="1083">
        <v>3.0101614080045556E-2</v>
      </c>
      <c r="V58" s="1083">
        <v>3.6153042317588278E-2</v>
      </c>
      <c r="W58" s="2138">
        <v>3.2349791999438313E-2</v>
      </c>
      <c r="X58" s="790"/>
      <c r="Y58" s="948">
        <v>1752</v>
      </c>
      <c r="Z58" s="948">
        <v>1696</v>
      </c>
      <c r="AA58" s="948">
        <v>2145</v>
      </c>
      <c r="AB58" s="948">
        <v>2838</v>
      </c>
      <c r="AC58" s="948">
        <v>2771</v>
      </c>
      <c r="AD58" s="948">
        <v>2090</v>
      </c>
      <c r="AE58" s="948">
        <v>2202</v>
      </c>
      <c r="AF58" s="948">
        <v>2454</v>
      </c>
      <c r="AG58" s="948">
        <v>3049</v>
      </c>
      <c r="AH58" s="948">
        <v>3426</v>
      </c>
      <c r="AI58" s="948">
        <v>4026</v>
      </c>
      <c r="AJ58" s="948">
        <v>4359</v>
      </c>
      <c r="AK58" s="874">
        <v>4315</v>
      </c>
      <c r="AL58" s="874">
        <v>4231</v>
      </c>
      <c r="AM58" s="1090">
        <v>4626</v>
      </c>
      <c r="AN58" s="871">
        <v>4279</v>
      </c>
      <c r="AO58" s="1862">
        <v>3879</v>
      </c>
      <c r="AP58" s="1090">
        <v>3383</v>
      </c>
      <c r="AQ58" s="1090">
        <v>4117</v>
      </c>
      <c r="AR58" s="2144"/>
    </row>
    <row r="59" spans="1:44" x14ac:dyDescent="0.3">
      <c r="A59" s="183" t="s">
        <v>133</v>
      </c>
      <c r="B59" s="184" t="s">
        <v>344</v>
      </c>
      <c r="C59" s="191" t="s">
        <v>254</v>
      </c>
      <c r="D59" s="188">
        <v>0.13699999999999998</v>
      </c>
      <c r="E59" s="189">
        <v>0.123</v>
      </c>
      <c r="F59" s="189">
        <v>0.14000000000000001</v>
      </c>
      <c r="G59" s="189">
        <v>0.14400000000000002</v>
      </c>
      <c r="H59" s="189">
        <v>0.129</v>
      </c>
      <c r="I59" s="189">
        <v>0.155</v>
      </c>
      <c r="J59" s="189">
        <v>0.13500000000000001</v>
      </c>
      <c r="K59" s="189">
        <v>0.13500000000000001</v>
      </c>
      <c r="L59" s="189">
        <v>0.13899999999999998</v>
      </c>
      <c r="M59" s="189">
        <v>0.16200000000000001</v>
      </c>
      <c r="N59" s="190">
        <v>0.156</v>
      </c>
      <c r="O59" s="190">
        <v>0.17</v>
      </c>
      <c r="P59" s="190">
        <v>0.17399999999999999</v>
      </c>
      <c r="Q59" s="951">
        <v>0.17671607425528854</v>
      </c>
      <c r="R59" s="1083">
        <v>0.1732127719694829</v>
      </c>
      <c r="S59" s="951">
        <v>0.16716206652512386</v>
      </c>
      <c r="T59" s="1859">
        <v>0.16017922150658079</v>
      </c>
      <c r="U59" s="1083">
        <v>0.14480836236933797</v>
      </c>
      <c r="V59" s="1083">
        <v>0.14867841409691629</v>
      </c>
      <c r="W59" s="2138">
        <v>0.14467623950149011</v>
      </c>
      <c r="X59" s="790"/>
      <c r="Y59" s="948">
        <v>856</v>
      </c>
      <c r="Z59" s="948">
        <v>777</v>
      </c>
      <c r="AA59" s="948">
        <v>911</v>
      </c>
      <c r="AB59" s="948">
        <v>948</v>
      </c>
      <c r="AC59" s="948">
        <v>864</v>
      </c>
      <c r="AD59" s="948">
        <v>1022</v>
      </c>
      <c r="AE59" s="948">
        <v>908</v>
      </c>
      <c r="AF59" s="948">
        <v>962</v>
      </c>
      <c r="AG59" s="948">
        <v>998</v>
      </c>
      <c r="AH59" s="948">
        <v>1152</v>
      </c>
      <c r="AI59" s="948">
        <v>1128</v>
      </c>
      <c r="AJ59" s="948">
        <v>1214</v>
      </c>
      <c r="AK59" s="874">
        <v>1217</v>
      </c>
      <c r="AL59" s="874">
        <v>1228</v>
      </c>
      <c r="AM59" s="1090">
        <v>1226</v>
      </c>
      <c r="AN59" s="871">
        <v>1181</v>
      </c>
      <c r="AO59" s="1862">
        <v>1144</v>
      </c>
      <c r="AP59" s="1090">
        <v>1039</v>
      </c>
      <c r="AQ59" s="1090">
        <v>1080</v>
      </c>
      <c r="AR59" s="2144"/>
    </row>
    <row r="60" spans="1:44" x14ac:dyDescent="0.3">
      <c r="A60" s="183" t="s">
        <v>135</v>
      </c>
      <c r="B60" s="184" t="s">
        <v>345</v>
      </c>
      <c r="C60" s="191" t="s">
        <v>253</v>
      </c>
      <c r="D60" s="188">
        <v>0.218</v>
      </c>
      <c r="E60" s="189">
        <v>0.20600000000000002</v>
      </c>
      <c r="F60" s="189">
        <v>0.214</v>
      </c>
      <c r="G60" s="189">
        <v>0.24300000000000002</v>
      </c>
      <c r="H60" s="189">
        <v>0.21800000000000003</v>
      </c>
      <c r="I60" s="189">
        <v>0.30100000000000005</v>
      </c>
      <c r="J60" s="189">
        <v>0.23899999999999999</v>
      </c>
      <c r="K60" s="189">
        <v>0.255</v>
      </c>
      <c r="L60" s="189">
        <v>0.27399999999999997</v>
      </c>
      <c r="M60" s="189">
        <v>0.28800000000000003</v>
      </c>
      <c r="N60" s="190">
        <v>0.28399999999999997</v>
      </c>
      <c r="O60" s="190">
        <v>0.29399999999999998</v>
      </c>
      <c r="P60" s="190">
        <v>0.316</v>
      </c>
      <c r="Q60" s="951">
        <v>0.29540481400437635</v>
      </c>
      <c r="R60" s="1083">
        <v>0.28677433435181143</v>
      </c>
      <c r="S60" s="951">
        <v>0.29007971656333037</v>
      </c>
      <c r="T60" s="1859">
        <v>0.26137377341659235</v>
      </c>
      <c r="U60" s="1083">
        <v>0.26890756302521007</v>
      </c>
      <c r="V60" s="1083">
        <v>0.24818181818181817</v>
      </c>
      <c r="W60" s="2138">
        <v>0.26696230598669624</v>
      </c>
      <c r="X60" s="790"/>
      <c r="Y60" s="948">
        <v>582</v>
      </c>
      <c r="Z60" s="948">
        <v>542</v>
      </c>
      <c r="AA60" s="948">
        <v>563</v>
      </c>
      <c r="AB60" s="948">
        <v>614</v>
      </c>
      <c r="AC60" s="948">
        <v>557</v>
      </c>
      <c r="AD60" s="948">
        <v>760</v>
      </c>
      <c r="AE60" s="948">
        <v>571</v>
      </c>
      <c r="AF60" s="948">
        <v>595</v>
      </c>
      <c r="AG60" s="948">
        <v>618</v>
      </c>
      <c r="AH60" s="948">
        <v>696</v>
      </c>
      <c r="AI60" s="948">
        <v>693</v>
      </c>
      <c r="AJ60" s="948">
        <v>715</v>
      </c>
      <c r="AK60" s="874">
        <v>754</v>
      </c>
      <c r="AL60" s="874">
        <v>675</v>
      </c>
      <c r="AM60" s="1090">
        <v>657</v>
      </c>
      <c r="AN60" s="871">
        <v>655</v>
      </c>
      <c r="AO60" s="1862">
        <v>586</v>
      </c>
      <c r="AP60" s="1090">
        <v>608</v>
      </c>
      <c r="AQ60" s="1090">
        <v>546</v>
      </c>
      <c r="AR60" s="2144"/>
    </row>
    <row r="61" spans="1:44" x14ac:dyDescent="0.3">
      <c r="A61" s="183" t="s">
        <v>139</v>
      </c>
      <c r="B61" s="184" t="s">
        <v>346</v>
      </c>
      <c r="C61" s="191" t="s">
        <v>254</v>
      </c>
      <c r="D61" s="188">
        <v>0.152</v>
      </c>
      <c r="E61" s="189">
        <v>0.125</v>
      </c>
      <c r="F61" s="189">
        <v>0.12199999999999998</v>
      </c>
      <c r="G61" s="189">
        <v>0.13699999999999998</v>
      </c>
      <c r="H61" s="189">
        <v>0.124</v>
      </c>
      <c r="I61" s="189">
        <v>0.14400000000000002</v>
      </c>
      <c r="J61" s="189">
        <v>0.13699999999999998</v>
      </c>
      <c r="K61" s="189">
        <v>0.13699999999999998</v>
      </c>
      <c r="L61" s="189">
        <v>0.151</v>
      </c>
      <c r="M61" s="189">
        <v>0.16199999999999998</v>
      </c>
      <c r="N61" s="190">
        <v>0.17399999999999999</v>
      </c>
      <c r="O61" s="190">
        <v>0.17699999999999999</v>
      </c>
      <c r="P61" s="190">
        <v>0.193</v>
      </c>
      <c r="Q61" s="951">
        <v>0.18481012658227849</v>
      </c>
      <c r="R61" s="1083">
        <v>0.18315018315018314</v>
      </c>
      <c r="S61" s="951">
        <v>0.18249534450651769</v>
      </c>
      <c r="T61" s="1859">
        <v>0.17888675623800385</v>
      </c>
      <c r="U61" s="1083">
        <v>0.14977477477477477</v>
      </c>
      <c r="V61" s="1083">
        <v>0.16078136739293764</v>
      </c>
      <c r="W61" s="2138">
        <v>0.14601601219977126</v>
      </c>
      <c r="X61" s="790"/>
      <c r="Y61" s="948">
        <v>452</v>
      </c>
      <c r="Z61" s="948">
        <v>368</v>
      </c>
      <c r="AA61" s="948">
        <v>361</v>
      </c>
      <c r="AB61" s="948">
        <v>406</v>
      </c>
      <c r="AC61" s="948">
        <v>370</v>
      </c>
      <c r="AD61" s="948">
        <v>424</v>
      </c>
      <c r="AE61" s="948">
        <v>386</v>
      </c>
      <c r="AF61" s="948">
        <v>403</v>
      </c>
      <c r="AG61" s="948">
        <v>435</v>
      </c>
      <c r="AH61" s="948">
        <v>472</v>
      </c>
      <c r="AI61" s="948">
        <v>508</v>
      </c>
      <c r="AJ61" s="948">
        <v>497</v>
      </c>
      <c r="AK61" s="874">
        <v>545</v>
      </c>
      <c r="AL61" s="874">
        <v>511</v>
      </c>
      <c r="AM61" s="1090">
        <v>500</v>
      </c>
      <c r="AN61" s="871">
        <v>490</v>
      </c>
      <c r="AO61" s="1862">
        <v>466</v>
      </c>
      <c r="AP61" s="1090">
        <v>399</v>
      </c>
      <c r="AQ61" s="1090">
        <v>428</v>
      </c>
      <c r="AR61" s="2144"/>
    </row>
    <row r="62" spans="1:44" x14ac:dyDescent="0.3">
      <c r="A62" s="183" t="s">
        <v>145</v>
      </c>
      <c r="B62" s="184" t="s">
        <v>347</v>
      </c>
      <c r="C62" s="191" t="s">
        <v>251</v>
      </c>
      <c r="D62" s="188">
        <v>0.125</v>
      </c>
      <c r="E62" s="189">
        <v>0.115</v>
      </c>
      <c r="F62" s="189">
        <v>0.127</v>
      </c>
      <c r="G62" s="189">
        <v>0.14199999999999999</v>
      </c>
      <c r="H62" s="189">
        <v>0.12</v>
      </c>
      <c r="I62" s="189">
        <v>0.13400000000000001</v>
      </c>
      <c r="J62" s="189">
        <v>0.13300000000000001</v>
      </c>
      <c r="K62" s="189">
        <v>0.125</v>
      </c>
      <c r="L62" s="189">
        <v>0.13800000000000001</v>
      </c>
      <c r="M62" s="189">
        <v>0.158</v>
      </c>
      <c r="N62" s="190">
        <v>0.17100000000000001</v>
      </c>
      <c r="O62" s="190">
        <v>0.18100000000000002</v>
      </c>
      <c r="P62" s="190">
        <v>0.17699999999999999</v>
      </c>
      <c r="Q62" s="951">
        <v>0.182</v>
      </c>
      <c r="R62" s="1083">
        <v>0.18002717391304349</v>
      </c>
      <c r="S62" s="951">
        <v>0.17882187938288921</v>
      </c>
      <c r="T62" s="1859">
        <v>0.17655571635311143</v>
      </c>
      <c r="U62" s="1083">
        <v>0.16190476190476191</v>
      </c>
      <c r="V62" s="1083">
        <v>0.16566716641679161</v>
      </c>
      <c r="W62" s="2138">
        <v>0.15703703703703703</v>
      </c>
      <c r="X62" s="790"/>
      <c r="Y62" s="948">
        <v>222</v>
      </c>
      <c r="Z62" s="948">
        <v>198</v>
      </c>
      <c r="AA62" s="948">
        <v>216</v>
      </c>
      <c r="AB62" s="948">
        <v>243</v>
      </c>
      <c r="AC62" s="948">
        <v>201</v>
      </c>
      <c r="AD62" s="948">
        <v>221</v>
      </c>
      <c r="AE62" s="948">
        <v>210</v>
      </c>
      <c r="AF62" s="948">
        <v>190</v>
      </c>
      <c r="AG62" s="948">
        <v>211</v>
      </c>
      <c r="AH62" s="948">
        <v>252</v>
      </c>
      <c r="AI62" s="948">
        <v>274</v>
      </c>
      <c r="AJ62" s="948">
        <v>287</v>
      </c>
      <c r="AK62" s="874">
        <v>266</v>
      </c>
      <c r="AL62" s="874">
        <v>273</v>
      </c>
      <c r="AM62" s="1090">
        <v>265</v>
      </c>
      <c r="AN62" s="871">
        <v>255</v>
      </c>
      <c r="AO62" s="1862">
        <v>244</v>
      </c>
      <c r="AP62" s="1090">
        <v>221</v>
      </c>
      <c r="AQ62" s="1090">
        <v>221</v>
      </c>
      <c r="AR62" s="2144"/>
    </row>
    <row r="63" spans="1:44" x14ac:dyDescent="0.3">
      <c r="A63" s="183" t="s">
        <v>147</v>
      </c>
      <c r="B63" s="184" t="s">
        <v>348</v>
      </c>
      <c r="C63" s="191" t="s">
        <v>252</v>
      </c>
      <c r="D63" s="188">
        <v>0.20799999999999999</v>
      </c>
      <c r="E63" s="189">
        <v>0.188</v>
      </c>
      <c r="F63" s="189">
        <v>0.21300000000000002</v>
      </c>
      <c r="G63" s="189">
        <v>0.23799999999999999</v>
      </c>
      <c r="H63" s="189">
        <v>0.20699999999999999</v>
      </c>
      <c r="I63" s="189">
        <v>0.24399999999999997</v>
      </c>
      <c r="J63" s="189">
        <v>0.22</v>
      </c>
      <c r="K63" s="189">
        <v>0.23</v>
      </c>
      <c r="L63" s="189">
        <v>0.245</v>
      </c>
      <c r="M63" s="189">
        <v>0.26700000000000002</v>
      </c>
      <c r="N63" s="190">
        <v>0.28399999999999997</v>
      </c>
      <c r="O63" s="190">
        <v>0.28699999999999998</v>
      </c>
      <c r="P63" s="190">
        <v>0.28299999999999997</v>
      </c>
      <c r="Q63" s="951">
        <v>0.28433494256700514</v>
      </c>
      <c r="R63" s="1083">
        <v>0.3060220525869381</v>
      </c>
      <c r="S63" s="951">
        <v>0.27461139896373055</v>
      </c>
      <c r="T63" s="1859">
        <v>0.25986441856422737</v>
      </c>
      <c r="U63" s="1083">
        <v>0.2636347486232013</v>
      </c>
      <c r="V63" s="1083">
        <v>0.29775080328454123</v>
      </c>
      <c r="W63" s="2138">
        <v>0.24283425316004986</v>
      </c>
      <c r="X63" s="790"/>
      <c r="Y63" s="948">
        <v>1402</v>
      </c>
      <c r="Z63" s="948">
        <v>1255</v>
      </c>
      <c r="AA63" s="948">
        <v>1446</v>
      </c>
      <c r="AB63" s="948">
        <v>1585</v>
      </c>
      <c r="AC63" s="948">
        <v>1399</v>
      </c>
      <c r="AD63" s="948">
        <v>1630</v>
      </c>
      <c r="AE63" s="948">
        <v>1395</v>
      </c>
      <c r="AF63" s="948">
        <v>1453</v>
      </c>
      <c r="AG63" s="948">
        <v>1524</v>
      </c>
      <c r="AH63" s="948">
        <v>1650</v>
      </c>
      <c r="AI63" s="948">
        <v>1780</v>
      </c>
      <c r="AJ63" s="948">
        <v>1779</v>
      </c>
      <c r="AK63" s="874">
        <v>1732</v>
      </c>
      <c r="AL63" s="874">
        <v>1708</v>
      </c>
      <c r="AM63" s="1090">
        <v>1804</v>
      </c>
      <c r="AN63" s="871">
        <v>1590</v>
      </c>
      <c r="AO63" s="1862">
        <v>1495</v>
      </c>
      <c r="AP63" s="1090">
        <v>1484</v>
      </c>
      <c r="AQ63" s="1090">
        <v>1668</v>
      </c>
      <c r="AR63" s="2144"/>
    </row>
    <row r="64" spans="1:44" x14ac:dyDescent="0.3">
      <c r="A64" s="183" t="s">
        <v>149</v>
      </c>
      <c r="B64" s="184" t="s">
        <v>349</v>
      </c>
      <c r="C64" s="191" t="s">
        <v>253</v>
      </c>
      <c r="D64" s="188">
        <v>0.19</v>
      </c>
      <c r="E64" s="189">
        <v>0.17199999999999999</v>
      </c>
      <c r="F64" s="189">
        <v>0.18300000000000002</v>
      </c>
      <c r="G64" s="189">
        <v>0.19600000000000001</v>
      </c>
      <c r="H64" s="189">
        <v>0.185</v>
      </c>
      <c r="I64" s="189">
        <v>0.21899999999999997</v>
      </c>
      <c r="J64" s="189">
        <v>0.19699999999999998</v>
      </c>
      <c r="K64" s="189">
        <v>0.20199999999999999</v>
      </c>
      <c r="L64" s="189">
        <v>0.20399999999999999</v>
      </c>
      <c r="M64" s="189">
        <v>0.23</v>
      </c>
      <c r="N64" s="190">
        <v>0.22300000000000003</v>
      </c>
      <c r="O64" s="190">
        <v>0.23899999999999999</v>
      </c>
      <c r="P64" s="190">
        <v>0.25700000000000001</v>
      </c>
      <c r="Q64" s="951">
        <v>0.26638349514563109</v>
      </c>
      <c r="R64" s="1083">
        <v>0.2598904443091905</v>
      </c>
      <c r="S64" s="951">
        <v>0.25062499999999999</v>
      </c>
      <c r="T64" s="1859">
        <v>0.24940047961630696</v>
      </c>
      <c r="U64" s="1083">
        <v>0.23631990378833434</v>
      </c>
      <c r="V64" s="1083">
        <v>0.22872032426172553</v>
      </c>
      <c r="W64" s="2138">
        <v>0.23792270531400966</v>
      </c>
      <c r="X64" s="790"/>
      <c r="Y64" s="948">
        <v>357</v>
      </c>
      <c r="Z64" s="948">
        <v>318</v>
      </c>
      <c r="AA64" s="948">
        <v>344</v>
      </c>
      <c r="AB64" s="948">
        <v>367</v>
      </c>
      <c r="AC64" s="948">
        <v>335</v>
      </c>
      <c r="AD64" s="948">
        <v>392</v>
      </c>
      <c r="AE64" s="948">
        <v>352</v>
      </c>
      <c r="AF64" s="948">
        <v>359</v>
      </c>
      <c r="AG64" s="948">
        <v>351</v>
      </c>
      <c r="AH64" s="948">
        <v>383</v>
      </c>
      <c r="AI64" s="948">
        <v>387</v>
      </c>
      <c r="AJ64" s="948">
        <v>397</v>
      </c>
      <c r="AK64" s="874">
        <v>426</v>
      </c>
      <c r="AL64" s="874">
        <v>439</v>
      </c>
      <c r="AM64" s="1090">
        <v>427</v>
      </c>
      <c r="AN64" s="871">
        <v>401</v>
      </c>
      <c r="AO64" s="1862">
        <v>416</v>
      </c>
      <c r="AP64" s="1090">
        <v>393</v>
      </c>
      <c r="AQ64" s="1090">
        <v>395</v>
      </c>
      <c r="AR64" s="2144"/>
    </row>
    <row r="65" spans="1:44" x14ac:dyDescent="0.3">
      <c r="A65" s="183" t="s">
        <v>151</v>
      </c>
      <c r="B65" s="184" t="s">
        <v>350</v>
      </c>
      <c r="C65" s="191" t="s">
        <v>255</v>
      </c>
      <c r="D65" s="188">
        <v>0.129</v>
      </c>
      <c r="E65" s="189">
        <v>0.12</v>
      </c>
      <c r="F65" s="189">
        <v>0.129</v>
      </c>
      <c r="G65" s="189">
        <v>0.153</v>
      </c>
      <c r="H65" s="189">
        <v>0.14300000000000002</v>
      </c>
      <c r="I65" s="189">
        <v>0.14699999999999999</v>
      </c>
      <c r="J65" s="189">
        <v>0.13499999999999998</v>
      </c>
      <c r="K65" s="189">
        <v>0.13599999999999998</v>
      </c>
      <c r="L65" s="189">
        <v>0.155</v>
      </c>
      <c r="M65" s="189">
        <v>0.154</v>
      </c>
      <c r="N65" s="190">
        <v>0.17199999999999999</v>
      </c>
      <c r="O65" s="190">
        <v>0.17</v>
      </c>
      <c r="P65" s="190">
        <v>0.18099999999999999</v>
      </c>
      <c r="Q65" s="951">
        <v>0.18324501978670601</v>
      </c>
      <c r="R65" s="1083">
        <v>0.16029585024217829</v>
      </c>
      <c r="S65" s="951">
        <v>0.15245612890599516</v>
      </c>
      <c r="T65" s="1859">
        <v>0.13447874951556646</v>
      </c>
      <c r="U65" s="1083">
        <v>0.15100959947037404</v>
      </c>
      <c r="V65" s="1083">
        <v>0.14638377368561517</v>
      </c>
      <c r="W65" s="2138">
        <v>0.13798954727482524</v>
      </c>
      <c r="X65" s="790"/>
      <c r="Y65" s="948">
        <v>1802</v>
      </c>
      <c r="Z65" s="948">
        <v>1671</v>
      </c>
      <c r="AA65" s="948">
        <v>1797</v>
      </c>
      <c r="AB65" s="948">
        <v>2120</v>
      </c>
      <c r="AC65" s="948">
        <v>1912</v>
      </c>
      <c r="AD65" s="948">
        <v>1934</v>
      </c>
      <c r="AE65" s="948">
        <v>1842</v>
      </c>
      <c r="AF65" s="948">
        <v>1925</v>
      </c>
      <c r="AG65" s="948">
        <v>2238</v>
      </c>
      <c r="AH65" s="948">
        <v>2246</v>
      </c>
      <c r="AI65" s="948">
        <v>2557</v>
      </c>
      <c r="AJ65" s="948">
        <v>2411</v>
      </c>
      <c r="AK65" s="874">
        <v>2682</v>
      </c>
      <c r="AL65" s="874">
        <v>2732</v>
      </c>
      <c r="AM65" s="1090">
        <v>2449</v>
      </c>
      <c r="AN65" s="871">
        <v>2337</v>
      </c>
      <c r="AO65" s="1862">
        <v>2082</v>
      </c>
      <c r="AP65" s="1090">
        <v>2281</v>
      </c>
      <c r="AQ65" s="1090">
        <v>2194</v>
      </c>
      <c r="AR65" s="2144"/>
    </row>
    <row r="66" spans="1:44" x14ac:dyDescent="0.3">
      <c r="A66" s="183" t="s">
        <v>153</v>
      </c>
      <c r="B66" s="184" t="s">
        <v>351</v>
      </c>
      <c r="C66" s="191" t="s">
        <v>252</v>
      </c>
      <c r="D66" s="188">
        <v>0.14599999999999999</v>
      </c>
      <c r="E66" s="189">
        <v>0.13700000000000001</v>
      </c>
      <c r="F66" s="189">
        <v>0.151</v>
      </c>
      <c r="G66" s="189">
        <v>0.16700000000000001</v>
      </c>
      <c r="H66" s="189">
        <v>0.14199999999999999</v>
      </c>
      <c r="I66" s="189">
        <v>0.16699999999999998</v>
      </c>
      <c r="J66" s="189">
        <v>0.158</v>
      </c>
      <c r="K66" s="189">
        <v>0.16199999999999998</v>
      </c>
      <c r="L66" s="189">
        <v>0.18100000000000002</v>
      </c>
      <c r="M66" s="189">
        <v>0.18399999999999997</v>
      </c>
      <c r="N66" s="190">
        <v>0.20899999999999999</v>
      </c>
      <c r="O66" s="190">
        <v>0.21</v>
      </c>
      <c r="P66" s="190">
        <v>0.23</v>
      </c>
      <c r="Q66" s="951">
        <v>0.230741146403797</v>
      </c>
      <c r="R66" s="1083">
        <v>0.21454545454545454</v>
      </c>
      <c r="S66" s="951">
        <v>0.23229357798165137</v>
      </c>
      <c r="T66" s="1859">
        <v>0.20573294629898403</v>
      </c>
      <c r="U66" s="1083">
        <v>0.20569737328893822</v>
      </c>
      <c r="V66" s="1083">
        <v>0.19922779922779923</v>
      </c>
      <c r="W66" s="2138">
        <v>0.18011472275334608</v>
      </c>
      <c r="X66" s="790"/>
      <c r="Y66" s="948">
        <v>454</v>
      </c>
      <c r="Z66" s="948">
        <v>424</v>
      </c>
      <c r="AA66" s="948">
        <v>472</v>
      </c>
      <c r="AB66" s="948">
        <v>512</v>
      </c>
      <c r="AC66" s="948">
        <v>434</v>
      </c>
      <c r="AD66" s="948">
        <v>504</v>
      </c>
      <c r="AE66" s="948">
        <v>463</v>
      </c>
      <c r="AF66" s="948">
        <v>479</v>
      </c>
      <c r="AG66" s="948">
        <v>532</v>
      </c>
      <c r="AH66" s="948">
        <v>536</v>
      </c>
      <c r="AI66" s="948">
        <v>592</v>
      </c>
      <c r="AJ66" s="948">
        <v>599</v>
      </c>
      <c r="AK66" s="874">
        <v>635</v>
      </c>
      <c r="AL66" s="874">
        <v>632</v>
      </c>
      <c r="AM66" s="1090">
        <v>590</v>
      </c>
      <c r="AN66" s="871">
        <v>633</v>
      </c>
      <c r="AO66" s="1862">
        <v>567</v>
      </c>
      <c r="AP66" s="1090">
        <v>556</v>
      </c>
      <c r="AQ66" s="1090">
        <v>516</v>
      </c>
      <c r="AR66" s="2144"/>
    </row>
    <row r="67" spans="1:44" x14ac:dyDescent="0.3">
      <c r="A67" s="183" t="s">
        <v>155</v>
      </c>
      <c r="B67" s="184" t="s">
        <v>352</v>
      </c>
      <c r="C67" s="191" t="s">
        <v>253</v>
      </c>
      <c r="D67" s="188">
        <v>7.8E-2</v>
      </c>
      <c r="E67" s="189">
        <v>7.0999999999999994E-2</v>
      </c>
      <c r="F67" s="189">
        <v>0.08</v>
      </c>
      <c r="G67" s="189">
        <v>8.4000000000000005E-2</v>
      </c>
      <c r="H67" s="189">
        <v>7.6999999999999999E-2</v>
      </c>
      <c r="I67" s="189">
        <v>8.1000000000000003E-2</v>
      </c>
      <c r="J67" s="189">
        <v>8.1000000000000003E-2</v>
      </c>
      <c r="K67" s="189">
        <v>7.5999999999999998E-2</v>
      </c>
      <c r="L67" s="189">
        <v>8.0999999999999989E-2</v>
      </c>
      <c r="M67" s="189">
        <v>8.8999999999999996E-2</v>
      </c>
      <c r="N67" s="190">
        <v>8.4000000000000005E-2</v>
      </c>
      <c r="O67" s="190">
        <v>0.10800000000000001</v>
      </c>
      <c r="P67" s="190">
        <v>0.104</v>
      </c>
      <c r="Q67" s="951">
        <v>9.8985399653551104E-2</v>
      </c>
      <c r="R67" s="1083">
        <v>9.7235932872655473E-2</v>
      </c>
      <c r="S67" s="951">
        <v>0.10213601767738767</v>
      </c>
      <c r="T67" s="1859">
        <v>8.3472057074910816E-2</v>
      </c>
      <c r="U67" s="1083">
        <v>7.591933570581258E-2</v>
      </c>
      <c r="V67" s="1083">
        <v>7.3350195447229247E-2</v>
      </c>
      <c r="W67" s="2138">
        <v>7.2759937121041993E-2</v>
      </c>
      <c r="X67" s="790"/>
      <c r="Y67" s="948">
        <v>257</v>
      </c>
      <c r="Z67" s="948">
        <v>233</v>
      </c>
      <c r="AA67" s="948">
        <v>270</v>
      </c>
      <c r="AB67" s="948">
        <v>291</v>
      </c>
      <c r="AC67" s="948">
        <v>268</v>
      </c>
      <c r="AD67" s="948">
        <v>280</v>
      </c>
      <c r="AE67" s="948">
        <v>285</v>
      </c>
      <c r="AF67" s="948">
        <v>285</v>
      </c>
      <c r="AG67" s="948">
        <v>307</v>
      </c>
      <c r="AH67" s="948">
        <v>341</v>
      </c>
      <c r="AI67" s="948">
        <v>334</v>
      </c>
      <c r="AJ67" s="948">
        <v>428</v>
      </c>
      <c r="AK67" s="874">
        <v>413</v>
      </c>
      <c r="AL67" s="874">
        <v>400</v>
      </c>
      <c r="AM67" s="1090">
        <v>394</v>
      </c>
      <c r="AN67" s="871">
        <v>416</v>
      </c>
      <c r="AO67" s="1862">
        <v>351</v>
      </c>
      <c r="AP67" s="1090">
        <v>320</v>
      </c>
      <c r="AQ67" s="1090">
        <v>319</v>
      </c>
      <c r="AR67" s="2144"/>
    </row>
    <row r="68" spans="1:44" x14ac:dyDescent="0.3">
      <c r="A68" s="183" t="s">
        <v>161</v>
      </c>
      <c r="B68" s="184" t="s">
        <v>353</v>
      </c>
      <c r="C68" s="191" t="s">
        <v>251</v>
      </c>
      <c r="D68" s="188">
        <v>0.27100000000000002</v>
      </c>
      <c r="E68" s="189">
        <v>0.24300000000000002</v>
      </c>
      <c r="F68" s="189">
        <v>0.252</v>
      </c>
      <c r="G68" s="189">
        <v>0.28400000000000003</v>
      </c>
      <c r="H68" s="189">
        <v>0.24399999999999997</v>
      </c>
      <c r="I68" s="189">
        <v>0.28500000000000003</v>
      </c>
      <c r="J68" s="189">
        <v>0.28299999999999997</v>
      </c>
      <c r="K68" s="189">
        <v>0.315</v>
      </c>
      <c r="L68" s="189">
        <v>0.30599999999999999</v>
      </c>
      <c r="M68" s="189">
        <v>0.32200000000000006</v>
      </c>
      <c r="N68" s="190">
        <v>0.316</v>
      </c>
      <c r="O68" s="190">
        <v>0.35100000000000003</v>
      </c>
      <c r="P68" s="190">
        <v>0.34599999999999997</v>
      </c>
      <c r="Q68" s="951">
        <v>0.34269902085994042</v>
      </c>
      <c r="R68" s="1083">
        <v>0.3340283569641368</v>
      </c>
      <c r="S68" s="951">
        <v>0.33663366336633666</v>
      </c>
      <c r="T68" s="1859">
        <v>0.29377832715286362</v>
      </c>
      <c r="U68" s="1083">
        <v>0.28836206896551725</v>
      </c>
      <c r="V68" s="1083">
        <v>0.29982440737489024</v>
      </c>
      <c r="W68" s="2138">
        <v>0.29639401934916448</v>
      </c>
      <c r="X68" s="790"/>
      <c r="Y68" s="948">
        <v>794</v>
      </c>
      <c r="Z68" s="948">
        <v>719</v>
      </c>
      <c r="AA68" s="948">
        <v>775</v>
      </c>
      <c r="AB68" s="948">
        <v>838</v>
      </c>
      <c r="AC68" s="948">
        <v>743</v>
      </c>
      <c r="AD68" s="948">
        <v>853</v>
      </c>
      <c r="AE68" s="948">
        <v>838</v>
      </c>
      <c r="AF68" s="948">
        <v>922</v>
      </c>
      <c r="AG68" s="948">
        <v>877</v>
      </c>
      <c r="AH68" s="948">
        <v>933</v>
      </c>
      <c r="AI68" s="948">
        <v>760</v>
      </c>
      <c r="AJ68" s="948">
        <v>843</v>
      </c>
      <c r="AK68" s="874">
        <v>821</v>
      </c>
      <c r="AL68" s="874">
        <v>805</v>
      </c>
      <c r="AM68" s="1090">
        <v>801</v>
      </c>
      <c r="AN68" s="871">
        <v>816</v>
      </c>
      <c r="AO68" s="1862">
        <v>713</v>
      </c>
      <c r="AP68" s="1090">
        <v>669</v>
      </c>
      <c r="AQ68" s="1090">
        <v>683</v>
      </c>
      <c r="AR68" s="2144"/>
    </row>
    <row r="69" spans="1:44" x14ac:dyDescent="0.3">
      <c r="A69" s="183" t="s">
        <v>163</v>
      </c>
      <c r="B69" s="184" t="s">
        <v>354</v>
      </c>
      <c r="C69" s="191" t="s">
        <v>253</v>
      </c>
      <c r="D69" s="188">
        <v>0.20199999999999999</v>
      </c>
      <c r="E69" s="189">
        <v>0.18399999999999997</v>
      </c>
      <c r="F69" s="189">
        <v>0.20199999999999999</v>
      </c>
      <c r="G69" s="189">
        <v>0.218</v>
      </c>
      <c r="H69" s="189">
        <v>0.19</v>
      </c>
      <c r="I69" s="189">
        <v>0.22900000000000001</v>
      </c>
      <c r="J69" s="189">
        <v>0.23700000000000002</v>
      </c>
      <c r="K69" s="189">
        <v>0.23199999999999998</v>
      </c>
      <c r="L69" s="189">
        <v>0.247</v>
      </c>
      <c r="M69" s="189">
        <v>0.26600000000000001</v>
      </c>
      <c r="N69" s="190">
        <v>0.28200000000000003</v>
      </c>
      <c r="O69" s="190">
        <v>0.28300000000000003</v>
      </c>
      <c r="P69" s="190">
        <v>0.28699999999999998</v>
      </c>
      <c r="Q69" s="951">
        <v>0.31003201707577377</v>
      </c>
      <c r="R69" s="1083">
        <v>0.30355276907001044</v>
      </c>
      <c r="S69" s="951">
        <v>0.2900804289544236</v>
      </c>
      <c r="T69" s="1859">
        <v>0.2624931356397584</v>
      </c>
      <c r="U69" s="1083">
        <v>0.27796234772978962</v>
      </c>
      <c r="V69" s="1083">
        <v>0.26963048498845266</v>
      </c>
      <c r="W69" s="2138">
        <v>0.26104651162790699</v>
      </c>
      <c r="X69" s="790"/>
      <c r="Y69" s="948">
        <v>445</v>
      </c>
      <c r="Z69" s="948">
        <v>422</v>
      </c>
      <c r="AA69" s="948">
        <v>472</v>
      </c>
      <c r="AB69" s="948">
        <v>502</v>
      </c>
      <c r="AC69" s="948">
        <v>426</v>
      </c>
      <c r="AD69" s="948">
        <v>506</v>
      </c>
      <c r="AE69" s="948">
        <v>518</v>
      </c>
      <c r="AF69" s="948">
        <v>526</v>
      </c>
      <c r="AG69" s="948">
        <v>555</v>
      </c>
      <c r="AH69" s="948">
        <v>549</v>
      </c>
      <c r="AI69" s="948">
        <v>558</v>
      </c>
      <c r="AJ69" s="948">
        <v>559</v>
      </c>
      <c r="AK69" s="874">
        <v>558</v>
      </c>
      <c r="AL69" s="874">
        <v>581</v>
      </c>
      <c r="AM69" s="1090">
        <v>581</v>
      </c>
      <c r="AN69" s="871">
        <v>541</v>
      </c>
      <c r="AO69" s="1862">
        <v>478</v>
      </c>
      <c r="AP69" s="1090">
        <v>502</v>
      </c>
      <c r="AQ69" s="1090">
        <v>467</v>
      </c>
      <c r="AR69" s="2144"/>
    </row>
    <row r="70" spans="1:44" x14ac:dyDescent="0.3">
      <c r="A70" s="183" t="s">
        <v>167</v>
      </c>
      <c r="B70" s="184" t="s">
        <v>355</v>
      </c>
      <c r="C70" s="191" t="s">
        <v>253</v>
      </c>
      <c r="D70" s="188">
        <v>0.224</v>
      </c>
      <c r="E70" s="189">
        <v>0.20200000000000001</v>
      </c>
      <c r="F70" s="189">
        <v>0.21699999999999997</v>
      </c>
      <c r="G70" s="189">
        <v>0.23899999999999999</v>
      </c>
      <c r="H70" s="189">
        <v>0.218</v>
      </c>
      <c r="I70" s="189">
        <v>0.26300000000000001</v>
      </c>
      <c r="J70" s="189">
        <v>0.25</v>
      </c>
      <c r="K70" s="189">
        <v>0.24899999999999997</v>
      </c>
      <c r="L70" s="189">
        <v>0.27200000000000002</v>
      </c>
      <c r="M70" s="189">
        <v>0.27499999999999997</v>
      </c>
      <c r="N70" s="190">
        <v>0.27900000000000003</v>
      </c>
      <c r="O70" s="190">
        <v>0.29100000000000004</v>
      </c>
      <c r="P70" s="190">
        <v>0.29899999999999999</v>
      </c>
      <c r="Q70" s="951">
        <v>0.29323797139141744</v>
      </c>
      <c r="R70" s="1083">
        <v>0.30859872611464967</v>
      </c>
      <c r="S70" s="951">
        <v>0.28728923476005186</v>
      </c>
      <c r="T70" s="1859">
        <v>0.29095762429095762</v>
      </c>
      <c r="U70" s="1083">
        <v>0.25268817204301075</v>
      </c>
      <c r="V70" s="1083">
        <v>0.27913372292884153</v>
      </c>
      <c r="W70" s="2138">
        <v>0.26961288112367249</v>
      </c>
      <c r="X70" s="790"/>
      <c r="Y70" s="948">
        <v>799</v>
      </c>
      <c r="Z70" s="948">
        <v>698</v>
      </c>
      <c r="AA70" s="948">
        <v>748</v>
      </c>
      <c r="AB70" s="948">
        <v>826</v>
      </c>
      <c r="AC70" s="948">
        <v>733</v>
      </c>
      <c r="AD70" s="948">
        <v>873</v>
      </c>
      <c r="AE70" s="948">
        <v>811</v>
      </c>
      <c r="AF70" s="948">
        <v>798</v>
      </c>
      <c r="AG70" s="948">
        <v>862</v>
      </c>
      <c r="AH70" s="948">
        <v>901</v>
      </c>
      <c r="AI70" s="948">
        <v>895</v>
      </c>
      <c r="AJ70" s="948">
        <v>940</v>
      </c>
      <c r="AK70" s="874">
        <v>950</v>
      </c>
      <c r="AL70" s="874">
        <v>902</v>
      </c>
      <c r="AM70" s="1090">
        <v>969</v>
      </c>
      <c r="AN70" s="871">
        <v>886</v>
      </c>
      <c r="AO70" s="1862">
        <v>872</v>
      </c>
      <c r="AP70" s="1090">
        <v>752</v>
      </c>
      <c r="AQ70" s="1090">
        <v>812</v>
      </c>
      <c r="AR70" s="2144"/>
    </row>
    <row r="71" spans="1:44" x14ac:dyDescent="0.3">
      <c r="A71" s="183" t="s">
        <v>169</v>
      </c>
      <c r="B71" s="184" t="s">
        <v>356</v>
      </c>
      <c r="C71" s="191" t="s">
        <v>254</v>
      </c>
      <c r="D71" s="188">
        <v>0.128</v>
      </c>
      <c r="E71" s="189">
        <v>0.115</v>
      </c>
      <c r="F71" s="189">
        <v>0.11699999999999999</v>
      </c>
      <c r="G71" s="189">
        <v>0.123</v>
      </c>
      <c r="H71" s="189">
        <v>0.112</v>
      </c>
      <c r="I71" s="189">
        <v>0.129</v>
      </c>
      <c r="J71" s="189">
        <v>0.10800000000000001</v>
      </c>
      <c r="K71" s="189">
        <v>0.10800000000000001</v>
      </c>
      <c r="L71" s="189">
        <v>0.11699999999999999</v>
      </c>
      <c r="M71" s="189">
        <v>0.13899999999999998</v>
      </c>
      <c r="N71" s="190">
        <v>0.14799999999999999</v>
      </c>
      <c r="O71" s="190">
        <v>0.17199999999999999</v>
      </c>
      <c r="P71" s="190">
        <v>0.14299999999999999</v>
      </c>
      <c r="Q71" s="951">
        <v>0.15467720685111991</v>
      </c>
      <c r="R71" s="1083">
        <v>0.15748550342646284</v>
      </c>
      <c r="S71" s="951">
        <v>0.15186700092360469</v>
      </c>
      <c r="T71" s="1859">
        <v>0.13697356184402817</v>
      </c>
      <c r="U71" s="1083">
        <v>0.1255777102865443</v>
      </c>
      <c r="V71" s="1083">
        <v>0.12861651762230406</v>
      </c>
      <c r="W71" s="2138">
        <v>0.13973284442116291</v>
      </c>
      <c r="X71" s="790"/>
      <c r="Y71" s="948">
        <v>767</v>
      </c>
      <c r="Z71" s="948">
        <v>694</v>
      </c>
      <c r="AA71" s="948">
        <v>724</v>
      </c>
      <c r="AB71" s="948">
        <v>778</v>
      </c>
      <c r="AC71" s="948">
        <v>722</v>
      </c>
      <c r="AD71" s="948">
        <v>825</v>
      </c>
      <c r="AE71" s="948">
        <v>706</v>
      </c>
      <c r="AF71" s="948">
        <v>774</v>
      </c>
      <c r="AG71" s="948">
        <v>845</v>
      </c>
      <c r="AH71" s="948">
        <v>1051</v>
      </c>
      <c r="AI71" s="948">
        <v>1120</v>
      </c>
      <c r="AJ71" s="948">
        <v>1292</v>
      </c>
      <c r="AK71" s="874">
        <v>1081</v>
      </c>
      <c r="AL71" s="874">
        <v>1174</v>
      </c>
      <c r="AM71" s="1090">
        <v>1195</v>
      </c>
      <c r="AN71" s="871">
        <v>1151</v>
      </c>
      <c r="AO71" s="1862">
        <v>1031</v>
      </c>
      <c r="AP71" s="1090">
        <v>951</v>
      </c>
      <c r="AQ71" s="1090">
        <v>978</v>
      </c>
      <c r="AR71" s="2144"/>
    </row>
    <row r="72" spans="1:44" x14ac:dyDescent="0.3">
      <c r="A72" s="183" t="s">
        <v>171</v>
      </c>
      <c r="B72" s="184" t="s">
        <v>357</v>
      </c>
      <c r="C72" s="191" t="s">
        <v>254</v>
      </c>
      <c r="D72" s="188">
        <v>0.157</v>
      </c>
      <c r="E72" s="189">
        <v>0.14300000000000002</v>
      </c>
      <c r="F72" s="189">
        <v>0.153</v>
      </c>
      <c r="G72" s="189">
        <v>0.17300000000000001</v>
      </c>
      <c r="H72" s="189">
        <v>0.158</v>
      </c>
      <c r="I72" s="189">
        <v>0.19500000000000001</v>
      </c>
      <c r="J72" s="189">
        <v>0.18300000000000002</v>
      </c>
      <c r="K72" s="189">
        <v>0.17899999999999999</v>
      </c>
      <c r="L72" s="189">
        <v>0.20800000000000002</v>
      </c>
      <c r="M72" s="189">
        <v>0.20700000000000002</v>
      </c>
      <c r="N72" s="190">
        <v>0.22700000000000001</v>
      </c>
      <c r="O72" s="190">
        <v>0.23499999999999999</v>
      </c>
      <c r="P72" s="190">
        <v>0.215</v>
      </c>
      <c r="Q72" s="951">
        <v>0.22322364284217144</v>
      </c>
      <c r="R72" s="1083">
        <v>0.23797574236721036</v>
      </c>
      <c r="S72" s="951">
        <v>0.23204068658614113</v>
      </c>
      <c r="T72" s="1859">
        <v>0.23856773080241589</v>
      </c>
      <c r="U72" s="1083">
        <v>0.2210144927536232</v>
      </c>
      <c r="V72" s="1083">
        <v>0.18978414191066467</v>
      </c>
      <c r="W72" s="2138">
        <v>0.1730603448275862</v>
      </c>
      <c r="X72" s="790"/>
      <c r="Y72" s="948">
        <v>816</v>
      </c>
      <c r="Z72" s="948">
        <v>734</v>
      </c>
      <c r="AA72" s="948">
        <v>796</v>
      </c>
      <c r="AB72" s="948">
        <v>895</v>
      </c>
      <c r="AC72" s="948">
        <v>819</v>
      </c>
      <c r="AD72" s="948">
        <v>997</v>
      </c>
      <c r="AE72" s="948">
        <v>926</v>
      </c>
      <c r="AF72" s="948">
        <v>899</v>
      </c>
      <c r="AG72" s="948">
        <v>1035</v>
      </c>
      <c r="AH72" s="948">
        <v>1031</v>
      </c>
      <c r="AI72" s="948">
        <v>1159</v>
      </c>
      <c r="AJ72" s="948">
        <v>1172</v>
      </c>
      <c r="AK72" s="874">
        <v>1049</v>
      </c>
      <c r="AL72" s="874">
        <v>1065</v>
      </c>
      <c r="AM72" s="1090">
        <v>1138</v>
      </c>
      <c r="AN72" s="871">
        <v>1095</v>
      </c>
      <c r="AO72" s="1862">
        <v>1106</v>
      </c>
      <c r="AP72" s="1090">
        <v>1037</v>
      </c>
      <c r="AQ72" s="1090">
        <v>888</v>
      </c>
      <c r="AR72" s="2144"/>
    </row>
    <row r="73" spans="1:44" x14ac:dyDescent="0.3">
      <c r="A73" s="183" t="s">
        <v>173</v>
      </c>
      <c r="B73" s="184" t="s">
        <v>358</v>
      </c>
      <c r="C73" s="191" t="s">
        <v>255</v>
      </c>
      <c r="D73" s="188">
        <v>0.18000000000000002</v>
      </c>
      <c r="E73" s="189">
        <v>0.16899999999999998</v>
      </c>
      <c r="F73" s="189">
        <v>0.18399999999999997</v>
      </c>
      <c r="G73" s="189">
        <v>0.218</v>
      </c>
      <c r="H73" s="189">
        <v>0.19500000000000001</v>
      </c>
      <c r="I73" s="189">
        <v>0.22700000000000001</v>
      </c>
      <c r="J73" s="189">
        <v>0.20799999999999999</v>
      </c>
      <c r="K73" s="189">
        <v>0.221</v>
      </c>
      <c r="L73" s="189">
        <v>0.24399999999999999</v>
      </c>
      <c r="M73" s="189">
        <v>0.26699999999999996</v>
      </c>
      <c r="N73" s="190">
        <v>0.28100000000000003</v>
      </c>
      <c r="O73" s="190">
        <v>0.27</v>
      </c>
      <c r="P73" s="190">
        <v>0.27200000000000002</v>
      </c>
      <c r="Q73" s="951">
        <v>0.28174123337363965</v>
      </c>
      <c r="R73" s="1083">
        <v>0.31790312691600248</v>
      </c>
      <c r="S73" s="951">
        <v>0.25541941564561732</v>
      </c>
      <c r="T73" s="1859">
        <v>0.27523229734059595</v>
      </c>
      <c r="U73" s="1083">
        <v>0.22310756972111553</v>
      </c>
      <c r="V73" s="1083">
        <v>0.22667107875579087</v>
      </c>
      <c r="W73" s="2138">
        <v>0.22842809364548494</v>
      </c>
      <c r="X73" s="790"/>
      <c r="Y73" s="948">
        <v>736</v>
      </c>
      <c r="Z73" s="948">
        <v>671</v>
      </c>
      <c r="AA73" s="948">
        <v>723</v>
      </c>
      <c r="AB73" s="948">
        <v>848</v>
      </c>
      <c r="AC73" s="948">
        <v>748</v>
      </c>
      <c r="AD73" s="948">
        <v>859</v>
      </c>
      <c r="AE73" s="948">
        <v>767</v>
      </c>
      <c r="AF73" s="948">
        <v>803</v>
      </c>
      <c r="AG73" s="948">
        <v>863</v>
      </c>
      <c r="AH73" s="948">
        <v>928</v>
      </c>
      <c r="AI73" s="948">
        <v>978</v>
      </c>
      <c r="AJ73" s="948">
        <v>919</v>
      </c>
      <c r="AK73" s="874">
        <v>900</v>
      </c>
      <c r="AL73" s="874">
        <v>932</v>
      </c>
      <c r="AM73" s="1090">
        <v>1037</v>
      </c>
      <c r="AN73" s="871">
        <v>813</v>
      </c>
      <c r="AO73" s="1862">
        <v>859</v>
      </c>
      <c r="AP73" s="1090">
        <v>672</v>
      </c>
      <c r="AQ73" s="1090">
        <v>685</v>
      </c>
      <c r="AR73" s="2144"/>
    </row>
    <row r="74" spans="1:44" x14ac:dyDescent="0.3">
      <c r="A74" s="183" t="s">
        <v>177</v>
      </c>
      <c r="B74" s="184" t="s">
        <v>178</v>
      </c>
      <c r="C74" s="191" t="s">
        <v>252</v>
      </c>
      <c r="D74" s="188">
        <v>0.14599999999999999</v>
      </c>
      <c r="E74" s="189">
        <v>0.14100000000000001</v>
      </c>
      <c r="F74" s="189">
        <v>0.16500000000000001</v>
      </c>
      <c r="G74" s="189">
        <v>0.182</v>
      </c>
      <c r="H74" s="189">
        <v>0.16300000000000001</v>
      </c>
      <c r="I74" s="189">
        <v>0.19</v>
      </c>
      <c r="J74" s="189">
        <v>0.17599999999999999</v>
      </c>
      <c r="K74" s="189">
        <v>0.17199999999999999</v>
      </c>
      <c r="L74" s="189">
        <v>0.18300000000000002</v>
      </c>
      <c r="M74" s="189">
        <v>0.20499999999999999</v>
      </c>
      <c r="N74" s="190">
        <v>0.224</v>
      </c>
      <c r="O74" s="190">
        <v>0.20800000000000002</v>
      </c>
      <c r="P74" s="190">
        <v>0.21099999999999999</v>
      </c>
      <c r="Q74" s="951">
        <v>0.21290637985822539</v>
      </c>
      <c r="R74" s="1083">
        <v>0.20068694798822376</v>
      </c>
      <c r="S74" s="951">
        <v>0.25557742782152232</v>
      </c>
      <c r="T74" s="1859">
        <v>0.18956624672359854</v>
      </c>
      <c r="U74" s="1083">
        <v>0.18773122257592703</v>
      </c>
      <c r="V74" s="1083">
        <v>0.22302538787023976</v>
      </c>
      <c r="W74" s="2138">
        <v>0.23762919601207355</v>
      </c>
      <c r="X74" s="790"/>
      <c r="Y74" s="948">
        <v>2045</v>
      </c>
      <c r="Z74" s="948">
        <v>1937</v>
      </c>
      <c r="AA74" s="948">
        <v>2274</v>
      </c>
      <c r="AB74" s="948">
        <v>2478</v>
      </c>
      <c r="AC74" s="948">
        <v>2214</v>
      </c>
      <c r="AD74" s="948">
        <v>2542</v>
      </c>
      <c r="AE74" s="948">
        <v>2278</v>
      </c>
      <c r="AF74" s="948">
        <v>2198</v>
      </c>
      <c r="AG74" s="948">
        <v>2305</v>
      </c>
      <c r="AH74" s="948">
        <v>2664</v>
      </c>
      <c r="AI74" s="948">
        <v>2968</v>
      </c>
      <c r="AJ74" s="948">
        <v>2694</v>
      </c>
      <c r="AK74" s="874">
        <v>2639</v>
      </c>
      <c r="AL74" s="874">
        <v>2613</v>
      </c>
      <c r="AM74" s="1090">
        <v>2454</v>
      </c>
      <c r="AN74" s="871">
        <v>3116</v>
      </c>
      <c r="AO74" s="1862">
        <v>2242</v>
      </c>
      <c r="AP74" s="1090">
        <v>2182</v>
      </c>
      <c r="AQ74" s="1090">
        <v>2530</v>
      </c>
      <c r="AR74" s="2144"/>
    </row>
    <row r="75" spans="1:44" x14ac:dyDescent="0.3">
      <c r="A75" s="183" t="s">
        <v>181</v>
      </c>
      <c r="B75" s="184" t="s">
        <v>359</v>
      </c>
      <c r="C75" s="191" t="s">
        <v>253</v>
      </c>
      <c r="D75" s="188">
        <v>7.0000000000000007E-2</v>
      </c>
      <c r="E75" s="189">
        <v>0.06</v>
      </c>
      <c r="F75" s="189">
        <v>6.3E-2</v>
      </c>
      <c r="G75" s="189">
        <v>7.0999999999999994E-2</v>
      </c>
      <c r="H75" s="189">
        <v>6.7000000000000004E-2</v>
      </c>
      <c r="I75" s="189">
        <v>6.9000000000000006E-2</v>
      </c>
      <c r="J75" s="189">
        <v>6.5000000000000002E-2</v>
      </c>
      <c r="K75" s="189">
        <v>6.4000000000000001E-2</v>
      </c>
      <c r="L75" s="189">
        <v>7.400000000000001E-2</v>
      </c>
      <c r="M75" s="189">
        <v>7.6999999999999999E-2</v>
      </c>
      <c r="N75" s="190">
        <v>9.1999999999999985E-2</v>
      </c>
      <c r="O75" s="190">
        <v>9.6999999999999989E-2</v>
      </c>
      <c r="P75" s="190">
        <v>9.2999999999999999E-2</v>
      </c>
      <c r="Q75" s="951">
        <v>9.1792858478220232E-2</v>
      </c>
      <c r="R75" s="1083">
        <v>9.1012514220705346E-2</v>
      </c>
      <c r="S75" s="951">
        <v>8.479814564419548E-2</v>
      </c>
      <c r="T75" s="1859">
        <v>8.184292379471228E-2</v>
      </c>
      <c r="U75" s="1083">
        <v>6.8199532346063907E-2</v>
      </c>
      <c r="V75" s="1083">
        <v>8.0543332695618905E-2</v>
      </c>
      <c r="W75" s="2138">
        <v>6.6666666666666666E-2</v>
      </c>
      <c r="X75" s="790"/>
      <c r="Y75" s="948">
        <v>373</v>
      </c>
      <c r="Z75" s="948">
        <v>324</v>
      </c>
      <c r="AA75" s="948">
        <v>346</v>
      </c>
      <c r="AB75" s="948">
        <v>403</v>
      </c>
      <c r="AC75" s="948">
        <v>386</v>
      </c>
      <c r="AD75" s="948">
        <v>392</v>
      </c>
      <c r="AE75" s="948">
        <v>373</v>
      </c>
      <c r="AF75" s="948">
        <v>382</v>
      </c>
      <c r="AG75" s="948">
        <v>433</v>
      </c>
      <c r="AH75" s="948">
        <v>472</v>
      </c>
      <c r="AI75" s="948">
        <v>569</v>
      </c>
      <c r="AJ75" s="948">
        <v>576</v>
      </c>
      <c r="AK75" s="874">
        <v>537</v>
      </c>
      <c r="AL75" s="874">
        <v>491</v>
      </c>
      <c r="AM75" s="1090">
        <v>480</v>
      </c>
      <c r="AN75" s="871">
        <v>439</v>
      </c>
      <c r="AO75" s="1862">
        <v>421</v>
      </c>
      <c r="AP75" s="1090">
        <v>350</v>
      </c>
      <c r="AQ75" s="1090">
        <v>421</v>
      </c>
      <c r="AR75" s="2144"/>
    </row>
    <row r="76" spans="1:44" x14ac:dyDescent="0.3">
      <c r="A76" s="183" t="s">
        <v>183</v>
      </c>
      <c r="B76" s="184" t="s">
        <v>360</v>
      </c>
      <c r="C76" s="191" t="s">
        <v>253</v>
      </c>
      <c r="D76" s="188">
        <v>0.22399999999999998</v>
      </c>
      <c r="E76" s="189">
        <v>0.20199999999999999</v>
      </c>
      <c r="F76" s="189">
        <v>0.218</v>
      </c>
      <c r="G76" s="189">
        <v>0.23399999999999999</v>
      </c>
      <c r="H76" s="189">
        <v>0.21800000000000003</v>
      </c>
      <c r="I76" s="189">
        <v>0.26</v>
      </c>
      <c r="J76" s="189">
        <v>0.249</v>
      </c>
      <c r="K76" s="189">
        <v>0.23899999999999999</v>
      </c>
      <c r="L76" s="189">
        <v>0.26600000000000001</v>
      </c>
      <c r="M76" s="189">
        <v>0.25600000000000001</v>
      </c>
      <c r="N76" s="190">
        <v>0.27</v>
      </c>
      <c r="O76" s="190">
        <v>0.27300000000000002</v>
      </c>
      <c r="P76" s="190">
        <v>0.28699999999999998</v>
      </c>
      <c r="Q76" s="951">
        <v>0.29288025889967639</v>
      </c>
      <c r="R76" s="1083">
        <v>0.30136986301369861</v>
      </c>
      <c r="S76" s="951">
        <v>0.29112524191318773</v>
      </c>
      <c r="T76" s="1859">
        <v>0.28033012379642364</v>
      </c>
      <c r="U76" s="1083">
        <v>0.2714440825190011</v>
      </c>
      <c r="V76" s="1083">
        <v>0.27898747958628201</v>
      </c>
      <c r="W76" s="2138">
        <v>0.24929577464788732</v>
      </c>
      <c r="X76" s="790"/>
      <c r="Y76" s="948">
        <v>864</v>
      </c>
      <c r="Z76" s="948">
        <v>791</v>
      </c>
      <c r="AA76" s="948">
        <v>876</v>
      </c>
      <c r="AB76" s="948">
        <v>918</v>
      </c>
      <c r="AC76" s="948">
        <v>850</v>
      </c>
      <c r="AD76" s="948">
        <v>1000</v>
      </c>
      <c r="AE76" s="948">
        <v>935</v>
      </c>
      <c r="AF76" s="948">
        <v>919</v>
      </c>
      <c r="AG76" s="948">
        <v>1023</v>
      </c>
      <c r="AH76" s="948">
        <v>990</v>
      </c>
      <c r="AI76" s="948">
        <v>1071</v>
      </c>
      <c r="AJ76" s="948">
        <v>1069</v>
      </c>
      <c r="AK76" s="874">
        <v>1123</v>
      </c>
      <c r="AL76" s="874">
        <v>1086</v>
      </c>
      <c r="AM76" s="1090">
        <v>1122</v>
      </c>
      <c r="AN76" s="871">
        <v>1053</v>
      </c>
      <c r="AO76" s="1862">
        <v>1019</v>
      </c>
      <c r="AP76" s="1090">
        <v>1000</v>
      </c>
      <c r="AQ76" s="1090">
        <v>1025</v>
      </c>
      <c r="AR76" s="2144"/>
    </row>
    <row r="77" spans="1:44" x14ac:dyDescent="0.3">
      <c r="A77" s="183" t="s">
        <v>185</v>
      </c>
      <c r="B77" s="184" t="s">
        <v>361</v>
      </c>
      <c r="C77" s="191" t="s">
        <v>251</v>
      </c>
      <c r="D77" s="188">
        <v>9.6000000000000002E-2</v>
      </c>
      <c r="E77" s="189">
        <v>8.6000000000000007E-2</v>
      </c>
      <c r="F77" s="189">
        <v>8.5000000000000006E-2</v>
      </c>
      <c r="G77" s="189">
        <v>0.115</v>
      </c>
      <c r="H77" s="189">
        <v>9.6999999999999989E-2</v>
      </c>
      <c r="I77" s="189">
        <v>0.10300000000000001</v>
      </c>
      <c r="J77" s="189">
        <v>0.10400000000000001</v>
      </c>
      <c r="K77" s="189">
        <v>0.111</v>
      </c>
      <c r="L77" s="189">
        <v>0.128</v>
      </c>
      <c r="M77" s="189">
        <v>0.11599999999999999</v>
      </c>
      <c r="N77" s="190">
        <v>0.127</v>
      </c>
      <c r="O77" s="190">
        <v>0.13600000000000001</v>
      </c>
      <c r="P77" s="190">
        <v>0.126</v>
      </c>
      <c r="Q77" s="951">
        <v>0.14816237674478167</v>
      </c>
      <c r="R77" s="1083">
        <v>0.13015710818750797</v>
      </c>
      <c r="S77" s="951">
        <v>0.12265331664580725</v>
      </c>
      <c r="T77" s="1859">
        <v>0.11555993593692251</v>
      </c>
      <c r="U77" s="1083">
        <v>0.12663755458515283</v>
      </c>
      <c r="V77" s="1083">
        <v>0.11288932660347162</v>
      </c>
      <c r="W77" s="2138">
        <v>0.10160941628633197</v>
      </c>
      <c r="X77" s="790"/>
      <c r="Y77" s="948">
        <v>795</v>
      </c>
      <c r="Z77" s="948">
        <v>708</v>
      </c>
      <c r="AA77" s="948">
        <v>695</v>
      </c>
      <c r="AB77" s="948">
        <v>924</v>
      </c>
      <c r="AC77" s="948">
        <v>778</v>
      </c>
      <c r="AD77" s="948">
        <v>816</v>
      </c>
      <c r="AE77" s="948">
        <v>785</v>
      </c>
      <c r="AF77" s="948">
        <v>819</v>
      </c>
      <c r="AG77" s="948">
        <v>931</v>
      </c>
      <c r="AH77" s="948">
        <v>941</v>
      </c>
      <c r="AI77" s="948">
        <v>1006</v>
      </c>
      <c r="AJ77" s="948">
        <v>1111</v>
      </c>
      <c r="AK77" s="874">
        <v>1011</v>
      </c>
      <c r="AL77" s="874">
        <v>1157</v>
      </c>
      <c r="AM77" s="1090">
        <v>1019</v>
      </c>
      <c r="AN77" s="871">
        <v>980</v>
      </c>
      <c r="AO77" s="1862">
        <v>938</v>
      </c>
      <c r="AP77" s="1090">
        <v>1015</v>
      </c>
      <c r="AQ77" s="1090">
        <v>917</v>
      </c>
      <c r="AR77" s="2144"/>
    </row>
    <row r="78" spans="1:44" x14ac:dyDescent="0.3">
      <c r="A78" s="183" t="s">
        <v>187</v>
      </c>
      <c r="B78" s="184" t="s">
        <v>362</v>
      </c>
      <c r="C78" s="191" t="s">
        <v>254</v>
      </c>
      <c r="D78" s="188">
        <v>6.4000000000000001E-2</v>
      </c>
      <c r="E78" s="189">
        <v>0.06</v>
      </c>
      <c r="F78" s="189">
        <v>7.2999999999999995E-2</v>
      </c>
      <c r="G78" s="189">
        <v>8.1000000000000003E-2</v>
      </c>
      <c r="H78" s="189">
        <v>7.2000000000000008E-2</v>
      </c>
      <c r="I78" s="189">
        <v>7.0000000000000007E-2</v>
      </c>
      <c r="J78" s="189">
        <v>7.0000000000000007E-2</v>
      </c>
      <c r="K78" s="189">
        <v>6.7999999999999991E-2</v>
      </c>
      <c r="L78" s="189">
        <v>7.4999999999999997E-2</v>
      </c>
      <c r="M78" s="189">
        <v>8.2000000000000003E-2</v>
      </c>
      <c r="N78" s="190">
        <v>8.4999999999999992E-2</v>
      </c>
      <c r="O78" s="190">
        <v>9.6999999999999989E-2</v>
      </c>
      <c r="P78" s="190">
        <v>9.6000000000000002E-2</v>
      </c>
      <c r="Q78" s="951">
        <v>0.10001145231745824</v>
      </c>
      <c r="R78" s="1083">
        <v>0.10445084594473973</v>
      </c>
      <c r="S78" s="951">
        <v>8.9921652421652426E-2</v>
      </c>
      <c r="T78" s="1859">
        <v>9.6713348984052455E-2</v>
      </c>
      <c r="U78" s="1083">
        <v>8.0416515900775948E-2</v>
      </c>
      <c r="V78" s="1083">
        <v>8.6601254881874645E-2</v>
      </c>
      <c r="W78" s="2138">
        <v>8.3619951880379143E-2</v>
      </c>
      <c r="X78" s="790"/>
      <c r="Y78" s="948">
        <v>5688</v>
      </c>
      <c r="Z78" s="948">
        <v>5592</v>
      </c>
      <c r="AA78" s="948">
        <v>7107</v>
      </c>
      <c r="AB78" s="948">
        <v>8029</v>
      </c>
      <c r="AC78" s="948">
        <v>7411</v>
      </c>
      <c r="AD78" s="948">
        <v>7148</v>
      </c>
      <c r="AE78" s="948">
        <v>7105</v>
      </c>
      <c r="AF78" s="948">
        <v>7135</v>
      </c>
      <c r="AG78" s="948">
        <v>7921</v>
      </c>
      <c r="AH78" s="948">
        <v>9006</v>
      </c>
      <c r="AI78" s="948">
        <v>9782</v>
      </c>
      <c r="AJ78" s="948">
        <v>11468</v>
      </c>
      <c r="AK78" s="874">
        <v>11471</v>
      </c>
      <c r="AL78" s="874">
        <v>12226</v>
      </c>
      <c r="AM78" s="1090">
        <v>12872</v>
      </c>
      <c r="AN78" s="871">
        <v>11110</v>
      </c>
      <c r="AO78" s="1862">
        <v>11947</v>
      </c>
      <c r="AP78" s="1090">
        <v>10001</v>
      </c>
      <c r="AQ78" s="1090">
        <v>10821</v>
      </c>
      <c r="AR78" s="2144"/>
    </row>
    <row r="79" spans="1:44" x14ac:dyDescent="0.3">
      <c r="A79" s="183" t="s">
        <v>189</v>
      </c>
      <c r="B79" s="184" t="s">
        <v>363</v>
      </c>
      <c r="C79" s="191" t="s">
        <v>255</v>
      </c>
      <c r="D79" s="188">
        <v>0.16499999999999998</v>
      </c>
      <c r="E79" s="189">
        <v>0.156</v>
      </c>
      <c r="F79" s="189">
        <v>0.17399999999999999</v>
      </c>
      <c r="G79" s="189">
        <v>0.193</v>
      </c>
      <c r="H79" s="189">
        <v>0.18100000000000002</v>
      </c>
      <c r="I79" s="189">
        <v>0.21299999999999999</v>
      </c>
      <c r="J79" s="189">
        <v>0.19</v>
      </c>
      <c r="K79" s="189">
        <v>0.19800000000000001</v>
      </c>
      <c r="L79" s="189">
        <v>0.20799999999999999</v>
      </c>
      <c r="M79" s="189">
        <v>0.20600000000000002</v>
      </c>
      <c r="N79" s="190">
        <v>0.23399999999999999</v>
      </c>
      <c r="O79" s="190">
        <v>0.23899999999999999</v>
      </c>
      <c r="P79" s="190">
        <v>0.23100000000000001</v>
      </c>
      <c r="Q79" s="951">
        <v>0.22259669394960679</v>
      </c>
      <c r="R79" s="1083">
        <v>0.22134578235672892</v>
      </c>
      <c r="S79" s="951">
        <v>0.2212303197532868</v>
      </c>
      <c r="T79" s="1859">
        <v>0.20016460905349795</v>
      </c>
      <c r="U79" s="1083">
        <v>0.2111185757473967</v>
      </c>
      <c r="V79" s="1083">
        <v>0.20543755310110451</v>
      </c>
      <c r="W79" s="2138">
        <v>0.2044750430292599</v>
      </c>
      <c r="X79" s="790"/>
      <c r="Y79" s="948">
        <v>1182</v>
      </c>
      <c r="Z79" s="948">
        <v>1105</v>
      </c>
      <c r="AA79" s="948">
        <v>1244</v>
      </c>
      <c r="AB79" s="948">
        <v>1354</v>
      </c>
      <c r="AC79" s="948">
        <v>1250</v>
      </c>
      <c r="AD79" s="948">
        <v>1456</v>
      </c>
      <c r="AE79" s="948">
        <v>1284</v>
      </c>
      <c r="AF79" s="948">
        <v>1334</v>
      </c>
      <c r="AG79" s="948">
        <v>1377</v>
      </c>
      <c r="AH79" s="948">
        <v>1352</v>
      </c>
      <c r="AI79" s="948">
        <v>1557</v>
      </c>
      <c r="AJ79" s="948">
        <v>1564</v>
      </c>
      <c r="AK79" s="874">
        <v>1472</v>
      </c>
      <c r="AL79" s="874">
        <v>1387</v>
      </c>
      <c r="AM79" s="1090">
        <v>1375</v>
      </c>
      <c r="AN79" s="871">
        <v>1363</v>
      </c>
      <c r="AO79" s="1862">
        <v>1216</v>
      </c>
      <c r="AP79" s="1090">
        <v>1257</v>
      </c>
      <c r="AQ79" s="1090">
        <v>1209</v>
      </c>
      <c r="AR79" s="2144"/>
    </row>
    <row r="80" spans="1:44" x14ac:dyDescent="0.3">
      <c r="A80" s="183" t="s">
        <v>193</v>
      </c>
      <c r="B80" s="184" t="s">
        <v>194</v>
      </c>
      <c r="C80" s="191" t="s">
        <v>254</v>
      </c>
      <c r="D80" s="188">
        <v>0.122</v>
      </c>
      <c r="E80" s="189">
        <v>0.11399999999999999</v>
      </c>
      <c r="F80" s="189">
        <v>0.10500000000000001</v>
      </c>
      <c r="G80" s="189">
        <v>0.109</v>
      </c>
      <c r="H80" s="189">
        <v>0.09</v>
      </c>
      <c r="I80" s="189">
        <v>0.10199999999999998</v>
      </c>
      <c r="J80" s="189">
        <v>0.10300000000000001</v>
      </c>
      <c r="K80" s="189">
        <v>0.11499999999999999</v>
      </c>
      <c r="L80" s="189">
        <v>0.13300000000000001</v>
      </c>
      <c r="M80" s="189">
        <v>0.14199999999999999</v>
      </c>
      <c r="N80" s="190">
        <v>0.155</v>
      </c>
      <c r="O80" s="190">
        <v>0.16200000000000001</v>
      </c>
      <c r="P80" s="190">
        <v>0.17100000000000001</v>
      </c>
      <c r="Q80" s="951">
        <v>0.17655571635311143</v>
      </c>
      <c r="R80" s="1083">
        <v>0.16562499999999999</v>
      </c>
      <c r="S80" s="951">
        <v>0.15553809897879026</v>
      </c>
      <c r="T80" s="1859">
        <v>0.1680933852140078</v>
      </c>
      <c r="U80" s="1083">
        <v>0.15166261151662611</v>
      </c>
      <c r="V80" s="1083">
        <v>0.1363244176013805</v>
      </c>
      <c r="W80" s="2138">
        <v>0.13702127659574467</v>
      </c>
      <c r="X80" s="790"/>
      <c r="Y80" s="948">
        <v>190</v>
      </c>
      <c r="Z80" s="948">
        <v>178</v>
      </c>
      <c r="AA80" s="948">
        <v>161</v>
      </c>
      <c r="AB80" s="948">
        <v>165</v>
      </c>
      <c r="AC80" s="948">
        <v>134</v>
      </c>
      <c r="AD80" s="948">
        <v>149</v>
      </c>
      <c r="AE80" s="948">
        <v>149</v>
      </c>
      <c r="AF80" s="948">
        <v>165</v>
      </c>
      <c r="AG80" s="948">
        <v>186</v>
      </c>
      <c r="AH80" s="948">
        <v>199</v>
      </c>
      <c r="AI80" s="948">
        <v>222</v>
      </c>
      <c r="AJ80" s="948">
        <v>231</v>
      </c>
      <c r="AK80" s="874">
        <v>235</v>
      </c>
      <c r="AL80" s="874">
        <v>244</v>
      </c>
      <c r="AM80" s="1090">
        <v>212</v>
      </c>
      <c r="AN80" s="871">
        <v>198</v>
      </c>
      <c r="AO80" s="1862">
        <v>216</v>
      </c>
      <c r="AP80" s="1090">
        <v>187</v>
      </c>
      <c r="AQ80" s="1090">
        <v>158</v>
      </c>
      <c r="AR80" s="2144"/>
    </row>
    <row r="81" spans="1:44" x14ac:dyDescent="0.3">
      <c r="A81" s="183" t="s">
        <v>197</v>
      </c>
      <c r="B81" s="184" t="s">
        <v>259</v>
      </c>
      <c r="C81" s="191" t="s">
        <v>253</v>
      </c>
      <c r="D81" s="188">
        <v>0.189</v>
      </c>
      <c r="E81" s="189">
        <v>0.17600000000000002</v>
      </c>
      <c r="F81" s="189">
        <v>0.185</v>
      </c>
      <c r="G81" s="189">
        <v>0.20100000000000001</v>
      </c>
      <c r="H81" s="189">
        <v>0.187</v>
      </c>
      <c r="I81" s="189">
        <v>0.21299999999999999</v>
      </c>
      <c r="J81" s="189">
        <v>0.19900000000000001</v>
      </c>
      <c r="K81" s="189">
        <v>0.21500000000000002</v>
      </c>
      <c r="L81" s="189">
        <v>0.20899999999999999</v>
      </c>
      <c r="M81" s="189">
        <v>0.21899999999999997</v>
      </c>
      <c r="N81" s="190">
        <v>0.23799999999999999</v>
      </c>
      <c r="O81" s="190">
        <v>0.25900000000000001</v>
      </c>
      <c r="P81" s="190">
        <v>0.24099999999999999</v>
      </c>
      <c r="Q81" s="951">
        <v>0.25810810810810808</v>
      </c>
      <c r="R81" s="1083">
        <v>0.23908663532572197</v>
      </c>
      <c r="S81" s="951">
        <v>0.22988505747126436</v>
      </c>
      <c r="T81" s="1859">
        <v>0.23664122137404581</v>
      </c>
      <c r="U81" s="1083">
        <v>0.22967479674796748</v>
      </c>
      <c r="V81" s="1083">
        <v>0.22486772486772486</v>
      </c>
      <c r="W81" s="2138">
        <v>0.20229265003371544</v>
      </c>
      <c r="X81" s="790"/>
      <c r="Y81" s="948">
        <v>293</v>
      </c>
      <c r="Z81" s="948">
        <v>262</v>
      </c>
      <c r="AA81" s="948">
        <v>278</v>
      </c>
      <c r="AB81" s="948">
        <v>304</v>
      </c>
      <c r="AC81" s="948">
        <v>269</v>
      </c>
      <c r="AD81" s="948">
        <v>305</v>
      </c>
      <c r="AE81" s="948">
        <v>284</v>
      </c>
      <c r="AF81" s="948">
        <v>317</v>
      </c>
      <c r="AG81" s="948">
        <v>308</v>
      </c>
      <c r="AH81" s="948">
        <v>325</v>
      </c>
      <c r="AI81" s="948">
        <v>365</v>
      </c>
      <c r="AJ81" s="948">
        <v>394</v>
      </c>
      <c r="AK81" s="874">
        <v>366</v>
      </c>
      <c r="AL81" s="874">
        <v>382</v>
      </c>
      <c r="AM81" s="1090">
        <v>356</v>
      </c>
      <c r="AN81" s="871">
        <v>340</v>
      </c>
      <c r="AO81" s="1862">
        <v>341</v>
      </c>
      <c r="AP81" s="1090">
        <v>339</v>
      </c>
      <c r="AQ81" s="1090">
        <v>340</v>
      </c>
      <c r="AR81" s="2144"/>
    </row>
    <row r="82" spans="1:44" x14ac:dyDescent="0.3">
      <c r="A82" s="183" t="s">
        <v>201</v>
      </c>
      <c r="B82" s="184" t="s">
        <v>406</v>
      </c>
      <c r="C82" s="191" t="s">
        <v>252</v>
      </c>
      <c r="D82" s="188">
        <v>6.8193940308644313E-2</v>
      </c>
      <c r="E82" s="189">
        <v>6.5974551764025446E-2</v>
      </c>
      <c r="F82" s="189">
        <v>7.944924009010175E-2</v>
      </c>
      <c r="G82" s="189">
        <v>9.4153362380463512E-2</v>
      </c>
      <c r="H82" s="189">
        <v>8.4813546374689658E-2</v>
      </c>
      <c r="I82" s="189">
        <v>8.02463426937952E-2</v>
      </c>
      <c r="J82" s="189">
        <v>7.7264923917284428E-2</v>
      </c>
      <c r="K82" s="189">
        <v>8.1615503397158728E-2</v>
      </c>
      <c r="L82" s="189">
        <v>8.5679896462467639E-2</v>
      </c>
      <c r="M82" s="189">
        <v>9.3418944062637801E-2</v>
      </c>
      <c r="N82" s="190">
        <v>0.10149676712900199</v>
      </c>
      <c r="O82" s="190">
        <v>0.252</v>
      </c>
      <c r="P82" s="190">
        <v>0.105</v>
      </c>
      <c r="Q82" s="951">
        <v>0.10698493285293155</v>
      </c>
      <c r="R82" s="1083">
        <v>0.11178384612216319</v>
      </c>
      <c r="S82" s="951">
        <v>0.10266804550155119</v>
      </c>
      <c r="T82" s="1859">
        <v>9.8830852048111706E-2</v>
      </c>
      <c r="U82" s="1083">
        <v>9.6211261090786759E-2</v>
      </c>
      <c r="V82" s="1083">
        <v>9.1161400512382584E-2</v>
      </c>
      <c r="W82" s="2138">
        <v>8.8627892866429747E-2</v>
      </c>
      <c r="X82" s="790"/>
      <c r="Y82" s="948">
        <v>1630</v>
      </c>
      <c r="Z82" s="948">
        <v>1584</v>
      </c>
      <c r="AA82" s="948">
        <v>1955</v>
      </c>
      <c r="AB82" s="948">
        <v>2276</v>
      </c>
      <c r="AC82" s="948">
        <v>2031</v>
      </c>
      <c r="AD82" s="948">
        <v>1890</v>
      </c>
      <c r="AE82" s="948">
        <v>1886</v>
      </c>
      <c r="AF82" s="948">
        <v>1987</v>
      </c>
      <c r="AG82" s="948">
        <v>2095</v>
      </c>
      <c r="AH82" s="948">
        <v>2424</v>
      </c>
      <c r="AI82" s="948">
        <v>2510</v>
      </c>
      <c r="AJ82" s="948">
        <v>2734</v>
      </c>
      <c r="AK82" s="874">
        <v>2531</v>
      </c>
      <c r="AL82" s="874">
        <v>2613</v>
      </c>
      <c r="AM82" s="1090">
        <v>2714</v>
      </c>
      <c r="AN82" s="871">
        <v>2482</v>
      </c>
      <c r="AO82" s="1862">
        <v>2350</v>
      </c>
      <c r="AP82" s="1090">
        <v>2288</v>
      </c>
      <c r="AQ82" s="1090">
        <v>2135</v>
      </c>
      <c r="AR82" s="2144"/>
    </row>
    <row r="83" spans="1:44" ht="31.2" x14ac:dyDescent="0.3">
      <c r="A83" s="183" t="s">
        <v>203</v>
      </c>
      <c r="B83" s="184" t="s">
        <v>492</v>
      </c>
      <c r="C83" s="191" t="s">
        <v>252</v>
      </c>
      <c r="D83" s="188">
        <v>0.12251567942620668</v>
      </c>
      <c r="E83" s="189">
        <v>0.11493050403158708</v>
      </c>
      <c r="F83" s="189">
        <v>0.13090330456689325</v>
      </c>
      <c r="G83" s="189">
        <v>0.14345094670059147</v>
      </c>
      <c r="H83" s="189">
        <v>0.12311181521666978</v>
      </c>
      <c r="I83" s="189">
        <v>0.13926536034540019</v>
      </c>
      <c r="J83" s="189">
        <v>0.14667017682672617</v>
      </c>
      <c r="K83" s="189">
        <v>0.13979679129953718</v>
      </c>
      <c r="L83" s="189">
        <v>0.15096898355924435</v>
      </c>
      <c r="M83" s="189">
        <v>0.16557930071263913</v>
      </c>
      <c r="N83" s="190">
        <v>0.18075532332328353</v>
      </c>
      <c r="O83" s="190">
        <v>0.18936066373840899</v>
      </c>
      <c r="P83" s="190">
        <v>0.189</v>
      </c>
      <c r="Q83" s="951">
        <v>0.19196062346185397</v>
      </c>
      <c r="R83" s="1083">
        <v>0.19739837398373983</v>
      </c>
      <c r="S83" s="951">
        <v>0.19259381715986112</v>
      </c>
      <c r="T83" s="1859">
        <v>0.19004135079255685</v>
      </c>
      <c r="U83" s="1083">
        <v>0.17375392122690833</v>
      </c>
      <c r="V83" s="1083">
        <v>0.17034421888790821</v>
      </c>
      <c r="W83" s="2138">
        <v>0.18003623785208367</v>
      </c>
      <c r="X83" s="790"/>
      <c r="Y83" s="948">
        <v>815</v>
      </c>
      <c r="Z83" s="948">
        <v>749</v>
      </c>
      <c r="AA83" s="948">
        <v>865</v>
      </c>
      <c r="AB83" s="948">
        <v>932</v>
      </c>
      <c r="AC83" s="948">
        <v>785</v>
      </c>
      <c r="AD83" s="948">
        <v>876</v>
      </c>
      <c r="AE83" s="948">
        <v>924</v>
      </c>
      <c r="AF83" s="948">
        <v>879</v>
      </c>
      <c r="AG83" s="948">
        <v>938</v>
      </c>
      <c r="AH83" s="948">
        <v>1017</v>
      </c>
      <c r="AI83" s="948">
        <v>1130</v>
      </c>
      <c r="AJ83" s="948">
        <v>1164</v>
      </c>
      <c r="AK83" s="874">
        <v>1164</v>
      </c>
      <c r="AL83" s="874">
        <v>1170</v>
      </c>
      <c r="AM83" s="1090">
        <v>1214</v>
      </c>
      <c r="AN83" s="871">
        <v>1165</v>
      </c>
      <c r="AO83" s="1862">
        <v>1103</v>
      </c>
      <c r="AP83" s="1090">
        <v>997</v>
      </c>
      <c r="AQ83" s="1090">
        <v>965</v>
      </c>
      <c r="AR83" s="2144"/>
    </row>
    <row r="84" spans="1:44" x14ac:dyDescent="0.3">
      <c r="A84" s="183" t="s">
        <v>205</v>
      </c>
      <c r="B84" s="184" t="s">
        <v>493</v>
      </c>
      <c r="C84" s="191" t="s">
        <v>254</v>
      </c>
      <c r="D84" s="188">
        <v>0.12778413353338336</v>
      </c>
      <c r="E84" s="189">
        <v>0.11888582454334963</v>
      </c>
      <c r="F84" s="189">
        <v>0.13148748332417798</v>
      </c>
      <c r="G84" s="189">
        <v>0.1414905487181094</v>
      </c>
      <c r="H84" s="189">
        <v>0.12762551060745816</v>
      </c>
      <c r="I84" s="189">
        <v>0.13042314334320348</v>
      </c>
      <c r="J84" s="189">
        <v>0.12657400610789404</v>
      </c>
      <c r="K84" s="189">
        <v>0.13915740575977523</v>
      </c>
      <c r="L84" s="189">
        <v>0.1465355207875364</v>
      </c>
      <c r="M84" s="189">
        <v>0.15607638752568281</v>
      </c>
      <c r="N84" s="190">
        <v>0.17198822367149413</v>
      </c>
      <c r="O84" s="190">
        <v>0.16272639846129183</v>
      </c>
      <c r="P84" s="190">
        <v>0.183</v>
      </c>
      <c r="Q84" s="951">
        <v>0.17264150943396225</v>
      </c>
      <c r="R84" s="1083">
        <v>0.1867582760774516</v>
      </c>
      <c r="S84" s="951">
        <v>0.17144870239167026</v>
      </c>
      <c r="T84" s="1859">
        <v>0.15774352603175837</v>
      </c>
      <c r="U84" s="1083">
        <v>0.14459798041151015</v>
      </c>
      <c r="V84" s="1083">
        <v>0.1283388114397975</v>
      </c>
      <c r="W84" s="2138">
        <v>0.1412860208461067</v>
      </c>
      <c r="X84" s="790"/>
      <c r="Y84" s="948">
        <v>2884</v>
      </c>
      <c r="Z84" s="948">
        <v>2710</v>
      </c>
      <c r="AA84" s="948">
        <v>3019</v>
      </c>
      <c r="AB84" s="948">
        <v>3287</v>
      </c>
      <c r="AC84" s="948">
        <v>2935</v>
      </c>
      <c r="AD84" s="948">
        <v>2963</v>
      </c>
      <c r="AE84" s="948">
        <v>2932</v>
      </c>
      <c r="AF84" s="948">
        <v>3342</v>
      </c>
      <c r="AG84" s="948">
        <v>3535</v>
      </c>
      <c r="AH84" s="948">
        <v>3765</v>
      </c>
      <c r="AI84" s="948">
        <v>4302</v>
      </c>
      <c r="AJ84" s="948">
        <v>4061</v>
      </c>
      <c r="AK84" s="874">
        <v>4669</v>
      </c>
      <c r="AL84" s="874">
        <v>4392</v>
      </c>
      <c r="AM84" s="1090">
        <v>4784</v>
      </c>
      <c r="AN84" s="871">
        <v>4380</v>
      </c>
      <c r="AO84" s="1862">
        <v>4063</v>
      </c>
      <c r="AP84" s="1090">
        <v>3809</v>
      </c>
      <c r="AQ84" s="1090">
        <v>3397</v>
      </c>
      <c r="AR84" s="2144"/>
    </row>
    <row r="85" spans="1:44" x14ac:dyDescent="0.3">
      <c r="A85" s="183" t="s">
        <v>207</v>
      </c>
      <c r="B85" s="184" t="s">
        <v>364</v>
      </c>
      <c r="C85" s="191" t="s">
        <v>255</v>
      </c>
      <c r="D85" s="188">
        <v>0.22100000000000003</v>
      </c>
      <c r="E85" s="189">
        <v>0.19499999999999998</v>
      </c>
      <c r="F85" s="189">
        <v>0.23</v>
      </c>
      <c r="G85" s="189">
        <v>0.249</v>
      </c>
      <c r="H85" s="189">
        <v>0.218</v>
      </c>
      <c r="I85" s="189">
        <v>0.26699999999999996</v>
      </c>
      <c r="J85" s="189">
        <v>0.22500000000000001</v>
      </c>
      <c r="K85" s="189">
        <v>0.255</v>
      </c>
      <c r="L85" s="189">
        <v>0.251</v>
      </c>
      <c r="M85" s="189">
        <v>0.25600000000000001</v>
      </c>
      <c r="N85" s="190">
        <v>0.252</v>
      </c>
      <c r="O85" s="190">
        <v>0.27200000000000002</v>
      </c>
      <c r="P85" s="190">
        <v>0.23899999999999999</v>
      </c>
      <c r="Q85" s="951">
        <v>0.26217843459222767</v>
      </c>
      <c r="R85" s="1083">
        <v>0.24550458715596329</v>
      </c>
      <c r="S85" s="951">
        <v>0.28190127970749546</v>
      </c>
      <c r="T85" s="1859">
        <v>0.23714886298490351</v>
      </c>
      <c r="U85" s="1083">
        <v>0.25034523574669559</v>
      </c>
      <c r="V85" s="1083">
        <v>0.21678040947410679</v>
      </c>
      <c r="W85" s="2138">
        <v>0.22748621605064326</v>
      </c>
      <c r="X85" s="790"/>
      <c r="Y85" s="948">
        <v>1360</v>
      </c>
      <c r="Z85" s="948">
        <v>1181</v>
      </c>
      <c r="AA85" s="948">
        <v>1396</v>
      </c>
      <c r="AB85" s="948">
        <v>1499</v>
      </c>
      <c r="AC85" s="948">
        <v>1321</v>
      </c>
      <c r="AD85" s="948">
        <v>1596</v>
      </c>
      <c r="AE85" s="948">
        <v>1295</v>
      </c>
      <c r="AF85" s="948">
        <v>1476</v>
      </c>
      <c r="AG85" s="948">
        <v>1428</v>
      </c>
      <c r="AH85" s="948">
        <v>1500</v>
      </c>
      <c r="AI85" s="948">
        <v>1464</v>
      </c>
      <c r="AJ85" s="948">
        <v>1546</v>
      </c>
      <c r="AK85" s="874">
        <v>1332</v>
      </c>
      <c r="AL85" s="874">
        <v>1437</v>
      </c>
      <c r="AM85" s="1090">
        <v>1338</v>
      </c>
      <c r="AN85" s="871">
        <v>1542</v>
      </c>
      <c r="AO85" s="1862">
        <v>1241</v>
      </c>
      <c r="AP85" s="1090">
        <v>1269</v>
      </c>
      <c r="AQ85" s="1090">
        <v>1080</v>
      </c>
      <c r="AR85" s="2144"/>
    </row>
    <row r="86" spans="1:44" x14ac:dyDescent="0.3">
      <c r="A86" s="183" t="s">
        <v>209</v>
      </c>
      <c r="B86" s="184" t="s">
        <v>365</v>
      </c>
      <c r="C86" s="191" t="s">
        <v>255</v>
      </c>
      <c r="D86" s="188">
        <v>0.192</v>
      </c>
      <c r="E86" s="189">
        <v>0.18</v>
      </c>
      <c r="F86" s="189">
        <v>0.191</v>
      </c>
      <c r="G86" s="189">
        <v>0.22100000000000003</v>
      </c>
      <c r="H86" s="189">
        <v>0.19699999999999998</v>
      </c>
      <c r="I86" s="189">
        <v>0.24300000000000002</v>
      </c>
      <c r="J86" s="189">
        <v>0.24000000000000002</v>
      </c>
      <c r="K86" s="189">
        <v>0.221</v>
      </c>
      <c r="L86" s="189">
        <v>0.221</v>
      </c>
      <c r="M86" s="189">
        <v>0.24100000000000002</v>
      </c>
      <c r="N86" s="190">
        <v>0.25</v>
      </c>
      <c r="O86" s="190">
        <v>0.249</v>
      </c>
      <c r="P86" s="190">
        <v>0.28199999999999997</v>
      </c>
      <c r="Q86" s="951">
        <v>0.26485972420351878</v>
      </c>
      <c r="R86" s="1083">
        <v>0.26053455333493858</v>
      </c>
      <c r="S86" s="951">
        <v>0.24474841231069858</v>
      </c>
      <c r="T86" s="1859">
        <v>0.23955147808358818</v>
      </c>
      <c r="U86" s="1083">
        <v>0.23056994818652848</v>
      </c>
      <c r="V86" s="1083">
        <v>0.24520766773162939</v>
      </c>
      <c r="W86" s="2138">
        <v>0.20441254651780968</v>
      </c>
      <c r="X86" s="790"/>
      <c r="Y86" s="948">
        <v>900</v>
      </c>
      <c r="Z86" s="948">
        <v>828</v>
      </c>
      <c r="AA86" s="948">
        <v>877</v>
      </c>
      <c r="AB86" s="948">
        <v>1004</v>
      </c>
      <c r="AC86" s="948">
        <v>884</v>
      </c>
      <c r="AD86" s="948">
        <v>1075</v>
      </c>
      <c r="AE86" s="948">
        <v>1046</v>
      </c>
      <c r="AF86" s="948">
        <v>942</v>
      </c>
      <c r="AG86" s="948">
        <v>936</v>
      </c>
      <c r="AH86" s="948">
        <v>1035</v>
      </c>
      <c r="AI86" s="948">
        <v>1094</v>
      </c>
      <c r="AJ86" s="948">
        <v>1076</v>
      </c>
      <c r="AK86" s="874">
        <v>1195</v>
      </c>
      <c r="AL86" s="874">
        <v>1114</v>
      </c>
      <c r="AM86" s="1090">
        <v>1082</v>
      </c>
      <c r="AN86" s="871">
        <v>1002</v>
      </c>
      <c r="AO86" s="1862">
        <v>940</v>
      </c>
      <c r="AP86" s="1090">
        <v>890</v>
      </c>
      <c r="AQ86" s="1090">
        <v>921</v>
      </c>
      <c r="AR86" s="2144"/>
    </row>
    <row r="87" spans="1:44" x14ac:dyDescent="0.3">
      <c r="A87" s="183" t="s">
        <v>211</v>
      </c>
      <c r="B87" s="184" t="s">
        <v>366</v>
      </c>
      <c r="C87" s="191" t="s">
        <v>254</v>
      </c>
      <c r="D87" s="188">
        <v>0.12300000000000001</v>
      </c>
      <c r="E87" s="189">
        <v>0.11499999999999999</v>
      </c>
      <c r="F87" s="189">
        <v>0.115</v>
      </c>
      <c r="G87" s="189">
        <v>0.13100000000000001</v>
      </c>
      <c r="H87" s="189">
        <v>0.12300000000000001</v>
      </c>
      <c r="I87" s="189">
        <v>0.13100000000000001</v>
      </c>
      <c r="J87" s="189">
        <v>0.12699999999999997</v>
      </c>
      <c r="K87" s="189">
        <v>0.124</v>
      </c>
      <c r="L87" s="189">
        <v>0.14599999999999999</v>
      </c>
      <c r="M87" s="189">
        <v>0.15500000000000003</v>
      </c>
      <c r="N87" s="190">
        <v>0.17199999999999999</v>
      </c>
      <c r="O87" s="190">
        <v>0.20300000000000001</v>
      </c>
      <c r="P87" s="190">
        <v>0.17599999999999999</v>
      </c>
      <c r="Q87" s="951">
        <v>0.18003783242461333</v>
      </c>
      <c r="R87" s="1083">
        <v>0.17639942813152976</v>
      </c>
      <c r="S87" s="951">
        <v>0.17720401633013352</v>
      </c>
      <c r="T87" s="1859">
        <v>0.14957312340614259</v>
      </c>
      <c r="U87" s="1083">
        <v>0.13872832369942195</v>
      </c>
      <c r="V87" s="1083">
        <v>0.14866806676246269</v>
      </c>
      <c r="W87" s="2138">
        <v>0.15214969926486968</v>
      </c>
      <c r="X87" s="790"/>
      <c r="Y87" s="948">
        <v>952</v>
      </c>
      <c r="Z87" s="948">
        <v>910</v>
      </c>
      <c r="AA87" s="948">
        <v>942</v>
      </c>
      <c r="AB87" s="948">
        <v>1070</v>
      </c>
      <c r="AC87" s="948">
        <v>1038</v>
      </c>
      <c r="AD87" s="948">
        <v>1094</v>
      </c>
      <c r="AE87" s="948">
        <v>1059</v>
      </c>
      <c r="AF87" s="948">
        <v>1086</v>
      </c>
      <c r="AG87" s="948">
        <v>1281</v>
      </c>
      <c r="AH87" s="948">
        <v>1375</v>
      </c>
      <c r="AI87" s="948">
        <v>1556</v>
      </c>
      <c r="AJ87" s="948">
        <v>1838</v>
      </c>
      <c r="AK87" s="874">
        <v>1583</v>
      </c>
      <c r="AL87" s="874">
        <v>1618</v>
      </c>
      <c r="AM87" s="1090">
        <v>1604</v>
      </c>
      <c r="AN87" s="871">
        <v>1606</v>
      </c>
      <c r="AO87" s="1862">
        <v>1349</v>
      </c>
      <c r="AP87" s="1090">
        <v>1248</v>
      </c>
      <c r="AQ87" s="1090">
        <v>1345</v>
      </c>
      <c r="AR87" s="2144"/>
    </row>
    <row r="88" spans="1:44" x14ac:dyDescent="0.3">
      <c r="A88" s="183" t="s">
        <v>213</v>
      </c>
      <c r="B88" s="184" t="s">
        <v>367</v>
      </c>
      <c r="C88" s="191" t="s">
        <v>255</v>
      </c>
      <c r="D88" s="188">
        <v>0.18</v>
      </c>
      <c r="E88" s="189">
        <v>0.17500000000000002</v>
      </c>
      <c r="F88" s="189">
        <v>0.19500000000000001</v>
      </c>
      <c r="G88" s="189">
        <v>0.22399999999999998</v>
      </c>
      <c r="H88" s="189">
        <v>0.18600000000000003</v>
      </c>
      <c r="I88" s="189">
        <v>0.19</v>
      </c>
      <c r="J88" s="189">
        <v>0.214</v>
      </c>
      <c r="K88" s="189">
        <v>0.218</v>
      </c>
      <c r="L88" s="189">
        <v>0.24299999999999999</v>
      </c>
      <c r="M88" s="189">
        <v>0.247</v>
      </c>
      <c r="N88" s="190">
        <v>0.28000000000000003</v>
      </c>
      <c r="O88" s="190">
        <v>0.27899999999999997</v>
      </c>
      <c r="P88" s="190">
        <v>0.28000000000000003</v>
      </c>
      <c r="Q88" s="951">
        <v>0.25925332478769431</v>
      </c>
      <c r="R88" s="1083">
        <v>0.26875502008032126</v>
      </c>
      <c r="S88" s="951">
        <v>0.27607461476074613</v>
      </c>
      <c r="T88" s="1859">
        <v>0.24247519757861105</v>
      </c>
      <c r="U88" s="1083">
        <v>0.25051229508196721</v>
      </c>
      <c r="V88" s="1083">
        <v>0.25156576200417535</v>
      </c>
      <c r="W88" s="2138">
        <v>0.23048261178140525</v>
      </c>
      <c r="X88" s="790"/>
      <c r="Y88" s="948">
        <v>1245</v>
      </c>
      <c r="Z88" s="948">
        <v>1207</v>
      </c>
      <c r="AA88" s="948">
        <v>1367</v>
      </c>
      <c r="AB88" s="948">
        <v>1524</v>
      </c>
      <c r="AC88" s="948">
        <v>1291</v>
      </c>
      <c r="AD88" s="948">
        <v>1295</v>
      </c>
      <c r="AE88" s="948">
        <v>1401</v>
      </c>
      <c r="AF88" s="948">
        <v>1410</v>
      </c>
      <c r="AG88" s="948">
        <v>1545</v>
      </c>
      <c r="AH88" s="948">
        <v>1593</v>
      </c>
      <c r="AI88" s="948">
        <v>1843</v>
      </c>
      <c r="AJ88" s="948">
        <v>1786</v>
      </c>
      <c r="AK88" s="874">
        <v>1764</v>
      </c>
      <c r="AL88" s="874">
        <v>1618</v>
      </c>
      <c r="AM88" s="1090">
        <v>1673</v>
      </c>
      <c r="AN88" s="871">
        <v>1702</v>
      </c>
      <c r="AO88" s="1862">
        <v>1442</v>
      </c>
      <c r="AP88" s="1090">
        <v>1467</v>
      </c>
      <c r="AQ88" s="1090">
        <v>1446</v>
      </c>
      <c r="AR88" s="2144"/>
    </row>
    <row r="89" spans="1:44" x14ac:dyDescent="0.3">
      <c r="A89" s="183" t="s">
        <v>215</v>
      </c>
      <c r="B89" s="184" t="s">
        <v>368</v>
      </c>
      <c r="C89" s="191" t="s">
        <v>251</v>
      </c>
      <c r="D89" s="188">
        <v>0.18899999999999997</v>
      </c>
      <c r="E89" s="189">
        <v>0.16399999999999998</v>
      </c>
      <c r="F89" s="189">
        <v>0.17399999999999999</v>
      </c>
      <c r="G89" s="189">
        <v>0.19600000000000001</v>
      </c>
      <c r="H89" s="189">
        <v>0.17499999999999999</v>
      </c>
      <c r="I89" s="189">
        <v>0.19399999999999998</v>
      </c>
      <c r="J89" s="189">
        <v>0.20199999999999999</v>
      </c>
      <c r="K89" s="189">
        <v>0.188</v>
      </c>
      <c r="L89" s="189">
        <v>0.218</v>
      </c>
      <c r="M89" s="189">
        <v>0.19500000000000001</v>
      </c>
      <c r="N89" s="190">
        <v>0.2</v>
      </c>
      <c r="O89" s="190">
        <v>0.221</v>
      </c>
      <c r="P89" s="190">
        <v>0.22500000000000001</v>
      </c>
      <c r="Q89" s="951">
        <v>0.2248639358350043</v>
      </c>
      <c r="R89" s="1083">
        <v>0.22421921037124337</v>
      </c>
      <c r="S89" s="951">
        <v>0.20915224405984159</v>
      </c>
      <c r="T89" s="1859">
        <v>0.21129220023282888</v>
      </c>
      <c r="U89" s="1083">
        <v>0.20486322188449849</v>
      </c>
      <c r="V89" s="1083">
        <v>0.20215462610899873</v>
      </c>
      <c r="W89" s="2138">
        <v>0.19361833952912019</v>
      </c>
      <c r="X89" s="790"/>
      <c r="Y89" s="948">
        <v>714</v>
      </c>
      <c r="Z89" s="948">
        <v>607</v>
      </c>
      <c r="AA89" s="948">
        <v>656</v>
      </c>
      <c r="AB89" s="948">
        <v>707</v>
      </c>
      <c r="AC89" s="948">
        <v>640</v>
      </c>
      <c r="AD89" s="948">
        <v>701</v>
      </c>
      <c r="AE89" s="948">
        <v>717</v>
      </c>
      <c r="AF89" s="948">
        <v>662</v>
      </c>
      <c r="AG89" s="948">
        <v>747</v>
      </c>
      <c r="AH89" s="948">
        <v>704</v>
      </c>
      <c r="AI89" s="948">
        <v>768</v>
      </c>
      <c r="AJ89" s="948">
        <v>831</v>
      </c>
      <c r="AK89" s="874">
        <v>826</v>
      </c>
      <c r="AL89" s="874">
        <v>785</v>
      </c>
      <c r="AM89" s="1090">
        <v>761</v>
      </c>
      <c r="AN89" s="871">
        <v>713</v>
      </c>
      <c r="AO89" s="1862">
        <v>726</v>
      </c>
      <c r="AP89" s="1090">
        <v>674</v>
      </c>
      <c r="AQ89" s="1090">
        <v>638</v>
      </c>
      <c r="AR89" s="2144"/>
    </row>
    <row r="90" spans="1:44" x14ac:dyDescent="0.3">
      <c r="A90" s="183" t="s">
        <v>217</v>
      </c>
      <c r="B90" s="184" t="s">
        <v>369</v>
      </c>
      <c r="C90" s="191" t="s">
        <v>254</v>
      </c>
      <c r="D90" s="188">
        <v>7.2000000000000008E-2</v>
      </c>
      <c r="E90" s="189">
        <v>6.4000000000000001E-2</v>
      </c>
      <c r="F90" s="189">
        <v>7.0999999999999994E-2</v>
      </c>
      <c r="G90" s="189">
        <v>7.8E-2</v>
      </c>
      <c r="H90" s="189">
        <v>7.2999999999999995E-2</v>
      </c>
      <c r="I90" s="189">
        <v>7.4999999999999997E-2</v>
      </c>
      <c r="J90" s="189">
        <v>7.0999999999999994E-2</v>
      </c>
      <c r="K90" s="189">
        <v>7.6999999999999999E-2</v>
      </c>
      <c r="L90" s="189">
        <v>8.6999999999999994E-2</v>
      </c>
      <c r="M90" s="189">
        <v>0.10400000000000001</v>
      </c>
      <c r="N90" s="190">
        <v>0.10500000000000001</v>
      </c>
      <c r="O90" s="190">
        <v>0.11599999999999999</v>
      </c>
      <c r="P90" s="190">
        <v>0.11600000000000001</v>
      </c>
      <c r="Q90" s="951">
        <v>0.10372299678259538</v>
      </c>
      <c r="R90" s="1083">
        <v>0.12804560360415582</v>
      </c>
      <c r="S90" s="951">
        <v>0.10882533825338253</v>
      </c>
      <c r="T90" s="1859">
        <v>0.10676668707899571</v>
      </c>
      <c r="U90" s="1083">
        <v>9.9544189176787298E-2</v>
      </c>
      <c r="V90" s="1083">
        <v>0.10114082433758587</v>
      </c>
      <c r="W90" s="2138">
        <v>9.5280173070477467E-2</v>
      </c>
      <c r="X90" s="790"/>
      <c r="Y90" s="948">
        <v>2013</v>
      </c>
      <c r="Z90" s="948">
        <v>1875</v>
      </c>
      <c r="AA90" s="948">
        <v>2164</v>
      </c>
      <c r="AB90" s="948">
        <v>2418</v>
      </c>
      <c r="AC90" s="948">
        <v>2320</v>
      </c>
      <c r="AD90" s="948">
        <v>2365</v>
      </c>
      <c r="AE90" s="948">
        <v>2241</v>
      </c>
      <c r="AF90" s="948">
        <v>2473</v>
      </c>
      <c r="AG90" s="948">
        <v>2790</v>
      </c>
      <c r="AH90" s="948">
        <v>3473</v>
      </c>
      <c r="AI90" s="948">
        <v>3532</v>
      </c>
      <c r="AJ90" s="948">
        <v>3814</v>
      </c>
      <c r="AK90" s="874">
        <v>3803</v>
      </c>
      <c r="AL90" s="874">
        <v>3385</v>
      </c>
      <c r="AM90" s="1090">
        <v>4178</v>
      </c>
      <c r="AN90" s="871">
        <v>3539</v>
      </c>
      <c r="AO90" s="1862">
        <v>3487</v>
      </c>
      <c r="AP90" s="1090">
        <v>3254</v>
      </c>
      <c r="AQ90" s="1090">
        <v>3298</v>
      </c>
      <c r="AR90" s="2144"/>
    </row>
    <row r="91" spans="1:44" x14ac:dyDescent="0.3">
      <c r="A91" s="183" t="s">
        <v>219</v>
      </c>
      <c r="B91" s="184" t="s">
        <v>370</v>
      </c>
      <c r="C91" s="191" t="s">
        <v>254</v>
      </c>
      <c r="D91" s="188">
        <v>5.2999999999999999E-2</v>
      </c>
      <c r="E91" s="189">
        <v>4.4999999999999998E-2</v>
      </c>
      <c r="F91" s="189">
        <v>5.2999999999999999E-2</v>
      </c>
      <c r="G91" s="189">
        <v>6.2E-2</v>
      </c>
      <c r="H91" s="189">
        <v>5.7999999999999996E-2</v>
      </c>
      <c r="I91" s="189">
        <v>5.2999999999999992E-2</v>
      </c>
      <c r="J91" s="189">
        <v>4.5999999999999999E-2</v>
      </c>
      <c r="K91" s="189">
        <v>5.099999999999999E-2</v>
      </c>
      <c r="L91" s="189">
        <v>5.9000000000000004E-2</v>
      </c>
      <c r="M91" s="189">
        <v>6.2000000000000006E-2</v>
      </c>
      <c r="N91" s="190">
        <v>6.8000000000000005E-2</v>
      </c>
      <c r="O91" s="190">
        <v>7.9000000000000001E-2</v>
      </c>
      <c r="P91" s="190">
        <v>7.0000000000000007E-2</v>
      </c>
      <c r="Q91" s="951">
        <v>8.0715281765236652E-2</v>
      </c>
      <c r="R91" s="1083">
        <v>7.570247043293192E-2</v>
      </c>
      <c r="S91" s="951">
        <v>7.1382533032549142E-2</v>
      </c>
      <c r="T91" s="1859">
        <v>6.9618894256575414E-2</v>
      </c>
      <c r="U91" s="1083">
        <v>5.8249105074752582E-2</v>
      </c>
      <c r="V91" s="1083">
        <v>6.5268125713100297E-2</v>
      </c>
      <c r="W91" s="2138">
        <v>6.879065717359012E-2</v>
      </c>
      <c r="X91" s="790"/>
      <c r="Y91" s="948">
        <v>1608</v>
      </c>
      <c r="Z91" s="948">
        <v>1416</v>
      </c>
      <c r="AA91" s="948">
        <v>1718</v>
      </c>
      <c r="AB91" s="948">
        <v>2023</v>
      </c>
      <c r="AC91" s="948">
        <v>1944</v>
      </c>
      <c r="AD91" s="948">
        <v>1758</v>
      </c>
      <c r="AE91" s="948">
        <v>1493</v>
      </c>
      <c r="AF91" s="948">
        <v>1706</v>
      </c>
      <c r="AG91" s="948">
        <v>1930</v>
      </c>
      <c r="AH91" s="948">
        <v>2223</v>
      </c>
      <c r="AI91" s="948">
        <v>2504</v>
      </c>
      <c r="AJ91" s="948">
        <v>2894</v>
      </c>
      <c r="AK91" s="874">
        <v>2549</v>
      </c>
      <c r="AL91" s="874">
        <v>2952</v>
      </c>
      <c r="AM91" s="1090">
        <v>2810</v>
      </c>
      <c r="AN91" s="871">
        <v>2658</v>
      </c>
      <c r="AO91" s="1862">
        <v>2594</v>
      </c>
      <c r="AP91" s="1090">
        <v>2213</v>
      </c>
      <c r="AQ91" s="1090">
        <v>2517</v>
      </c>
      <c r="AR91" s="2144"/>
    </row>
    <row r="92" spans="1:44" x14ac:dyDescent="0.3">
      <c r="A92" s="183" t="s">
        <v>223</v>
      </c>
      <c r="B92" s="184" t="s">
        <v>371</v>
      </c>
      <c r="C92" s="191" t="s">
        <v>251</v>
      </c>
      <c r="D92" s="188">
        <v>0.16600000000000001</v>
      </c>
      <c r="E92" s="189">
        <v>0.14199999999999999</v>
      </c>
      <c r="F92" s="189">
        <v>0.15</v>
      </c>
      <c r="G92" s="189">
        <v>0.16200000000000001</v>
      </c>
      <c r="H92" s="189">
        <v>0.14499999999999999</v>
      </c>
      <c r="I92" s="189">
        <v>0.16699999999999998</v>
      </c>
      <c r="J92" s="189">
        <v>0.151</v>
      </c>
      <c r="K92" s="189">
        <v>0.157</v>
      </c>
      <c r="L92" s="189">
        <v>0.16499999999999998</v>
      </c>
      <c r="M92" s="189">
        <v>0.17199999999999999</v>
      </c>
      <c r="N92" s="190">
        <v>0.19700000000000001</v>
      </c>
      <c r="O92" s="190">
        <v>0.20300000000000001</v>
      </c>
      <c r="P92" s="190">
        <v>0.19700000000000001</v>
      </c>
      <c r="Q92" s="951">
        <v>0.20173364854215919</v>
      </c>
      <c r="R92" s="1083">
        <v>0.20081300813008129</v>
      </c>
      <c r="S92" s="951">
        <v>0.19967266775777415</v>
      </c>
      <c r="T92" s="1859">
        <v>0.21773485513608429</v>
      </c>
      <c r="U92" s="1083">
        <v>0.19698314108251996</v>
      </c>
      <c r="V92" s="1083">
        <v>0.20204841713221602</v>
      </c>
      <c r="W92" s="2138">
        <v>0.20171265461465271</v>
      </c>
      <c r="X92" s="790"/>
      <c r="Y92" s="948">
        <v>279</v>
      </c>
      <c r="Z92" s="948">
        <v>240</v>
      </c>
      <c r="AA92" s="948">
        <v>256</v>
      </c>
      <c r="AB92" s="948">
        <v>265</v>
      </c>
      <c r="AC92" s="948">
        <v>231</v>
      </c>
      <c r="AD92" s="948">
        <v>262</v>
      </c>
      <c r="AE92" s="948">
        <v>232</v>
      </c>
      <c r="AF92" s="948">
        <v>236</v>
      </c>
      <c r="AG92" s="948">
        <v>246</v>
      </c>
      <c r="AH92" s="948">
        <v>240</v>
      </c>
      <c r="AI92" s="948">
        <v>288</v>
      </c>
      <c r="AJ92" s="948">
        <v>282</v>
      </c>
      <c r="AK92" s="874">
        <v>264</v>
      </c>
      <c r="AL92" s="874">
        <v>256</v>
      </c>
      <c r="AM92" s="1090">
        <v>247</v>
      </c>
      <c r="AN92" s="871">
        <v>244</v>
      </c>
      <c r="AO92" s="1862">
        <v>248</v>
      </c>
      <c r="AP92" s="1090">
        <v>222</v>
      </c>
      <c r="AQ92" s="1090">
        <v>217</v>
      </c>
      <c r="AR92" s="2144"/>
    </row>
    <row r="93" spans="1:44" x14ac:dyDescent="0.3">
      <c r="A93" s="183" t="s">
        <v>225</v>
      </c>
      <c r="B93" s="184" t="s">
        <v>372</v>
      </c>
      <c r="C93" s="191" t="s">
        <v>251</v>
      </c>
      <c r="D93" s="188">
        <v>0.21100000000000002</v>
      </c>
      <c r="E93" s="189">
        <v>0.188</v>
      </c>
      <c r="F93" s="189">
        <v>0.19399999999999998</v>
      </c>
      <c r="G93" s="189">
        <v>0.22600000000000001</v>
      </c>
      <c r="H93" s="189">
        <v>0.21</v>
      </c>
      <c r="I93" s="189">
        <v>0.245</v>
      </c>
      <c r="J93" s="189">
        <v>0.28000000000000003</v>
      </c>
      <c r="K93" s="189">
        <v>0.24</v>
      </c>
      <c r="L93" s="189">
        <v>0.22800000000000004</v>
      </c>
      <c r="M93" s="189">
        <v>0.23600000000000002</v>
      </c>
      <c r="N93" s="190">
        <v>0.24000000000000002</v>
      </c>
      <c r="O93" s="190">
        <v>0.23199999999999998</v>
      </c>
      <c r="P93" s="190">
        <v>0.27</v>
      </c>
      <c r="Q93" s="951">
        <v>0.30353319057815847</v>
      </c>
      <c r="R93" s="1083">
        <v>0.30479267635971996</v>
      </c>
      <c r="S93" s="951">
        <v>0.28968466060929982</v>
      </c>
      <c r="T93" s="1859">
        <v>0.30209481808158767</v>
      </c>
      <c r="U93" s="1083">
        <v>0.2928082191780822</v>
      </c>
      <c r="V93" s="1083">
        <v>0.29642647920328064</v>
      </c>
      <c r="W93" s="2138">
        <v>0.28383233532934132</v>
      </c>
      <c r="X93" s="790"/>
      <c r="Y93" s="948">
        <v>504</v>
      </c>
      <c r="Z93" s="948">
        <v>437</v>
      </c>
      <c r="AA93" s="948">
        <v>446</v>
      </c>
      <c r="AB93" s="948">
        <v>513</v>
      </c>
      <c r="AC93" s="948">
        <v>464</v>
      </c>
      <c r="AD93" s="948">
        <v>534</v>
      </c>
      <c r="AE93" s="948">
        <v>610</v>
      </c>
      <c r="AF93" s="948">
        <v>510</v>
      </c>
      <c r="AG93" s="948">
        <v>472</v>
      </c>
      <c r="AH93" s="948">
        <v>481</v>
      </c>
      <c r="AI93" s="948">
        <v>473</v>
      </c>
      <c r="AJ93" s="948">
        <v>465</v>
      </c>
      <c r="AK93" s="874">
        <v>529</v>
      </c>
      <c r="AL93" s="874">
        <v>567</v>
      </c>
      <c r="AM93" s="1090">
        <v>566</v>
      </c>
      <c r="AN93" s="871">
        <v>542</v>
      </c>
      <c r="AO93" s="1862">
        <v>548</v>
      </c>
      <c r="AP93" s="1090">
        <v>513</v>
      </c>
      <c r="AQ93" s="1090">
        <v>506</v>
      </c>
      <c r="AR93" s="2144"/>
    </row>
    <row r="94" spans="1:44" x14ac:dyDescent="0.3">
      <c r="A94" s="183" t="s">
        <v>227</v>
      </c>
      <c r="B94" s="184" t="s">
        <v>373</v>
      </c>
      <c r="C94" s="191" t="s">
        <v>255</v>
      </c>
      <c r="D94" s="188">
        <v>0.20699999999999999</v>
      </c>
      <c r="E94" s="189">
        <v>0.18399999999999997</v>
      </c>
      <c r="F94" s="189">
        <v>0.22000000000000003</v>
      </c>
      <c r="G94" s="189">
        <v>0.24</v>
      </c>
      <c r="H94" s="189">
        <v>0.21600000000000003</v>
      </c>
      <c r="I94" s="189">
        <v>0.23700000000000002</v>
      </c>
      <c r="J94" s="189">
        <v>0.21199999999999999</v>
      </c>
      <c r="K94" s="189">
        <v>0.23500000000000001</v>
      </c>
      <c r="L94" s="189">
        <v>0.24199999999999999</v>
      </c>
      <c r="M94" s="189">
        <v>0.21600000000000003</v>
      </c>
      <c r="N94" s="190">
        <v>0.23500000000000001</v>
      </c>
      <c r="O94" s="190">
        <v>0.23100000000000001</v>
      </c>
      <c r="P94" s="190">
        <v>0.26100000000000001</v>
      </c>
      <c r="Q94" s="951">
        <v>0.22899871480313122</v>
      </c>
      <c r="R94" s="1083">
        <v>0.24681357951161406</v>
      </c>
      <c r="S94" s="951">
        <v>0.2411071992230181</v>
      </c>
      <c r="T94" s="1859">
        <v>0.24826560951437066</v>
      </c>
      <c r="U94" s="1083">
        <v>0.25556544968833483</v>
      </c>
      <c r="V94" s="1083">
        <v>0.2414059482425647</v>
      </c>
      <c r="W94" s="2138">
        <v>0.29286640726329444</v>
      </c>
      <c r="X94" s="790"/>
      <c r="Y94" s="948">
        <v>1886</v>
      </c>
      <c r="Z94" s="948">
        <v>1666</v>
      </c>
      <c r="AA94" s="948">
        <v>2007</v>
      </c>
      <c r="AB94" s="948">
        <v>2172</v>
      </c>
      <c r="AC94" s="948">
        <v>1979</v>
      </c>
      <c r="AD94" s="948">
        <v>2139</v>
      </c>
      <c r="AE94" s="948">
        <v>1865</v>
      </c>
      <c r="AF94" s="948">
        <v>2038</v>
      </c>
      <c r="AG94" s="948">
        <v>2088</v>
      </c>
      <c r="AH94" s="948">
        <v>1961</v>
      </c>
      <c r="AI94" s="948">
        <v>2127</v>
      </c>
      <c r="AJ94" s="948">
        <v>2038</v>
      </c>
      <c r="AK94" s="874">
        <v>2254</v>
      </c>
      <c r="AL94" s="874">
        <v>1960</v>
      </c>
      <c r="AM94" s="1090">
        <v>2072</v>
      </c>
      <c r="AN94" s="871">
        <v>1986</v>
      </c>
      <c r="AO94" s="1862">
        <v>2004</v>
      </c>
      <c r="AP94" s="1090">
        <v>2009</v>
      </c>
      <c r="AQ94" s="1090">
        <v>1875</v>
      </c>
      <c r="AR94" s="2144"/>
    </row>
    <row r="95" spans="1:44" x14ac:dyDescent="0.3">
      <c r="A95" s="183" t="s">
        <v>231</v>
      </c>
      <c r="B95" s="184" t="s">
        <v>374</v>
      </c>
      <c r="C95" s="191" t="s">
        <v>254</v>
      </c>
      <c r="D95" s="188">
        <v>0.11599999999999999</v>
      </c>
      <c r="E95" s="189">
        <v>0.105</v>
      </c>
      <c r="F95" s="189">
        <v>0.11699999999999998</v>
      </c>
      <c r="G95" s="189">
        <v>0.13099999999999998</v>
      </c>
      <c r="H95" s="189">
        <v>0.112</v>
      </c>
      <c r="I95" s="189">
        <v>0.127</v>
      </c>
      <c r="J95" s="189">
        <v>0.11800000000000001</v>
      </c>
      <c r="K95" s="189">
        <v>0.114</v>
      </c>
      <c r="L95" s="189">
        <v>0.13100000000000001</v>
      </c>
      <c r="M95" s="189">
        <v>0.13700000000000001</v>
      </c>
      <c r="N95" s="190">
        <v>0.14399999999999999</v>
      </c>
      <c r="O95" s="190">
        <v>0.158</v>
      </c>
      <c r="P95" s="190">
        <v>0.154</v>
      </c>
      <c r="Q95" s="951">
        <v>0.17012257990606025</v>
      </c>
      <c r="R95" s="1083">
        <v>0.15757296112585073</v>
      </c>
      <c r="S95" s="951">
        <v>0.15098896044158233</v>
      </c>
      <c r="T95" s="1859">
        <v>0.14439555349698935</v>
      </c>
      <c r="U95" s="1083">
        <v>0.12696015797421303</v>
      </c>
      <c r="V95" s="1083">
        <v>0.13864136095359333</v>
      </c>
      <c r="W95" s="2138">
        <v>0.13599530240751614</v>
      </c>
      <c r="X95" s="790"/>
      <c r="Y95" s="948">
        <v>939</v>
      </c>
      <c r="Z95" s="948">
        <v>861</v>
      </c>
      <c r="AA95" s="948">
        <v>993</v>
      </c>
      <c r="AB95" s="948">
        <v>1111</v>
      </c>
      <c r="AC95" s="948">
        <v>982</v>
      </c>
      <c r="AD95" s="948">
        <v>1095</v>
      </c>
      <c r="AE95" s="948">
        <v>1011</v>
      </c>
      <c r="AF95" s="948">
        <v>1000</v>
      </c>
      <c r="AG95" s="948">
        <v>1161</v>
      </c>
      <c r="AH95" s="948">
        <v>1179</v>
      </c>
      <c r="AI95" s="948">
        <v>1290</v>
      </c>
      <c r="AJ95" s="948">
        <v>1390</v>
      </c>
      <c r="AK95" s="874">
        <v>1342</v>
      </c>
      <c r="AL95" s="874">
        <v>1485</v>
      </c>
      <c r="AM95" s="1090">
        <v>1366</v>
      </c>
      <c r="AN95" s="871">
        <v>1313</v>
      </c>
      <c r="AO95" s="1862">
        <v>1247</v>
      </c>
      <c r="AP95" s="1090">
        <v>1093</v>
      </c>
      <c r="AQ95" s="1090">
        <v>1198</v>
      </c>
      <c r="AR95" s="2144"/>
    </row>
    <row r="96" spans="1:44" x14ac:dyDescent="0.3">
      <c r="A96" s="183" t="s">
        <v>233</v>
      </c>
      <c r="B96" s="184" t="s">
        <v>375</v>
      </c>
      <c r="C96" s="191" t="s">
        <v>255</v>
      </c>
      <c r="D96" s="188">
        <v>0.157</v>
      </c>
      <c r="E96" s="189">
        <v>0.14499999999999999</v>
      </c>
      <c r="F96" s="189">
        <v>0.16300000000000001</v>
      </c>
      <c r="G96" s="189">
        <v>0.18099999999999999</v>
      </c>
      <c r="H96" s="189">
        <v>0.16499999999999998</v>
      </c>
      <c r="I96" s="189">
        <v>0.16500000000000001</v>
      </c>
      <c r="J96" s="189">
        <v>0.17800000000000002</v>
      </c>
      <c r="K96" s="189">
        <v>0.19100000000000003</v>
      </c>
      <c r="L96" s="189">
        <v>0.19</v>
      </c>
      <c r="M96" s="189">
        <v>0.19600000000000004</v>
      </c>
      <c r="N96" s="190">
        <v>0.193</v>
      </c>
      <c r="O96" s="190">
        <v>0.19800000000000001</v>
      </c>
      <c r="P96" s="190">
        <v>0.19500000000000001</v>
      </c>
      <c r="Q96" s="951">
        <v>0.212205138000191</v>
      </c>
      <c r="R96" s="1083">
        <v>0.20700048614487118</v>
      </c>
      <c r="S96" s="951">
        <v>0.22707637934419792</v>
      </c>
      <c r="T96" s="1859">
        <v>0.18913000199084212</v>
      </c>
      <c r="U96" s="1083">
        <v>0.18532275875916074</v>
      </c>
      <c r="V96" s="1083">
        <v>0.2048790363397105</v>
      </c>
      <c r="W96" s="2138">
        <v>0.17215537259869115</v>
      </c>
      <c r="X96" s="790"/>
      <c r="Y96" s="948">
        <v>1611</v>
      </c>
      <c r="Z96" s="948">
        <v>1484</v>
      </c>
      <c r="AA96" s="948">
        <v>1695</v>
      </c>
      <c r="AB96" s="948">
        <v>1885</v>
      </c>
      <c r="AC96" s="948">
        <v>1709</v>
      </c>
      <c r="AD96" s="948">
        <v>1690</v>
      </c>
      <c r="AE96" s="948">
        <v>1764</v>
      </c>
      <c r="AF96" s="948">
        <v>1927</v>
      </c>
      <c r="AG96" s="948">
        <v>1908</v>
      </c>
      <c r="AH96" s="948">
        <v>2024</v>
      </c>
      <c r="AI96" s="948">
        <v>2037</v>
      </c>
      <c r="AJ96" s="948">
        <v>2060</v>
      </c>
      <c r="AK96" s="874">
        <v>2038</v>
      </c>
      <c r="AL96" s="874">
        <v>2222</v>
      </c>
      <c r="AM96" s="1090">
        <v>2129</v>
      </c>
      <c r="AN96" s="871">
        <v>2313</v>
      </c>
      <c r="AO96" s="1862">
        <v>1900</v>
      </c>
      <c r="AP96" s="1090">
        <v>1846</v>
      </c>
      <c r="AQ96" s="1090">
        <v>2024</v>
      </c>
      <c r="AR96" s="2144"/>
    </row>
    <row r="97" spans="1:44" x14ac:dyDescent="0.3">
      <c r="A97" s="183" t="s">
        <v>235</v>
      </c>
      <c r="B97" s="184" t="s">
        <v>376</v>
      </c>
      <c r="C97" s="191" t="s">
        <v>253</v>
      </c>
      <c r="D97" s="188">
        <v>0.21199999999999999</v>
      </c>
      <c r="E97" s="189">
        <v>0.192</v>
      </c>
      <c r="F97" s="189">
        <v>0.20199999999999999</v>
      </c>
      <c r="G97" s="189">
        <v>0.221</v>
      </c>
      <c r="H97" s="189">
        <v>0.19899999999999998</v>
      </c>
      <c r="I97" s="189">
        <v>0.24500000000000002</v>
      </c>
      <c r="J97" s="189">
        <v>0.22399999999999998</v>
      </c>
      <c r="K97" s="189">
        <v>0.214</v>
      </c>
      <c r="L97" s="189">
        <v>0.24300000000000002</v>
      </c>
      <c r="M97" s="189">
        <v>0.249</v>
      </c>
      <c r="N97" s="190">
        <v>0.26200000000000001</v>
      </c>
      <c r="O97" s="190">
        <v>0.28499999999999998</v>
      </c>
      <c r="P97" s="190">
        <v>0.29399999999999998</v>
      </c>
      <c r="Q97" s="951">
        <v>0.28540772532188841</v>
      </c>
      <c r="R97" s="1083">
        <v>0.27452209338765277</v>
      </c>
      <c r="S97" s="951">
        <v>0.28927144174608055</v>
      </c>
      <c r="T97" s="1859">
        <v>0.27829028290282903</v>
      </c>
      <c r="U97" s="1083">
        <v>0.26263237518910743</v>
      </c>
      <c r="V97" s="1083">
        <v>0.26785714285714285</v>
      </c>
      <c r="W97" s="2138">
        <v>0.26575910032554012</v>
      </c>
      <c r="X97" s="790"/>
      <c r="Y97" s="948">
        <v>788</v>
      </c>
      <c r="Z97" s="948">
        <v>711</v>
      </c>
      <c r="AA97" s="948">
        <v>758</v>
      </c>
      <c r="AB97" s="948">
        <v>833</v>
      </c>
      <c r="AC97" s="948">
        <v>733</v>
      </c>
      <c r="AD97" s="948">
        <v>891</v>
      </c>
      <c r="AE97" s="948">
        <v>795</v>
      </c>
      <c r="AF97" s="948">
        <v>765</v>
      </c>
      <c r="AG97" s="948">
        <v>870</v>
      </c>
      <c r="AH97" s="948">
        <v>879</v>
      </c>
      <c r="AI97" s="948">
        <v>897</v>
      </c>
      <c r="AJ97" s="948">
        <v>979</v>
      </c>
      <c r="AK97" s="874">
        <v>973</v>
      </c>
      <c r="AL97" s="874">
        <v>931</v>
      </c>
      <c r="AM97" s="1090">
        <v>876</v>
      </c>
      <c r="AN97" s="871">
        <v>941</v>
      </c>
      <c r="AO97" s="1862">
        <v>905</v>
      </c>
      <c r="AP97" s="1090">
        <v>868</v>
      </c>
      <c r="AQ97" s="1090">
        <v>885</v>
      </c>
      <c r="AR97" s="2144"/>
    </row>
    <row r="98" spans="1:44" x14ac:dyDescent="0.3">
      <c r="A98" s="183" t="s">
        <v>241</v>
      </c>
      <c r="B98" s="184" t="s">
        <v>377</v>
      </c>
      <c r="C98" s="191" t="s">
        <v>255</v>
      </c>
      <c r="D98" s="188">
        <v>0.24600000000000002</v>
      </c>
      <c r="E98" s="189">
        <v>0.217</v>
      </c>
      <c r="F98" s="189">
        <v>0.25600000000000001</v>
      </c>
      <c r="G98" s="189">
        <v>0.27800000000000002</v>
      </c>
      <c r="H98" s="189">
        <v>0.24399999999999999</v>
      </c>
      <c r="I98" s="189">
        <v>0.30600000000000005</v>
      </c>
      <c r="J98" s="189">
        <v>0.25900000000000001</v>
      </c>
      <c r="K98" s="189">
        <v>0.27800000000000002</v>
      </c>
      <c r="L98" s="189">
        <v>0.29299999999999998</v>
      </c>
      <c r="M98" s="189">
        <v>0.27100000000000002</v>
      </c>
      <c r="N98" s="190">
        <v>0.27500000000000002</v>
      </c>
      <c r="O98" s="190">
        <v>0.27800000000000002</v>
      </c>
      <c r="P98" s="190">
        <v>0.29299999999999998</v>
      </c>
      <c r="Q98" s="951">
        <v>0.27801294820717132</v>
      </c>
      <c r="R98" s="1083">
        <v>0.28934655479277904</v>
      </c>
      <c r="S98" s="951">
        <v>0.30902332735196103</v>
      </c>
      <c r="T98" s="1859">
        <v>0.28589959787261643</v>
      </c>
      <c r="U98" s="1083">
        <v>0.29536034229175023</v>
      </c>
      <c r="V98" s="1083">
        <v>0.32456737975200983</v>
      </c>
      <c r="W98" s="2138">
        <v>0.28667429225050045</v>
      </c>
      <c r="X98" s="790"/>
      <c r="Y98" s="948">
        <v>2192</v>
      </c>
      <c r="Z98" s="948">
        <v>1920</v>
      </c>
      <c r="AA98" s="948">
        <v>2292</v>
      </c>
      <c r="AB98" s="948">
        <v>2477</v>
      </c>
      <c r="AC98" s="948">
        <v>2202</v>
      </c>
      <c r="AD98" s="948">
        <v>2706</v>
      </c>
      <c r="AE98" s="948">
        <v>2260</v>
      </c>
      <c r="AF98" s="948">
        <v>2386</v>
      </c>
      <c r="AG98" s="948">
        <v>2501</v>
      </c>
      <c r="AH98" s="948">
        <v>2396</v>
      </c>
      <c r="AI98" s="948">
        <v>2327</v>
      </c>
      <c r="AJ98" s="948">
        <v>2353</v>
      </c>
      <c r="AK98" s="874">
        <v>2429</v>
      </c>
      <c r="AL98" s="874">
        <v>2233</v>
      </c>
      <c r="AM98" s="1090">
        <v>2276</v>
      </c>
      <c r="AN98" s="871">
        <v>2411</v>
      </c>
      <c r="AO98" s="1862">
        <v>2204</v>
      </c>
      <c r="AP98" s="1090">
        <v>2209</v>
      </c>
      <c r="AQ98" s="1090">
        <v>2382</v>
      </c>
      <c r="AR98" s="2144"/>
    </row>
    <row r="99" spans="1:44" x14ac:dyDescent="0.3">
      <c r="A99" s="183" t="s">
        <v>243</v>
      </c>
      <c r="B99" s="184" t="s">
        <v>378</v>
      </c>
      <c r="C99" s="191" t="s">
        <v>255</v>
      </c>
      <c r="D99" s="188">
        <v>0.16</v>
      </c>
      <c r="E99" s="189">
        <v>0.151</v>
      </c>
      <c r="F99" s="189">
        <v>0.19399999999999998</v>
      </c>
      <c r="G99" s="189">
        <v>0.19500000000000001</v>
      </c>
      <c r="H99" s="189">
        <v>0.16300000000000001</v>
      </c>
      <c r="I99" s="189">
        <v>0.19700000000000001</v>
      </c>
      <c r="J99" s="189">
        <v>0.20199999999999999</v>
      </c>
      <c r="K99" s="189">
        <v>0.17699999999999999</v>
      </c>
      <c r="L99" s="189">
        <v>0.2</v>
      </c>
      <c r="M99" s="189">
        <v>0.21199999999999999</v>
      </c>
      <c r="N99" s="190">
        <v>0.22899999999999998</v>
      </c>
      <c r="O99" s="190">
        <v>0.222</v>
      </c>
      <c r="P99" s="190">
        <v>0.23400000000000001</v>
      </c>
      <c r="Q99" s="951">
        <v>0.21612349914236706</v>
      </c>
      <c r="R99" s="1083">
        <v>0.2163336229365769</v>
      </c>
      <c r="S99" s="951">
        <v>0.21255025345219367</v>
      </c>
      <c r="T99" s="1859">
        <v>0.20873362445414848</v>
      </c>
      <c r="U99" s="1083">
        <v>0.20113214222536707</v>
      </c>
      <c r="V99" s="1083">
        <v>0.23847262247838616</v>
      </c>
      <c r="W99" s="2138">
        <v>0.18611361587015329</v>
      </c>
      <c r="X99" s="790"/>
      <c r="Y99" s="948">
        <v>945</v>
      </c>
      <c r="Z99" s="948">
        <v>888</v>
      </c>
      <c r="AA99" s="948">
        <v>1159</v>
      </c>
      <c r="AB99" s="948">
        <v>1153</v>
      </c>
      <c r="AC99" s="948">
        <v>976</v>
      </c>
      <c r="AD99" s="948">
        <v>1167</v>
      </c>
      <c r="AE99" s="948">
        <v>1186</v>
      </c>
      <c r="AF99" s="948">
        <v>1038</v>
      </c>
      <c r="AG99" s="948">
        <v>1164</v>
      </c>
      <c r="AH99" s="948">
        <v>1242</v>
      </c>
      <c r="AI99" s="948">
        <v>1364</v>
      </c>
      <c r="AJ99" s="948">
        <v>1303</v>
      </c>
      <c r="AK99" s="874">
        <v>1365</v>
      </c>
      <c r="AL99" s="874">
        <v>1260</v>
      </c>
      <c r="AM99" s="1090">
        <v>1245</v>
      </c>
      <c r="AN99" s="871">
        <v>1216</v>
      </c>
      <c r="AO99" s="1862">
        <v>1195</v>
      </c>
      <c r="AP99" s="1090">
        <v>1137</v>
      </c>
      <c r="AQ99" s="1090">
        <v>1324</v>
      </c>
      <c r="AR99" s="2144"/>
    </row>
    <row r="100" spans="1:44" x14ac:dyDescent="0.3">
      <c r="A100" s="183" t="s">
        <v>245</v>
      </c>
      <c r="B100" s="184" t="s">
        <v>494</v>
      </c>
      <c r="C100" s="191" t="s">
        <v>251</v>
      </c>
      <c r="D100" s="188">
        <v>5.6401280791515608E-2</v>
      </c>
      <c r="E100" s="189">
        <v>5.0256129333956845E-2</v>
      </c>
      <c r="F100" s="189">
        <v>5.2533947265540157E-2</v>
      </c>
      <c r="G100" s="189">
        <v>6.0559770540340487E-2</v>
      </c>
      <c r="H100" s="189">
        <v>5.685748279964823E-2</v>
      </c>
      <c r="I100" s="189">
        <v>4.9573310510692706E-2</v>
      </c>
      <c r="J100" s="189">
        <v>5.1145672342404185E-2</v>
      </c>
      <c r="K100" s="189">
        <v>5.3281178762382392E-2</v>
      </c>
      <c r="L100" s="189">
        <v>5.6580193560167996E-2</v>
      </c>
      <c r="M100" s="189">
        <v>6.1533224839921533E-2</v>
      </c>
      <c r="N100" s="190">
        <v>6.7706896551724141E-2</v>
      </c>
      <c r="O100" s="190">
        <v>7.4018979225442427E-2</v>
      </c>
      <c r="P100" s="190">
        <v>8.1000000000000003E-2</v>
      </c>
      <c r="Q100" s="951">
        <v>7.2314933675652546E-2</v>
      </c>
      <c r="R100" s="1083">
        <v>6.9487221051494033E-2</v>
      </c>
      <c r="S100" s="951">
        <v>6.7361330386275134E-2</v>
      </c>
      <c r="T100" s="1859">
        <v>6.5986108187749942E-2</v>
      </c>
      <c r="U100" s="1083">
        <v>5.8877102753669773E-2</v>
      </c>
      <c r="V100" s="1083">
        <v>6.3933287004864489E-2</v>
      </c>
      <c r="W100" s="2138">
        <v>5.8851957257155134E-2</v>
      </c>
      <c r="X100" s="790"/>
      <c r="Y100" s="948">
        <v>1102</v>
      </c>
      <c r="Z100" s="948">
        <v>962</v>
      </c>
      <c r="AA100" s="948">
        <v>1018</v>
      </c>
      <c r="AB100" s="948">
        <v>1110</v>
      </c>
      <c r="AC100" s="948">
        <v>1033</v>
      </c>
      <c r="AD100" s="948">
        <v>881</v>
      </c>
      <c r="AE100" s="948">
        <v>871</v>
      </c>
      <c r="AF100" s="948">
        <v>882</v>
      </c>
      <c r="AG100" s="948">
        <v>906</v>
      </c>
      <c r="AH100" s="948">
        <v>1106</v>
      </c>
      <c r="AI100" s="948">
        <v>1351</v>
      </c>
      <c r="AJ100" s="948">
        <v>1443</v>
      </c>
      <c r="AK100" s="874">
        <v>1530</v>
      </c>
      <c r="AL100" s="874">
        <v>1352</v>
      </c>
      <c r="AM100" s="1090">
        <v>1286</v>
      </c>
      <c r="AN100" s="871">
        <v>1280</v>
      </c>
      <c r="AO100" s="1862">
        <v>1254</v>
      </c>
      <c r="AP100" s="1090">
        <v>1099</v>
      </c>
      <c r="AQ100" s="1090">
        <v>1196</v>
      </c>
      <c r="AR100" s="2144"/>
    </row>
    <row r="101" spans="1:44" x14ac:dyDescent="0.3">
      <c r="A101" s="183" t="s">
        <v>13</v>
      </c>
      <c r="B101" s="184" t="s">
        <v>14</v>
      </c>
      <c r="C101" s="191" t="s">
        <v>254</v>
      </c>
      <c r="D101" s="188">
        <v>0.14199999999999999</v>
      </c>
      <c r="E101" s="189">
        <v>0.126</v>
      </c>
      <c r="F101" s="189">
        <v>0.13599999999999998</v>
      </c>
      <c r="G101" s="189">
        <v>0.13900000000000001</v>
      </c>
      <c r="H101" s="189">
        <v>0.121</v>
      </c>
      <c r="I101" s="189">
        <v>0.13599999999999998</v>
      </c>
      <c r="J101" s="189">
        <v>0.11900000000000001</v>
      </c>
      <c r="K101" s="189">
        <v>0.129</v>
      </c>
      <c r="L101" s="189">
        <v>0.13700000000000001</v>
      </c>
      <c r="M101" s="189">
        <v>0.14800000000000002</v>
      </c>
      <c r="N101" s="190">
        <v>0.14199999999999999</v>
      </c>
      <c r="O101" s="190">
        <v>0.14699999999999999</v>
      </c>
      <c r="P101" s="190">
        <v>0.14199999999999999</v>
      </c>
      <c r="Q101" s="951">
        <v>0.1532119412316349</v>
      </c>
      <c r="R101" s="1083">
        <v>0.15755664115090204</v>
      </c>
      <c r="S101" s="951">
        <v>0.14529147982062779</v>
      </c>
      <c r="T101" s="1859">
        <v>0.16419261404779145</v>
      </c>
      <c r="U101" s="1083">
        <v>0.16962088519562038</v>
      </c>
      <c r="V101" s="1083">
        <v>0.16052364450978332</v>
      </c>
      <c r="W101" s="2138">
        <v>0.14183886528907769</v>
      </c>
      <c r="X101" s="790"/>
      <c r="Y101" s="948">
        <v>3146</v>
      </c>
      <c r="Z101" s="948">
        <v>2860</v>
      </c>
      <c r="AA101" s="948">
        <v>3202</v>
      </c>
      <c r="AB101" s="948">
        <v>3504</v>
      </c>
      <c r="AC101" s="948">
        <v>3196</v>
      </c>
      <c r="AD101" s="948">
        <v>3557</v>
      </c>
      <c r="AE101" s="948">
        <v>3098</v>
      </c>
      <c r="AF101" s="948">
        <v>3511</v>
      </c>
      <c r="AG101" s="948">
        <v>4030</v>
      </c>
      <c r="AH101" s="948">
        <v>3990</v>
      </c>
      <c r="AI101" s="948">
        <v>3332</v>
      </c>
      <c r="AJ101" s="948">
        <v>3614</v>
      </c>
      <c r="AK101" s="874">
        <v>3578</v>
      </c>
      <c r="AL101" s="874">
        <v>3921</v>
      </c>
      <c r="AM101" s="1090">
        <v>4096</v>
      </c>
      <c r="AN101" s="871">
        <v>3888</v>
      </c>
      <c r="AO101" s="1862">
        <v>4535</v>
      </c>
      <c r="AP101" s="1090">
        <v>4756</v>
      </c>
      <c r="AQ101" s="1090">
        <v>4586</v>
      </c>
      <c r="AR101" s="2144"/>
    </row>
    <row r="102" spans="1:44" x14ac:dyDescent="0.3">
      <c r="A102" s="183" t="s">
        <v>33</v>
      </c>
      <c r="B102" s="184" t="s">
        <v>34</v>
      </c>
      <c r="C102" s="191" t="s">
        <v>255</v>
      </c>
      <c r="D102" s="188">
        <v>0.23699999999999999</v>
      </c>
      <c r="E102" s="189">
        <v>0.22</v>
      </c>
      <c r="F102" s="189">
        <v>0.25700000000000001</v>
      </c>
      <c r="G102" s="189">
        <v>0.26899999999999996</v>
      </c>
      <c r="H102" s="189">
        <v>0.245</v>
      </c>
      <c r="I102" s="189">
        <v>0.28800000000000003</v>
      </c>
      <c r="J102" s="189">
        <v>0.317</v>
      </c>
      <c r="K102" s="189">
        <v>0.29100000000000004</v>
      </c>
      <c r="L102" s="189">
        <v>0.36200000000000004</v>
      </c>
      <c r="M102" s="189">
        <v>0.33100000000000002</v>
      </c>
      <c r="N102" s="190">
        <v>0.33899999999999997</v>
      </c>
      <c r="O102" s="190">
        <v>0.35200000000000004</v>
      </c>
      <c r="P102" s="190">
        <v>0.33200000000000002</v>
      </c>
      <c r="Q102" s="951">
        <v>0.36403897254207263</v>
      </c>
      <c r="R102" s="1083">
        <v>0.34943351222420987</v>
      </c>
      <c r="S102" s="951">
        <v>0.33373385401021327</v>
      </c>
      <c r="T102" s="1859">
        <v>0.38185140073081608</v>
      </c>
      <c r="U102" s="1083">
        <v>0.30845028366676619</v>
      </c>
      <c r="V102" s="1083">
        <v>0.33086419753086421</v>
      </c>
      <c r="W102" s="2138">
        <v>0.3826934795856185</v>
      </c>
      <c r="X102" s="790"/>
      <c r="Y102" s="948">
        <v>817</v>
      </c>
      <c r="Z102" s="948">
        <v>756</v>
      </c>
      <c r="AA102" s="948">
        <v>900</v>
      </c>
      <c r="AB102" s="948">
        <v>929</v>
      </c>
      <c r="AC102" s="948">
        <v>835</v>
      </c>
      <c r="AD102" s="948">
        <v>968</v>
      </c>
      <c r="AE102" s="948">
        <v>1070</v>
      </c>
      <c r="AF102" s="948">
        <v>1000</v>
      </c>
      <c r="AG102" s="948">
        <v>1215</v>
      </c>
      <c r="AH102" s="948">
        <v>1136</v>
      </c>
      <c r="AI102" s="948">
        <v>1222</v>
      </c>
      <c r="AJ102" s="948">
        <v>1239</v>
      </c>
      <c r="AK102" s="874">
        <v>1140</v>
      </c>
      <c r="AL102" s="874">
        <v>1233</v>
      </c>
      <c r="AM102" s="1090">
        <v>1172</v>
      </c>
      <c r="AN102" s="871">
        <v>1111</v>
      </c>
      <c r="AO102" s="1862">
        <v>1254</v>
      </c>
      <c r="AP102" s="1090">
        <v>1033</v>
      </c>
      <c r="AQ102" s="1090">
        <v>1072</v>
      </c>
      <c r="AR102" s="2144"/>
    </row>
    <row r="103" spans="1:44" x14ac:dyDescent="0.3">
      <c r="A103" s="183" t="s">
        <v>51</v>
      </c>
      <c r="B103" s="184" t="s">
        <v>52</v>
      </c>
      <c r="C103" s="191" t="s">
        <v>252</v>
      </c>
      <c r="D103" s="188">
        <v>0.20100000000000001</v>
      </c>
      <c r="E103" s="189">
        <v>0.17199999999999999</v>
      </c>
      <c r="F103" s="189">
        <v>0.20499999999999999</v>
      </c>
      <c r="G103" s="189">
        <v>0.22700000000000001</v>
      </c>
      <c r="H103" s="189">
        <v>0.20300000000000001</v>
      </c>
      <c r="I103" s="189">
        <v>0.24</v>
      </c>
      <c r="J103" s="189">
        <v>0.20300000000000001</v>
      </c>
      <c r="K103" s="189">
        <v>0.219</v>
      </c>
      <c r="L103" s="189">
        <v>0.20899999999999999</v>
      </c>
      <c r="M103" s="189">
        <v>0.214</v>
      </c>
      <c r="N103" s="190">
        <v>0.22699999999999998</v>
      </c>
      <c r="O103" s="190">
        <v>0.222</v>
      </c>
      <c r="P103" s="190">
        <v>0.23200000000000001</v>
      </c>
      <c r="Q103" s="951">
        <v>0.23748125937031483</v>
      </c>
      <c r="R103" s="1083">
        <v>0.24379811804961504</v>
      </c>
      <c r="S103" s="951">
        <v>0.2260415234428709</v>
      </c>
      <c r="T103" s="1859">
        <v>0.19786457629409379</v>
      </c>
      <c r="U103" s="1083">
        <v>0.1941747572815534</v>
      </c>
      <c r="V103" s="1083">
        <v>0.18336433696518736</v>
      </c>
      <c r="W103" s="2138">
        <v>0.21600758396533046</v>
      </c>
      <c r="X103" s="790"/>
      <c r="Y103" s="948">
        <v>1357</v>
      </c>
      <c r="Z103" s="948">
        <v>1141</v>
      </c>
      <c r="AA103" s="948">
        <v>1363</v>
      </c>
      <c r="AB103" s="948">
        <v>1436</v>
      </c>
      <c r="AC103" s="948">
        <v>1378</v>
      </c>
      <c r="AD103" s="948">
        <v>1605</v>
      </c>
      <c r="AE103" s="948">
        <v>1367</v>
      </c>
      <c r="AF103" s="948">
        <v>1497</v>
      </c>
      <c r="AG103" s="948">
        <v>1442</v>
      </c>
      <c r="AH103" s="948">
        <v>1406</v>
      </c>
      <c r="AI103" s="948">
        <v>1439</v>
      </c>
      <c r="AJ103" s="948">
        <v>1387</v>
      </c>
      <c r="AK103" s="874">
        <v>1570</v>
      </c>
      <c r="AL103" s="874">
        <v>1584</v>
      </c>
      <c r="AM103" s="1090">
        <v>1710</v>
      </c>
      <c r="AN103" s="871">
        <v>1644</v>
      </c>
      <c r="AO103" s="1862">
        <v>1464</v>
      </c>
      <c r="AP103" s="1090">
        <v>1460</v>
      </c>
      <c r="AQ103" s="1090">
        <v>1380</v>
      </c>
      <c r="AR103" s="2144"/>
    </row>
    <row r="104" spans="1:44" x14ac:dyDescent="0.3">
      <c r="A104" s="183" t="s">
        <v>53</v>
      </c>
      <c r="B104" s="184" t="s">
        <v>54</v>
      </c>
      <c r="C104" s="191" t="s">
        <v>251</v>
      </c>
      <c r="D104" s="188">
        <v>0.10400000000000001</v>
      </c>
      <c r="E104" s="189">
        <v>9.7000000000000003E-2</v>
      </c>
      <c r="F104" s="189">
        <v>0.111</v>
      </c>
      <c r="G104" s="189">
        <v>0.124</v>
      </c>
      <c r="H104" s="189">
        <v>0.11199999999999999</v>
      </c>
      <c r="I104" s="189">
        <v>9.2999999999999999E-2</v>
      </c>
      <c r="J104" s="189">
        <v>9.2999999999999999E-2</v>
      </c>
      <c r="K104" s="189">
        <v>0.109</v>
      </c>
      <c r="L104" s="189">
        <v>0.10999999999999999</v>
      </c>
      <c r="M104" s="189">
        <v>0.104</v>
      </c>
      <c r="N104" s="190">
        <v>0.114</v>
      </c>
      <c r="O104" s="190">
        <v>0.13500000000000001</v>
      </c>
      <c r="P104" s="190">
        <v>0.14399999999999999</v>
      </c>
      <c r="Q104" s="951">
        <v>0.12580857850562219</v>
      </c>
      <c r="R104" s="1083">
        <v>0.14035429929246537</v>
      </c>
      <c r="S104" s="951">
        <v>0.13944584921115424</v>
      </c>
      <c r="T104" s="1859">
        <v>0.1292781031684426</v>
      </c>
      <c r="U104" s="1083">
        <v>0.13998579176268777</v>
      </c>
      <c r="V104" s="1083">
        <v>0.11911376580080567</v>
      </c>
      <c r="W104" s="2138">
        <v>0.11912171804879726</v>
      </c>
      <c r="X104" s="790"/>
      <c r="Y104" s="948">
        <v>5930</v>
      </c>
      <c r="Z104" s="948">
        <v>5513</v>
      </c>
      <c r="AA104" s="948">
        <v>6438</v>
      </c>
      <c r="AB104" s="948">
        <v>7178</v>
      </c>
      <c r="AC104" s="948">
        <v>6550</v>
      </c>
      <c r="AD104" s="948">
        <v>5357</v>
      </c>
      <c r="AE104" s="948">
        <v>5276</v>
      </c>
      <c r="AF104" s="948">
        <v>6136</v>
      </c>
      <c r="AG104" s="948">
        <v>6087</v>
      </c>
      <c r="AH104" s="948">
        <v>5937</v>
      </c>
      <c r="AI104" s="948">
        <v>6512</v>
      </c>
      <c r="AJ104" s="948">
        <v>7653</v>
      </c>
      <c r="AK104" s="874">
        <v>8034</v>
      </c>
      <c r="AL104" s="874">
        <v>7060</v>
      </c>
      <c r="AM104" s="1090">
        <v>7915</v>
      </c>
      <c r="AN104" s="871">
        <v>7831</v>
      </c>
      <c r="AO104" s="1862">
        <v>7328</v>
      </c>
      <c r="AP104" s="1090">
        <v>8079</v>
      </c>
      <c r="AQ104" s="1090">
        <v>6860</v>
      </c>
      <c r="AR104" s="2144"/>
    </row>
    <row r="105" spans="1:44" x14ac:dyDescent="0.3">
      <c r="A105" s="183" t="s">
        <v>65</v>
      </c>
      <c r="B105" s="184" t="s">
        <v>66</v>
      </c>
      <c r="C105" s="191" t="s">
        <v>252</v>
      </c>
      <c r="D105" s="188">
        <v>0.26300000000000001</v>
      </c>
      <c r="E105" s="189">
        <v>0.251</v>
      </c>
      <c r="F105" s="189">
        <v>0.27800000000000002</v>
      </c>
      <c r="G105" s="189">
        <v>0.307</v>
      </c>
      <c r="H105" s="189">
        <v>0.28100000000000003</v>
      </c>
      <c r="I105" s="189">
        <v>0.35100000000000003</v>
      </c>
      <c r="J105" s="189">
        <v>0.35700000000000004</v>
      </c>
      <c r="K105" s="189">
        <v>0.37000000000000005</v>
      </c>
      <c r="L105" s="189">
        <v>0.32400000000000001</v>
      </c>
      <c r="M105" s="189">
        <v>0.37600000000000006</v>
      </c>
      <c r="N105" s="190">
        <v>0.41700000000000004</v>
      </c>
      <c r="O105" s="190">
        <v>0.41299999999999998</v>
      </c>
      <c r="P105" s="190">
        <v>0.40600000000000003</v>
      </c>
      <c r="Q105" s="951">
        <v>0.39083789292994314</v>
      </c>
      <c r="R105" s="1083">
        <v>0.36625161013310431</v>
      </c>
      <c r="S105" s="951">
        <v>0.39376988044312822</v>
      </c>
      <c r="T105" s="1859">
        <v>0.3755048575483026</v>
      </c>
      <c r="U105" s="1083">
        <v>0.38495031818689296</v>
      </c>
      <c r="V105" s="1083">
        <v>0.38096335561189215</v>
      </c>
      <c r="W105" s="2138">
        <v>0.37105511069241637</v>
      </c>
      <c r="X105" s="790"/>
      <c r="Y105" s="948">
        <v>2860</v>
      </c>
      <c r="Z105" s="948">
        <v>2683</v>
      </c>
      <c r="AA105" s="948">
        <v>2994</v>
      </c>
      <c r="AB105" s="948">
        <v>3217</v>
      </c>
      <c r="AC105" s="948">
        <v>2948</v>
      </c>
      <c r="AD105" s="948">
        <v>3628</v>
      </c>
      <c r="AE105" s="948">
        <v>3560</v>
      </c>
      <c r="AF105" s="948">
        <v>3593</v>
      </c>
      <c r="AG105" s="948">
        <v>3075</v>
      </c>
      <c r="AH105" s="948">
        <v>3443</v>
      </c>
      <c r="AI105" s="948">
        <v>3778</v>
      </c>
      <c r="AJ105" s="948">
        <v>3791</v>
      </c>
      <c r="AK105" s="874">
        <v>3798</v>
      </c>
      <c r="AL105" s="874">
        <v>3643</v>
      </c>
      <c r="AM105" s="1090">
        <v>3412</v>
      </c>
      <c r="AN105" s="871">
        <v>3590</v>
      </c>
      <c r="AO105" s="1862">
        <v>3440</v>
      </c>
      <c r="AP105" s="1090">
        <v>3448</v>
      </c>
      <c r="AQ105" s="1090">
        <v>3306</v>
      </c>
      <c r="AR105" s="2144"/>
    </row>
    <row r="106" spans="1:44" x14ac:dyDescent="0.3">
      <c r="A106" s="183" t="s">
        <v>81</v>
      </c>
      <c r="B106" s="184" t="s">
        <v>82</v>
      </c>
      <c r="C106" s="191" t="s">
        <v>251</v>
      </c>
      <c r="D106" s="188">
        <v>0.27700000000000002</v>
      </c>
      <c r="E106" s="189">
        <v>0.23399999999999999</v>
      </c>
      <c r="F106" s="189">
        <v>0.26400000000000001</v>
      </c>
      <c r="G106" s="189">
        <v>0.27199999999999996</v>
      </c>
      <c r="H106" s="189">
        <v>0.23600000000000002</v>
      </c>
      <c r="I106" s="189">
        <v>0.30299999999999999</v>
      </c>
      <c r="J106" s="189">
        <v>0.26900000000000002</v>
      </c>
      <c r="K106" s="189">
        <v>0.28999999999999998</v>
      </c>
      <c r="L106" s="189">
        <v>0.28200000000000003</v>
      </c>
      <c r="M106" s="189">
        <v>0.28600000000000003</v>
      </c>
      <c r="N106" s="190">
        <v>0.33200000000000002</v>
      </c>
      <c r="O106" s="190">
        <v>0.33700000000000002</v>
      </c>
      <c r="P106" s="190">
        <v>0.33100000000000002</v>
      </c>
      <c r="Q106" s="951">
        <v>0.36555199267063676</v>
      </c>
      <c r="R106" s="1083">
        <v>0.34682860998650472</v>
      </c>
      <c r="S106" s="951">
        <v>0.35228331780055916</v>
      </c>
      <c r="T106" s="1859">
        <v>0.33811475409836067</v>
      </c>
      <c r="U106" s="1083">
        <v>0.35136527563111797</v>
      </c>
      <c r="V106" s="1083">
        <v>0.34112646121147716</v>
      </c>
      <c r="W106" s="2138">
        <v>0.3330078125</v>
      </c>
      <c r="X106" s="790"/>
      <c r="Y106" s="948">
        <v>569</v>
      </c>
      <c r="Z106" s="948">
        <v>472</v>
      </c>
      <c r="AA106" s="948">
        <v>542</v>
      </c>
      <c r="AB106" s="948">
        <v>583</v>
      </c>
      <c r="AC106" s="948">
        <v>517</v>
      </c>
      <c r="AD106" s="948">
        <v>654</v>
      </c>
      <c r="AE106" s="948">
        <v>586</v>
      </c>
      <c r="AF106" s="948">
        <v>652</v>
      </c>
      <c r="AG106" s="948">
        <v>621</v>
      </c>
      <c r="AH106" s="948">
        <v>635</v>
      </c>
      <c r="AI106" s="948">
        <v>671</v>
      </c>
      <c r="AJ106" s="948">
        <v>688</v>
      </c>
      <c r="AK106" s="874">
        <v>689</v>
      </c>
      <c r="AL106" s="874">
        <v>798</v>
      </c>
      <c r="AM106" s="1090">
        <v>771</v>
      </c>
      <c r="AN106" s="871">
        <v>756</v>
      </c>
      <c r="AO106" s="1862">
        <v>660</v>
      </c>
      <c r="AP106" s="1090">
        <v>682</v>
      </c>
      <c r="AQ106" s="1090">
        <v>642</v>
      </c>
      <c r="AR106" s="2144"/>
    </row>
    <row r="107" spans="1:44" x14ac:dyDescent="0.3">
      <c r="A107" s="183" t="s">
        <v>87</v>
      </c>
      <c r="B107" s="184" t="s">
        <v>88</v>
      </c>
      <c r="C107" s="191" t="s">
        <v>254</v>
      </c>
      <c r="D107" s="188">
        <v>0.17899999999999999</v>
      </c>
      <c r="E107" s="189">
        <v>0.156</v>
      </c>
      <c r="F107" s="189">
        <v>0.18</v>
      </c>
      <c r="G107" s="189">
        <v>0.19699999999999998</v>
      </c>
      <c r="H107" s="189">
        <v>0.18100000000000002</v>
      </c>
      <c r="I107" s="189">
        <v>0.20799999999999999</v>
      </c>
      <c r="J107" s="189">
        <v>0.20200000000000001</v>
      </c>
      <c r="K107" s="189">
        <v>0.193</v>
      </c>
      <c r="L107" s="189">
        <v>0.20300000000000001</v>
      </c>
      <c r="M107" s="189">
        <v>0.23199999999999998</v>
      </c>
      <c r="N107" s="190">
        <v>0.23399999999999999</v>
      </c>
      <c r="O107" s="190">
        <v>0.22899999999999998</v>
      </c>
      <c r="P107" s="190">
        <v>0.21199999999999999</v>
      </c>
      <c r="Q107" s="951">
        <v>0.23028334235697528</v>
      </c>
      <c r="R107" s="1083">
        <v>0.23432755849258796</v>
      </c>
      <c r="S107" s="951">
        <v>0.22798019101521047</v>
      </c>
      <c r="T107" s="1859">
        <v>0.20204825551119598</v>
      </c>
      <c r="U107" s="1083">
        <v>0.20255602240896359</v>
      </c>
      <c r="V107" s="1083">
        <v>0.21207508878741754</v>
      </c>
      <c r="W107" s="2138">
        <v>0.23787141178445526</v>
      </c>
      <c r="X107" s="790"/>
      <c r="Y107" s="948">
        <v>646</v>
      </c>
      <c r="Z107" s="948">
        <v>583</v>
      </c>
      <c r="AA107" s="948">
        <v>715</v>
      </c>
      <c r="AB107" s="948">
        <v>830</v>
      </c>
      <c r="AC107" s="948">
        <v>765</v>
      </c>
      <c r="AD107" s="948">
        <v>871</v>
      </c>
      <c r="AE107" s="948">
        <v>868</v>
      </c>
      <c r="AF107" s="948">
        <v>911</v>
      </c>
      <c r="AG107" s="948">
        <v>995</v>
      </c>
      <c r="AH107" s="948">
        <v>1060</v>
      </c>
      <c r="AI107" s="948">
        <v>1092</v>
      </c>
      <c r="AJ107" s="948">
        <v>1183</v>
      </c>
      <c r="AK107" s="874">
        <v>1181</v>
      </c>
      <c r="AL107" s="874">
        <v>1276</v>
      </c>
      <c r="AM107" s="1090">
        <v>1312</v>
      </c>
      <c r="AN107" s="871">
        <v>1289</v>
      </c>
      <c r="AO107" s="1862">
        <v>1164</v>
      </c>
      <c r="AP107" s="1090">
        <v>1157</v>
      </c>
      <c r="AQ107" s="1090">
        <v>1254</v>
      </c>
      <c r="AR107" s="2144"/>
    </row>
    <row r="108" spans="1:44" x14ac:dyDescent="0.3">
      <c r="A108" s="183" t="s">
        <v>89</v>
      </c>
      <c r="B108" s="184" t="s">
        <v>90</v>
      </c>
      <c r="C108" s="191" t="s">
        <v>255</v>
      </c>
      <c r="D108" s="188">
        <v>0.26899999999999996</v>
      </c>
      <c r="E108" s="189">
        <v>0.24399999999999997</v>
      </c>
      <c r="F108" s="189">
        <v>0.26</v>
      </c>
      <c r="G108" s="189">
        <v>0.29600000000000004</v>
      </c>
      <c r="H108" s="189">
        <v>0.24899999999999997</v>
      </c>
      <c r="I108" s="189">
        <v>0.29499999999999998</v>
      </c>
      <c r="J108" s="189">
        <v>0.29799999999999999</v>
      </c>
      <c r="K108" s="189">
        <v>0.29399999999999998</v>
      </c>
      <c r="L108" s="189">
        <v>0.32400000000000001</v>
      </c>
      <c r="M108" s="189">
        <v>0.34299999999999997</v>
      </c>
      <c r="N108" s="190">
        <v>0.35899999999999999</v>
      </c>
      <c r="O108" s="190">
        <v>0.373</v>
      </c>
      <c r="P108" s="190">
        <v>0.36399999999999999</v>
      </c>
      <c r="Q108" s="951">
        <v>0.36742192284139619</v>
      </c>
      <c r="R108" s="1083">
        <v>0.34785238959467635</v>
      </c>
      <c r="S108" s="951">
        <v>0.36538461538461536</v>
      </c>
      <c r="T108" s="1859">
        <v>0.34270414993306558</v>
      </c>
      <c r="U108" s="1083">
        <v>0.35372714486638535</v>
      </c>
      <c r="V108" s="1083">
        <v>0.34687953555878082</v>
      </c>
      <c r="W108" s="2138">
        <v>0.33060668029993184</v>
      </c>
      <c r="X108" s="790"/>
      <c r="Y108" s="948">
        <v>412</v>
      </c>
      <c r="Z108" s="948">
        <v>376</v>
      </c>
      <c r="AA108" s="948">
        <v>408</v>
      </c>
      <c r="AB108" s="948">
        <v>464</v>
      </c>
      <c r="AC108" s="948">
        <v>390</v>
      </c>
      <c r="AD108" s="948">
        <v>456</v>
      </c>
      <c r="AE108" s="948">
        <v>459</v>
      </c>
      <c r="AF108" s="948">
        <v>453</v>
      </c>
      <c r="AG108" s="948">
        <v>502</v>
      </c>
      <c r="AH108" s="948">
        <v>533</v>
      </c>
      <c r="AI108" s="948">
        <v>541</v>
      </c>
      <c r="AJ108" s="948">
        <v>565</v>
      </c>
      <c r="AK108" s="874">
        <v>562</v>
      </c>
      <c r="AL108" s="874">
        <v>600</v>
      </c>
      <c r="AM108" s="1090">
        <v>575</v>
      </c>
      <c r="AN108" s="871">
        <v>589</v>
      </c>
      <c r="AO108" s="1862">
        <v>512</v>
      </c>
      <c r="AP108" s="1090">
        <v>503</v>
      </c>
      <c r="AQ108" s="1090">
        <v>478</v>
      </c>
      <c r="AR108" s="2144"/>
    </row>
    <row r="109" spans="1:44" x14ac:dyDescent="0.3">
      <c r="A109" s="183" t="s">
        <v>105</v>
      </c>
      <c r="B109" s="184" t="s">
        <v>106</v>
      </c>
      <c r="C109" s="191" t="s">
        <v>251</v>
      </c>
      <c r="D109" s="188">
        <v>0.17500000000000002</v>
      </c>
      <c r="E109" s="189">
        <v>0.16300000000000001</v>
      </c>
      <c r="F109" s="189">
        <v>0.18</v>
      </c>
      <c r="G109" s="189">
        <v>0.18699999999999997</v>
      </c>
      <c r="H109" s="189">
        <v>0.17399999999999999</v>
      </c>
      <c r="I109" s="189">
        <v>0.20300000000000001</v>
      </c>
      <c r="J109" s="189">
        <v>0.16899999999999998</v>
      </c>
      <c r="K109" s="189">
        <v>0.19800000000000001</v>
      </c>
      <c r="L109" s="189">
        <v>0.19899999999999998</v>
      </c>
      <c r="M109" s="189">
        <v>0.20699999999999999</v>
      </c>
      <c r="N109" s="190">
        <v>0.20300000000000001</v>
      </c>
      <c r="O109" s="190">
        <v>0.23699999999999999</v>
      </c>
      <c r="P109" s="190">
        <v>0.253</v>
      </c>
      <c r="Q109" s="951">
        <v>0.22343621961212784</v>
      </c>
      <c r="R109" s="1083">
        <v>0.2159420784809262</v>
      </c>
      <c r="S109" s="951">
        <v>0.23530225480702724</v>
      </c>
      <c r="T109" s="1859">
        <v>0.23470573732962349</v>
      </c>
      <c r="U109" s="1083">
        <v>0.23524542968187706</v>
      </c>
      <c r="V109" s="1083">
        <v>0.23737428747776204</v>
      </c>
      <c r="W109" s="2138">
        <v>0.21001849903877542</v>
      </c>
      <c r="X109" s="790"/>
      <c r="Y109" s="948">
        <v>6095</v>
      </c>
      <c r="Z109" s="948">
        <v>5622</v>
      </c>
      <c r="AA109" s="948">
        <v>6355</v>
      </c>
      <c r="AB109" s="948">
        <v>6489</v>
      </c>
      <c r="AC109" s="948">
        <v>5995</v>
      </c>
      <c r="AD109" s="948">
        <v>6926</v>
      </c>
      <c r="AE109" s="948">
        <v>5650</v>
      </c>
      <c r="AF109" s="948">
        <v>6578</v>
      </c>
      <c r="AG109" s="948">
        <v>6452</v>
      </c>
      <c r="AH109" s="948">
        <v>6526</v>
      </c>
      <c r="AI109" s="948">
        <v>6225</v>
      </c>
      <c r="AJ109" s="948">
        <v>7163</v>
      </c>
      <c r="AK109" s="874">
        <v>7560</v>
      </c>
      <c r="AL109" s="874">
        <v>6544</v>
      </c>
      <c r="AM109" s="1090">
        <v>6323</v>
      </c>
      <c r="AN109" s="871">
        <v>6804</v>
      </c>
      <c r="AO109" s="1862">
        <v>6664</v>
      </c>
      <c r="AP109" s="1090">
        <v>6537</v>
      </c>
      <c r="AQ109" s="1090">
        <v>6538</v>
      </c>
      <c r="AR109" s="2144"/>
    </row>
    <row r="110" spans="1:44" x14ac:dyDescent="0.3">
      <c r="A110" s="183" t="s">
        <v>115</v>
      </c>
      <c r="B110" s="184" t="s">
        <v>116</v>
      </c>
      <c r="C110" s="191" t="s">
        <v>253</v>
      </c>
      <c r="D110" s="188">
        <v>0.22800000000000001</v>
      </c>
      <c r="E110" s="189">
        <v>0.20200000000000001</v>
      </c>
      <c r="F110" s="189">
        <v>0.24200000000000002</v>
      </c>
      <c r="G110" s="189">
        <v>0.26</v>
      </c>
      <c r="H110" s="189">
        <v>0.219</v>
      </c>
      <c r="I110" s="189">
        <v>0.26600000000000001</v>
      </c>
      <c r="J110" s="189">
        <v>0.26100000000000001</v>
      </c>
      <c r="K110" s="189">
        <v>0.24500000000000002</v>
      </c>
      <c r="L110" s="189">
        <v>0.27</v>
      </c>
      <c r="M110" s="189">
        <v>0.29500000000000004</v>
      </c>
      <c r="N110" s="190">
        <v>0.27499999999999997</v>
      </c>
      <c r="O110" s="190">
        <v>0.30199999999999999</v>
      </c>
      <c r="P110" s="190">
        <v>0.29799999999999999</v>
      </c>
      <c r="Q110" s="951">
        <v>0.34282544378698226</v>
      </c>
      <c r="R110" s="1083">
        <v>0.31276093664911964</v>
      </c>
      <c r="S110" s="951">
        <v>0.33673104434907009</v>
      </c>
      <c r="T110" s="1859">
        <v>0.30967630257919337</v>
      </c>
      <c r="U110" s="1083">
        <v>0.3253871585174874</v>
      </c>
      <c r="V110" s="1083">
        <v>0.30923344947735193</v>
      </c>
      <c r="W110" s="2138">
        <v>0.30901137357830272</v>
      </c>
      <c r="X110" s="790"/>
      <c r="Y110" s="948">
        <v>1348</v>
      </c>
      <c r="Z110" s="948">
        <v>1213</v>
      </c>
      <c r="AA110" s="948">
        <v>1480</v>
      </c>
      <c r="AB110" s="948">
        <v>1567</v>
      </c>
      <c r="AC110" s="948">
        <v>1342</v>
      </c>
      <c r="AD110" s="948">
        <v>1611</v>
      </c>
      <c r="AE110" s="948">
        <v>1546</v>
      </c>
      <c r="AF110" s="948">
        <v>1488</v>
      </c>
      <c r="AG110" s="948">
        <v>1655</v>
      </c>
      <c r="AH110" s="948">
        <v>1758</v>
      </c>
      <c r="AI110" s="948">
        <v>1535</v>
      </c>
      <c r="AJ110" s="948">
        <v>1664</v>
      </c>
      <c r="AK110" s="874">
        <v>1647</v>
      </c>
      <c r="AL110" s="874">
        <v>1854</v>
      </c>
      <c r="AM110" s="1090">
        <v>1723</v>
      </c>
      <c r="AN110" s="871">
        <v>1883</v>
      </c>
      <c r="AO110" s="1862">
        <v>1789</v>
      </c>
      <c r="AP110" s="1090">
        <v>1870</v>
      </c>
      <c r="AQ110" s="1090">
        <v>1775</v>
      </c>
      <c r="AR110" s="2144"/>
    </row>
    <row r="111" spans="1:44" x14ac:dyDescent="0.3">
      <c r="A111" s="183" t="s">
        <v>137</v>
      </c>
      <c r="B111" s="184" t="s">
        <v>138</v>
      </c>
      <c r="C111" s="191" t="s">
        <v>252</v>
      </c>
      <c r="D111" s="188">
        <v>0.2</v>
      </c>
      <c r="E111" s="189">
        <v>0.19699999999999998</v>
      </c>
      <c r="F111" s="189">
        <v>0.23500000000000001</v>
      </c>
      <c r="G111" s="189">
        <v>0.253</v>
      </c>
      <c r="H111" s="189">
        <v>0.23100000000000001</v>
      </c>
      <c r="I111" s="189">
        <v>0.25399999999999995</v>
      </c>
      <c r="J111" s="189">
        <v>0.252</v>
      </c>
      <c r="K111" s="189">
        <v>0.27699999999999997</v>
      </c>
      <c r="L111" s="189">
        <v>0.24</v>
      </c>
      <c r="M111" s="189">
        <v>0.26600000000000001</v>
      </c>
      <c r="N111" s="190">
        <v>0.29599999999999999</v>
      </c>
      <c r="O111" s="190">
        <v>0.252</v>
      </c>
      <c r="P111" s="190">
        <v>0.29299999999999998</v>
      </c>
      <c r="Q111" s="951">
        <v>0.29990634198554988</v>
      </c>
      <c r="R111" s="1083">
        <v>0.31687536495166418</v>
      </c>
      <c r="S111" s="951">
        <v>0.28444121724206217</v>
      </c>
      <c r="T111" s="1859">
        <v>0.24510129525074725</v>
      </c>
      <c r="U111" s="1083">
        <v>0.25022854904009401</v>
      </c>
      <c r="V111" s="1083">
        <v>0.25099781125273596</v>
      </c>
      <c r="W111" s="2138">
        <v>0.21020342266709718</v>
      </c>
      <c r="X111" s="790"/>
      <c r="Y111" s="948">
        <v>2811</v>
      </c>
      <c r="Z111" s="948">
        <v>2742</v>
      </c>
      <c r="AA111" s="948">
        <v>3339</v>
      </c>
      <c r="AB111" s="948">
        <v>3579</v>
      </c>
      <c r="AC111" s="948">
        <v>3266</v>
      </c>
      <c r="AD111" s="948">
        <v>3540</v>
      </c>
      <c r="AE111" s="948">
        <v>3488</v>
      </c>
      <c r="AF111" s="948">
        <v>4018</v>
      </c>
      <c r="AG111" s="948">
        <v>3522</v>
      </c>
      <c r="AH111" s="948">
        <v>3857</v>
      </c>
      <c r="AI111" s="948">
        <v>4267</v>
      </c>
      <c r="AJ111" s="948">
        <v>3687</v>
      </c>
      <c r="AK111" s="874">
        <v>4341</v>
      </c>
      <c r="AL111" s="874">
        <v>4483</v>
      </c>
      <c r="AM111" s="1090">
        <v>4884</v>
      </c>
      <c r="AN111" s="871">
        <v>4309</v>
      </c>
      <c r="AO111" s="1862">
        <v>3690</v>
      </c>
      <c r="AP111" s="1090">
        <v>3832</v>
      </c>
      <c r="AQ111" s="1090">
        <v>3899</v>
      </c>
      <c r="AR111" s="2144"/>
    </row>
    <row r="112" spans="1:44" x14ac:dyDescent="0.3">
      <c r="A112" s="183" t="s">
        <v>141</v>
      </c>
      <c r="B112" s="184" t="s">
        <v>142</v>
      </c>
      <c r="C112" s="191" t="s">
        <v>254</v>
      </c>
      <c r="D112" s="188">
        <v>8.1000000000000003E-2</v>
      </c>
      <c r="E112" s="189">
        <v>7.5000000000000011E-2</v>
      </c>
      <c r="F112" s="189">
        <v>8.3999999999999991E-2</v>
      </c>
      <c r="G112" s="189">
        <v>9.5000000000000001E-2</v>
      </c>
      <c r="H112" s="189">
        <v>9.3000000000000013E-2</v>
      </c>
      <c r="I112" s="189">
        <v>9.1999999999999985E-2</v>
      </c>
      <c r="J112" s="189">
        <v>9.8000000000000004E-2</v>
      </c>
      <c r="K112" s="189">
        <v>0.13099999999999998</v>
      </c>
      <c r="L112" s="189">
        <v>0.13100000000000001</v>
      </c>
      <c r="M112" s="189">
        <v>0.14599999999999999</v>
      </c>
      <c r="N112" s="190">
        <v>0.17899999999999999</v>
      </c>
      <c r="O112" s="190">
        <v>0.16699999999999998</v>
      </c>
      <c r="P112" s="190">
        <v>0.17299999999999999</v>
      </c>
      <c r="Q112" s="951">
        <v>0.167420814479638</v>
      </c>
      <c r="R112" s="1083">
        <v>0.1635738209468634</v>
      </c>
      <c r="S112" s="951">
        <v>0.15432041961903009</v>
      </c>
      <c r="T112" s="1859">
        <v>0.15744203440538518</v>
      </c>
      <c r="U112" s="1083">
        <v>0.1421691210521441</v>
      </c>
      <c r="V112" s="1083">
        <v>0.1469050894085282</v>
      </c>
      <c r="W112" s="2138">
        <v>0.13446951961794176</v>
      </c>
      <c r="X112" s="790"/>
      <c r="Y112" s="948">
        <v>862</v>
      </c>
      <c r="Z112" s="948">
        <v>803</v>
      </c>
      <c r="AA112" s="948">
        <v>919</v>
      </c>
      <c r="AB112" s="948">
        <v>1055</v>
      </c>
      <c r="AC112" s="948">
        <v>1038</v>
      </c>
      <c r="AD112" s="948">
        <v>1017</v>
      </c>
      <c r="AE112" s="948">
        <v>1022</v>
      </c>
      <c r="AF112" s="948">
        <v>1324</v>
      </c>
      <c r="AG112" s="948">
        <v>1308</v>
      </c>
      <c r="AH112" s="948">
        <v>1504</v>
      </c>
      <c r="AI112" s="948">
        <v>1888</v>
      </c>
      <c r="AJ112" s="948">
        <v>1790</v>
      </c>
      <c r="AK112" s="874">
        <v>1882</v>
      </c>
      <c r="AL112" s="874">
        <v>1850</v>
      </c>
      <c r="AM112" s="1090">
        <v>1807</v>
      </c>
      <c r="AN112" s="871">
        <v>1677</v>
      </c>
      <c r="AO112" s="1862">
        <v>1684</v>
      </c>
      <c r="AP112" s="1090">
        <v>1535</v>
      </c>
      <c r="AQ112" s="1090">
        <v>1602</v>
      </c>
      <c r="AR112" s="2144"/>
    </row>
    <row r="113" spans="1:45" x14ac:dyDescent="0.3">
      <c r="A113" s="183" t="s">
        <v>143</v>
      </c>
      <c r="B113" s="184" t="s">
        <v>144</v>
      </c>
      <c r="C113" s="191" t="s">
        <v>254</v>
      </c>
      <c r="D113" s="188">
        <v>8.3000000000000004E-2</v>
      </c>
      <c r="E113" s="189">
        <v>7.2999999999999995E-2</v>
      </c>
      <c r="F113" s="189">
        <v>8.4000000000000005E-2</v>
      </c>
      <c r="G113" s="189">
        <v>9.1999999999999998E-2</v>
      </c>
      <c r="H113" s="189">
        <v>7.6999999999999999E-2</v>
      </c>
      <c r="I113" s="189">
        <v>8.6999999999999994E-2</v>
      </c>
      <c r="J113" s="189">
        <v>9.2999999999999999E-2</v>
      </c>
      <c r="K113" s="189">
        <v>0.1</v>
      </c>
      <c r="L113" s="189">
        <v>0.113</v>
      </c>
      <c r="M113" s="189">
        <v>0.126</v>
      </c>
      <c r="N113" s="190">
        <v>0.13599999999999998</v>
      </c>
      <c r="O113" s="190">
        <v>0.14199999999999999</v>
      </c>
      <c r="P113" s="190">
        <v>0.14199999999999999</v>
      </c>
      <c r="Q113" s="951">
        <v>0.13747954173486088</v>
      </c>
      <c r="R113" s="1083">
        <v>0.14706677480400107</v>
      </c>
      <c r="S113" s="951">
        <v>0.12679969689315485</v>
      </c>
      <c r="T113" s="1859">
        <v>0.12809607205404053</v>
      </c>
      <c r="U113" s="1083">
        <v>0.11362480935434673</v>
      </c>
      <c r="V113" s="1083">
        <v>0.11867501304121023</v>
      </c>
      <c r="W113" s="2138">
        <v>0.11382536382536383</v>
      </c>
      <c r="X113" s="790"/>
      <c r="Y113" s="948">
        <v>275</v>
      </c>
      <c r="Z113" s="948">
        <v>250</v>
      </c>
      <c r="AA113" s="948">
        <v>293</v>
      </c>
      <c r="AB113" s="948">
        <v>339</v>
      </c>
      <c r="AC113" s="948">
        <v>286</v>
      </c>
      <c r="AD113" s="948">
        <v>319</v>
      </c>
      <c r="AE113" s="948">
        <v>349</v>
      </c>
      <c r="AF113" s="948">
        <v>363</v>
      </c>
      <c r="AG113" s="948">
        <v>409</v>
      </c>
      <c r="AH113" s="948">
        <v>452</v>
      </c>
      <c r="AI113" s="948">
        <v>546</v>
      </c>
      <c r="AJ113" s="948">
        <v>615</v>
      </c>
      <c r="AK113" s="874">
        <v>618</v>
      </c>
      <c r="AL113" s="874">
        <v>588</v>
      </c>
      <c r="AM113" s="1090">
        <v>544</v>
      </c>
      <c r="AN113" s="871">
        <v>502</v>
      </c>
      <c r="AO113" s="1862">
        <v>512</v>
      </c>
      <c r="AP113" s="1090">
        <v>447</v>
      </c>
      <c r="AQ113" s="1090">
        <v>455</v>
      </c>
      <c r="AR113" s="2144"/>
    </row>
    <row r="114" spans="1:45" x14ac:dyDescent="0.3">
      <c r="A114" s="183" t="s">
        <v>157</v>
      </c>
      <c r="B114" s="184" t="s">
        <v>158</v>
      </c>
      <c r="C114" s="191" t="s">
        <v>251</v>
      </c>
      <c r="D114" s="188">
        <v>0.188</v>
      </c>
      <c r="E114" s="189">
        <v>0.17100000000000001</v>
      </c>
      <c r="F114" s="189">
        <v>0.192</v>
      </c>
      <c r="G114" s="189">
        <v>0.19899999999999998</v>
      </c>
      <c r="H114" s="189">
        <v>0.18399999999999997</v>
      </c>
      <c r="I114" s="189">
        <v>0.21199999999999999</v>
      </c>
      <c r="J114" s="189">
        <v>0.189</v>
      </c>
      <c r="K114" s="189">
        <v>0.20799999999999999</v>
      </c>
      <c r="L114" s="189">
        <v>0.19399999999999998</v>
      </c>
      <c r="M114" s="189">
        <v>0.20600000000000002</v>
      </c>
      <c r="N114" s="190">
        <v>0.23300000000000001</v>
      </c>
      <c r="O114" s="190">
        <v>0.22699999999999998</v>
      </c>
      <c r="P114" s="190">
        <v>0.253</v>
      </c>
      <c r="Q114" s="951">
        <v>0.27058684335068622</v>
      </c>
      <c r="R114" s="1083">
        <v>0.25797903802020489</v>
      </c>
      <c r="S114" s="951">
        <v>0.25742337164750956</v>
      </c>
      <c r="T114" s="1859">
        <v>0.21105819210405435</v>
      </c>
      <c r="U114" s="1083">
        <v>0.25165983206405002</v>
      </c>
      <c r="V114" s="1083">
        <v>0.21677578752316246</v>
      </c>
      <c r="W114" s="2138">
        <v>0.23638379110727922</v>
      </c>
      <c r="X114" s="790"/>
      <c r="Y114" s="948">
        <v>9366</v>
      </c>
      <c r="Z114" s="948">
        <v>8608</v>
      </c>
      <c r="AA114" s="948">
        <v>10012</v>
      </c>
      <c r="AB114" s="948">
        <v>10363</v>
      </c>
      <c r="AC114" s="948">
        <v>9610</v>
      </c>
      <c r="AD114" s="948">
        <v>10934</v>
      </c>
      <c r="AE114" s="948">
        <v>9486</v>
      </c>
      <c r="AF114" s="948">
        <v>10346</v>
      </c>
      <c r="AG114" s="948">
        <v>9552</v>
      </c>
      <c r="AH114" s="948">
        <v>9976</v>
      </c>
      <c r="AI114" s="948">
        <v>10038</v>
      </c>
      <c r="AJ114" s="948">
        <v>9700</v>
      </c>
      <c r="AK114" s="874">
        <v>10744</v>
      </c>
      <c r="AL114" s="874">
        <v>11435</v>
      </c>
      <c r="AM114" s="1090">
        <v>10904</v>
      </c>
      <c r="AN114" s="871">
        <v>10750</v>
      </c>
      <c r="AO114" s="1862">
        <v>8730</v>
      </c>
      <c r="AP114" s="1090">
        <v>10310</v>
      </c>
      <c r="AQ114" s="1090">
        <v>8774</v>
      </c>
      <c r="AR114" s="2144"/>
    </row>
    <row r="115" spans="1:45" x14ac:dyDescent="0.3">
      <c r="A115" s="183" t="s">
        <v>159</v>
      </c>
      <c r="B115" s="184" t="s">
        <v>160</v>
      </c>
      <c r="C115" s="191" t="s">
        <v>251</v>
      </c>
      <c r="D115" s="188">
        <v>0.26399999999999996</v>
      </c>
      <c r="E115" s="189">
        <v>0.24100000000000002</v>
      </c>
      <c r="F115" s="189">
        <v>0.26200000000000001</v>
      </c>
      <c r="G115" s="189">
        <v>0.27100000000000002</v>
      </c>
      <c r="H115" s="189">
        <v>0.24000000000000002</v>
      </c>
      <c r="I115" s="189">
        <v>0.27499999999999997</v>
      </c>
      <c r="J115" s="189">
        <v>0.24000000000000002</v>
      </c>
      <c r="K115" s="189">
        <v>0.24299999999999999</v>
      </c>
      <c r="L115" s="189">
        <v>0.27899999999999997</v>
      </c>
      <c r="M115" s="189">
        <v>0.26700000000000002</v>
      </c>
      <c r="N115" s="190">
        <v>0.255</v>
      </c>
      <c r="O115" s="190">
        <v>0.28000000000000003</v>
      </c>
      <c r="P115" s="190">
        <v>0.27600000000000002</v>
      </c>
      <c r="Q115" s="951">
        <v>0.33011058193487725</v>
      </c>
      <c r="R115" s="1083">
        <v>0.31745934586113322</v>
      </c>
      <c r="S115" s="951">
        <v>0.29628789441121883</v>
      </c>
      <c r="T115" s="1859">
        <v>0.31219298975938725</v>
      </c>
      <c r="U115" s="1083">
        <v>0.27900477021035158</v>
      </c>
      <c r="V115" s="1083">
        <v>0.2821153846153846</v>
      </c>
      <c r="W115" s="2138">
        <v>0.28494951253481893</v>
      </c>
      <c r="X115" s="790"/>
      <c r="Y115" s="948">
        <v>14823</v>
      </c>
      <c r="Z115" s="948">
        <v>13868</v>
      </c>
      <c r="AA115" s="948">
        <v>15592</v>
      </c>
      <c r="AB115" s="948">
        <v>16014</v>
      </c>
      <c r="AC115" s="948">
        <v>14146</v>
      </c>
      <c r="AD115" s="948">
        <v>16042</v>
      </c>
      <c r="AE115" s="948">
        <v>13864</v>
      </c>
      <c r="AF115" s="948">
        <v>14375</v>
      </c>
      <c r="AG115" s="948">
        <v>16416</v>
      </c>
      <c r="AH115" s="948">
        <v>14190</v>
      </c>
      <c r="AI115" s="948">
        <v>12663</v>
      </c>
      <c r="AJ115" s="948">
        <v>13951</v>
      </c>
      <c r="AK115" s="874">
        <v>13799</v>
      </c>
      <c r="AL115" s="874">
        <v>16150</v>
      </c>
      <c r="AM115" s="1090">
        <v>15559</v>
      </c>
      <c r="AN115" s="871">
        <v>14367</v>
      </c>
      <c r="AO115" s="1862">
        <v>14999</v>
      </c>
      <c r="AP115" s="1090">
        <v>13277</v>
      </c>
      <c r="AQ115" s="1090">
        <v>13203</v>
      </c>
      <c r="AR115" s="2144"/>
    </row>
    <row r="116" spans="1:45" x14ac:dyDescent="0.3">
      <c r="A116" s="183" t="s">
        <v>165</v>
      </c>
      <c r="B116" s="184" t="s">
        <v>166</v>
      </c>
      <c r="C116" s="191" t="s">
        <v>255</v>
      </c>
      <c r="D116" s="188">
        <v>0.27100000000000002</v>
      </c>
      <c r="E116" s="189">
        <v>0.25900000000000001</v>
      </c>
      <c r="F116" s="189">
        <v>0.254</v>
      </c>
      <c r="G116" s="189">
        <v>0.28899999999999998</v>
      </c>
      <c r="H116" s="189">
        <v>0.26499999999999996</v>
      </c>
      <c r="I116" s="189">
        <v>0.32600000000000001</v>
      </c>
      <c r="J116" s="189">
        <v>0.28999999999999998</v>
      </c>
      <c r="K116" s="189">
        <v>0.31</v>
      </c>
      <c r="L116" s="189">
        <v>0.32200000000000001</v>
      </c>
      <c r="M116" s="189">
        <v>0.314</v>
      </c>
      <c r="N116" s="190">
        <v>0.316</v>
      </c>
      <c r="O116" s="190">
        <v>0.32100000000000001</v>
      </c>
      <c r="P116" s="190">
        <v>0.312</v>
      </c>
      <c r="Q116" s="951">
        <v>0.36500579374275782</v>
      </c>
      <c r="R116" s="1083">
        <v>0.32852386237513875</v>
      </c>
      <c r="S116" s="951">
        <v>0.37485029940119763</v>
      </c>
      <c r="T116" s="1859">
        <v>0.33804627249357327</v>
      </c>
      <c r="U116" s="1083">
        <v>0.33542713567839194</v>
      </c>
      <c r="V116" s="1083">
        <v>0.31347150259067358</v>
      </c>
      <c r="W116" s="2138">
        <v>0.30658682634730539</v>
      </c>
      <c r="X116" s="790"/>
      <c r="Y116" s="948">
        <v>231</v>
      </c>
      <c r="Z116" s="948">
        <v>219</v>
      </c>
      <c r="AA116" s="948">
        <v>210</v>
      </c>
      <c r="AB116" s="948">
        <v>221</v>
      </c>
      <c r="AC116" s="948">
        <v>207</v>
      </c>
      <c r="AD116" s="948">
        <v>252</v>
      </c>
      <c r="AE116" s="948">
        <v>211</v>
      </c>
      <c r="AF116" s="948">
        <v>227</v>
      </c>
      <c r="AG116" s="948">
        <v>237</v>
      </c>
      <c r="AH116" s="948">
        <v>232</v>
      </c>
      <c r="AI116" s="948">
        <v>268</v>
      </c>
      <c r="AJ116" s="948">
        <v>279</v>
      </c>
      <c r="AK116" s="874">
        <v>259</v>
      </c>
      <c r="AL116" s="874">
        <v>315</v>
      </c>
      <c r="AM116" s="1090">
        <v>296</v>
      </c>
      <c r="AN116" s="871">
        <v>313</v>
      </c>
      <c r="AO116" s="1862">
        <v>263</v>
      </c>
      <c r="AP116" s="1090">
        <v>267</v>
      </c>
      <c r="AQ116" s="1090">
        <v>242</v>
      </c>
      <c r="AR116" s="2144"/>
    </row>
    <row r="117" spans="1:45" x14ac:dyDescent="0.3">
      <c r="A117" s="183" t="s">
        <v>175</v>
      </c>
      <c r="B117" s="184" t="s">
        <v>176</v>
      </c>
      <c r="C117" s="191" t="s">
        <v>253</v>
      </c>
      <c r="D117" s="188">
        <v>0.26600000000000001</v>
      </c>
      <c r="E117" s="189">
        <v>0.247</v>
      </c>
      <c r="F117" s="189">
        <v>0.27100000000000002</v>
      </c>
      <c r="G117" s="189">
        <v>0.28299999999999997</v>
      </c>
      <c r="H117" s="189">
        <v>0.255</v>
      </c>
      <c r="I117" s="189">
        <v>0.308</v>
      </c>
      <c r="J117" s="189">
        <v>0.28499999999999998</v>
      </c>
      <c r="K117" s="189">
        <v>0.28299999999999997</v>
      </c>
      <c r="L117" s="189">
        <v>0.307</v>
      </c>
      <c r="M117" s="189">
        <v>0.34200000000000003</v>
      </c>
      <c r="N117" s="190">
        <v>0.41400000000000003</v>
      </c>
      <c r="O117" s="190">
        <v>0.377</v>
      </c>
      <c r="P117" s="190">
        <v>0.38200000000000001</v>
      </c>
      <c r="Q117" s="951">
        <v>0.46943295924394568</v>
      </c>
      <c r="R117" s="1083">
        <v>0.37489276522733772</v>
      </c>
      <c r="S117" s="951">
        <v>0.42969203951191171</v>
      </c>
      <c r="T117" s="1859">
        <v>0.36734077875037729</v>
      </c>
      <c r="U117" s="1083">
        <v>0.34506310319227912</v>
      </c>
      <c r="V117" s="1083">
        <v>0.38867924528301889</v>
      </c>
      <c r="W117" s="2138">
        <v>0.345758732022307</v>
      </c>
      <c r="X117" s="790"/>
      <c r="Y117" s="948">
        <v>2149</v>
      </c>
      <c r="Z117" s="948">
        <v>2018</v>
      </c>
      <c r="AA117" s="948">
        <v>2272</v>
      </c>
      <c r="AB117" s="948">
        <v>2337</v>
      </c>
      <c r="AC117" s="948">
        <v>2112</v>
      </c>
      <c r="AD117" s="948">
        <v>2519</v>
      </c>
      <c r="AE117" s="948">
        <v>2266</v>
      </c>
      <c r="AF117" s="948">
        <v>2293</v>
      </c>
      <c r="AG117" s="948">
        <v>2473</v>
      </c>
      <c r="AH117" s="948">
        <v>2646</v>
      </c>
      <c r="AI117" s="948">
        <v>2694</v>
      </c>
      <c r="AJ117" s="948">
        <v>2540</v>
      </c>
      <c r="AK117" s="874">
        <v>2615</v>
      </c>
      <c r="AL117" s="874">
        <v>3179</v>
      </c>
      <c r="AM117" s="1090">
        <v>2622</v>
      </c>
      <c r="AN117" s="871">
        <v>2958</v>
      </c>
      <c r="AO117" s="1862">
        <v>2434</v>
      </c>
      <c r="AP117" s="1090">
        <v>2324</v>
      </c>
      <c r="AQ117" s="1090">
        <v>2678</v>
      </c>
      <c r="AR117" s="2144"/>
    </row>
    <row r="118" spans="1:45" x14ac:dyDescent="0.3">
      <c r="A118" s="183" t="s">
        <v>179</v>
      </c>
      <c r="B118" s="184" t="s">
        <v>180</v>
      </c>
      <c r="C118" s="191" t="s">
        <v>251</v>
      </c>
      <c r="D118" s="188">
        <v>0.23300000000000001</v>
      </c>
      <c r="E118" s="189">
        <v>0.21899999999999997</v>
      </c>
      <c r="F118" s="189">
        <v>0.24100000000000002</v>
      </c>
      <c r="G118" s="189">
        <v>0.251</v>
      </c>
      <c r="H118" s="189">
        <v>0.21600000000000003</v>
      </c>
      <c r="I118" s="189">
        <v>0.27299999999999996</v>
      </c>
      <c r="J118" s="189">
        <v>0.23800000000000002</v>
      </c>
      <c r="K118" s="189">
        <v>0.23500000000000001</v>
      </c>
      <c r="L118" s="189">
        <v>0.28800000000000003</v>
      </c>
      <c r="M118" s="189">
        <v>0.25100000000000006</v>
      </c>
      <c r="N118" s="190">
        <v>0.28500000000000003</v>
      </c>
      <c r="O118" s="190">
        <v>0.28100000000000003</v>
      </c>
      <c r="P118" s="190">
        <v>0.30399999999999999</v>
      </c>
      <c r="Q118" s="951">
        <v>0.33206280061711591</v>
      </c>
      <c r="R118" s="1083">
        <v>0.28340782632491107</v>
      </c>
      <c r="S118" s="951">
        <v>0.30528748131031669</v>
      </c>
      <c r="T118" s="1859">
        <v>0.30075430043234291</v>
      </c>
      <c r="U118" s="1083">
        <v>0.30604784600434964</v>
      </c>
      <c r="V118" s="1083">
        <v>0.29086157005507329</v>
      </c>
      <c r="W118" s="2138">
        <v>0.28565342926113502</v>
      </c>
      <c r="X118" s="790"/>
      <c r="Y118" s="948">
        <v>5804</v>
      </c>
      <c r="Z118" s="948">
        <v>5510</v>
      </c>
      <c r="AA118" s="948">
        <v>6185</v>
      </c>
      <c r="AB118" s="948">
        <v>6463</v>
      </c>
      <c r="AC118" s="948">
        <v>5669</v>
      </c>
      <c r="AD118" s="948">
        <v>7067</v>
      </c>
      <c r="AE118" s="948">
        <v>6160</v>
      </c>
      <c r="AF118" s="948">
        <v>6087</v>
      </c>
      <c r="AG118" s="948">
        <v>7321</v>
      </c>
      <c r="AH118" s="948">
        <v>5829</v>
      </c>
      <c r="AI118" s="948">
        <v>6280</v>
      </c>
      <c r="AJ118" s="948">
        <v>6231</v>
      </c>
      <c r="AK118" s="874">
        <v>6818</v>
      </c>
      <c r="AL118" s="874">
        <v>7318</v>
      </c>
      <c r="AM118" s="1090">
        <v>6214</v>
      </c>
      <c r="AN118" s="871">
        <v>6738</v>
      </c>
      <c r="AO118" s="1862">
        <v>6539</v>
      </c>
      <c r="AP118" s="1090">
        <v>6614</v>
      </c>
      <c r="AQ118" s="1090">
        <v>6232</v>
      </c>
      <c r="AR118" s="2144"/>
    </row>
    <row r="119" spans="1:45" x14ac:dyDescent="0.3">
      <c r="A119" s="183" t="s">
        <v>191</v>
      </c>
      <c r="B119" s="184" t="s">
        <v>192</v>
      </c>
      <c r="C119" s="191" t="s">
        <v>255</v>
      </c>
      <c r="D119" s="188">
        <v>0.13100000000000001</v>
      </c>
      <c r="E119" s="189">
        <v>0.126</v>
      </c>
      <c r="F119" s="189">
        <v>0.158</v>
      </c>
      <c r="G119" s="189">
        <v>0.16</v>
      </c>
      <c r="H119" s="189">
        <v>0.14800000000000002</v>
      </c>
      <c r="I119" s="189">
        <v>0.155</v>
      </c>
      <c r="J119" s="189">
        <v>0.16300000000000001</v>
      </c>
      <c r="K119" s="189">
        <v>0.16699999999999998</v>
      </c>
      <c r="L119" s="189">
        <v>0.16600000000000001</v>
      </c>
      <c r="M119" s="189">
        <v>0.183</v>
      </c>
      <c r="N119" s="190">
        <v>0.193</v>
      </c>
      <c r="O119" s="190">
        <v>0.19399999999999998</v>
      </c>
      <c r="P119" s="190">
        <v>0.20100000000000001</v>
      </c>
      <c r="Q119" s="951">
        <v>0.20504731861198738</v>
      </c>
      <c r="R119" s="1083">
        <v>0.20581849761181067</v>
      </c>
      <c r="S119" s="951">
        <v>0.21485411140583555</v>
      </c>
      <c r="T119" s="1859">
        <v>0.19113697403760072</v>
      </c>
      <c r="U119" s="1083">
        <v>0.17531876138433516</v>
      </c>
      <c r="V119" s="1083">
        <v>0.18023255813953487</v>
      </c>
      <c r="W119" s="2138">
        <v>0.18478747203579418</v>
      </c>
      <c r="X119" s="790"/>
      <c r="Y119" s="948">
        <v>255</v>
      </c>
      <c r="Z119" s="948">
        <v>236</v>
      </c>
      <c r="AA119" s="948">
        <v>285</v>
      </c>
      <c r="AB119" s="948">
        <v>291</v>
      </c>
      <c r="AC119" s="948">
        <v>237</v>
      </c>
      <c r="AD119" s="948">
        <v>245</v>
      </c>
      <c r="AE119" s="948">
        <v>267</v>
      </c>
      <c r="AF119" s="948">
        <v>323</v>
      </c>
      <c r="AG119" s="948">
        <v>331</v>
      </c>
      <c r="AH119" s="948">
        <v>346</v>
      </c>
      <c r="AI119" s="948">
        <v>408</v>
      </c>
      <c r="AJ119" s="948">
        <v>391</v>
      </c>
      <c r="AK119" s="874">
        <v>489</v>
      </c>
      <c r="AL119" s="874">
        <v>455</v>
      </c>
      <c r="AM119" s="1090">
        <v>474</v>
      </c>
      <c r="AN119" s="871">
        <v>486</v>
      </c>
      <c r="AO119" s="1862">
        <v>427</v>
      </c>
      <c r="AP119" s="1090">
        <v>385</v>
      </c>
      <c r="AQ119" s="1090">
        <v>403</v>
      </c>
      <c r="AR119" s="2144"/>
    </row>
    <row r="120" spans="1:45" x14ac:dyDescent="0.3">
      <c r="A120" s="183" t="s">
        <v>195</v>
      </c>
      <c r="B120" s="184" t="s">
        <v>196</v>
      </c>
      <c r="C120" s="191" t="s">
        <v>253</v>
      </c>
      <c r="D120" s="188">
        <v>0.28200000000000003</v>
      </c>
      <c r="E120" s="189">
        <v>0.25700000000000001</v>
      </c>
      <c r="F120" s="189">
        <v>0.29499999999999998</v>
      </c>
      <c r="G120" s="189">
        <v>0.30599999999999999</v>
      </c>
      <c r="H120" s="189">
        <v>0.27499999999999997</v>
      </c>
      <c r="I120" s="189">
        <v>0.29700000000000004</v>
      </c>
      <c r="J120" s="189">
        <v>0.29300000000000004</v>
      </c>
      <c r="K120" s="189">
        <v>0.32299999999999995</v>
      </c>
      <c r="L120" s="189">
        <v>0.35600000000000004</v>
      </c>
      <c r="M120" s="189">
        <v>0.34700000000000003</v>
      </c>
      <c r="N120" s="190">
        <v>0.35000000000000003</v>
      </c>
      <c r="O120" s="190">
        <v>0.36200000000000004</v>
      </c>
      <c r="P120" s="190">
        <v>0.36499999999999999</v>
      </c>
      <c r="Q120" s="951">
        <v>0.37791192632149212</v>
      </c>
      <c r="R120" s="1083">
        <v>0.38944379658266998</v>
      </c>
      <c r="S120" s="951">
        <v>0.36339995920864776</v>
      </c>
      <c r="T120" s="1859">
        <v>0.38859311715108136</v>
      </c>
      <c r="U120" s="1083">
        <v>0.35188038289596646</v>
      </c>
      <c r="V120" s="1083">
        <v>0.34511831681907335</v>
      </c>
      <c r="W120" s="2138">
        <v>0.27596248002886153</v>
      </c>
      <c r="X120" s="790"/>
      <c r="Y120" s="948">
        <v>11931</v>
      </c>
      <c r="Z120" s="948">
        <v>10957</v>
      </c>
      <c r="AA120" s="948">
        <v>12863</v>
      </c>
      <c r="AB120" s="948">
        <v>13332</v>
      </c>
      <c r="AC120" s="948">
        <v>12062</v>
      </c>
      <c r="AD120" s="948">
        <v>12857</v>
      </c>
      <c r="AE120" s="948">
        <v>12459</v>
      </c>
      <c r="AF120" s="948">
        <v>14145</v>
      </c>
      <c r="AG120" s="948">
        <v>15714</v>
      </c>
      <c r="AH120" s="948">
        <v>13912</v>
      </c>
      <c r="AI120" s="948">
        <v>13051</v>
      </c>
      <c r="AJ120" s="948">
        <v>14013</v>
      </c>
      <c r="AK120" s="874">
        <v>14574</v>
      </c>
      <c r="AL120" s="874">
        <v>14649</v>
      </c>
      <c r="AM120" s="1090">
        <v>15362</v>
      </c>
      <c r="AN120" s="871">
        <v>14254</v>
      </c>
      <c r="AO120" s="1862">
        <v>15255</v>
      </c>
      <c r="AP120" s="1090">
        <v>13932</v>
      </c>
      <c r="AQ120" s="1090">
        <v>13549</v>
      </c>
      <c r="AR120" s="2144"/>
    </row>
    <row r="121" spans="1:45" x14ac:dyDescent="0.3">
      <c r="A121" s="183" t="s">
        <v>199</v>
      </c>
      <c r="B121" s="184" t="s">
        <v>200</v>
      </c>
      <c r="C121" s="191" t="s">
        <v>252</v>
      </c>
      <c r="D121" s="188">
        <v>0.23899999999999999</v>
      </c>
      <c r="E121" s="189">
        <v>0.22699999999999998</v>
      </c>
      <c r="F121" s="189">
        <v>0.255</v>
      </c>
      <c r="G121" s="189">
        <v>0.27600000000000002</v>
      </c>
      <c r="H121" s="189">
        <v>0.24300000000000002</v>
      </c>
      <c r="I121" s="189">
        <v>0.25700000000000001</v>
      </c>
      <c r="J121" s="189">
        <v>0.24199999999999999</v>
      </c>
      <c r="K121" s="189">
        <v>0.27600000000000002</v>
      </c>
      <c r="L121" s="189">
        <v>0.27300000000000002</v>
      </c>
      <c r="M121" s="189">
        <v>0.3</v>
      </c>
      <c r="N121" s="190">
        <v>0.33899999999999997</v>
      </c>
      <c r="O121" s="190">
        <v>0.29600000000000004</v>
      </c>
      <c r="P121" s="190">
        <v>0.30299999999999999</v>
      </c>
      <c r="Q121" s="951">
        <v>0.36543104672631727</v>
      </c>
      <c r="R121" s="1083">
        <v>0.33049744304974432</v>
      </c>
      <c r="S121" s="951">
        <v>0.32874505110026703</v>
      </c>
      <c r="T121" s="1859">
        <v>0.30615640599001664</v>
      </c>
      <c r="U121" s="1083">
        <v>0.29406952965235172</v>
      </c>
      <c r="V121" s="1083">
        <v>0.32331987112583382</v>
      </c>
      <c r="W121" s="2138">
        <v>0.30468061418564735</v>
      </c>
      <c r="X121" s="790"/>
      <c r="Y121" s="948">
        <v>5094</v>
      </c>
      <c r="Z121" s="948">
        <v>4846</v>
      </c>
      <c r="AA121" s="948">
        <v>5503</v>
      </c>
      <c r="AB121" s="948">
        <v>5900</v>
      </c>
      <c r="AC121" s="948">
        <v>5325</v>
      </c>
      <c r="AD121" s="948">
        <v>5575</v>
      </c>
      <c r="AE121" s="948">
        <v>4915</v>
      </c>
      <c r="AF121" s="948">
        <v>5669</v>
      </c>
      <c r="AG121" s="948">
        <v>5608</v>
      </c>
      <c r="AH121" s="948">
        <v>5862</v>
      </c>
      <c r="AI121" s="948">
        <v>6981</v>
      </c>
      <c r="AJ121" s="948">
        <v>6126</v>
      </c>
      <c r="AK121" s="874">
        <v>6335</v>
      </c>
      <c r="AL121" s="874">
        <v>7719</v>
      </c>
      <c r="AM121" s="1090">
        <v>7109</v>
      </c>
      <c r="AN121" s="871">
        <v>7141</v>
      </c>
      <c r="AO121" s="1862">
        <v>6624</v>
      </c>
      <c r="AP121" s="1090">
        <v>6471</v>
      </c>
      <c r="AQ121" s="1090">
        <v>7125</v>
      </c>
      <c r="AR121" s="2144"/>
    </row>
    <row r="122" spans="1:45" x14ac:dyDescent="0.3">
      <c r="A122" s="183" t="s">
        <v>221</v>
      </c>
      <c r="B122" s="184" t="s">
        <v>222</v>
      </c>
      <c r="C122" s="191" t="s">
        <v>251</v>
      </c>
      <c r="D122" s="188">
        <v>0.16500000000000001</v>
      </c>
      <c r="E122" s="189">
        <v>0.14200000000000002</v>
      </c>
      <c r="F122" s="189">
        <v>0.15400000000000003</v>
      </c>
      <c r="G122" s="189">
        <v>0.16800000000000001</v>
      </c>
      <c r="H122" s="189">
        <v>0.151</v>
      </c>
      <c r="I122" s="189">
        <v>0.16300000000000001</v>
      </c>
      <c r="J122" s="189">
        <v>0.14599999999999999</v>
      </c>
      <c r="K122" s="189">
        <v>0.151</v>
      </c>
      <c r="L122" s="189">
        <v>0.14499999999999999</v>
      </c>
      <c r="M122" s="189">
        <v>0.17799999999999999</v>
      </c>
      <c r="N122" s="190">
        <v>0.17200000000000001</v>
      </c>
      <c r="O122" s="190">
        <v>0.18100000000000002</v>
      </c>
      <c r="P122" s="190">
        <v>0.182</v>
      </c>
      <c r="Q122" s="951">
        <v>0.17326569912169462</v>
      </c>
      <c r="R122" s="1083">
        <v>0.20198520460717295</v>
      </c>
      <c r="S122" s="951">
        <v>0.17998142127264283</v>
      </c>
      <c r="T122" s="1859">
        <v>0.16798637326213056</v>
      </c>
      <c r="U122" s="1083">
        <v>0.16568398921340097</v>
      </c>
      <c r="V122" s="1083">
        <v>0.16089472717251516</v>
      </c>
      <c r="W122" s="2138">
        <v>0.14724979129950838</v>
      </c>
      <c r="X122" s="790"/>
      <c r="Y122" s="948">
        <v>2997</v>
      </c>
      <c r="Z122" s="948">
        <v>2660</v>
      </c>
      <c r="AA122" s="948">
        <v>3031</v>
      </c>
      <c r="AB122" s="948">
        <v>3412</v>
      </c>
      <c r="AC122" s="948">
        <v>3136</v>
      </c>
      <c r="AD122" s="948">
        <v>3335</v>
      </c>
      <c r="AE122" s="948">
        <v>3012</v>
      </c>
      <c r="AF122" s="948">
        <v>3249</v>
      </c>
      <c r="AG122" s="948">
        <v>3100</v>
      </c>
      <c r="AH122" s="948">
        <v>3779</v>
      </c>
      <c r="AI122" s="948">
        <v>3764</v>
      </c>
      <c r="AJ122" s="948">
        <v>3897</v>
      </c>
      <c r="AK122" s="874">
        <v>3872</v>
      </c>
      <c r="AL122" s="874">
        <v>3689</v>
      </c>
      <c r="AM122" s="1090">
        <v>4314</v>
      </c>
      <c r="AN122" s="871">
        <v>3875</v>
      </c>
      <c r="AO122" s="1862">
        <v>3649</v>
      </c>
      <c r="AP122" s="1090">
        <v>3625</v>
      </c>
      <c r="AQ122" s="1090">
        <v>3503</v>
      </c>
      <c r="AR122" s="2144"/>
    </row>
    <row r="123" spans="1:45" x14ac:dyDescent="0.3">
      <c r="A123" s="183" t="s">
        <v>229</v>
      </c>
      <c r="B123" s="184" t="s">
        <v>230</v>
      </c>
      <c r="C123" s="191" t="s">
        <v>251</v>
      </c>
      <c r="D123" s="188">
        <v>0.10099999999999999</v>
      </c>
      <c r="E123" s="189">
        <v>9.0999999999999998E-2</v>
      </c>
      <c r="F123" s="189">
        <v>0.1</v>
      </c>
      <c r="G123" s="189">
        <v>0.106</v>
      </c>
      <c r="H123" s="189">
        <v>0.10099999999999999</v>
      </c>
      <c r="I123" s="189">
        <v>0.10800000000000001</v>
      </c>
      <c r="J123" s="189">
        <v>9.6000000000000002E-2</v>
      </c>
      <c r="K123" s="189">
        <v>9.9000000000000005E-2</v>
      </c>
      <c r="L123" s="189">
        <v>0.10300000000000001</v>
      </c>
      <c r="M123" s="189">
        <v>0.10400000000000001</v>
      </c>
      <c r="N123" s="190">
        <v>0.11</v>
      </c>
      <c r="O123" s="190">
        <v>0.126</v>
      </c>
      <c r="P123" s="190">
        <v>0.14299999999999999</v>
      </c>
      <c r="Q123" s="951">
        <v>0.13225130685044148</v>
      </c>
      <c r="R123" s="1083">
        <v>0.123565902142176</v>
      </c>
      <c r="S123" s="951">
        <v>0.12449990568941041</v>
      </c>
      <c r="T123" s="1859">
        <v>0.11543301110489734</v>
      </c>
      <c r="U123" s="1083">
        <v>0.11192512016190236</v>
      </c>
      <c r="V123" s="1083">
        <v>0.10375838652446112</v>
      </c>
      <c r="W123" s="2138">
        <v>9.8108127549814517E-2</v>
      </c>
      <c r="X123" s="790"/>
      <c r="Y123" s="948">
        <v>11838</v>
      </c>
      <c r="Z123" s="948">
        <v>10658</v>
      </c>
      <c r="AA123" s="948">
        <v>11881</v>
      </c>
      <c r="AB123" s="948">
        <v>12534</v>
      </c>
      <c r="AC123" s="948">
        <v>11858</v>
      </c>
      <c r="AD123" s="948">
        <v>12423</v>
      </c>
      <c r="AE123" s="948">
        <v>10822</v>
      </c>
      <c r="AF123" s="948">
        <v>10830</v>
      </c>
      <c r="AG123" s="948">
        <v>11069</v>
      </c>
      <c r="AH123" s="948">
        <v>10958</v>
      </c>
      <c r="AI123" s="948">
        <v>11472</v>
      </c>
      <c r="AJ123" s="948">
        <v>13019</v>
      </c>
      <c r="AK123" s="874">
        <v>14601</v>
      </c>
      <c r="AL123" s="874">
        <v>13510</v>
      </c>
      <c r="AM123" s="1090">
        <v>12569</v>
      </c>
      <c r="AN123" s="871">
        <v>12541</v>
      </c>
      <c r="AO123" s="1862">
        <v>11559</v>
      </c>
      <c r="AP123" s="1090">
        <v>11061</v>
      </c>
      <c r="AQ123" s="1090">
        <v>10176</v>
      </c>
      <c r="AR123" s="2144"/>
    </row>
    <row r="124" spans="1:45" x14ac:dyDescent="0.3">
      <c r="A124" s="183" t="s">
        <v>237</v>
      </c>
      <c r="B124" s="184" t="s">
        <v>238</v>
      </c>
      <c r="C124" s="191" t="s">
        <v>251</v>
      </c>
      <c r="D124" s="188">
        <v>0.21199999999999999</v>
      </c>
      <c r="E124" s="189">
        <v>0.20199999999999999</v>
      </c>
      <c r="F124" s="189">
        <v>0.19699999999999998</v>
      </c>
      <c r="G124" s="189">
        <v>0.19800000000000001</v>
      </c>
      <c r="H124" s="189">
        <v>0.182</v>
      </c>
      <c r="I124" s="189">
        <v>0.24500000000000002</v>
      </c>
      <c r="J124" s="189">
        <v>0.19500000000000001</v>
      </c>
      <c r="K124" s="189">
        <v>0.20499999999999999</v>
      </c>
      <c r="L124" s="189">
        <v>0.222</v>
      </c>
      <c r="M124" s="189">
        <v>0.224</v>
      </c>
      <c r="N124" s="190">
        <v>0.22700000000000001</v>
      </c>
      <c r="O124" s="190">
        <v>0.23399999999999999</v>
      </c>
      <c r="P124" s="190">
        <v>0.23499999999999999</v>
      </c>
      <c r="Q124" s="951">
        <v>0.25660377358490566</v>
      </c>
      <c r="R124" s="1083">
        <v>0.24410994764397906</v>
      </c>
      <c r="S124" s="951">
        <v>0.25139318885448919</v>
      </c>
      <c r="T124" s="1859">
        <v>0.23053527980535279</v>
      </c>
      <c r="U124" s="1083">
        <v>0.22970535177390258</v>
      </c>
      <c r="V124" s="1083">
        <v>0.28240190249702735</v>
      </c>
      <c r="W124" s="2138">
        <v>0.22409488139825218</v>
      </c>
      <c r="X124" s="790"/>
      <c r="Y124" s="948">
        <v>229</v>
      </c>
      <c r="Z124" s="948">
        <v>210</v>
      </c>
      <c r="AA124" s="948">
        <v>208</v>
      </c>
      <c r="AB124" s="948">
        <v>229</v>
      </c>
      <c r="AC124" s="948">
        <v>241</v>
      </c>
      <c r="AD124" s="948">
        <v>322</v>
      </c>
      <c r="AE124" s="948">
        <v>263</v>
      </c>
      <c r="AF124" s="948">
        <v>324</v>
      </c>
      <c r="AG124" s="948">
        <v>372</v>
      </c>
      <c r="AH124" s="948">
        <v>400</v>
      </c>
      <c r="AI124" s="948">
        <v>319</v>
      </c>
      <c r="AJ124" s="948">
        <v>350</v>
      </c>
      <c r="AK124" s="874">
        <v>411</v>
      </c>
      <c r="AL124" s="874">
        <v>408</v>
      </c>
      <c r="AM124" s="1090">
        <v>373</v>
      </c>
      <c r="AN124" s="871">
        <v>406</v>
      </c>
      <c r="AO124" s="1862">
        <v>379</v>
      </c>
      <c r="AP124" s="1090">
        <v>382</v>
      </c>
      <c r="AQ124" s="1090">
        <v>475</v>
      </c>
      <c r="AR124" s="2144"/>
    </row>
    <row r="125" spans="1:45" x14ac:dyDescent="0.3">
      <c r="A125" s="183" t="s">
        <v>239</v>
      </c>
      <c r="B125" s="184" t="s">
        <v>240</v>
      </c>
      <c r="C125" s="191" t="s">
        <v>254</v>
      </c>
      <c r="D125" s="188">
        <v>0.16600000000000001</v>
      </c>
      <c r="E125" s="189">
        <v>0.15400000000000003</v>
      </c>
      <c r="F125" s="189">
        <v>0.16399999999999998</v>
      </c>
      <c r="G125" s="189">
        <v>0.17300000000000001</v>
      </c>
      <c r="H125" s="189">
        <v>0.15</v>
      </c>
      <c r="I125" s="189">
        <v>0.17300000000000001</v>
      </c>
      <c r="J125" s="189">
        <v>0.16800000000000001</v>
      </c>
      <c r="K125" s="189">
        <v>0.16600000000000001</v>
      </c>
      <c r="L125" s="189">
        <v>0.18100000000000002</v>
      </c>
      <c r="M125" s="189">
        <v>0.222</v>
      </c>
      <c r="N125" s="190">
        <v>0.247</v>
      </c>
      <c r="O125" s="190">
        <v>0.23600000000000002</v>
      </c>
      <c r="P125" s="190">
        <v>0.22500000000000001</v>
      </c>
      <c r="Q125" s="951">
        <v>0.23867367038739332</v>
      </c>
      <c r="R125" s="1083">
        <v>0.21692333167743003</v>
      </c>
      <c r="S125" s="951">
        <v>0.25634430727023322</v>
      </c>
      <c r="T125" s="1859">
        <v>0.22035606315082298</v>
      </c>
      <c r="U125" s="1083">
        <v>0.19695989650711512</v>
      </c>
      <c r="V125" s="1083">
        <v>0.22024002594875122</v>
      </c>
      <c r="W125" s="2138">
        <v>0.19934587080948488</v>
      </c>
      <c r="X125" s="790"/>
      <c r="Y125" s="948">
        <v>850</v>
      </c>
      <c r="Z125" s="948">
        <v>806</v>
      </c>
      <c r="AA125" s="948">
        <v>887</v>
      </c>
      <c r="AB125" s="948">
        <v>948</v>
      </c>
      <c r="AC125" s="948">
        <v>847</v>
      </c>
      <c r="AD125" s="948">
        <v>963</v>
      </c>
      <c r="AE125" s="948">
        <v>921</v>
      </c>
      <c r="AF125" s="948">
        <v>938</v>
      </c>
      <c r="AG125" s="948">
        <v>1032</v>
      </c>
      <c r="AH125" s="948">
        <v>1262</v>
      </c>
      <c r="AI125" s="948">
        <v>1403</v>
      </c>
      <c r="AJ125" s="948">
        <v>1384</v>
      </c>
      <c r="AK125" s="874">
        <v>1343</v>
      </c>
      <c r="AL125" s="874">
        <v>1454</v>
      </c>
      <c r="AM125" s="1090">
        <v>1310</v>
      </c>
      <c r="AN125" s="871">
        <v>1495</v>
      </c>
      <c r="AO125" s="1862">
        <v>1312</v>
      </c>
      <c r="AP125" s="1090">
        <v>1218</v>
      </c>
      <c r="AQ125" s="1090">
        <v>1358</v>
      </c>
      <c r="AR125" s="2144"/>
    </row>
    <row r="126" spans="1:45" x14ac:dyDescent="0.3">
      <c r="A126" s="191"/>
      <c r="B126" s="191"/>
      <c r="C126" s="191"/>
      <c r="D126" s="790"/>
      <c r="E126" s="790"/>
      <c r="F126" s="790"/>
      <c r="G126" s="790"/>
      <c r="H126" s="790"/>
      <c r="I126" s="790"/>
      <c r="J126" s="790"/>
      <c r="K126" s="790"/>
      <c r="L126" s="790"/>
      <c r="M126" s="790"/>
      <c r="N126" s="790"/>
      <c r="O126" s="790"/>
      <c r="P126" s="790"/>
      <c r="Q126" s="790"/>
      <c r="R126" s="790"/>
      <c r="S126" s="790"/>
      <c r="T126" s="790"/>
      <c r="U126" s="790"/>
      <c r="V126" s="790"/>
      <c r="W126" s="2138"/>
      <c r="X126" s="790"/>
      <c r="Y126" s="789"/>
      <c r="Z126" s="789"/>
      <c r="AA126" s="789"/>
      <c r="AB126" s="789"/>
      <c r="AC126" s="789"/>
      <c r="AD126" s="789"/>
      <c r="AE126" s="789"/>
      <c r="AF126" s="789"/>
      <c r="AG126" s="789"/>
      <c r="AH126" s="789"/>
      <c r="AI126" s="789"/>
      <c r="AJ126" s="789"/>
      <c r="AK126" s="789"/>
      <c r="AL126" s="789"/>
      <c r="AM126" s="789"/>
      <c r="AN126" s="789"/>
      <c r="AO126" s="789"/>
      <c r="AP126" s="789"/>
      <c r="AQ126" s="789"/>
      <c r="AR126" s="2145"/>
      <c r="AS126" s="229"/>
    </row>
    <row r="127" spans="1:45" x14ac:dyDescent="0.3">
      <c r="A127" s="192" t="s">
        <v>472</v>
      </c>
      <c r="B127" s="191"/>
      <c r="C127" s="191"/>
      <c r="D127" s="790"/>
      <c r="E127" s="790"/>
      <c r="F127" s="790"/>
      <c r="G127" s="790"/>
      <c r="H127" s="790"/>
      <c r="I127" s="790"/>
      <c r="J127" s="790"/>
      <c r="K127" s="790"/>
      <c r="L127" s="790"/>
      <c r="M127" s="790"/>
      <c r="N127" s="790"/>
      <c r="O127" s="790"/>
      <c r="P127" s="790"/>
      <c r="Q127" s="790"/>
      <c r="R127" s="790"/>
      <c r="S127" s="790"/>
      <c r="T127" s="790"/>
      <c r="U127" s="790"/>
      <c r="W127" s="2139"/>
      <c r="X127" s="790"/>
      <c r="Y127" s="789"/>
      <c r="Z127" s="789"/>
      <c r="AA127" s="789"/>
      <c r="AB127" s="789"/>
      <c r="AC127" s="789"/>
      <c r="AD127" s="789"/>
      <c r="AE127" s="789"/>
      <c r="AF127" s="789"/>
      <c r="AG127" s="789"/>
      <c r="AH127" s="789"/>
      <c r="AI127" s="789"/>
      <c r="AJ127" s="789"/>
      <c r="AK127" s="789"/>
      <c r="AL127" s="789"/>
      <c r="AM127" s="789"/>
      <c r="AN127" s="789"/>
      <c r="AO127" s="789"/>
      <c r="AP127" s="789"/>
      <c r="AQ127" s="789"/>
      <c r="AR127" s="2145"/>
      <c r="AS127" s="229"/>
    </row>
    <row r="128" spans="1:45" x14ac:dyDescent="0.3">
      <c r="A128" s="343" t="s">
        <v>253</v>
      </c>
      <c r="B128" s="944"/>
      <c r="C128" s="952"/>
      <c r="D128" s="953">
        <v>0.12777045687129379</v>
      </c>
      <c r="E128" s="954">
        <v>0.11654920477484336</v>
      </c>
      <c r="F128" s="954">
        <v>0.1354493691697963</v>
      </c>
      <c r="G128" s="954">
        <v>0.1470167344250537</v>
      </c>
      <c r="H128" s="954">
        <v>0.13365566375727633</v>
      </c>
      <c r="I128" s="954">
        <v>0.14388618155624469</v>
      </c>
      <c r="J128" s="954">
        <v>0.13311676363234895</v>
      </c>
      <c r="K128" s="954">
        <v>0.14410690731000661</v>
      </c>
      <c r="L128" s="954">
        <v>0.15284216958699204</v>
      </c>
      <c r="M128" s="954">
        <v>0.15668623873941231</v>
      </c>
      <c r="N128" s="951">
        <v>0.15997456515691444</v>
      </c>
      <c r="O128" s="951">
        <v>0.17401205670921191</v>
      </c>
      <c r="P128" s="951">
        <v>0.17363851617995266</v>
      </c>
      <c r="Q128" s="951">
        <v>0.18307861229889996</v>
      </c>
      <c r="R128" s="1083">
        <v>0.19027382241426713</v>
      </c>
      <c r="S128" s="1859">
        <v>0.17148941671145826</v>
      </c>
      <c r="T128" s="1864">
        <v>0.16588591616954154</v>
      </c>
      <c r="U128" s="1083">
        <v>0.16184041838790419</v>
      </c>
      <c r="V128" s="790">
        <v>0.16246269113357764</v>
      </c>
      <c r="W128" s="2138">
        <v>0.14865649021722804</v>
      </c>
      <c r="X128" s="790"/>
      <c r="Y128" s="955">
        <v>36457</v>
      </c>
      <c r="Z128" s="948">
        <v>33372</v>
      </c>
      <c r="AA128" s="948">
        <v>39132</v>
      </c>
      <c r="AB128" s="948">
        <v>42635</v>
      </c>
      <c r="AC128" s="948">
        <v>39171</v>
      </c>
      <c r="AD128" s="948">
        <v>42547</v>
      </c>
      <c r="AE128" s="948">
        <v>39789</v>
      </c>
      <c r="AF128" s="948">
        <v>43372</v>
      </c>
      <c r="AG128" s="948">
        <v>46022</v>
      </c>
      <c r="AH128" s="948">
        <v>47153</v>
      </c>
      <c r="AI128" s="956">
        <v>48304</v>
      </c>
      <c r="AJ128" s="956">
        <v>52189</v>
      </c>
      <c r="AK128" s="956">
        <v>51260</v>
      </c>
      <c r="AL128" s="956">
        <v>53690</v>
      </c>
      <c r="AM128" s="1091">
        <v>56056</v>
      </c>
      <c r="AN128" s="956">
        <v>50410</v>
      </c>
      <c r="AO128" s="1863">
        <v>48691</v>
      </c>
      <c r="AP128" s="1091">
        <v>47718</v>
      </c>
      <c r="AQ128" s="1091">
        <v>47791</v>
      </c>
      <c r="AR128" s="2145"/>
      <c r="AS128" s="2"/>
    </row>
    <row r="129" spans="1:45" x14ac:dyDescent="0.3">
      <c r="A129" s="173" t="s">
        <v>251</v>
      </c>
      <c r="D129" s="188">
        <v>0.15304435972586439</v>
      </c>
      <c r="E129" s="189">
        <v>0.14033358889775141</v>
      </c>
      <c r="F129" s="189">
        <v>0.15771795103044595</v>
      </c>
      <c r="G129" s="189">
        <v>0.16505708289428997</v>
      </c>
      <c r="H129" s="189">
        <v>0.14922302530245857</v>
      </c>
      <c r="I129" s="189">
        <v>0.16352767930188164</v>
      </c>
      <c r="J129" s="189">
        <v>0.14641453075926292</v>
      </c>
      <c r="K129" s="189">
        <v>0.15611975749596346</v>
      </c>
      <c r="L129" s="189">
        <v>0.16549851613310601</v>
      </c>
      <c r="M129" s="189">
        <v>0.16261973561466178</v>
      </c>
      <c r="N129" s="190">
        <v>0.16684839324070738</v>
      </c>
      <c r="O129" s="190">
        <v>0.18344688787599084</v>
      </c>
      <c r="P129" s="190">
        <v>0.19465468306527908</v>
      </c>
      <c r="Q129" s="951">
        <v>0.19731917697955095</v>
      </c>
      <c r="R129" s="1083">
        <v>0.1918605782799529</v>
      </c>
      <c r="S129" s="1859">
        <v>0.18934995181748365</v>
      </c>
      <c r="T129" s="1864">
        <v>0.18052845987901542</v>
      </c>
      <c r="U129" s="1083">
        <v>0.17975348545277525</v>
      </c>
      <c r="V129" s="1083">
        <v>0.17058048380708499</v>
      </c>
      <c r="W129" s="2138">
        <v>0.16713823666148439</v>
      </c>
      <c r="X129" s="790"/>
      <c r="Y129" s="185">
        <v>69450</v>
      </c>
      <c r="Z129" s="186">
        <v>63514</v>
      </c>
      <c r="AA129" s="186">
        <v>71700</v>
      </c>
      <c r="AB129" s="186">
        <v>75816</v>
      </c>
      <c r="AC129" s="186">
        <v>68689</v>
      </c>
      <c r="AD129" s="186">
        <v>74957</v>
      </c>
      <c r="AE129" s="186">
        <v>66664</v>
      </c>
      <c r="AF129" s="186">
        <v>70198</v>
      </c>
      <c r="AG129" s="186">
        <v>73388</v>
      </c>
      <c r="AH129" s="186">
        <v>71473</v>
      </c>
      <c r="AI129" s="187">
        <v>71308</v>
      </c>
      <c r="AJ129" s="187">
        <v>77113</v>
      </c>
      <c r="AK129" s="187">
        <v>80654</v>
      </c>
      <c r="AL129" s="956">
        <v>81141</v>
      </c>
      <c r="AM129" s="1091">
        <v>78857</v>
      </c>
      <c r="AN129" s="956">
        <v>77418</v>
      </c>
      <c r="AO129" s="1863">
        <v>73474</v>
      </c>
      <c r="AP129" s="1091">
        <v>72743</v>
      </c>
      <c r="AQ129" s="1091">
        <v>68478</v>
      </c>
      <c r="AR129" s="2145"/>
      <c r="AS129" s="2"/>
    </row>
    <row r="130" spans="1:45" x14ac:dyDescent="0.3">
      <c r="A130" s="173" t="s">
        <v>254</v>
      </c>
      <c r="D130" s="188">
        <v>7.3972848316347151E-2</v>
      </c>
      <c r="E130" s="189">
        <v>6.7403569019439502E-2</v>
      </c>
      <c r="F130" s="189">
        <v>7.5487365161058667E-2</v>
      </c>
      <c r="G130" s="189">
        <v>8.3378188703486691E-2</v>
      </c>
      <c r="H130" s="189">
        <v>7.5877860403686589E-2</v>
      </c>
      <c r="I130" s="189">
        <v>7.4756843456245878E-2</v>
      </c>
      <c r="J130" s="189">
        <v>6.9055752121382249E-2</v>
      </c>
      <c r="K130" s="189">
        <v>7.2126218829321451E-2</v>
      </c>
      <c r="L130" s="189">
        <v>7.8048984786318096E-2</v>
      </c>
      <c r="M130" s="189">
        <v>8.5547995432984622E-2</v>
      </c>
      <c r="N130" s="190">
        <v>9.0402479205067013E-2</v>
      </c>
      <c r="O130" s="190">
        <v>9.8850753222550089E-2</v>
      </c>
      <c r="P130" s="190">
        <v>9.5595160378892069E-2</v>
      </c>
      <c r="Q130" s="951">
        <v>9.6413769845848013E-2</v>
      </c>
      <c r="R130" s="1083">
        <v>0.10170149715160404</v>
      </c>
      <c r="S130" s="1859">
        <v>9.0957882015598138E-2</v>
      </c>
      <c r="T130" s="1864">
        <v>8.844947722152785E-2</v>
      </c>
      <c r="U130" s="1083">
        <v>8.670435184704367E-2</v>
      </c>
      <c r="V130" s="1083">
        <v>8.3724536946006525E-2</v>
      </c>
      <c r="W130" s="2138">
        <v>8.5015895792872248E-2</v>
      </c>
      <c r="X130" s="790"/>
      <c r="Y130" s="185">
        <v>47040</v>
      </c>
      <c r="Z130" s="186">
        <v>43966</v>
      </c>
      <c r="AA130" s="186">
        <v>50455</v>
      </c>
      <c r="AB130" s="186">
        <v>56849</v>
      </c>
      <c r="AC130" s="186">
        <v>52855</v>
      </c>
      <c r="AD130" s="186">
        <v>53180</v>
      </c>
      <c r="AE130" s="186">
        <v>49691</v>
      </c>
      <c r="AF130" s="186">
        <v>52682</v>
      </c>
      <c r="AG130" s="186">
        <v>57771</v>
      </c>
      <c r="AH130" s="186">
        <v>64512</v>
      </c>
      <c r="AI130" s="187">
        <v>69253</v>
      </c>
      <c r="AJ130" s="187">
        <v>77653</v>
      </c>
      <c r="AK130" s="187">
        <v>74096</v>
      </c>
      <c r="AL130" s="956">
        <v>76048</v>
      </c>
      <c r="AM130" s="1091">
        <v>80925</v>
      </c>
      <c r="AN130" s="956">
        <v>72705</v>
      </c>
      <c r="AO130" s="1863">
        <v>70908</v>
      </c>
      <c r="AP130" s="1091">
        <v>70127</v>
      </c>
      <c r="AQ130" s="1091">
        <v>68129</v>
      </c>
      <c r="AR130" s="2145"/>
      <c r="AS130" s="2"/>
    </row>
    <row r="131" spans="1:45" x14ac:dyDescent="0.3">
      <c r="A131" s="173" t="s">
        <v>252</v>
      </c>
      <c r="D131" s="188">
        <v>0.14798451654743328</v>
      </c>
      <c r="E131" s="189">
        <v>0.13950212131823031</v>
      </c>
      <c r="F131" s="189">
        <v>0.16081026399794002</v>
      </c>
      <c r="G131" s="189">
        <v>0.17657450171906408</v>
      </c>
      <c r="H131" s="189">
        <v>0.1593198731798578</v>
      </c>
      <c r="I131" s="189">
        <v>0.17241307706364103</v>
      </c>
      <c r="J131" s="189">
        <v>0.16388858883063143</v>
      </c>
      <c r="K131" s="189">
        <v>0.17567876453011166</v>
      </c>
      <c r="L131" s="189">
        <v>0.17290313441355259</v>
      </c>
      <c r="M131" s="189">
        <v>0.19168981558954451</v>
      </c>
      <c r="N131" s="190">
        <v>0.20643619721274198</v>
      </c>
      <c r="O131" s="190">
        <v>0.20991666141864518</v>
      </c>
      <c r="P131" s="190">
        <v>0.21105894093113109</v>
      </c>
      <c r="Q131" s="951">
        <v>0.21831772489045451</v>
      </c>
      <c r="R131" s="1083">
        <v>0.21606831439052257</v>
      </c>
      <c r="S131" s="1859">
        <v>0.20948611482782731</v>
      </c>
      <c r="T131" s="1864">
        <v>0.19642374757095427</v>
      </c>
      <c r="U131" s="1083">
        <v>0.18830905708223136</v>
      </c>
      <c r="V131" s="1083">
        <v>0.19876864308692993</v>
      </c>
      <c r="W131" s="2138">
        <v>0.18098354533369493</v>
      </c>
      <c r="X131" s="790"/>
      <c r="Y131" s="185">
        <v>36510</v>
      </c>
      <c r="Z131" s="186">
        <v>34262</v>
      </c>
      <c r="AA131" s="186">
        <v>39344</v>
      </c>
      <c r="AB131" s="186">
        <v>42781</v>
      </c>
      <c r="AC131" s="186">
        <v>38492</v>
      </c>
      <c r="AD131" s="186">
        <v>41515</v>
      </c>
      <c r="AE131" s="186">
        <v>39447</v>
      </c>
      <c r="AF131" s="186">
        <v>42272</v>
      </c>
      <c r="AG131" s="186">
        <v>41499</v>
      </c>
      <c r="AH131" s="186">
        <v>45820</v>
      </c>
      <c r="AI131" s="187">
        <v>50023</v>
      </c>
      <c r="AJ131" s="187">
        <v>49999</v>
      </c>
      <c r="AK131" s="187">
        <v>49491</v>
      </c>
      <c r="AL131" s="956">
        <v>50820</v>
      </c>
      <c r="AM131" s="1091">
        <v>50302</v>
      </c>
      <c r="AN131" s="956">
        <v>48535</v>
      </c>
      <c r="AO131" s="1863">
        <v>45082</v>
      </c>
      <c r="AP131" s="1091">
        <v>43219</v>
      </c>
      <c r="AQ131" s="1091">
        <v>45166</v>
      </c>
      <c r="AR131" s="2145"/>
      <c r="AS131" s="2"/>
    </row>
    <row r="132" spans="1:45" x14ac:dyDescent="0.3">
      <c r="A132" s="173" t="s">
        <v>255</v>
      </c>
      <c r="D132" s="188">
        <v>0.18734683294440402</v>
      </c>
      <c r="E132" s="189">
        <v>0.17247175273134746</v>
      </c>
      <c r="F132" s="189">
        <v>0.20006672597864769</v>
      </c>
      <c r="G132" s="189">
        <v>0.22071896949433689</v>
      </c>
      <c r="H132" s="189">
        <v>0.19469087884668701</v>
      </c>
      <c r="I132" s="189">
        <v>0.22345575814569074</v>
      </c>
      <c r="J132" s="189">
        <v>0.20651927338719528</v>
      </c>
      <c r="K132" s="189">
        <v>0.20957003677431724</v>
      </c>
      <c r="L132" s="189">
        <v>0.22360411648784762</v>
      </c>
      <c r="M132" s="189">
        <v>0.23061145442701456</v>
      </c>
      <c r="N132" s="190">
        <v>0.2390194692096777</v>
      </c>
      <c r="O132" s="190">
        <v>0.24486790511169071</v>
      </c>
      <c r="P132" s="190">
        <v>0.24867022477490902</v>
      </c>
      <c r="Q132" s="951">
        <v>0.24932721517255221</v>
      </c>
      <c r="R132" s="1083">
        <v>0.24255737644647468</v>
      </c>
      <c r="S132" s="1859">
        <v>0.24754110529636641</v>
      </c>
      <c r="T132" s="1864">
        <v>0.23096808279792061</v>
      </c>
      <c r="U132" s="1083">
        <v>0.23281236491484231</v>
      </c>
      <c r="V132" s="1083">
        <v>0.23349049696898702</v>
      </c>
      <c r="W132" s="2138">
        <v>0.22785111662531018</v>
      </c>
      <c r="X132" s="790"/>
      <c r="Y132" s="185">
        <v>22399</v>
      </c>
      <c r="Z132" s="186">
        <v>20317</v>
      </c>
      <c r="AA132" s="186">
        <v>23387</v>
      </c>
      <c r="AB132" s="186">
        <v>25548</v>
      </c>
      <c r="AC132" s="186">
        <v>22472</v>
      </c>
      <c r="AD132" s="186">
        <v>25663</v>
      </c>
      <c r="AE132" s="186">
        <v>23670</v>
      </c>
      <c r="AF132" s="186">
        <v>24049</v>
      </c>
      <c r="AG132" s="186">
        <v>25530</v>
      </c>
      <c r="AH132" s="186">
        <v>26197</v>
      </c>
      <c r="AI132" s="187">
        <v>27721</v>
      </c>
      <c r="AJ132" s="187">
        <v>27602</v>
      </c>
      <c r="AK132" s="187">
        <v>27536</v>
      </c>
      <c r="AL132" s="956">
        <v>27331</v>
      </c>
      <c r="AM132" s="1091">
        <v>26390</v>
      </c>
      <c r="AN132" s="956">
        <v>26678</v>
      </c>
      <c r="AO132" s="1863">
        <v>24481</v>
      </c>
      <c r="AP132" s="1091">
        <v>24236</v>
      </c>
      <c r="AQ132" s="1091">
        <v>23919</v>
      </c>
      <c r="AR132" s="2145"/>
      <c r="AS132" s="2"/>
    </row>
    <row r="134" spans="1:45" x14ac:dyDescent="0.3">
      <c r="A134" s="584" t="s">
        <v>724</v>
      </c>
    </row>
    <row r="136" spans="1:45" x14ac:dyDescent="0.3">
      <c r="A136" s="193" t="s">
        <v>247</v>
      </c>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row>
    <row r="137" spans="1:45" x14ac:dyDescent="0.3">
      <c r="A137" s="194" t="s">
        <v>248</v>
      </c>
      <c r="B137" s="195" t="s">
        <v>249</v>
      </c>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row>
  </sheetData>
  <autoFilter ref="A4:C4"/>
  <sortState ref="A6:BC125">
    <sortCondition ref="A6:A125"/>
  </sortState>
  <mergeCells count="2">
    <mergeCell ref="D3:R3"/>
    <mergeCell ref="Y3:AM3"/>
  </mergeCells>
  <hyperlinks>
    <hyperlink ref="B137"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L136"/>
  <sheetViews>
    <sheetView workbookViewId="0">
      <selection activeCell="H5" sqref="H5:J5"/>
    </sheetView>
  </sheetViews>
  <sheetFormatPr defaultRowHeight="15.6" x14ac:dyDescent="0.3"/>
  <cols>
    <col min="1" max="1" width="7.69921875" style="41" customWidth="1"/>
    <col min="2" max="2" width="28.59765625" style="65" customWidth="1"/>
    <col min="3" max="3" width="10" style="65" customWidth="1"/>
  </cols>
  <sheetData>
    <row r="1" spans="1:38" x14ac:dyDescent="0.3">
      <c r="A1" s="145" t="s">
        <v>968</v>
      </c>
      <c r="B1" s="145"/>
      <c r="C1" s="145"/>
    </row>
    <row r="2" spans="1:38" x14ac:dyDescent="0.3">
      <c r="A2" s="31"/>
      <c r="B2" s="43"/>
      <c r="C2" s="43"/>
    </row>
    <row r="3" spans="1:38" x14ac:dyDescent="0.3">
      <c r="A3" s="44"/>
      <c r="B3" s="45"/>
      <c r="C3" s="45"/>
    </row>
    <row r="4" spans="1:38" x14ac:dyDescent="0.3">
      <c r="A4" s="2506" t="s">
        <v>4</v>
      </c>
      <c r="B4" s="2508" t="s">
        <v>5</v>
      </c>
      <c r="C4" s="2508" t="s">
        <v>250</v>
      </c>
      <c r="D4" s="2503">
        <v>2010</v>
      </c>
      <c r="E4" s="2504"/>
      <c r="F4" s="2504"/>
      <c r="G4" s="2504"/>
      <c r="H4" s="2504"/>
      <c r="I4" s="2504"/>
      <c r="J4" s="2505"/>
      <c r="K4" s="2503">
        <v>2012</v>
      </c>
      <c r="L4" s="2504"/>
      <c r="M4" s="2504"/>
      <c r="N4" s="2504"/>
      <c r="O4" s="2504"/>
      <c r="P4" s="2504"/>
      <c r="Q4" s="2505"/>
      <c r="R4" s="2503">
        <v>2014</v>
      </c>
      <c r="S4" s="2504"/>
      <c r="T4" s="2504"/>
      <c r="U4" s="2504"/>
      <c r="V4" s="2504"/>
      <c r="W4" s="2504"/>
      <c r="X4" s="2505"/>
      <c r="Y4" s="2503">
        <v>2016</v>
      </c>
      <c r="Z4" s="2504"/>
      <c r="AA4" s="2504"/>
      <c r="AB4" s="2504"/>
      <c r="AC4" s="2504"/>
      <c r="AD4" s="2504"/>
      <c r="AE4" s="2505"/>
      <c r="AF4" s="2503">
        <v>2018</v>
      </c>
      <c r="AG4" s="2504"/>
      <c r="AH4" s="2504"/>
      <c r="AI4" s="2504"/>
      <c r="AJ4" s="2504"/>
      <c r="AK4" s="2504"/>
      <c r="AL4" s="2505"/>
    </row>
    <row r="5" spans="1:38" ht="41.4" x14ac:dyDescent="0.3">
      <c r="A5" s="2507"/>
      <c r="B5" s="2509"/>
      <c r="C5" s="2509"/>
      <c r="D5" s="2064" t="s">
        <v>971</v>
      </c>
      <c r="E5" s="2065" t="s">
        <v>972</v>
      </c>
      <c r="F5" s="2065" t="s">
        <v>973</v>
      </c>
      <c r="G5" s="2065" t="s">
        <v>974</v>
      </c>
      <c r="H5" s="2065" t="s">
        <v>975</v>
      </c>
      <c r="I5" s="2065" t="s">
        <v>976</v>
      </c>
      <c r="J5" s="2066" t="s">
        <v>977</v>
      </c>
      <c r="K5" s="2064" t="s">
        <v>971</v>
      </c>
      <c r="L5" s="2065" t="s">
        <v>972</v>
      </c>
      <c r="M5" s="2065" t="s">
        <v>973</v>
      </c>
      <c r="N5" s="2065" t="s">
        <v>974</v>
      </c>
      <c r="O5" s="2065" t="s">
        <v>975</v>
      </c>
      <c r="P5" s="2065" t="s">
        <v>976</v>
      </c>
      <c r="Q5" s="2066" t="s">
        <v>977</v>
      </c>
      <c r="R5" s="2064" t="s">
        <v>971</v>
      </c>
      <c r="S5" s="2065" t="s">
        <v>972</v>
      </c>
      <c r="T5" s="2065" t="s">
        <v>973</v>
      </c>
      <c r="U5" s="2065" t="s">
        <v>974</v>
      </c>
      <c r="V5" s="2065" t="s">
        <v>975</v>
      </c>
      <c r="W5" s="2065" t="s">
        <v>976</v>
      </c>
      <c r="X5" s="2066" t="s">
        <v>977</v>
      </c>
      <c r="Y5" s="2064" t="s">
        <v>971</v>
      </c>
      <c r="Z5" s="2065" t="s">
        <v>972</v>
      </c>
      <c r="AA5" s="2065" t="s">
        <v>973</v>
      </c>
      <c r="AB5" s="2065" t="s">
        <v>974</v>
      </c>
      <c r="AC5" s="2065" t="s">
        <v>975</v>
      </c>
      <c r="AD5" s="2065" t="s">
        <v>976</v>
      </c>
      <c r="AE5" s="2066" t="s">
        <v>977</v>
      </c>
      <c r="AF5" s="2064" t="s">
        <v>971</v>
      </c>
      <c r="AG5" s="2065" t="s">
        <v>972</v>
      </c>
      <c r="AH5" s="2065" t="s">
        <v>973</v>
      </c>
      <c r="AI5" s="2065" t="s">
        <v>974</v>
      </c>
      <c r="AJ5" s="2065" t="s">
        <v>975</v>
      </c>
      <c r="AK5" s="2065" t="s">
        <v>976</v>
      </c>
      <c r="AL5" s="2066" t="s">
        <v>977</v>
      </c>
    </row>
    <row r="6" spans="1:38" x14ac:dyDescent="0.3">
      <c r="A6" s="53" t="s">
        <v>7</v>
      </c>
      <c r="B6" s="54" t="s">
        <v>8</v>
      </c>
      <c r="C6" s="55"/>
      <c r="D6" s="2177">
        <f>SUM(D7:D126)</f>
        <v>2997413</v>
      </c>
      <c r="E6" s="2178">
        <f t="shared" ref="E6:G6" si="0">SUM(E7:E126)</f>
        <v>311087</v>
      </c>
      <c r="F6" s="2178">
        <f t="shared" si="0"/>
        <v>900253</v>
      </c>
      <c r="G6" s="2178">
        <f t="shared" si="0"/>
        <v>1786073</v>
      </c>
      <c r="H6" s="2179">
        <f>E6/D6</f>
        <v>0.10378516407315241</v>
      </c>
      <c r="I6" s="2179">
        <f>F6/D6</f>
        <v>0.3003433293977173</v>
      </c>
      <c r="J6" s="2180">
        <f>(E6+F6)/D6</f>
        <v>0.40412849347086971</v>
      </c>
      <c r="K6" s="2177">
        <f t="shared" ref="K6:N6" si="1">SUM(K7:K126)</f>
        <v>3028997</v>
      </c>
      <c r="L6" s="2177">
        <f t="shared" si="1"/>
        <v>333365</v>
      </c>
      <c r="M6" s="2177">
        <f t="shared" si="1"/>
        <v>971152</v>
      </c>
      <c r="N6" s="2177">
        <f t="shared" si="1"/>
        <v>1724480</v>
      </c>
      <c r="O6" s="2179">
        <f>L6/K6</f>
        <v>0.11005788384735937</v>
      </c>
      <c r="P6" s="2179">
        <f>M6/K6</f>
        <v>0.32061834329977879</v>
      </c>
      <c r="Q6" s="2180">
        <f>(L6+M6)/K6</f>
        <v>0.43067622714713816</v>
      </c>
      <c r="R6" s="2177">
        <f t="shared" ref="R6" si="2">SUM(R7:R126)</f>
        <v>3081325</v>
      </c>
      <c r="S6" s="2177">
        <f t="shared" ref="S6" si="3">SUM(S7:S126)</f>
        <v>351255</v>
      </c>
      <c r="T6" s="2177">
        <f t="shared" ref="T6" si="4">SUM(T7:T126)</f>
        <v>927342</v>
      </c>
      <c r="U6" s="2177">
        <f t="shared" ref="U6" si="5">SUM(U7:U126)</f>
        <v>1802728</v>
      </c>
      <c r="V6" s="2179">
        <f>S6/R6</f>
        <v>0.11399479120183688</v>
      </c>
      <c r="W6" s="2179">
        <f>T6/R6</f>
        <v>0.30095559540132899</v>
      </c>
      <c r="X6" s="2180">
        <f>U6/R6</f>
        <v>0.58504961339683415</v>
      </c>
      <c r="Y6" s="2177">
        <f t="shared" ref="Y6" si="6">SUM(Y7:Y126)</f>
        <v>3124408</v>
      </c>
      <c r="Z6" s="2177">
        <f t="shared" ref="Z6" si="7">SUM(Z7:Z126)</f>
        <v>340193</v>
      </c>
      <c r="AA6" s="2177">
        <f t="shared" ref="AA6" si="8">SUM(AA7:AA126)</f>
        <v>938951</v>
      </c>
      <c r="AB6" s="2177">
        <f t="shared" ref="AB6" si="9">SUM(AB7:AB126)</f>
        <v>1845264</v>
      </c>
      <c r="AC6" s="2179">
        <f>Z6/Y6</f>
        <v>0.10888238667933253</v>
      </c>
      <c r="AD6" s="2179">
        <f>AA6/Y6</f>
        <v>0.30052125074574126</v>
      </c>
      <c r="AE6" s="2180">
        <f>AB6/Y6</f>
        <v>0.5905963625749262</v>
      </c>
      <c r="AF6" s="2177">
        <f t="shared" ref="AF6" si="10">SUM(AF7:AF126)</f>
        <v>3169804</v>
      </c>
      <c r="AG6" s="2177">
        <f t="shared" ref="AG6" si="11">SUM(AG7:AG126)</f>
        <v>326680</v>
      </c>
      <c r="AH6" s="2177">
        <f t="shared" ref="AH6" si="12">SUM(AH7:AH126)</f>
        <v>934929</v>
      </c>
      <c r="AI6" s="2177">
        <f t="shared" ref="AI6" si="13">SUM(AI7:AI126)</f>
        <v>1908195</v>
      </c>
      <c r="AJ6" s="2179">
        <f>AG6/AF6</f>
        <v>0.10305999992428554</v>
      </c>
      <c r="AK6" s="2179">
        <f>AH6/AF6</f>
        <v>0.2949485204763449</v>
      </c>
      <c r="AL6" s="2180">
        <f>AI6/AF6</f>
        <v>0.60199147959936961</v>
      </c>
    </row>
    <row r="7" spans="1:38" x14ac:dyDescent="0.3">
      <c r="A7" s="56" t="s">
        <v>9</v>
      </c>
      <c r="B7" s="83" t="s">
        <v>10</v>
      </c>
      <c r="C7" s="57" t="s">
        <v>251</v>
      </c>
      <c r="D7" s="2070">
        <v>13676</v>
      </c>
      <c r="E7" s="2071">
        <v>2856</v>
      </c>
      <c r="F7" s="2071">
        <v>3210</v>
      </c>
      <c r="G7" s="2071">
        <v>7610</v>
      </c>
      <c r="H7" s="138">
        <f t="shared" ref="H7:H70" si="14">E7/D7</f>
        <v>0.20883299210295408</v>
      </c>
      <c r="I7" s="138">
        <f t="shared" ref="I7:I70" si="15">F7/D7</f>
        <v>0.23471775372916057</v>
      </c>
      <c r="J7" s="2072">
        <f t="shared" ref="J7:J70" si="16">(E7+F7)/D7</f>
        <v>0.44355074583211468</v>
      </c>
      <c r="K7" s="2070">
        <v>14483</v>
      </c>
      <c r="L7" s="2071">
        <v>2942</v>
      </c>
      <c r="M7" s="2071">
        <v>3555</v>
      </c>
      <c r="N7" s="2071">
        <v>7986</v>
      </c>
      <c r="O7" s="138">
        <f t="shared" ref="O7:O70" si="17">L7/K7</f>
        <v>0.2031347096596009</v>
      </c>
      <c r="P7" s="138">
        <f t="shared" ref="P7:P70" si="18">M7/K7</f>
        <v>0.24546019471104052</v>
      </c>
      <c r="Q7" s="2072">
        <f t="shared" ref="Q7:Q70" si="19">(L7+M7)/K7</f>
        <v>0.44859490437064142</v>
      </c>
      <c r="R7" s="2070">
        <v>14289</v>
      </c>
      <c r="S7" s="2071">
        <v>2754</v>
      </c>
      <c r="T7" s="2071">
        <v>4310</v>
      </c>
      <c r="U7" s="2071">
        <v>7225</v>
      </c>
      <c r="V7" s="138">
        <f t="shared" ref="V7:V70" si="20">S7/R7</f>
        <v>0.19273567079571699</v>
      </c>
      <c r="W7" s="138">
        <f t="shared" ref="W7:W70" si="21">T7/R7</f>
        <v>0.30163062495626008</v>
      </c>
      <c r="X7" s="2072">
        <f t="shared" ref="X7:X70" si="22">U7/R7</f>
        <v>0.50563370424802301</v>
      </c>
      <c r="Y7" s="2070">
        <v>13819</v>
      </c>
      <c r="Z7" s="2071">
        <v>2561</v>
      </c>
      <c r="AA7" s="2071">
        <v>4612</v>
      </c>
      <c r="AB7" s="2071">
        <v>6646</v>
      </c>
      <c r="AC7" s="138">
        <f t="shared" ref="AC7:AC70" si="23">Z7/Y7</f>
        <v>0.18532455315145813</v>
      </c>
      <c r="AD7" s="138">
        <f t="shared" ref="AD7:AD70" si="24">AA7/Y7</f>
        <v>0.33374339677255954</v>
      </c>
      <c r="AE7" s="2072">
        <f t="shared" ref="AE7:AE70" si="25">AB7/Y7</f>
        <v>0.48093205007598233</v>
      </c>
      <c r="AF7" s="2070">
        <v>13401</v>
      </c>
      <c r="AG7" s="2071">
        <v>2085</v>
      </c>
      <c r="AH7" s="2071">
        <v>4645</v>
      </c>
      <c r="AI7" s="2071">
        <v>6671</v>
      </c>
      <c r="AJ7" s="138">
        <f t="shared" ref="AJ7:AJ70" si="26">AG7/AF7</f>
        <v>0.15558540407432281</v>
      </c>
      <c r="AK7" s="138">
        <f t="shared" ref="AK7:AK70" si="27">AH7/AF7</f>
        <v>0.34661592418476234</v>
      </c>
      <c r="AL7" s="2072">
        <f t="shared" ref="AL7:AL70" si="28">AI7/AF7</f>
        <v>0.49779867174091486</v>
      </c>
    </row>
    <row r="8" spans="1:38" x14ac:dyDescent="0.3">
      <c r="A8" s="56" t="s">
        <v>11</v>
      </c>
      <c r="B8" s="84" t="s">
        <v>12</v>
      </c>
      <c r="C8" s="57" t="s">
        <v>252</v>
      </c>
      <c r="D8" s="2070">
        <v>37671</v>
      </c>
      <c r="E8" s="2071">
        <v>3899</v>
      </c>
      <c r="F8" s="2071">
        <v>11107</v>
      </c>
      <c r="G8" s="2071">
        <v>22665</v>
      </c>
      <c r="H8" s="138">
        <f t="shared" si="14"/>
        <v>0.10350136709936025</v>
      </c>
      <c r="I8" s="138">
        <f t="shared" si="15"/>
        <v>0.29484218629715164</v>
      </c>
      <c r="J8" s="2072">
        <f t="shared" si="16"/>
        <v>0.3983435533965119</v>
      </c>
      <c r="K8" s="2070">
        <v>38374</v>
      </c>
      <c r="L8" s="2071">
        <v>3719</v>
      </c>
      <c r="M8" s="2071">
        <v>11235</v>
      </c>
      <c r="N8" s="2071">
        <v>23420</v>
      </c>
      <c r="O8" s="138">
        <f t="shared" si="17"/>
        <v>9.691457757856882E-2</v>
      </c>
      <c r="P8" s="138">
        <f t="shared" si="18"/>
        <v>0.2927763589930682</v>
      </c>
      <c r="Q8" s="2072">
        <f t="shared" si="19"/>
        <v>0.38969093657163706</v>
      </c>
      <c r="R8" s="2070">
        <v>39568</v>
      </c>
      <c r="S8" s="2071">
        <v>4753</v>
      </c>
      <c r="T8" s="2071">
        <v>12722</v>
      </c>
      <c r="U8" s="2071">
        <v>22093</v>
      </c>
      <c r="V8" s="138">
        <f t="shared" si="20"/>
        <v>0.12012232106752932</v>
      </c>
      <c r="W8" s="138">
        <f t="shared" si="21"/>
        <v>0.32152244237767891</v>
      </c>
      <c r="X8" s="2072">
        <f t="shared" si="22"/>
        <v>0.5583552365547918</v>
      </c>
      <c r="Y8" s="2070">
        <v>40318</v>
      </c>
      <c r="Z8" s="2071">
        <v>2887</v>
      </c>
      <c r="AA8" s="2071">
        <v>16941</v>
      </c>
      <c r="AB8" s="2071">
        <v>20490</v>
      </c>
      <c r="AC8" s="138">
        <f t="shared" si="23"/>
        <v>7.1605734411429145E-2</v>
      </c>
      <c r="AD8" s="138">
        <f t="shared" si="24"/>
        <v>0.42018453296294461</v>
      </c>
      <c r="AE8" s="2072">
        <f t="shared" si="25"/>
        <v>0.5082097326256263</v>
      </c>
      <c r="AF8" s="2070">
        <v>41956</v>
      </c>
      <c r="AG8" s="2071">
        <v>3655</v>
      </c>
      <c r="AH8" s="2071">
        <v>15430</v>
      </c>
      <c r="AI8" s="2071">
        <v>22871</v>
      </c>
      <c r="AJ8" s="138">
        <f t="shared" si="26"/>
        <v>8.7115072933549434E-2</v>
      </c>
      <c r="AK8" s="138">
        <f t="shared" si="27"/>
        <v>0.36776623128992275</v>
      </c>
      <c r="AL8" s="2072">
        <f t="shared" si="28"/>
        <v>0.54511869577652783</v>
      </c>
    </row>
    <row r="9" spans="1:38" x14ac:dyDescent="0.3">
      <c r="A9" s="56" t="s">
        <v>15</v>
      </c>
      <c r="B9" s="84" t="s">
        <v>273</v>
      </c>
      <c r="C9" s="57" t="s">
        <v>252</v>
      </c>
      <c r="D9" s="2070">
        <v>9605</v>
      </c>
      <c r="E9" s="2071">
        <v>1133</v>
      </c>
      <c r="F9" s="2071">
        <v>2481</v>
      </c>
      <c r="G9" s="2071">
        <v>5991</v>
      </c>
      <c r="H9" s="138">
        <f t="shared" si="14"/>
        <v>0.11795939614783967</v>
      </c>
      <c r="I9" s="138">
        <f t="shared" si="15"/>
        <v>0.25830296720458096</v>
      </c>
      <c r="J9" s="2072">
        <f t="shared" si="16"/>
        <v>0.37626236335242064</v>
      </c>
      <c r="K9" s="2070">
        <v>9435</v>
      </c>
      <c r="L9" s="2071">
        <v>1175</v>
      </c>
      <c r="M9" s="2071">
        <v>1977</v>
      </c>
      <c r="N9" s="2071">
        <v>6283</v>
      </c>
      <c r="O9" s="138">
        <f t="shared" si="17"/>
        <v>0.12453630100688924</v>
      </c>
      <c r="P9" s="138">
        <f t="shared" si="18"/>
        <v>0.20953895071542131</v>
      </c>
      <c r="Q9" s="2072">
        <f t="shared" si="19"/>
        <v>0.33407525172231056</v>
      </c>
      <c r="R9" s="2070">
        <v>9182</v>
      </c>
      <c r="S9" s="2071">
        <v>1409</v>
      </c>
      <c r="T9" s="2071">
        <v>2638</v>
      </c>
      <c r="U9" s="2071">
        <v>5135</v>
      </c>
      <c r="V9" s="138">
        <f t="shared" si="20"/>
        <v>0.15345240688303202</v>
      </c>
      <c r="W9" s="138">
        <f t="shared" si="21"/>
        <v>0.2873012415595731</v>
      </c>
      <c r="X9" s="2072">
        <f t="shared" si="22"/>
        <v>0.55924635155739488</v>
      </c>
      <c r="Y9" s="2070">
        <v>9317</v>
      </c>
      <c r="Z9" s="2071">
        <v>1697</v>
      </c>
      <c r="AA9" s="2071">
        <v>2494</v>
      </c>
      <c r="AB9" s="2071">
        <v>5126</v>
      </c>
      <c r="AC9" s="138">
        <f t="shared" si="23"/>
        <v>0.18214017387571108</v>
      </c>
      <c r="AD9" s="138">
        <f t="shared" si="24"/>
        <v>0.26768273049264785</v>
      </c>
      <c r="AE9" s="2072">
        <f t="shared" si="25"/>
        <v>0.55017709563164108</v>
      </c>
      <c r="AF9" s="2070">
        <v>9150</v>
      </c>
      <c r="AG9" s="2071">
        <v>1632</v>
      </c>
      <c r="AH9" s="2071">
        <v>2527</v>
      </c>
      <c r="AI9" s="2071">
        <v>4991</v>
      </c>
      <c r="AJ9" s="138">
        <f t="shared" si="26"/>
        <v>0.17836065573770493</v>
      </c>
      <c r="AK9" s="138">
        <f t="shared" si="27"/>
        <v>0.27617486338797814</v>
      </c>
      <c r="AL9" s="2072">
        <f t="shared" si="28"/>
        <v>0.54546448087431698</v>
      </c>
    </row>
    <row r="10" spans="1:38" x14ac:dyDescent="0.3">
      <c r="A10" s="56" t="s">
        <v>17</v>
      </c>
      <c r="B10" s="84" t="s">
        <v>18</v>
      </c>
      <c r="C10" s="57" t="s">
        <v>253</v>
      </c>
      <c r="D10" s="2070">
        <v>4901</v>
      </c>
      <c r="E10" s="2071">
        <v>557</v>
      </c>
      <c r="F10" s="2071">
        <v>1278</v>
      </c>
      <c r="G10" s="2071">
        <v>3066</v>
      </c>
      <c r="H10" s="138">
        <f t="shared" si="14"/>
        <v>0.11365027545398898</v>
      </c>
      <c r="I10" s="138">
        <f t="shared" si="15"/>
        <v>0.26076310956947563</v>
      </c>
      <c r="J10" s="2072">
        <f t="shared" si="16"/>
        <v>0.37441338502346461</v>
      </c>
      <c r="K10" s="2070">
        <v>4777</v>
      </c>
      <c r="L10" s="2071">
        <v>497</v>
      </c>
      <c r="M10" s="2071">
        <v>1752</v>
      </c>
      <c r="N10" s="2071">
        <v>2528</v>
      </c>
      <c r="O10" s="138">
        <f t="shared" si="17"/>
        <v>0.10404019258949131</v>
      </c>
      <c r="P10" s="138">
        <f t="shared" si="18"/>
        <v>0.36675737910822692</v>
      </c>
      <c r="Q10" s="2072">
        <f t="shared" si="19"/>
        <v>0.47079757169771824</v>
      </c>
      <c r="R10" s="2070">
        <v>4761</v>
      </c>
      <c r="S10" s="2071">
        <v>486</v>
      </c>
      <c r="T10" s="2071">
        <v>1527</v>
      </c>
      <c r="U10" s="2071">
        <v>2748</v>
      </c>
      <c r="V10" s="138">
        <f t="shared" si="20"/>
        <v>0.10207939508506617</v>
      </c>
      <c r="W10" s="138">
        <f t="shared" si="21"/>
        <v>0.32073093887838688</v>
      </c>
      <c r="X10" s="2072">
        <f t="shared" si="22"/>
        <v>0.57718966603654698</v>
      </c>
      <c r="Y10" s="2070">
        <v>4540</v>
      </c>
      <c r="Z10" s="2071">
        <v>528</v>
      </c>
      <c r="AA10" s="2071">
        <v>1197</v>
      </c>
      <c r="AB10" s="2071">
        <v>2815</v>
      </c>
      <c r="AC10" s="138">
        <f t="shared" si="23"/>
        <v>0.11629955947136564</v>
      </c>
      <c r="AD10" s="138">
        <f t="shared" si="24"/>
        <v>0.26365638766519822</v>
      </c>
      <c r="AE10" s="2072">
        <f t="shared" si="25"/>
        <v>0.62004405286343611</v>
      </c>
      <c r="AF10" s="2070">
        <v>4789</v>
      </c>
      <c r="AG10" s="2071">
        <v>627</v>
      </c>
      <c r="AH10" s="2071">
        <v>1213</v>
      </c>
      <c r="AI10" s="2071">
        <v>2949</v>
      </c>
      <c r="AJ10" s="138">
        <f t="shared" si="26"/>
        <v>0.1309250365420756</v>
      </c>
      <c r="AK10" s="138">
        <f t="shared" si="27"/>
        <v>0.25328878680309042</v>
      </c>
      <c r="AL10" s="2072">
        <f t="shared" si="28"/>
        <v>0.61578617665483404</v>
      </c>
    </row>
    <row r="11" spans="1:38" x14ac:dyDescent="0.3">
      <c r="A11" s="56" t="s">
        <v>19</v>
      </c>
      <c r="B11" s="84" t="s">
        <v>20</v>
      </c>
      <c r="C11" s="57" t="s">
        <v>252</v>
      </c>
      <c r="D11" s="2070">
        <v>12466</v>
      </c>
      <c r="E11" s="2071">
        <v>1461</v>
      </c>
      <c r="F11" s="2071">
        <v>3274</v>
      </c>
      <c r="G11" s="2071">
        <v>7731</v>
      </c>
      <c r="H11" s="138">
        <f t="shared" si="14"/>
        <v>0.11719878068345901</v>
      </c>
      <c r="I11" s="138">
        <f t="shared" si="15"/>
        <v>0.26263436547408953</v>
      </c>
      <c r="J11" s="2072">
        <f t="shared" si="16"/>
        <v>0.37983314615754854</v>
      </c>
      <c r="K11" s="2070">
        <v>12624</v>
      </c>
      <c r="L11" s="2071">
        <v>1540</v>
      </c>
      <c r="M11" s="2071">
        <v>3751</v>
      </c>
      <c r="N11" s="2071">
        <v>7333</v>
      </c>
      <c r="O11" s="138">
        <f t="shared" si="17"/>
        <v>0.12198986058301647</v>
      </c>
      <c r="P11" s="138">
        <f t="shared" si="18"/>
        <v>0.29713244613434725</v>
      </c>
      <c r="Q11" s="2072">
        <f t="shared" si="19"/>
        <v>0.41912230671736372</v>
      </c>
      <c r="R11" s="2070">
        <v>12577</v>
      </c>
      <c r="S11" s="2071">
        <v>1464</v>
      </c>
      <c r="T11" s="2071">
        <v>3803</v>
      </c>
      <c r="U11" s="2071">
        <v>7310</v>
      </c>
      <c r="V11" s="138">
        <f t="shared" si="20"/>
        <v>0.11640295778007474</v>
      </c>
      <c r="W11" s="138">
        <f t="shared" si="21"/>
        <v>0.30237735549018047</v>
      </c>
      <c r="X11" s="2072">
        <f t="shared" si="22"/>
        <v>0.58121968672974478</v>
      </c>
      <c r="Y11" s="2070">
        <v>12306</v>
      </c>
      <c r="Z11" s="2071">
        <v>1650</v>
      </c>
      <c r="AA11" s="2071">
        <v>4073</v>
      </c>
      <c r="AB11" s="2071">
        <v>6583</v>
      </c>
      <c r="AC11" s="138">
        <f t="shared" si="23"/>
        <v>0.13408093612871769</v>
      </c>
      <c r="AD11" s="138">
        <f t="shared" si="24"/>
        <v>0.33097675930440434</v>
      </c>
      <c r="AE11" s="2072">
        <f t="shared" si="25"/>
        <v>0.53494230456687797</v>
      </c>
      <c r="AF11" s="2070">
        <v>12044</v>
      </c>
      <c r="AG11" s="2071">
        <v>1519</v>
      </c>
      <c r="AH11" s="2071">
        <v>5236</v>
      </c>
      <c r="AI11" s="2071">
        <v>5289</v>
      </c>
      <c r="AJ11" s="138">
        <f t="shared" si="26"/>
        <v>0.12612089006974428</v>
      </c>
      <c r="AK11" s="138">
        <f t="shared" si="27"/>
        <v>0.43473928927266686</v>
      </c>
      <c r="AL11" s="2072">
        <f t="shared" si="28"/>
        <v>0.43913982065758883</v>
      </c>
    </row>
    <row r="12" spans="1:38" x14ac:dyDescent="0.3">
      <c r="A12" s="56" t="s">
        <v>21</v>
      </c>
      <c r="B12" s="84" t="s">
        <v>22</v>
      </c>
      <c r="C12" s="57" t="s">
        <v>252</v>
      </c>
      <c r="D12" s="2070">
        <v>5976</v>
      </c>
      <c r="E12" s="2071">
        <v>885</v>
      </c>
      <c r="F12" s="2071">
        <v>1250</v>
      </c>
      <c r="G12" s="2071">
        <v>3841</v>
      </c>
      <c r="H12" s="138">
        <f t="shared" si="14"/>
        <v>0.14809236947791166</v>
      </c>
      <c r="I12" s="138">
        <f t="shared" si="15"/>
        <v>0.20917001338688085</v>
      </c>
      <c r="J12" s="2072">
        <f t="shared" si="16"/>
        <v>0.3572623828647925</v>
      </c>
      <c r="K12" s="2070">
        <v>5902</v>
      </c>
      <c r="L12" s="2071">
        <v>948</v>
      </c>
      <c r="M12" s="2071">
        <v>1361</v>
      </c>
      <c r="N12" s="2071">
        <v>3593</v>
      </c>
      <c r="O12" s="138">
        <f t="shared" si="17"/>
        <v>0.16062351745171127</v>
      </c>
      <c r="P12" s="138">
        <f t="shared" si="18"/>
        <v>0.23059979667909183</v>
      </c>
      <c r="Q12" s="2072">
        <f t="shared" si="19"/>
        <v>0.39122331413080313</v>
      </c>
      <c r="R12" s="2070">
        <v>5964</v>
      </c>
      <c r="S12" s="2071">
        <v>1097</v>
      </c>
      <c r="T12" s="2071">
        <v>1373</v>
      </c>
      <c r="U12" s="2071">
        <v>3494</v>
      </c>
      <c r="V12" s="138">
        <f t="shared" si="20"/>
        <v>0.18393695506371563</v>
      </c>
      <c r="W12" s="138">
        <f t="shared" si="21"/>
        <v>0.23021462105969148</v>
      </c>
      <c r="X12" s="2072">
        <f t="shared" si="22"/>
        <v>0.58584842387659286</v>
      </c>
      <c r="Y12" s="2070">
        <v>5972</v>
      </c>
      <c r="Z12" s="2071">
        <v>1023</v>
      </c>
      <c r="AA12" s="2071">
        <v>1409</v>
      </c>
      <c r="AB12" s="2071">
        <v>3540</v>
      </c>
      <c r="AC12" s="138">
        <f t="shared" si="23"/>
        <v>0.17129939718687207</v>
      </c>
      <c r="AD12" s="138">
        <f t="shared" si="24"/>
        <v>0.23593436034829202</v>
      </c>
      <c r="AE12" s="2072">
        <f t="shared" si="25"/>
        <v>0.59276624246483589</v>
      </c>
      <c r="AF12" s="2070">
        <v>6095</v>
      </c>
      <c r="AG12" s="2071">
        <v>776</v>
      </c>
      <c r="AH12" s="2071">
        <v>2284</v>
      </c>
      <c r="AI12" s="2071">
        <v>3035</v>
      </c>
      <c r="AJ12" s="138">
        <f t="shared" si="26"/>
        <v>0.12731747333880231</v>
      </c>
      <c r="AK12" s="138">
        <f t="shared" si="27"/>
        <v>0.37473338802296963</v>
      </c>
      <c r="AL12" s="2072">
        <f t="shared" si="28"/>
        <v>0.49794913863822804</v>
      </c>
    </row>
    <row r="13" spans="1:38" x14ac:dyDescent="0.3">
      <c r="A13" s="56" t="s">
        <v>23</v>
      </c>
      <c r="B13" s="84" t="s">
        <v>24</v>
      </c>
      <c r="C13" s="57" t="s">
        <v>254</v>
      </c>
      <c r="D13" s="2070">
        <v>92982</v>
      </c>
      <c r="E13" s="2071">
        <v>5537</v>
      </c>
      <c r="F13" s="2071">
        <v>21002</v>
      </c>
      <c r="G13" s="2071">
        <v>66443</v>
      </c>
      <c r="H13" s="138">
        <f t="shared" si="14"/>
        <v>5.9549160052483278E-2</v>
      </c>
      <c r="I13" s="138">
        <f t="shared" si="15"/>
        <v>0.22587167408745779</v>
      </c>
      <c r="J13" s="2072">
        <f t="shared" si="16"/>
        <v>0.28542083413994107</v>
      </c>
      <c r="K13" s="2070">
        <v>95369</v>
      </c>
      <c r="L13" s="2071">
        <v>6113</v>
      </c>
      <c r="M13" s="2071">
        <v>28107</v>
      </c>
      <c r="N13" s="2071">
        <v>61149</v>
      </c>
      <c r="O13" s="138">
        <f t="shared" si="17"/>
        <v>6.4098396753662093E-2</v>
      </c>
      <c r="P13" s="138">
        <f t="shared" si="18"/>
        <v>0.29471840954607892</v>
      </c>
      <c r="Q13" s="2072">
        <f t="shared" si="19"/>
        <v>0.358816806299741</v>
      </c>
      <c r="R13" s="2070">
        <v>100732</v>
      </c>
      <c r="S13" s="2071">
        <v>7261</v>
      </c>
      <c r="T13" s="2071">
        <v>24568</v>
      </c>
      <c r="U13" s="2071">
        <v>68903</v>
      </c>
      <c r="V13" s="138">
        <f t="shared" si="20"/>
        <v>7.2082357145693526E-2</v>
      </c>
      <c r="W13" s="138">
        <f t="shared" si="21"/>
        <v>0.24389469086288368</v>
      </c>
      <c r="X13" s="2072">
        <f t="shared" si="22"/>
        <v>0.68402295199142282</v>
      </c>
      <c r="Y13" s="2070">
        <v>103479</v>
      </c>
      <c r="Z13" s="2071">
        <v>7344</v>
      </c>
      <c r="AA13" s="2071">
        <v>24765</v>
      </c>
      <c r="AB13" s="2071">
        <v>71370</v>
      </c>
      <c r="AC13" s="138">
        <f t="shared" si="23"/>
        <v>7.0970921636274026E-2</v>
      </c>
      <c r="AD13" s="138">
        <f t="shared" si="24"/>
        <v>0.23932392079552373</v>
      </c>
      <c r="AE13" s="2072">
        <f t="shared" si="25"/>
        <v>0.68970515756820228</v>
      </c>
      <c r="AF13" s="2070">
        <v>109940</v>
      </c>
      <c r="AG13" s="2071">
        <v>6614</v>
      </c>
      <c r="AH13" s="2071">
        <v>26085</v>
      </c>
      <c r="AI13" s="2071">
        <v>77241</v>
      </c>
      <c r="AJ13" s="138">
        <f t="shared" si="26"/>
        <v>6.0160087320356555E-2</v>
      </c>
      <c r="AK13" s="138">
        <f t="shared" si="27"/>
        <v>0.23726578133527379</v>
      </c>
      <c r="AL13" s="2072">
        <f t="shared" si="28"/>
        <v>0.70257413134436963</v>
      </c>
    </row>
    <row r="14" spans="1:38" x14ac:dyDescent="0.3">
      <c r="A14" s="56" t="s">
        <v>25</v>
      </c>
      <c r="B14" s="84" t="s">
        <v>274</v>
      </c>
      <c r="C14" s="57" t="s">
        <v>252</v>
      </c>
      <c r="D14" s="2070">
        <v>47074</v>
      </c>
      <c r="E14" s="2071">
        <v>5495</v>
      </c>
      <c r="F14" s="2071">
        <v>12365</v>
      </c>
      <c r="G14" s="2071">
        <v>29214</v>
      </c>
      <c r="H14" s="138">
        <f t="shared" si="14"/>
        <v>0.11673110421888941</v>
      </c>
      <c r="I14" s="138">
        <f t="shared" si="15"/>
        <v>0.26267153842885671</v>
      </c>
      <c r="J14" s="2072">
        <f t="shared" si="16"/>
        <v>0.37940264264774609</v>
      </c>
      <c r="K14" s="2070">
        <v>48321</v>
      </c>
      <c r="L14" s="2071">
        <v>6449</v>
      </c>
      <c r="M14" s="2071">
        <v>12256</v>
      </c>
      <c r="N14" s="2071">
        <v>29616</v>
      </c>
      <c r="O14" s="138">
        <f t="shared" si="17"/>
        <v>0.13346164193621821</v>
      </c>
      <c r="P14" s="138">
        <f t="shared" si="18"/>
        <v>0.25363713499306717</v>
      </c>
      <c r="Q14" s="2072">
        <f t="shared" si="19"/>
        <v>0.3870987769292854</v>
      </c>
      <c r="R14" s="2070">
        <v>47914</v>
      </c>
      <c r="S14" s="2071">
        <v>6165</v>
      </c>
      <c r="T14" s="2071">
        <v>12407</v>
      </c>
      <c r="U14" s="2071">
        <v>29342</v>
      </c>
      <c r="V14" s="138">
        <f t="shared" si="20"/>
        <v>0.1286680302208123</v>
      </c>
      <c r="W14" s="138">
        <f t="shared" si="21"/>
        <v>0.25894310639896484</v>
      </c>
      <c r="X14" s="2072">
        <f t="shared" si="22"/>
        <v>0.61238886338022291</v>
      </c>
      <c r="Y14" s="2070">
        <v>49091</v>
      </c>
      <c r="Z14" s="2071">
        <v>5546</v>
      </c>
      <c r="AA14" s="2071">
        <v>13981</v>
      </c>
      <c r="AB14" s="2071">
        <v>29564</v>
      </c>
      <c r="AC14" s="138">
        <f t="shared" si="23"/>
        <v>0.11297386486321322</v>
      </c>
      <c r="AD14" s="138">
        <f t="shared" si="24"/>
        <v>0.28479762074514675</v>
      </c>
      <c r="AE14" s="2072">
        <f t="shared" si="25"/>
        <v>0.60222851439164005</v>
      </c>
      <c r="AF14" s="2070">
        <v>48961</v>
      </c>
      <c r="AG14" s="2071">
        <v>5650</v>
      </c>
      <c r="AH14" s="2071">
        <v>14260</v>
      </c>
      <c r="AI14" s="2071">
        <v>29051</v>
      </c>
      <c r="AJ14" s="138">
        <f t="shared" si="26"/>
        <v>0.11539796981270807</v>
      </c>
      <c r="AK14" s="138">
        <f t="shared" si="27"/>
        <v>0.29125222115561367</v>
      </c>
      <c r="AL14" s="2072">
        <f t="shared" si="28"/>
        <v>0.59334980903167822</v>
      </c>
    </row>
    <row r="15" spans="1:38" x14ac:dyDescent="0.3">
      <c r="A15" s="56" t="s">
        <v>26</v>
      </c>
      <c r="B15" s="84" t="s">
        <v>27</v>
      </c>
      <c r="C15" s="57" t="s">
        <v>252</v>
      </c>
      <c r="D15" s="2070">
        <v>2025</v>
      </c>
      <c r="E15" s="2071">
        <v>185</v>
      </c>
      <c r="F15" s="2071">
        <v>442</v>
      </c>
      <c r="G15" s="2071">
        <v>1398</v>
      </c>
      <c r="H15" s="138">
        <f t="shared" si="14"/>
        <v>9.1358024691358022E-2</v>
      </c>
      <c r="I15" s="138">
        <f t="shared" si="15"/>
        <v>0.21827160493827161</v>
      </c>
      <c r="J15" s="2072">
        <f t="shared" si="16"/>
        <v>0.30962962962962964</v>
      </c>
      <c r="K15" s="2070">
        <v>2008</v>
      </c>
      <c r="L15" s="2071">
        <v>233</v>
      </c>
      <c r="M15" s="2071">
        <v>345</v>
      </c>
      <c r="N15" s="2071">
        <v>1430</v>
      </c>
      <c r="O15" s="138">
        <f t="shared" si="17"/>
        <v>0.11603585657370517</v>
      </c>
      <c r="P15" s="138">
        <f t="shared" si="18"/>
        <v>0.17181274900398405</v>
      </c>
      <c r="Q15" s="2072">
        <f t="shared" si="19"/>
        <v>0.28784860557768926</v>
      </c>
      <c r="R15" s="2070">
        <v>2225</v>
      </c>
      <c r="S15" s="2071">
        <v>271</v>
      </c>
      <c r="T15" s="2071">
        <v>619</v>
      </c>
      <c r="U15" s="2071">
        <v>1335</v>
      </c>
      <c r="V15" s="138">
        <f t="shared" si="20"/>
        <v>0.12179775280898876</v>
      </c>
      <c r="W15" s="138">
        <f t="shared" si="21"/>
        <v>0.27820224719101122</v>
      </c>
      <c r="X15" s="2072">
        <f t="shared" si="22"/>
        <v>0.6</v>
      </c>
      <c r="Y15" s="2070">
        <v>2104</v>
      </c>
      <c r="Z15" s="2071">
        <v>226</v>
      </c>
      <c r="AA15" s="2071">
        <v>630</v>
      </c>
      <c r="AB15" s="2071">
        <v>1248</v>
      </c>
      <c r="AC15" s="138">
        <f t="shared" si="23"/>
        <v>0.10741444866920152</v>
      </c>
      <c r="AD15" s="138">
        <f t="shared" si="24"/>
        <v>0.29942965779467678</v>
      </c>
      <c r="AE15" s="2072">
        <f t="shared" si="25"/>
        <v>0.59315589353612164</v>
      </c>
      <c r="AF15" s="2070">
        <v>1999</v>
      </c>
      <c r="AG15" s="2071">
        <v>237</v>
      </c>
      <c r="AH15" s="2071">
        <v>540</v>
      </c>
      <c r="AI15" s="2071">
        <v>1222</v>
      </c>
      <c r="AJ15" s="138">
        <f t="shared" si="26"/>
        <v>0.11855927963981991</v>
      </c>
      <c r="AK15" s="138">
        <f t="shared" si="27"/>
        <v>0.27013506753376687</v>
      </c>
      <c r="AL15" s="2072">
        <f t="shared" si="28"/>
        <v>0.61130565282641325</v>
      </c>
    </row>
    <row r="16" spans="1:38" x14ac:dyDescent="0.3">
      <c r="A16" s="56" t="s">
        <v>28</v>
      </c>
      <c r="B16" s="84" t="s">
        <v>568</v>
      </c>
      <c r="C16" s="57" t="s">
        <v>252</v>
      </c>
      <c r="D16" s="2070">
        <v>30377</v>
      </c>
      <c r="E16" s="2071">
        <v>2944</v>
      </c>
      <c r="F16" s="2071">
        <v>9418</v>
      </c>
      <c r="G16" s="2071">
        <v>18015</v>
      </c>
      <c r="H16" s="138">
        <f t="shared" si="14"/>
        <v>9.6915429436744902E-2</v>
      </c>
      <c r="I16" s="138">
        <f t="shared" si="15"/>
        <v>0.3100371991967607</v>
      </c>
      <c r="J16" s="2072">
        <f t="shared" si="16"/>
        <v>0.40695262863350562</v>
      </c>
      <c r="K16" s="2070">
        <v>31172</v>
      </c>
      <c r="L16" s="2071">
        <v>3090</v>
      </c>
      <c r="M16" s="2071">
        <v>7715</v>
      </c>
      <c r="N16" s="2071">
        <v>20367</v>
      </c>
      <c r="O16" s="138">
        <f t="shared" si="17"/>
        <v>9.9127422045425378E-2</v>
      </c>
      <c r="P16" s="138">
        <f t="shared" si="18"/>
        <v>0.24749775439496985</v>
      </c>
      <c r="Q16" s="2072">
        <f t="shared" si="19"/>
        <v>0.3466251764403952</v>
      </c>
      <c r="R16" s="2070">
        <v>30259</v>
      </c>
      <c r="S16" s="2071">
        <v>2918</v>
      </c>
      <c r="T16" s="2071">
        <v>7096</v>
      </c>
      <c r="U16" s="2071">
        <v>20245</v>
      </c>
      <c r="V16" s="138">
        <f t="shared" si="20"/>
        <v>9.6434118774579469E-2</v>
      </c>
      <c r="W16" s="138">
        <f t="shared" si="21"/>
        <v>0.23450874120096502</v>
      </c>
      <c r="X16" s="2072">
        <f t="shared" si="22"/>
        <v>0.66905714002445549</v>
      </c>
      <c r="Y16" s="2070">
        <v>29566</v>
      </c>
      <c r="Z16" s="2071">
        <v>3195</v>
      </c>
      <c r="AA16" s="2071">
        <v>8655</v>
      </c>
      <c r="AB16" s="2071">
        <v>17716</v>
      </c>
      <c r="AC16" s="138">
        <f t="shared" si="23"/>
        <v>0.10806331597104782</v>
      </c>
      <c r="AD16" s="138">
        <f t="shared" si="24"/>
        <v>0.29273489819387133</v>
      </c>
      <c r="AE16" s="2072">
        <f t="shared" si="25"/>
        <v>0.59920178583508088</v>
      </c>
      <c r="AF16" s="2070">
        <v>31206</v>
      </c>
      <c r="AG16" s="2071">
        <v>2992</v>
      </c>
      <c r="AH16" s="2071">
        <v>11335</v>
      </c>
      <c r="AI16" s="2071">
        <v>16879</v>
      </c>
      <c r="AJ16" s="138">
        <f t="shared" si="26"/>
        <v>9.5878997628661158E-2</v>
      </c>
      <c r="AK16" s="138">
        <f t="shared" si="27"/>
        <v>0.36323142985323337</v>
      </c>
      <c r="AL16" s="2072">
        <f t="shared" si="28"/>
        <v>0.54088957251810554</v>
      </c>
    </row>
    <row r="17" spans="1:38" x14ac:dyDescent="0.3">
      <c r="A17" s="56" t="s">
        <v>29</v>
      </c>
      <c r="B17" s="84" t="s">
        <v>30</v>
      </c>
      <c r="C17" s="57" t="s">
        <v>255</v>
      </c>
      <c r="D17" s="2070">
        <v>2580</v>
      </c>
      <c r="E17" s="2071">
        <v>290</v>
      </c>
      <c r="F17" s="2071">
        <v>677</v>
      </c>
      <c r="G17" s="2071">
        <v>1613</v>
      </c>
      <c r="H17" s="138">
        <f t="shared" si="14"/>
        <v>0.1124031007751938</v>
      </c>
      <c r="I17" s="138">
        <f t="shared" si="15"/>
        <v>0.2624031007751938</v>
      </c>
      <c r="J17" s="2072">
        <f t="shared" si="16"/>
        <v>0.37480620155038757</v>
      </c>
      <c r="K17" s="2070">
        <v>2464</v>
      </c>
      <c r="L17" s="2071">
        <v>331</v>
      </c>
      <c r="M17" s="2071">
        <v>689</v>
      </c>
      <c r="N17" s="2071">
        <v>1444</v>
      </c>
      <c r="O17" s="138">
        <f t="shared" si="17"/>
        <v>0.13433441558441558</v>
      </c>
      <c r="P17" s="138">
        <f t="shared" si="18"/>
        <v>0.27962662337662336</v>
      </c>
      <c r="Q17" s="2072">
        <f t="shared" si="19"/>
        <v>0.41396103896103897</v>
      </c>
      <c r="R17" s="2070">
        <v>2591</v>
      </c>
      <c r="S17" s="2071">
        <v>347</v>
      </c>
      <c r="T17" s="2071">
        <v>821</v>
      </c>
      <c r="U17" s="2071">
        <v>1423</v>
      </c>
      <c r="V17" s="138">
        <f t="shared" si="20"/>
        <v>0.1339251254341953</v>
      </c>
      <c r="W17" s="138">
        <f t="shared" si="21"/>
        <v>0.31686607487456581</v>
      </c>
      <c r="X17" s="2072">
        <f t="shared" si="22"/>
        <v>0.54920879969123892</v>
      </c>
      <c r="Y17" s="2070">
        <v>2561</v>
      </c>
      <c r="Z17" s="2071">
        <v>255</v>
      </c>
      <c r="AA17" s="2071">
        <v>826</v>
      </c>
      <c r="AB17" s="2071">
        <v>1480</v>
      </c>
      <c r="AC17" s="138">
        <f t="shared" si="23"/>
        <v>9.9570480281140183E-2</v>
      </c>
      <c r="AD17" s="138">
        <f t="shared" si="24"/>
        <v>0.32253026161655601</v>
      </c>
      <c r="AE17" s="2072">
        <f t="shared" si="25"/>
        <v>0.5778992581023038</v>
      </c>
      <c r="AF17" s="2070">
        <v>2523</v>
      </c>
      <c r="AG17" s="2071">
        <v>249</v>
      </c>
      <c r="AH17" s="2071">
        <v>762</v>
      </c>
      <c r="AI17" s="2071">
        <v>1512</v>
      </c>
      <c r="AJ17" s="138">
        <f t="shared" si="26"/>
        <v>9.8692033293697981E-2</v>
      </c>
      <c r="AK17" s="138">
        <f t="shared" si="27"/>
        <v>0.30202140309155767</v>
      </c>
      <c r="AL17" s="2072">
        <f t="shared" si="28"/>
        <v>0.59928656361474431</v>
      </c>
    </row>
    <row r="18" spans="1:38" x14ac:dyDescent="0.3">
      <c r="A18" s="56" t="s">
        <v>31</v>
      </c>
      <c r="B18" s="84" t="s">
        <v>32</v>
      </c>
      <c r="C18" s="57" t="s">
        <v>252</v>
      </c>
      <c r="D18" s="2070">
        <v>12797</v>
      </c>
      <c r="E18" s="2071">
        <v>796</v>
      </c>
      <c r="F18" s="2071">
        <v>2825</v>
      </c>
      <c r="G18" s="2071">
        <v>9176</v>
      </c>
      <c r="H18" s="138">
        <f t="shared" si="14"/>
        <v>6.2202078612174729E-2</v>
      </c>
      <c r="I18" s="138">
        <f t="shared" si="15"/>
        <v>0.22075486442134876</v>
      </c>
      <c r="J18" s="2072">
        <f t="shared" si="16"/>
        <v>0.28295694303352348</v>
      </c>
      <c r="K18" s="2070">
        <v>12663</v>
      </c>
      <c r="L18" s="2071">
        <v>849</v>
      </c>
      <c r="M18" s="2071">
        <v>3209</v>
      </c>
      <c r="N18" s="2071">
        <v>8605</v>
      </c>
      <c r="O18" s="138">
        <f t="shared" si="17"/>
        <v>6.7045723762141671E-2</v>
      </c>
      <c r="P18" s="138">
        <f t="shared" si="18"/>
        <v>0.25341546237068624</v>
      </c>
      <c r="Q18" s="2072">
        <f t="shared" si="19"/>
        <v>0.32046118613282792</v>
      </c>
      <c r="R18" s="2070">
        <v>12867</v>
      </c>
      <c r="S18" s="2071">
        <v>990</v>
      </c>
      <c r="T18" s="2071">
        <v>3670</v>
      </c>
      <c r="U18" s="2071">
        <v>8207</v>
      </c>
      <c r="V18" s="138">
        <f t="shared" si="20"/>
        <v>7.6941011890883662E-2</v>
      </c>
      <c r="W18" s="138">
        <f t="shared" si="21"/>
        <v>0.28522577135307375</v>
      </c>
      <c r="X18" s="2072">
        <f t="shared" si="22"/>
        <v>0.63783321675604254</v>
      </c>
      <c r="Y18" s="2070">
        <v>13305</v>
      </c>
      <c r="Z18" s="2071">
        <v>1204</v>
      </c>
      <c r="AA18" s="2071">
        <v>3929</v>
      </c>
      <c r="AB18" s="2071">
        <v>8172</v>
      </c>
      <c r="AC18" s="138">
        <f t="shared" si="23"/>
        <v>9.0492296129274702E-2</v>
      </c>
      <c r="AD18" s="138">
        <f t="shared" si="24"/>
        <v>0.29530251785043216</v>
      </c>
      <c r="AE18" s="2072">
        <f t="shared" si="25"/>
        <v>0.61420518602029317</v>
      </c>
      <c r="AF18" s="2070">
        <v>13161</v>
      </c>
      <c r="AG18" s="2071">
        <v>1156</v>
      </c>
      <c r="AH18" s="2071">
        <v>3597</v>
      </c>
      <c r="AI18" s="2071">
        <v>8408</v>
      </c>
      <c r="AJ18" s="138">
        <f t="shared" si="26"/>
        <v>8.7835270876073249E-2</v>
      </c>
      <c r="AK18" s="138">
        <f t="shared" si="27"/>
        <v>0.27330749943013449</v>
      </c>
      <c r="AL18" s="2072">
        <f t="shared" si="28"/>
        <v>0.63885722969379222</v>
      </c>
    </row>
    <row r="19" spans="1:38" x14ac:dyDescent="0.3">
      <c r="A19" s="56" t="s">
        <v>35</v>
      </c>
      <c r="B19" s="84" t="s">
        <v>36</v>
      </c>
      <c r="C19" s="57" t="s">
        <v>251</v>
      </c>
      <c r="D19" s="2070">
        <v>6086</v>
      </c>
      <c r="E19" s="2071">
        <v>1277</v>
      </c>
      <c r="F19" s="2071">
        <v>1880</v>
      </c>
      <c r="G19" s="2071">
        <v>2929</v>
      </c>
      <c r="H19" s="138">
        <f t="shared" si="14"/>
        <v>0.20982582977325009</v>
      </c>
      <c r="I19" s="138">
        <f t="shared" si="15"/>
        <v>0.30890568517909955</v>
      </c>
      <c r="J19" s="2072">
        <f t="shared" si="16"/>
        <v>0.5187315149523497</v>
      </c>
      <c r="K19" s="2070">
        <v>6029</v>
      </c>
      <c r="L19" s="2071">
        <v>1465</v>
      </c>
      <c r="M19" s="2071">
        <v>1805</v>
      </c>
      <c r="N19" s="2071">
        <v>2759</v>
      </c>
      <c r="O19" s="138">
        <f t="shared" si="17"/>
        <v>0.24299220434566263</v>
      </c>
      <c r="P19" s="138">
        <f t="shared" si="18"/>
        <v>0.29938629955216456</v>
      </c>
      <c r="Q19" s="2072">
        <f t="shared" si="19"/>
        <v>0.54237850389782716</v>
      </c>
      <c r="R19" s="2070">
        <v>5865</v>
      </c>
      <c r="S19" s="2071">
        <v>1247</v>
      </c>
      <c r="T19" s="2071">
        <v>1885</v>
      </c>
      <c r="U19" s="2071">
        <v>2733</v>
      </c>
      <c r="V19" s="138">
        <f t="shared" si="20"/>
        <v>0.21261722080136403</v>
      </c>
      <c r="W19" s="138">
        <f t="shared" si="21"/>
        <v>0.32139812446717819</v>
      </c>
      <c r="X19" s="2072">
        <f t="shared" si="22"/>
        <v>0.46598465473145778</v>
      </c>
      <c r="Y19" s="2070">
        <v>6148</v>
      </c>
      <c r="Z19" s="2071">
        <v>1250</v>
      </c>
      <c r="AA19" s="2071">
        <v>1925</v>
      </c>
      <c r="AB19" s="2071">
        <v>2973</v>
      </c>
      <c r="AC19" s="138">
        <f t="shared" si="23"/>
        <v>0.2033181522446324</v>
      </c>
      <c r="AD19" s="138">
        <f t="shared" si="24"/>
        <v>0.3131099544567339</v>
      </c>
      <c r="AE19" s="2072">
        <f t="shared" si="25"/>
        <v>0.4835718932986337</v>
      </c>
      <c r="AF19" s="2070">
        <v>6048</v>
      </c>
      <c r="AG19" s="2071">
        <v>1209</v>
      </c>
      <c r="AH19" s="2071">
        <v>2023</v>
      </c>
      <c r="AI19" s="2071">
        <v>2816</v>
      </c>
      <c r="AJ19" s="138">
        <f t="shared" si="26"/>
        <v>0.19990079365079366</v>
      </c>
      <c r="AK19" s="138">
        <f t="shared" si="27"/>
        <v>0.33449074074074076</v>
      </c>
      <c r="AL19" s="2072">
        <f t="shared" si="28"/>
        <v>0.46560846560846558</v>
      </c>
    </row>
    <row r="20" spans="1:38" x14ac:dyDescent="0.3">
      <c r="A20" s="56" t="s">
        <v>37</v>
      </c>
      <c r="B20" s="84" t="s">
        <v>38</v>
      </c>
      <c r="C20" s="57" t="s">
        <v>255</v>
      </c>
      <c r="D20" s="2070">
        <v>9176</v>
      </c>
      <c r="E20" s="2071">
        <v>2158</v>
      </c>
      <c r="F20" s="2071">
        <v>3127</v>
      </c>
      <c r="G20" s="2071">
        <v>3891</v>
      </c>
      <c r="H20" s="138">
        <f t="shared" si="14"/>
        <v>0.23517872711421098</v>
      </c>
      <c r="I20" s="138">
        <f t="shared" si="15"/>
        <v>0.34078029642545771</v>
      </c>
      <c r="J20" s="2072">
        <f t="shared" si="16"/>
        <v>0.57595902353966866</v>
      </c>
      <c r="K20" s="2070">
        <v>9411</v>
      </c>
      <c r="L20" s="2071">
        <v>2213</v>
      </c>
      <c r="M20" s="2071">
        <v>2657</v>
      </c>
      <c r="N20" s="2071">
        <v>4541</v>
      </c>
      <c r="O20" s="138">
        <f t="shared" si="17"/>
        <v>0.23515035596642228</v>
      </c>
      <c r="P20" s="138">
        <f t="shared" si="18"/>
        <v>0.28232918924662631</v>
      </c>
      <c r="Q20" s="2072">
        <f t="shared" si="19"/>
        <v>0.51747954521304851</v>
      </c>
      <c r="R20" s="2070">
        <v>9406</v>
      </c>
      <c r="S20" s="2071">
        <v>2172</v>
      </c>
      <c r="T20" s="2071">
        <v>3266</v>
      </c>
      <c r="U20" s="2071">
        <v>3968</v>
      </c>
      <c r="V20" s="138">
        <f t="shared" si="20"/>
        <v>0.23091643631724432</v>
      </c>
      <c r="W20" s="138">
        <f t="shared" si="21"/>
        <v>0.34722517541994474</v>
      </c>
      <c r="X20" s="2072">
        <f t="shared" si="22"/>
        <v>0.42185838826281097</v>
      </c>
      <c r="Y20" s="2070">
        <v>9124</v>
      </c>
      <c r="Z20" s="2071">
        <v>2233</v>
      </c>
      <c r="AA20" s="2071">
        <v>3089</v>
      </c>
      <c r="AB20" s="2071">
        <v>3802</v>
      </c>
      <c r="AC20" s="138">
        <f t="shared" si="23"/>
        <v>0.24473914949583517</v>
      </c>
      <c r="AD20" s="138">
        <f t="shared" si="24"/>
        <v>0.33855765015344147</v>
      </c>
      <c r="AE20" s="2072">
        <f t="shared" si="25"/>
        <v>0.41670320035072339</v>
      </c>
      <c r="AF20" s="2070">
        <v>8871</v>
      </c>
      <c r="AG20" s="2071">
        <v>2432</v>
      </c>
      <c r="AH20" s="2071">
        <v>3003</v>
      </c>
      <c r="AI20" s="2071">
        <v>3436</v>
      </c>
      <c r="AJ20" s="138">
        <f t="shared" si="26"/>
        <v>0.27415173035734414</v>
      </c>
      <c r="AK20" s="138">
        <f t="shared" si="27"/>
        <v>0.33851876902265809</v>
      </c>
      <c r="AL20" s="2072">
        <f t="shared" si="28"/>
        <v>0.38732950061999777</v>
      </c>
    </row>
    <row r="21" spans="1:38" x14ac:dyDescent="0.3">
      <c r="A21" s="56" t="s">
        <v>39</v>
      </c>
      <c r="B21" s="84" t="s">
        <v>40</v>
      </c>
      <c r="C21" s="57" t="s">
        <v>253</v>
      </c>
      <c r="D21" s="2070">
        <v>4859</v>
      </c>
      <c r="E21" s="2071">
        <v>1029</v>
      </c>
      <c r="F21" s="2071">
        <v>1321</v>
      </c>
      <c r="G21" s="2071">
        <v>2509</v>
      </c>
      <c r="H21" s="138">
        <f t="shared" si="14"/>
        <v>0.21177196954105784</v>
      </c>
      <c r="I21" s="138">
        <f t="shared" si="15"/>
        <v>0.27186663922617821</v>
      </c>
      <c r="J21" s="2072">
        <f t="shared" si="16"/>
        <v>0.48363860876723608</v>
      </c>
      <c r="K21" s="2070">
        <v>5728</v>
      </c>
      <c r="L21" s="2071">
        <v>1222</v>
      </c>
      <c r="M21" s="2071">
        <v>1252</v>
      </c>
      <c r="N21" s="2071">
        <v>3254</v>
      </c>
      <c r="O21" s="138">
        <f t="shared" si="17"/>
        <v>0.21333798882681565</v>
      </c>
      <c r="P21" s="138">
        <f t="shared" si="18"/>
        <v>0.21857541899441341</v>
      </c>
      <c r="Q21" s="2072">
        <f t="shared" si="19"/>
        <v>0.43191340782122906</v>
      </c>
      <c r="R21" s="2070">
        <v>5802</v>
      </c>
      <c r="S21" s="2071">
        <v>1155</v>
      </c>
      <c r="T21" s="2071">
        <v>1968</v>
      </c>
      <c r="U21" s="2071">
        <v>2679</v>
      </c>
      <c r="V21" s="138">
        <f t="shared" si="20"/>
        <v>0.19906928645294725</v>
      </c>
      <c r="W21" s="138">
        <f t="shared" si="21"/>
        <v>0.3391933815925543</v>
      </c>
      <c r="X21" s="2072">
        <f t="shared" si="22"/>
        <v>0.46173733195449845</v>
      </c>
      <c r="Y21" s="2070">
        <v>5689</v>
      </c>
      <c r="Z21" s="2071">
        <v>971</v>
      </c>
      <c r="AA21" s="2071">
        <v>1910</v>
      </c>
      <c r="AB21" s="2071">
        <v>2808</v>
      </c>
      <c r="AC21" s="138">
        <f t="shared" si="23"/>
        <v>0.17068026015116891</v>
      </c>
      <c r="AD21" s="138">
        <f t="shared" si="24"/>
        <v>0.33573563016347335</v>
      </c>
      <c r="AE21" s="2072">
        <f t="shared" si="25"/>
        <v>0.49358410968535771</v>
      </c>
      <c r="AF21" s="2070">
        <v>5827</v>
      </c>
      <c r="AG21" s="2071">
        <v>1004</v>
      </c>
      <c r="AH21" s="2071">
        <v>2292</v>
      </c>
      <c r="AI21" s="2071">
        <v>2531</v>
      </c>
      <c r="AJ21" s="138">
        <f t="shared" si="26"/>
        <v>0.17230135575767977</v>
      </c>
      <c r="AK21" s="138">
        <f t="shared" si="27"/>
        <v>0.39334134202848808</v>
      </c>
      <c r="AL21" s="2072">
        <f t="shared" si="28"/>
        <v>0.43435730221383217</v>
      </c>
    </row>
    <row r="22" spans="1:38" x14ac:dyDescent="0.3">
      <c r="A22" s="56" t="s">
        <v>41</v>
      </c>
      <c r="B22" s="84" t="s">
        <v>42</v>
      </c>
      <c r="C22" s="57" t="s">
        <v>252</v>
      </c>
      <c r="D22" s="2070">
        <v>21940</v>
      </c>
      <c r="E22" s="2071">
        <v>2930</v>
      </c>
      <c r="F22" s="2071">
        <v>5352</v>
      </c>
      <c r="G22" s="2071">
        <v>13658</v>
      </c>
      <c r="H22" s="138">
        <f t="shared" si="14"/>
        <v>0.13354603463992706</v>
      </c>
      <c r="I22" s="138">
        <f t="shared" si="15"/>
        <v>0.24393801276207838</v>
      </c>
      <c r="J22" s="2072">
        <f t="shared" si="16"/>
        <v>0.37748404740200547</v>
      </c>
      <c r="K22" s="2070">
        <v>21452</v>
      </c>
      <c r="L22" s="2071">
        <v>3122</v>
      </c>
      <c r="M22" s="2071">
        <v>6129</v>
      </c>
      <c r="N22" s="2071">
        <v>12201</v>
      </c>
      <c r="O22" s="138">
        <f t="shared" si="17"/>
        <v>0.14553421592392318</v>
      </c>
      <c r="P22" s="138">
        <f t="shared" si="18"/>
        <v>0.28570762632854746</v>
      </c>
      <c r="Q22" s="2072">
        <f t="shared" si="19"/>
        <v>0.43124184225247064</v>
      </c>
      <c r="R22" s="2070">
        <v>21728</v>
      </c>
      <c r="S22" s="2071">
        <v>3087</v>
      </c>
      <c r="T22" s="2071">
        <v>5897</v>
      </c>
      <c r="U22" s="2071">
        <v>12744</v>
      </c>
      <c r="V22" s="138">
        <f t="shared" si="20"/>
        <v>0.14207474226804123</v>
      </c>
      <c r="W22" s="138">
        <f t="shared" si="21"/>
        <v>0.27140095729013253</v>
      </c>
      <c r="X22" s="2072">
        <f t="shared" si="22"/>
        <v>0.58652430044182624</v>
      </c>
      <c r="Y22" s="2070">
        <v>22294</v>
      </c>
      <c r="Z22" s="2071">
        <v>2883</v>
      </c>
      <c r="AA22" s="2071">
        <v>6497</v>
      </c>
      <c r="AB22" s="2071">
        <v>12914</v>
      </c>
      <c r="AC22" s="138">
        <f t="shared" si="23"/>
        <v>0.12931730510451242</v>
      </c>
      <c r="AD22" s="138">
        <f t="shared" si="24"/>
        <v>0.29142370144433483</v>
      </c>
      <c r="AE22" s="2072">
        <f t="shared" si="25"/>
        <v>0.57925899345115273</v>
      </c>
      <c r="AF22" s="2070">
        <v>22957</v>
      </c>
      <c r="AG22" s="2071">
        <v>2902</v>
      </c>
      <c r="AH22" s="2071">
        <v>9790</v>
      </c>
      <c r="AI22" s="2071">
        <v>10265</v>
      </c>
      <c r="AJ22" s="138">
        <f t="shared" si="26"/>
        <v>0.12641024524110292</v>
      </c>
      <c r="AK22" s="138">
        <f t="shared" si="27"/>
        <v>0.42644944896981313</v>
      </c>
      <c r="AL22" s="2072">
        <f t="shared" si="28"/>
        <v>0.44714030578908392</v>
      </c>
    </row>
    <row r="23" spans="1:38" x14ac:dyDescent="0.3">
      <c r="A23" s="56" t="s">
        <v>43</v>
      </c>
      <c r="B23" s="84" t="s">
        <v>44</v>
      </c>
      <c r="C23" s="57" t="s">
        <v>253</v>
      </c>
      <c r="D23" s="2070">
        <v>10510</v>
      </c>
      <c r="E23" s="2071">
        <v>793</v>
      </c>
      <c r="F23" s="2071">
        <v>3532</v>
      </c>
      <c r="G23" s="2071">
        <v>6185</v>
      </c>
      <c r="H23" s="138">
        <f t="shared" si="14"/>
        <v>7.5451950523311134E-2</v>
      </c>
      <c r="I23" s="138">
        <f t="shared" si="15"/>
        <v>0.33606089438629877</v>
      </c>
      <c r="J23" s="2072">
        <f t="shared" si="16"/>
        <v>0.41151284490960988</v>
      </c>
      <c r="K23" s="2070">
        <v>10686</v>
      </c>
      <c r="L23" s="2071">
        <v>977</v>
      </c>
      <c r="M23" s="2071">
        <v>3868</v>
      </c>
      <c r="N23" s="2071">
        <v>5841</v>
      </c>
      <c r="O23" s="138">
        <f t="shared" si="17"/>
        <v>9.1428036683511141E-2</v>
      </c>
      <c r="P23" s="138">
        <f t="shared" si="18"/>
        <v>0.36196893131199703</v>
      </c>
      <c r="Q23" s="2072">
        <f t="shared" si="19"/>
        <v>0.45339696799550816</v>
      </c>
      <c r="R23" s="2070">
        <v>10728</v>
      </c>
      <c r="S23" s="2071">
        <v>1165</v>
      </c>
      <c r="T23" s="2071">
        <v>3989</v>
      </c>
      <c r="U23" s="2071">
        <v>5574</v>
      </c>
      <c r="V23" s="138">
        <f t="shared" si="20"/>
        <v>0.10859433258762118</v>
      </c>
      <c r="W23" s="138">
        <f t="shared" si="21"/>
        <v>0.37183072334079048</v>
      </c>
      <c r="X23" s="2072">
        <f t="shared" si="22"/>
        <v>0.51957494407158833</v>
      </c>
      <c r="Y23" s="2070">
        <v>10965</v>
      </c>
      <c r="Z23" s="2071">
        <v>1315</v>
      </c>
      <c r="AA23" s="2071">
        <v>4104</v>
      </c>
      <c r="AB23" s="2071">
        <v>5546</v>
      </c>
      <c r="AC23" s="138">
        <f t="shared" si="23"/>
        <v>0.11992704058367533</v>
      </c>
      <c r="AD23" s="138">
        <f t="shared" si="24"/>
        <v>0.37428180574555403</v>
      </c>
      <c r="AE23" s="2072">
        <f t="shared" si="25"/>
        <v>0.50579115367077065</v>
      </c>
      <c r="AF23" s="2070">
        <v>10911</v>
      </c>
      <c r="AG23" s="2071">
        <v>1064</v>
      </c>
      <c r="AH23" s="2071">
        <v>3735</v>
      </c>
      <c r="AI23" s="2071">
        <v>6112</v>
      </c>
      <c r="AJ23" s="138">
        <f t="shared" si="26"/>
        <v>9.7516267986435701E-2</v>
      </c>
      <c r="AK23" s="138">
        <f t="shared" si="27"/>
        <v>0.34231509485839978</v>
      </c>
      <c r="AL23" s="2072">
        <f t="shared" si="28"/>
        <v>0.56016863715516452</v>
      </c>
    </row>
    <row r="24" spans="1:38" x14ac:dyDescent="0.3">
      <c r="A24" s="56" t="s">
        <v>45</v>
      </c>
      <c r="B24" s="84" t="s">
        <v>46</v>
      </c>
      <c r="C24" s="57" t="s">
        <v>255</v>
      </c>
      <c r="D24" s="2070">
        <v>12368</v>
      </c>
      <c r="E24" s="2071">
        <v>2030</v>
      </c>
      <c r="F24" s="2071">
        <v>4339</v>
      </c>
      <c r="G24" s="2071">
        <v>5999</v>
      </c>
      <c r="H24" s="138">
        <f t="shared" si="14"/>
        <v>0.16413324708926261</v>
      </c>
      <c r="I24" s="138">
        <f t="shared" si="15"/>
        <v>0.35082470892626133</v>
      </c>
      <c r="J24" s="2072">
        <f t="shared" si="16"/>
        <v>0.51495795601552397</v>
      </c>
      <c r="K24" s="2070">
        <v>12720</v>
      </c>
      <c r="L24" s="2071">
        <v>2679</v>
      </c>
      <c r="M24" s="2071">
        <v>3999</v>
      </c>
      <c r="N24" s="2071">
        <v>6042</v>
      </c>
      <c r="O24" s="138">
        <f t="shared" si="17"/>
        <v>0.21061320754716981</v>
      </c>
      <c r="P24" s="138">
        <f t="shared" si="18"/>
        <v>0.31438679245283019</v>
      </c>
      <c r="Q24" s="2072">
        <f t="shared" si="19"/>
        <v>0.52500000000000002</v>
      </c>
      <c r="R24" s="2070">
        <v>12508</v>
      </c>
      <c r="S24" s="2071">
        <v>2355</v>
      </c>
      <c r="T24" s="2071">
        <v>4129</v>
      </c>
      <c r="U24" s="2071">
        <v>6024</v>
      </c>
      <c r="V24" s="138">
        <f t="shared" si="20"/>
        <v>0.18827950111928365</v>
      </c>
      <c r="W24" s="138">
        <f t="shared" si="21"/>
        <v>0.33010873041253597</v>
      </c>
      <c r="X24" s="2072">
        <f t="shared" si="22"/>
        <v>0.48161176846818038</v>
      </c>
      <c r="Y24" s="2070">
        <v>12642</v>
      </c>
      <c r="Z24" s="2071">
        <v>2262</v>
      </c>
      <c r="AA24" s="2071">
        <v>3737</v>
      </c>
      <c r="AB24" s="2071">
        <v>6643</v>
      </c>
      <c r="AC24" s="138">
        <f t="shared" si="23"/>
        <v>0.17892738490745136</v>
      </c>
      <c r="AD24" s="138">
        <f t="shared" si="24"/>
        <v>0.29560196171491854</v>
      </c>
      <c r="AE24" s="2072">
        <f t="shared" si="25"/>
        <v>0.5254706533776301</v>
      </c>
      <c r="AF24" s="2070">
        <v>12375</v>
      </c>
      <c r="AG24" s="2071">
        <v>2097</v>
      </c>
      <c r="AH24" s="2071">
        <v>4156</v>
      </c>
      <c r="AI24" s="2071">
        <v>6122</v>
      </c>
      <c r="AJ24" s="138">
        <f t="shared" si="26"/>
        <v>0.16945454545454544</v>
      </c>
      <c r="AK24" s="138">
        <f t="shared" si="27"/>
        <v>0.33583838383838382</v>
      </c>
      <c r="AL24" s="2072">
        <f t="shared" si="28"/>
        <v>0.49470707070707071</v>
      </c>
    </row>
    <row r="25" spans="1:38" x14ac:dyDescent="0.3">
      <c r="A25" s="56" t="s">
        <v>47</v>
      </c>
      <c r="B25" s="84" t="s">
        <v>256</v>
      </c>
      <c r="C25" s="57" t="s">
        <v>253</v>
      </c>
      <c r="D25" s="2070">
        <v>2713</v>
      </c>
      <c r="E25" s="2071">
        <v>276</v>
      </c>
      <c r="F25" s="2071">
        <v>975</v>
      </c>
      <c r="G25" s="2071">
        <v>1462</v>
      </c>
      <c r="H25" s="138">
        <f t="shared" si="14"/>
        <v>0.10173239955768522</v>
      </c>
      <c r="I25" s="138">
        <f t="shared" si="15"/>
        <v>0.35938075930704017</v>
      </c>
      <c r="J25" s="2072">
        <f t="shared" si="16"/>
        <v>0.46111315886472537</v>
      </c>
      <c r="K25" s="2070">
        <v>2777</v>
      </c>
      <c r="L25" s="2071">
        <v>371</v>
      </c>
      <c r="M25" s="2071">
        <v>952</v>
      </c>
      <c r="N25" s="2071">
        <v>1454</v>
      </c>
      <c r="O25" s="138">
        <f t="shared" si="17"/>
        <v>0.13359740727403674</v>
      </c>
      <c r="P25" s="138">
        <f t="shared" si="18"/>
        <v>0.34281598847677347</v>
      </c>
      <c r="Q25" s="2072">
        <f t="shared" si="19"/>
        <v>0.47641339575081021</v>
      </c>
      <c r="R25" s="2070">
        <v>2832</v>
      </c>
      <c r="S25" s="2071">
        <v>406</v>
      </c>
      <c r="T25" s="2071">
        <v>1010</v>
      </c>
      <c r="U25" s="2071">
        <v>1416</v>
      </c>
      <c r="V25" s="138">
        <f t="shared" si="20"/>
        <v>0.14336158192090395</v>
      </c>
      <c r="W25" s="138">
        <f t="shared" si="21"/>
        <v>0.35663841807909602</v>
      </c>
      <c r="X25" s="2072">
        <f t="shared" si="22"/>
        <v>0.5</v>
      </c>
      <c r="Y25" s="2070">
        <v>2854</v>
      </c>
      <c r="Z25" s="2071">
        <v>373</v>
      </c>
      <c r="AA25" s="2071">
        <v>909</v>
      </c>
      <c r="AB25" s="2071">
        <v>1572</v>
      </c>
      <c r="AC25" s="138">
        <f t="shared" si="23"/>
        <v>0.13069376313945341</v>
      </c>
      <c r="AD25" s="138">
        <f t="shared" si="24"/>
        <v>0.31850035038542396</v>
      </c>
      <c r="AE25" s="2072">
        <f t="shared" si="25"/>
        <v>0.55080588647512263</v>
      </c>
      <c r="AF25" s="2070">
        <v>2856</v>
      </c>
      <c r="AG25" s="2071">
        <v>386</v>
      </c>
      <c r="AH25" s="2071">
        <v>810</v>
      </c>
      <c r="AI25" s="2071">
        <v>1660</v>
      </c>
      <c r="AJ25" s="138">
        <f t="shared" si="26"/>
        <v>0.13515406162464985</v>
      </c>
      <c r="AK25" s="138">
        <f t="shared" si="27"/>
        <v>0.28361344537815125</v>
      </c>
      <c r="AL25" s="2072">
        <f t="shared" si="28"/>
        <v>0.58123249299719892</v>
      </c>
    </row>
    <row r="26" spans="1:38" x14ac:dyDescent="0.3">
      <c r="A26" s="56" t="s">
        <v>49</v>
      </c>
      <c r="B26" s="84" t="s">
        <v>50</v>
      </c>
      <c r="C26" s="57" t="s">
        <v>252</v>
      </c>
      <c r="D26" s="2070">
        <v>4415</v>
      </c>
      <c r="E26" s="2071">
        <v>761</v>
      </c>
      <c r="F26" s="2071">
        <v>1551</v>
      </c>
      <c r="G26" s="2071">
        <v>2103</v>
      </c>
      <c r="H26" s="138">
        <f t="shared" si="14"/>
        <v>0.1723669309173273</v>
      </c>
      <c r="I26" s="138">
        <f t="shared" si="15"/>
        <v>0.35130237825594562</v>
      </c>
      <c r="J26" s="2072">
        <f t="shared" si="16"/>
        <v>0.52366930917327292</v>
      </c>
      <c r="K26" s="2070">
        <v>4803</v>
      </c>
      <c r="L26" s="2071">
        <v>914</v>
      </c>
      <c r="M26" s="2071">
        <v>1685</v>
      </c>
      <c r="N26" s="2071">
        <v>2204</v>
      </c>
      <c r="O26" s="138">
        <f t="shared" si="17"/>
        <v>0.19029773058505101</v>
      </c>
      <c r="P26" s="138">
        <f t="shared" si="18"/>
        <v>0.35082240266500103</v>
      </c>
      <c r="Q26" s="2072">
        <f t="shared" si="19"/>
        <v>0.54112013325005204</v>
      </c>
      <c r="R26" s="2070">
        <v>4691</v>
      </c>
      <c r="S26" s="2071">
        <v>947</v>
      </c>
      <c r="T26" s="2071">
        <v>1838</v>
      </c>
      <c r="U26" s="2071">
        <v>1906</v>
      </c>
      <c r="V26" s="138">
        <f t="shared" si="20"/>
        <v>0.20187593263696441</v>
      </c>
      <c r="W26" s="138">
        <f t="shared" si="21"/>
        <v>0.39181411212960987</v>
      </c>
      <c r="X26" s="2072">
        <f t="shared" si="22"/>
        <v>0.40630995523342572</v>
      </c>
      <c r="Y26" s="2070">
        <v>4594</v>
      </c>
      <c r="Z26" s="2071">
        <v>1066</v>
      </c>
      <c r="AA26" s="2071">
        <v>1676</v>
      </c>
      <c r="AB26" s="2071">
        <v>1852</v>
      </c>
      <c r="AC26" s="138">
        <f t="shared" si="23"/>
        <v>0.23204179364388333</v>
      </c>
      <c r="AD26" s="138">
        <f t="shared" si="24"/>
        <v>0.36482368306486723</v>
      </c>
      <c r="AE26" s="2072">
        <f t="shared" si="25"/>
        <v>0.40313452329124944</v>
      </c>
      <c r="AF26" s="2070">
        <v>4543</v>
      </c>
      <c r="AG26" s="2071">
        <v>1034</v>
      </c>
      <c r="AH26" s="2071">
        <v>1522</v>
      </c>
      <c r="AI26" s="2071">
        <v>1987</v>
      </c>
      <c r="AJ26" s="138">
        <f t="shared" si="26"/>
        <v>0.22760290556900725</v>
      </c>
      <c r="AK26" s="138">
        <f t="shared" si="27"/>
        <v>0.33502091129209771</v>
      </c>
      <c r="AL26" s="2072">
        <f t="shared" si="28"/>
        <v>0.43737618313889498</v>
      </c>
    </row>
    <row r="27" spans="1:38" x14ac:dyDescent="0.3">
      <c r="A27" s="56" t="s">
        <v>55</v>
      </c>
      <c r="B27" s="84" t="s">
        <v>271</v>
      </c>
      <c r="C27" s="57" t="s">
        <v>253</v>
      </c>
      <c r="D27" s="2070">
        <v>119288</v>
      </c>
      <c r="E27" s="2071">
        <v>8064</v>
      </c>
      <c r="F27" s="2071">
        <v>40108</v>
      </c>
      <c r="G27" s="2071">
        <v>71116</v>
      </c>
      <c r="H27" s="138">
        <f t="shared" si="14"/>
        <v>6.7601099859164376E-2</v>
      </c>
      <c r="I27" s="138">
        <f t="shared" si="15"/>
        <v>0.33622828784119108</v>
      </c>
      <c r="J27" s="2072">
        <f t="shared" si="16"/>
        <v>0.40382938770035542</v>
      </c>
      <c r="K27" s="2070">
        <v>122152</v>
      </c>
      <c r="L27" s="2071">
        <v>8803</v>
      </c>
      <c r="M27" s="2071">
        <v>38320</v>
      </c>
      <c r="N27" s="2071">
        <v>75029</v>
      </c>
      <c r="O27" s="138">
        <f t="shared" si="17"/>
        <v>7.2065950618901045E-2</v>
      </c>
      <c r="P27" s="138">
        <f t="shared" si="18"/>
        <v>0.31370751195232172</v>
      </c>
      <c r="Q27" s="2072">
        <f t="shared" si="19"/>
        <v>0.38577346257122275</v>
      </c>
      <c r="R27" s="2070">
        <v>126757</v>
      </c>
      <c r="S27" s="2071">
        <v>8817</v>
      </c>
      <c r="T27" s="2071">
        <v>40476</v>
      </c>
      <c r="U27" s="2071">
        <v>77464</v>
      </c>
      <c r="V27" s="138">
        <f t="shared" si="20"/>
        <v>6.9558288694115511E-2</v>
      </c>
      <c r="W27" s="138">
        <f t="shared" si="21"/>
        <v>0.31931964309663374</v>
      </c>
      <c r="X27" s="2072">
        <f t="shared" si="22"/>
        <v>0.61112206820925075</v>
      </c>
      <c r="Y27" s="2070">
        <v>129427</v>
      </c>
      <c r="Z27" s="2071">
        <v>8881</v>
      </c>
      <c r="AA27" s="2071">
        <v>41372</v>
      </c>
      <c r="AB27" s="2071">
        <v>79174</v>
      </c>
      <c r="AC27" s="138">
        <f t="shared" si="23"/>
        <v>6.8617830900816676E-2</v>
      </c>
      <c r="AD27" s="138">
        <f t="shared" si="24"/>
        <v>0.31965509515016188</v>
      </c>
      <c r="AE27" s="2072">
        <f t="shared" si="25"/>
        <v>0.61172707394902148</v>
      </c>
      <c r="AF27" s="2070">
        <v>133802</v>
      </c>
      <c r="AG27" s="2071">
        <v>8917</v>
      </c>
      <c r="AH27" s="2071">
        <v>35958</v>
      </c>
      <c r="AI27" s="2071">
        <v>88927</v>
      </c>
      <c r="AJ27" s="138">
        <f t="shared" si="26"/>
        <v>6.6643248979835881E-2</v>
      </c>
      <c r="AK27" s="138">
        <f t="shared" si="27"/>
        <v>0.26874037757283148</v>
      </c>
      <c r="AL27" s="2072">
        <f t="shared" si="28"/>
        <v>0.6646163734473326</v>
      </c>
    </row>
    <row r="28" spans="1:38" x14ac:dyDescent="0.3">
      <c r="A28" s="56" t="s">
        <v>57</v>
      </c>
      <c r="B28" s="84" t="s">
        <v>58</v>
      </c>
      <c r="C28" s="57" t="s">
        <v>254</v>
      </c>
      <c r="D28" s="2070">
        <v>5535</v>
      </c>
      <c r="E28" s="2071">
        <v>478</v>
      </c>
      <c r="F28" s="2071">
        <v>1412</v>
      </c>
      <c r="G28" s="2071">
        <v>3645</v>
      </c>
      <c r="H28" s="138">
        <f t="shared" si="14"/>
        <v>8.6359530261969283E-2</v>
      </c>
      <c r="I28" s="138">
        <f t="shared" si="15"/>
        <v>0.25510388437217707</v>
      </c>
      <c r="J28" s="2072">
        <f t="shared" si="16"/>
        <v>0.34146341463414637</v>
      </c>
      <c r="K28" s="2070">
        <v>5580</v>
      </c>
      <c r="L28" s="2071">
        <v>496</v>
      </c>
      <c r="M28" s="2071">
        <v>1042</v>
      </c>
      <c r="N28" s="2071">
        <v>4042</v>
      </c>
      <c r="O28" s="138">
        <f t="shared" si="17"/>
        <v>8.8888888888888892E-2</v>
      </c>
      <c r="P28" s="138">
        <f t="shared" si="18"/>
        <v>0.18673835125448029</v>
      </c>
      <c r="Q28" s="2072">
        <f t="shared" si="19"/>
        <v>0.2756272401433692</v>
      </c>
      <c r="R28" s="2070">
        <v>5619</v>
      </c>
      <c r="S28" s="2071">
        <v>544</v>
      </c>
      <c r="T28" s="2071">
        <v>1432</v>
      </c>
      <c r="U28" s="2071">
        <v>3643</v>
      </c>
      <c r="V28" s="138">
        <f t="shared" si="20"/>
        <v>9.6814379782879517E-2</v>
      </c>
      <c r="W28" s="138">
        <f t="shared" si="21"/>
        <v>0.25484961736963874</v>
      </c>
      <c r="X28" s="2072">
        <f t="shared" si="22"/>
        <v>0.64833600284748172</v>
      </c>
      <c r="Y28" s="2070">
        <v>5591</v>
      </c>
      <c r="Z28" s="2071">
        <v>606</v>
      </c>
      <c r="AA28" s="2071">
        <v>1474</v>
      </c>
      <c r="AB28" s="2071">
        <v>3511</v>
      </c>
      <c r="AC28" s="138">
        <f t="shared" si="23"/>
        <v>0.10838848148810588</v>
      </c>
      <c r="AD28" s="138">
        <f t="shared" si="24"/>
        <v>0.26363798962618495</v>
      </c>
      <c r="AE28" s="2072">
        <f t="shared" si="25"/>
        <v>0.62797352888570912</v>
      </c>
      <c r="AF28" s="2070">
        <v>5639</v>
      </c>
      <c r="AG28" s="2071">
        <v>585</v>
      </c>
      <c r="AH28" s="2071">
        <v>1732</v>
      </c>
      <c r="AI28" s="2071">
        <v>3322</v>
      </c>
      <c r="AJ28" s="138">
        <f t="shared" si="26"/>
        <v>0.10374179819116865</v>
      </c>
      <c r="AK28" s="138">
        <f t="shared" si="27"/>
        <v>0.30714665720872497</v>
      </c>
      <c r="AL28" s="2072">
        <f t="shared" si="28"/>
        <v>0.5891115446001064</v>
      </c>
    </row>
    <row r="29" spans="1:38" x14ac:dyDescent="0.3">
      <c r="A29" s="56" t="s">
        <v>59</v>
      </c>
      <c r="B29" s="84" t="s">
        <v>60</v>
      </c>
      <c r="C29" s="57" t="s">
        <v>252</v>
      </c>
      <c r="D29" s="2070">
        <v>1989</v>
      </c>
      <c r="E29" s="2071">
        <v>179</v>
      </c>
      <c r="F29" s="2071">
        <v>371</v>
      </c>
      <c r="G29" s="2071">
        <v>1439</v>
      </c>
      <c r="H29" s="138">
        <f t="shared" si="14"/>
        <v>8.9994972347913524E-2</v>
      </c>
      <c r="I29" s="138">
        <f t="shared" si="15"/>
        <v>0.18652589240824535</v>
      </c>
      <c r="J29" s="2072">
        <f t="shared" si="16"/>
        <v>0.27652086475615889</v>
      </c>
      <c r="K29" s="2070">
        <v>2073</v>
      </c>
      <c r="L29" s="2071">
        <v>188</v>
      </c>
      <c r="M29" s="2071">
        <v>561</v>
      </c>
      <c r="N29" s="2071">
        <v>1324</v>
      </c>
      <c r="O29" s="138">
        <f t="shared" si="17"/>
        <v>9.068982151471297E-2</v>
      </c>
      <c r="P29" s="138">
        <f t="shared" si="18"/>
        <v>0.27062228654124459</v>
      </c>
      <c r="Q29" s="2072">
        <f t="shared" si="19"/>
        <v>0.36131210805595754</v>
      </c>
      <c r="R29" s="2070">
        <v>2151</v>
      </c>
      <c r="S29" s="2071">
        <v>245</v>
      </c>
      <c r="T29" s="2071">
        <v>645</v>
      </c>
      <c r="U29" s="2071">
        <v>1261</v>
      </c>
      <c r="V29" s="138">
        <f t="shared" si="20"/>
        <v>0.11390051139005114</v>
      </c>
      <c r="W29" s="138">
        <f t="shared" si="21"/>
        <v>0.299860529986053</v>
      </c>
      <c r="X29" s="2072">
        <f t="shared" si="22"/>
        <v>0.58623895862389586</v>
      </c>
      <c r="Y29" s="2070">
        <v>2314</v>
      </c>
      <c r="Z29" s="2071">
        <v>368</v>
      </c>
      <c r="AA29" s="2071">
        <v>786</v>
      </c>
      <c r="AB29" s="2071">
        <v>1160</v>
      </c>
      <c r="AC29" s="138">
        <f t="shared" si="23"/>
        <v>0.15903197925669835</v>
      </c>
      <c r="AD29" s="138">
        <f t="shared" si="24"/>
        <v>0.33967156439066554</v>
      </c>
      <c r="AE29" s="2072">
        <f t="shared" si="25"/>
        <v>0.50129645635263609</v>
      </c>
      <c r="AF29" s="2070">
        <v>2266</v>
      </c>
      <c r="AG29" s="2071">
        <v>239</v>
      </c>
      <c r="AH29" s="2071">
        <v>629</v>
      </c>
      <c r="AI29" s="2071">
        <v>1398</v>
      </c>
      <c r="AJ29" s="138">
        <f t="shared" si="26"/>
        <v>0.10547219770520741</v>
      </c>
      <c r="AK29" s="138">
        <f t="shared" si="27"/>
        <v>0.27758164165931154</v>
      </c>
      <c r="AL29" s="2072">
        <f t="shared" si="28"/>
        <v>0.61694616063548102</v>
      </c>
    </row>
    <row r="30" spans="1:38" x14ac:dyDescent="0.3">
      <c r="A30" s="56" t="s">
        <v>61</v>
      </c>
      <c r="B30" s="84" t="s">
        <v>62</v>
      </c>
      <c r="C30" s="57" t="s">
        <v>254</v>
      </c>
      <c r="D30" s="2070">
        <v>15815</v>
      </c>
      <c r="E30" s="2071">
        <v>1143</v>
      </c>
      <c r="F30" s="2071">
        <v>3946</v>
      </c>
      <c r="G30" s="2071">
        <v>10726</v>
      </c>
      <c r="H30" s="138">
        <f t="shared" si="14"/>
        <v>7.2273158393929809E-2</v>
      </c>
      <c r="I30" s="138">
        <f t="shared" si="15"/>
        <v>0.2495099588997787</v>
      </c>
      <c r="J30" s="2072">
        <f t="shared" si="16"/>
        <v>0.32178311729370851</v>
      </c>
      <c r="K30" s="2070">
        <v>16175</v>
      </c>
      <c r="L30" s="2071">
        <v>1381</v>
      </c>
      <c r="M30" s="2071">
        <v>4030</v>
      </c>
      <c r="N30" s="2071">
        <v>10764</v>
      </c>
      <c r="O30" s="138">
        <f t="shared" si="17"/>
        <v>8.537867078825348E-2</v>
      </c>
      <c r="P30" s="138">
        <f t="shared" si="18"/>
        <v>0.2491499227202473</v>
      </c>
      <c r="Q30" s="2072">
        <f t="shared" si="19"/>
        <v>0.33452859350850078</v>
      </c>
      <c r="R30" s="2070">
        <v>16436</v>
      </c>
      <c r="S30" s="2071">
        <v>1505</v>
      </c>
      <c r="T30" s="2071">
        <v>4027</v>
      </c>
      <c r="U30" s="2071">
        <v>10904</v>
      </c>
      <c r="V30" s="138">
        <f t="shared" si="20"/>
        <v>9.1567291311754687E-2</v>
      </c>
      <c r="W30" s="138">
        <f t="shared" si="21"/>
        <v>0.24501095156972499</v>
      </c>
      <c r="X30" s="2072">
        <f t="shared" si="22"/>
        <v>0.66342175711852036</v>
      </c>
      <c r="Y30" s="2070">
        <v>16904</v>
      </c>
      <c r="Z30" s="2071">
        <v>1623</v>
      </c>
      <c r="AA30" s="2071">
        <v>4184</v>
      </c>
      <c r="AB30" s="2071">
        <v>11097</v>
      </c>
      <c r="AC30" s="138">
        <f t="shared" si="23"/>
        <v>9.6012778040700422E-2</v>
      </c>
      <c r="AD30" s="138">
        <f t="shared" si="24"/>
        <v>0.24751538097491718</v>
      </c>
      <c r="AE30" s="2072">
        <f t="shared" si="25"/>
        <v>0.65647184098438238</v>
      </c>
      <c r="AF30" s="2070">
        <v>16903</v>
      </c>
      <c r="AG30" s="2071">
        <v>1521</v>
      </c>
      <c r="AH30" s="2071">
        <v>4714</v>
      </c>
      <c r="AI30" s="2071">
        <v>10668</v>
      </c>
      <c r="AJ30" s="138">
        <f t="shared" si="26"/>
        <v>8.9984026504170853E-2</v>
      </c>
      <c r="AK30" s="138">
        <f t="shared" si="27"/>
        <v>0.27888540495769981</v>
      </c>
      <c r="AL30" s="2072">
        <f t="shared" si="28"/>
        <v>0.63113056853812932</v>
      </c>
    </row>
    <row r="31" spans="1:38" x14ac:dyDescent="0.3">
      <c r="A31" s="56" t="s">
        <v>63</v>
      </c>
      <c r="B31" s="84" t="s">
        <v>64</v>
      </c>
      <c r="C31" s="57" t="s">
        <v>253</v>
      </c>
      <c r="D31" s="2070">
        <v>3969</v>
      </c>
      <c r="E31" s="2071">
        <v>582</v>
      </c>
      <c r="F31" s="2071">
        <v>1570</v>
      </c>
      <c r="G31" s="2071">
        <v>1817</v>
      </c>
      <c r="H31" s="138">
        <f t="shared" si="14"/>
        <v>0.14663643235071808</v>
      </c>
      <c r="I31" s="138">
        <f t="shared" si="15"/>
        <v>0.39556563366087177</v>
      </c>
      <c r="J31" s="2072">
        <f t="shared" si="16"/>
        <v>0.54220206601158982</v>
      </c>
      <c r="K31" s="2070">
        <v>4016</v>
      </c>
      <c r="L31" s="2071">
        <v>539</v>
      </c>
      <c r="M31" s="2071">
        <v>1600</v>
      </c>
      <c r="N31" s="2071">
        <v>1877</v>
      </c>
      <c r="O31" s="138">
        <f t="shared" si="17"/>
        <v>0.13421314741035856</v>
      </c>
      <c r="P31" s="138">
        <f t="shared" si="18"/>
        <v>0.39840637450199201</v>
      </c>
      <c r="Q31" s="2072">
        <f t="shared" si="19"/>
        <v>0.53261952191235062</v>
      </c>
      <c r="R31" s="2070">
        <v>4038</v>
      </c>
      <c r="S31" s="2071">
        <v>583</v>
      </c>
      <c r="T31" s="2071">
        <v>1606</v>
      </c>
      <c r="U31" s="2071">
        <v>1849</v>
      </c>
      <c r="V31" s="138">
        <f t="shared" si="20"/>
        <v>0.14437840515106487</v>
      </c>
      <c r="W31" s="138">
        <f t="shared" si="21"/>
        <v>0.39772164437840513</v>
      </c>
      <c r="X31" s="2072">
        <f t="shared" si="22"/>
        <v>0.45789995047052995</v>
      </c>
      <c r="Y31" s="2070">
        <v>4085</v>
      </c>
      <c r="Z31" s="2071">
        <v>841</v>
      </c>
      <c r="AA31" s="2071">
        <v>1266</v>
      </c>
      <c r="AB31" s="2071">
        <v>1978</v>
      </c>
      <c r="AC31" s="138">
        <f t="shared" si="23"/>
        <v>0.20587515299877601</v>
      </c>
      <c r="AD31" s="138">
        <f t="shared" si="24"/>
        <v>0.30991432068543451</v>
      </c>
      <c r="AE31" s="2072">
        <f t="shared" si="25"/>
        <v>0.48421052631578948</v>
      </c>
      <c r="AF31" s="2070">
        <v>3963</v>
      </c>
      <c r="AG31" s="2071">
        <v>765</v>
      </c>
      <c r="AH31" s="2071">
        <v>1197</v>
      </c>
      <c r="AI31" s="2071">
        <v>2001</v>
      </c>
      <c r="AJ31" s="138">
        <f t="shared" si="26"/>
        <v>0.19303557910673733</v>
      </c>
      <c r="AK31" s="138">
        <f t="shared" si="27"/>
        <v>0.30204390613171839</v>
      </c>
      <c r="AL31" s="2072">
        <f t="shared" si="28"/>
        <v>0.50492051476154431</v>
      </c>
    </row>
    <row r="32" spans="1:38" x14ac:dyDescent="0.3">
      <c r="A32" s="56" t="s">
        <v>67</v>
      </c>
      <c r="B32" s="84" t="s">
        <v>68</v>
      </c>
      <c r="C32" s="57" t="s">
        <v>255</v>
      </c>
      <c r="D32" s="2070">
        <v>6170</v>
      </c>
      <c r="E32" s="2071">
        <v>1288</v>
      </c>
      <c r="F32" s="2071">
        <v>2308</v>
      </c>
      <c r="G32" s="2071">
        <v>2574</v>
      </c>
      <c r="H32" s="138">
        <f t="shared" si="14"/>
        <v>0.20875202593192868</v>
      </c>
      <c r="I32" s="138">
        <f t="shared" si="15"/>
        <v>0.3740680713128039</v>
      </c>
      <c r="J32" s="2072">
        <f t="shared" si="16"/>
        <v>0.5828200972447326</v>
      </c>
      <c r="K32" s="2070">
        <v>6404</v>
      </c>
      <c r="L32" s="2071">
        <v>1361</v>
      </c>
      <c r="M32" s="2071">
        <v>1936</v>
      </c>
      <c r="N32" s="2071">
        <v>3107</v>
      </c>
      <c r="O32" s="138">
        <f t="shared" si="17"/>
        <v>0.21252342286071205</v>
      </c>
      <c r="P32" s="138">
        <f t="shared" si="18"/>
        <v>0.30231105559025612</v>
      </c>
      <c r="Q32" s="2072">
        <f t="shared" si="19"/>
        <v>0.51483447845096819</v>
      </c>
      <c r="R32" s="2070">
        <v>6200</v>
      </c>
      <c r="S32" s="2071">
        <v>1334</v>
      </c>
      <c r="T32" s="2071">
        <v>2238</v>
      </c>
      <c r="U32" s="2071">
        <v>2628</v>
      </c>
      <c r="V32" s="138">
        <f t="shared" si="20"/>
        <v>0.21516129032258063</v>
      </c>
      <c r="W32" s="138">
        <f t="shared" si="21"/>
        <v>0.36096774193548387</v>
      </c>
      <c r="X32" s="2072">
        <f t="shared" si="22"/>
        <v>0.4238709677419355</v>
      </c>
      <c r="Y32" s="2070">
        <v>6055</v>
      </c>
      <c r="Z32" s="2071">
        <v>1445</v>
      </c>
      <c r="AA32" s="2071">
        <v>2111</v>
      </c>
      <c r="AB32" s="2071">
        <v>2499</v>
      </c>
      <c r="AC32" s="138">
        <f t="shared" si="23"/>
        <v>0.23864574731626756</v>
      </c>
      <c r="AD32" s="138">
        <f t="shared" si="24"/>
        <v>0.34863748967795211</v>
      </c>
      <c r="AE32" s="2072">
        <f t="shared" si="25"/>
        <v>0.41271676300578036</v>
      </c>
      <c r="AF32" s="2070">
        <v>5841</v>
      </c>
      <c r="AG32" s="2071">
        <v>1550</v>
      </c>
      <c r="AH32" s="2071">
        <v>2216</v>
      </c>
      <c r="AI32" s="2071">
        <v>2075</v>
      </c>
      <c r="AJ32" s="138">
        <f t="shared" si="26"/>
        <v>0.26536551960280774</v>
      </c>
      <c r="AK32" s="138">
        <f t="shared" si="27"/>
        <v>0.37938709125149805</v>
      </c>
      <c r="AL32" s="2072">
        <f t="shared" si="28"/>
        <v>0.3552473891456942</v>
      </c>
    </row>
    <row r="33" spans="1:38" x14ac:dyDescent="0.3">
      <c r="A33" s="56" t="s">
        <v>69</v>
      </c>
      <c r="B33" s="84" t="s">
        <v>70</v>
      </c>
      <c r="C33" s="57" t="s">
        <v>251</v>
      </c>
      <c r="D33" s="2070">
        <v>9797</v>
      </c>
      <c r="E33" s="2071">
        <v>1049</v>
      </c>
      <c r="F33" s="2071">
        <v>3616</v>
      </c>
      <c r="G33" s="2071">
        <v>5132</v>
      </c>
      <c r="H33" s="138">
        <f t="shared" si="14"/>
        <v>0.10707359395733387</v>
      </c>
      <c r="I33" s="138">
        <f t="shared" si="15"/>
        <v>0.36909257936102891</v>
      </c>
      <c r="J33" s="2072">
        <f t="shared" si="16"/>
        <v>0.47616617331836275</v>
      </c>
      <c r="K33" s="2070">
        <v>9736</v>
      </c>
      <c r="L33" s="2071">
        <v>1167</v>
      </c>
      <c r="M33" s="2071">
        <v>3173</v>
      </c>
      <c r="N33" s="2071">
        <v>5396</v>
      </c>
      <c r="O33" s="138">
        <f t="shared" si="17"/>
        <v>0.11986442070665571</v>
      </c>
      <c r="P33" s="138">
        <f t="shared" si="18"/>
        <v>0.32590386195562859</v>
      </c>
      <c r="Q33" s="2072">
        <f t="shared" si="19"/>
        <v>0.4457682826622843</v>
      </c>
      <c r="R33" s="2070">
        <v>9956</v>
      </c>
      <c r="S33" s="2071">
        <v>1265</v>
      </c>
      <c r="T33" s="2071">
        <v>4118</v>
      </c>
      <c r="U33" s="2071">
        <v>4573</v>
      </c>
      <c r="V33" s="138">
        <f t="shared" si="20"/>
        <v>0.12705905986339897</v>
      </c>
      <c r="W33" s="138">
        <f t="shared" si="21"/>
        <v>0.41361992768179989</v>
      </c>
      <c r="X33" s="2072">
        <f t="shared" si="22"/>
        <v>0.45932101245480111</v>
      </c>
      <c r="Y33" s="2070">
        <v>10344</v>
      </c>
      <c r="Z33" s="2071">
        <v>1643</v>
      </c>
      <c r="AA33" s="2071">
        <v>3208</v>
      </c>
      <c r="AB33" s="2071">
        <v>5493</v>
      </c>
      <c r="AC33" s="138">
        <f t="shared" si="23"/>
        <v>0.15883604021655065</v>
      </c>
      <c r="AD33" s="138">
        <f t="shared" si="24"/>
        <v>0.31013147718484146</v>
      </c>
      <c r="AE33" s="2072">
        <f t="shared" si="25"/>
        <v>0.53103248259860791</v>
      </c>
      <c r="AF33" s="2070">
        <v>10391</v>
      </c>
      <c r="AG33" s="2071">
        <v>1333</v>
      </c>
      <c r="AH33" s="2071">
        <v>3971</v>
      </c>
      <c r="AI33" s="2071">
        <v>5087</v>
      </c>
      <c r="AJ33" s="138">
        <f t="shared" si="26"/>
        <v>0.12828409200269464</v>
      </c>
      <c r="AK33" s="138">
        <f t="shared" si="27"/>
        <v>0.38215763641612932</v>
      </c>
      <c r="AL33" s="2072">
        <f t="shared" si="28"/>
        <v>0.48955827158117604</v>
      </c>
    </row>
    <row r="34" spans="1:38" x14ac:dyDescent="0.3">
      <c r="A34" s="56" t="s">
        <v>71</v>
      </c>
      <c r="B34" s="84" t="s">
        <v>72</v>
      </c>
      <c r="C34" s="57" t="s">
        <v>253</v>
      </c>
      <c r="D34" s="2070">
        <v>4466</v>
      </c>
      <c r="E34" s="2071">
        <v>463</v>
      </c>
      <c r="F34" s="2071">
        <v>1047</v>
      </c>
      <c r="G34" s="2071">
        <v>2956</v>
      </c>
      <c r="H34" s="138">
        <f t="shared" si="14"/>
        <v>0.10367218987908643</v>
      </c>
      <c r="I34" s="138">
        <f t="shared" si="15"/>
        <v>0.23443797581728615</v>
      </c>
      <c r="J34" s="2072">
        <f t="shared" si="16"/>
        <v>0.33811016569637259</v>
      </c>
      <c r="K34" s="2070">
        <v>4351</v>
      </c>
      <c r="L34" s="2071">
        <v>598</v>
      </c>
      <c r="M34" s="2071">
        <v>1229</v>
      </c>
      <c r="N34" s="2071">
        <v>2524</v>
      </c>
      <c r="O34" s="138">
        <f t="shared" si="17"/>
        <v>0.13743966904159963</v>
      </c>
      <c r="P34" s="138">
        <f t="shared" si="18"/>
        <v>0.2824638014249598</v>
      </c>
      <c r="Q34" s="2072">
        <f t="shared" si="19"/>
        <v>0.4199034704665594</v>
      </c>
      <c r="R34" s="2070">
        <v>4288</v>
      </c>
      <c r="S34" s="2071">
        <v>622</v>
      </c>
      <c r="T34" s="2071">
        <v>1557</v>
      </c>
      <c r="U34" s="2071">
        <v>2109</v>
      </c>
      <c r="V34" s="138">
        <f t="shared" si="20"/>
        <v>0.14505597014925373</v>
      </c>
      <c r="W34" s="138">
        <f t="shared" si="21"/>
        <v>0.3631063432835821</v>
      </c>
      <c r="X34" s="2072">
        <f t="shared" si="22"/>
        <v>0.4918376865671642</v>
      </c>
      <c r="Y34" s="2070">
        <v>4447</v>
      </c>
      <c r="Z34" s="2071">
        <v>555</v>
      </c>
      <c r="AA34" s="2071">
        <v>1539</v>
      </c>
      <c r="AB34" s="2071">
        <v>2353</v>
      </c>
      <c r="AC34" s="138">
        <f t="shared" si="23"/>
        <v>0.12480323813807061</v>
      </c>
      <c r="AD34" s="138">
        <f t="shared" si="24"/>
        <v>0.34607600629637958</v>
      </c>
      <c r="AE34" s="2072">
        <f t="shared" si="25"/>
        <v>0.52912075556554983</v>
      </c>
      <c r="AF34" s="2070">
        <v>4463</v>
      </c>
      <c r="AG34" s="2071">
        <v>607</v>
      </c>
      <c r="AH34" s="2071">
        <v>1247</v>
      </c>
      <c r="AI34" s="2071">
        <v>2609</v>
      </c>
      <c r="AJ34" s="138">
        <f t="shared" si="26"/>
        <v>0.13600717006497873</v>
      </c>
      <c r="AK34" s="138">
        <f t="shared" si="27"/>
        <v>0.27940846963925609</v>
      </c>
      <c r="AL34" s="2072">
        <f t="shared" si="28"/>
        <v>0.58458436029576522</v>
      </c>
    </row>
    <row r="35" spans="1:38" x14ac:dyDescent="0.3">
      <c r="A35" s="56" t="s">
        <v>73</v>
      </c>
      <c r="B35" s="84" t="s">
        <v>405</v>
      </c>
      <c r="C35" s="57" t="s">
        <v>254</v>
      </c>
      <c r="D35" s="2070">
        <v>402671</v>
      </c>
      <c r="E35" s="2071">
        <v>20721</v>
      </c>
      <c r="F35" s="2071">
        <v>111764</v>
      </c>
      <c r="G35" s="2071">
        <v>270186</v>
      </c>
      <c r="H35" s="138">
        <f t="shared" si="14"/>
        <v>5.1458883306719383E-2</v>
      </c>
      <c r="I35" s="138">
        <f t="shared" si="15"/>
        <v>0.27755661569867213</v>
      </c>
      <c r="J35" s="2072">
        <f t="shared" si="16"/>
        <v>0.32901549900539151</v>
      </c>
      <c r="K35" s="2070">
        <v>404431</v>
      </c>
      <c r="L35" s="2071">
        <v>19308</v>
      </c>
      <c r="M35" s="2071">
        <v>106974</v>
      </c>
      <c r="N35" s="2071">
        <v>278149</v>
      </c>
      <c r="O35" s="138">
        <f t="shared" si="17"/>
        <v>4.77411474392418E-2</v>
      </c>
      <c r="P35" s="138">
        <f t="shared" si="18"/>
        <v>0.26450494645563766</v>
      </c>
      <c r="Q35" s="2072">
        <f t="shared" si="19"/>
        <v>0.31224609389487945</v>
      </c>
      <c r="R35" s="2070">
        <v>404925</v>
      </c>
      <c r="S35" s="2071">
        <v>24622</v>
      </c>
      <c r="T35" s="2071">
        <v>94092</v>
      </c>
      <c r="U35" s="2071">
        <v>286211</v>
      </c>
      <c r="V35" s="138">
        <f t="shared" si="20"/>
        <v>6.0806322158424402E-2</v>
      </c>
      <c r="W35" s="138">
        <f t="shared" si="21"/>
        <v>0.23236895721429895</v>
      </c>
      <c r="X35" s="2072">
        <f t="shared" si="22"/>
        <v>0.70682472062727664</v>
      </c>
      <c r="Y35" s="2070">
        <v>408941</v>
      </c>
      <c r="Z35" s="2071">
        <v>23431</v>
      </c>
      <c r="AA35" s="2071">
        <v>98888</v>
      </c>
      <c r="AB35" s="2071">
        <v>286622</v>
      </c>
      <c r="AC35" s="138">
        <f t="shared" si="23"/>
        <v>5.7296773862244188E-2</v>
      </c>
      <c r="AD35" s="138">
        <f t="shared" si="24"/>
        <v>0.24181483392469819</v>
      </c>
      <c r="AE35" s="2072">
        <f t="shared" si="25"/>
        <v>0.70088839221305765</v>
      </c>
      <c r="AF35" s="2070">
        <v>410443</v>
      </c>
      <c r="AG35" s="2071">
        <v>22490</v>
      </c>
      <c r="AH35" s="2071">
        <v>94944</v>
      </c>
      <c r="AI35" s="2071">
        <v>293009</v>
      </c>
      <c r="AJ35" s="138">
        <f t="shared" si="26"/>
        <v>5.4794453797482233E-2</v>
      </c>
      <c r="AK35" s="138">
        <f t="shared" si="27"/>
        <v>0.23132079241210107</v>
      </c>
      <c r="AL35" s="2072">
        <f t="shared" si="28"/>
        <v>0.71388475379041672</v>
      </c>
    </row>
    <row r="36" spans="1:38" x14ac:dyDescent="0.3">
      <c r="A36" s="56" t="s">
        <v>75</v>
      </c>
      <c r="B36" s="84" t="s">
        <v>76</v>
      </c>
      <c r="C36" s="57" t="s">
        <v>254</v>
      </c>
      <c r="D36" s="2070">
        <v>23069</v>
      </c>
      <c r="E36" s="2071">
        <v>1330</v>
      </c>
      <c r="F36" s="2071">
        <v>6144</v>
      </c>
      <c r="G36" s="2071">
        <v>15595</v>
      </c>
      <c r="H36" s="138">
        <f t="shared" si="14"/>
        <v>5.7653127573800339E-2</v>
      </c>
      <c r="I36" s="138">
        <f t="shared" si="15"/>
        <v>0.26633144046122503</v>
      </c>
      <c r="J36" s="2072">
        <f t="shared" si="16"/>
        <v>0.32398456803502534</v>
      </c>
      <c r="K36" s="2070">
        <v>23044</v>
      </c>
      <c r="L36" s="2071">
        <v>1145</v>
      </c>
      <c r="M36" s="2071">
        <v>7618</v>
      </c>
      <c r="N36" s="2071">
        <v>14281</v>
      </c>
      <c r="O36" s="138">
        <f t="shared" si="17"/>
        <v>4.9687554244054855E-2</v>
      </c>
      <c r="P36" s="138">
        <f t="shared" si="18"/>
        <v>0.33058496788751951</v>
      </c>
      <c r="Q36" s="2072">
        <f t="shared" si="19"/>
        <v>0.38027252213157436</v>
      </c>
      <c r="R36" s="2070">
        <v>23334</v>
      </c>
      <c r="S36" s="2071">
        <v>1247</v>
      </c>
      <c r="T36" s="2071">
        <v>6983</v>
      </c>
      <c r="U36" s="2071">
        <v>15104</v>
      </c>
      <c r="V36" s="138">
        <f t="shared" si="20"/>
        <v>5.3441330247707211E-2</v>
      </c>
      <c r="W36" s="138">
        <f t="shared" si="21"/>
        <v>0.29926287820347991</v>
      </c>
      <c r="X36" s="2072">
        <f t="shared" si="22"/>
        <v>0.64729579154881289</v>
      </c>
      <c r="Y36" s="2070">
        <v>24777</v>
      </c>
      <c r="Z36" s="2071">
        <v>1431</v>
      </c>
      <c r="AA36" s="2071">
        <v>7636</v>
      </c>
      <c r="AB36" s="2071">
        <v>15710</v>
      </c>
      <c r="AC36" s="138">
        <f t="shared" si="23"/>
        <v>5.7755176171449325E-2</v>
      </c>
      <c r="AD36" s="138">
        <f t="shared" si="24"/>
        <v>0.30818904629293298</v>
      </c>
      <c r="AE36" s="2072">
        <f t="shared" si="25"/>
        <v>0.6340557775356177</v>
      </c>
      <c r="AF36" s="2070">
        <v>24333</v>
      </c>
      <c r="AG36" s="2071">
        <v>1423</v>
      </c>
      <c r="AH36" s="2071">
        <v>7190</v>
      </c>
      <c r="AI36" s="2071">
        <v>15720</v>
      </c>
      <c r="AJ36" s="138">
        <f t="shared" si="26"/>
        <v>5.8480253154152798E-2</v>
      </c>
      <c r="AK36" s="138">
        <f t="shared" si="27"/>
        <v>0.29548349977396948</v>
      </c>
      <c r="AL36" s="2072">
        <f t="shared" si="28"/>
        <v>0.64603624707187768</v>
      </c>
    </row>
    <row r="37" spans="1:38" x14ac:dyDescent="0.3">
      <c r="A37" s="56" t="s">
        <v>77</v>
      </c>
      <c r="B37" s="84" t="s">
        <v>78</v>
      </c>
      <c r="C37" s="57" t="s">
        <v>255</v>
      </c>
      <c r="D37" s="2070">
        <v>6334</v>
      </c>
      <c r="E37" s="2071">
        <v>1029</v>
      </c>
      <c r="F37" s="2071">
        <v>1517</v>
      </c>
      <c r="G37" s="2071">
        <v>3788</v>
      </c>
      <c r="H37" s="138">
        <f t="shared" si="14"/>
        <v>0.16245658351752448</v>
      </c>
      <c r="I37" s="138">
        <f t="shared" si="15"/>
        <v>0.23950110514682665</v>
      </c>
      <c r="J37" s="2072">
        <f t="shared" si="16"/>
        <v>0.40195768866435111</v>
      </c>
      <c r="K37" s="2070">
        <v>6076</v>
      </c>
      <c r="L37" s="2071">
        <v>922</v>
      </c>
      <c r="M37" s="2071">
        <v>1309</v>
      </c>
      <c r="N37" s="2071">
        <v>3845</v>
      </c>
      <c r="O37" s="138">
        <f t="shared" si="17"/>
        <v>0.15174456879526005</v>
      </c>
      <c r="P37" s="138">
        <f t="shared" si="18"/>
        <v>0.21543778801843319</v>
      </c>
      <c r="Q37" s="2072">
        <f t="shared" si="19"/>
        <v>0.36718235681369321</v>
      </c>
      <c r="R37" s="2070">
        <v>6086</v>
      </c>
      <c r="S37" s="2071">
        <v>829</v>
      </c>
      <c r="T37" s="2071">
        <v>1540</v>
      </c>
      <c r="U37" s="2071">
        <v>3717</v>
      </c>
      <c r="V37" s="138">
        <f t="shared" si="20"/>
        <v>0.13621426224120933</v>
      </c>
      <c r="W37" s="138">
        <f t="shared" si="21"/>
        <v>0.25303976339139006</v>
      </c>
      <c r="X37" s="2072">
        <f t="shared" si="22"/>
        <v>0.61074597436740063</v>
      </c>
      <c r="Y37" s="2070">
        <v>6303</v>
      </c>
      <c r="Z37" s="2071">
        <v>922</v>
      </c>
      <c r="AA37" s="2071">
        <v>1623</v>
      </c>
      <c r="AB37" s="2071">
        <v>3758</v>
      </c>
      <c r="AC37" s="138">
        <f t="shared" si="23"/>
        <v>0.14627954942091068</v>
      </c>
      <c r="AD37" s="138">
        <f t="shared" si="24"/>
        <v>0.25749643027129937</v>
      </c>
      <c r="AE37" s="2072">
        <f t="shared" si="25"/>
        <v>0.59622402030778998</v>
      </c>
      <c r="AF37" s="2070">
        <v>6480</v>
      </c>
      <c r="AG37" s="2071">
        <v>806</v>
      </c>
      <c r="AH37" s="2071">
        <v>1996</v>
      </c>
      <c r="AI37" s="2071">
        <v>3678</v>
      </c>
      <c r="AJ37" s="138">
        <f t="shared" si="26"/>
        <v>0.12438271604938271</v>
      </c>
      <c r="AK37" s="138">
        <f t="shared" si="27"/>
        <v>0.30802469135802468</v>
      </c>
      <c r="AL37" s="2072">
        <f t="shared" si="28"/>
        <v>0.56759259259259254</v>
      </c>
    </row>
    <row r="38" spans="1:38" x14ac:dyDescent="0.3">
      <c r="A38" s="56" t="s">
        <v>79</v>
      </c>
      <c r="B38" s="84" t="s">
        <v>80</v>
      </c>
      <c r="C38" s="57" t="s">
        <v>253</v>
      </c>
      <c r="D38" s="2070">
        <v>9176</v>
      </c>
      <c r="E38" s="2071">
        <v>658</v>
      </c>
      <c r="F38" s="2071">
        <v>2403</v>
      </c>
      <c r="G38" s="2071">
        <v>6115</v>
      </c>
      <c r="H38" s="138">
        <f t="shared" si="14"/>
        <v>7.1708805579773327E-2</v>
      </c>
      <c r="I38" s="138">
        <f t="shared" si="15"/>
        <v>0.26187881429816912</v>
      </c>
      <c r="J38" s="2072">
        <f t="shared" si="16"/>
        <v>0.33358761987794244</v>
      </c>
      <c r="K38" s="2070">
        <v>9582</v>
      </c>
      <c r="L38" s="2071">
        <v>621</v>
      </c>
      <c r="M38" s="2071">
        <v>3475</v>
      </c>
      <c r="N38" s="2071">
        <v>5486</v>
      </c>
      <c r="O38" s="138">
        <f t="shared" si="17"/>
        <v>6.4809016906700059E-2</v>
      </c>
      <c r="P38" s="138">
        <f t="shared" si="18"/>
        <v>0.36265915257774994</v>
      </c>
      <c r="Q38" s="2072">
        <f t="shared" si="19"/>
        <v>0.42746816948444999</v>
      </c>
      <c r="R38" s="2070">
        <v>9787</v>
      </c>
      <c r="S38" s="2071">
        <v>627</v>
      </c>
      <c r="T38" s="2071">
        <v>3806</v>
      </c>
      <c r="U38" s="2071">
        <v>5354</v>
      </c>
      <c r="V38" s="138">
        <f t="shared" si="20"/>
        <v>6.406457545723919E-2</v>
      </c>
      <c r="W38" s="138">
        <f t="shared" si="21"/>
        <v>0.38888321242464496</v>
      </c>
      <c r="X38" s="2072">
        <f t="shared" si="22"/>
        <v>0.54705221211811583</v>
      </c>
      <c r="Y38" s="2070">
        <v>9829</v>
      </c>
      <c r="Z38" s="2071">
        <v>687</v>
      </c>
      <c r="AA38" s="2071">
        <v>4671</v>
      </c>
      <c r="AB38" s="2071">
        <v>4471</v>
      </c>
      <c r="AC38" s="138">
        <f t="shared" si="23"/>
        <v>6.9895208057788177E-2</v>
      </c>
      <c r="AD38" s="138">
        <f t="shared" si="24"/>
        <v>0.47522637094312747</v>
      </c>
      <c r="AE38" s="2072">
        <f t="shared" si="25"/>
        <v>0.45487842099908432</v>
      </c>
      <c r="AF38" s="2070">
        <v>9842</v>
      </c>
      <c r="AG38" s="2071">
        <v>504</v>
      </c>
      <c r="AH38" s="2071">
        <v>4059</v>
      </c>
      <c r="AI38" s="2071">
        <v>5279</v>
      </c>
      <c r="AJ38" s="138">
        <f t="shared" si="26"/>
        <v>5.1209103840682786E-2</v>
      </c>
      <c r="AK38" s="138">
        <f t="shared" si="27"/>
        <v>0.41241617557407029</v>
      </c>
      <c r="AL38" s="2072">
        <f t="shared" si="28"/>
        <v>0.53637472058524693</v>
      </c>
    </row>
    <row r="39" spans="1:38" x14ac:dyDescent="0.3">
      <c r="A39" s="56" t="s">
        <v>83</v>
      </c>
      <c r="B39" s="84" t="s">
        <v>84</v>
      </c>
      <c r="C39" s="57" t="s">
        <v>252</v>
      </c>
      <c r="D39" s="2070">
        <v>23942</v>
      </c>
      <c r="E39" s="2071">
        <v>3359</v>
      </c>
      <c r="F39" s="2071">
        <v>4819</v>
      </c>
      <c r="G39" s="2071">
        <v>15764</v>
      </c>
      <c r="H39" s="138">
        <f t="shared" si="14"/>
        <v>0.14029738534792416</v>
      </c>
      <c r="I39" s="138">
        <f t="shared" si="15"/>
        <v>0.20127808871439312</v>
      </c>
      <c r="J39" s="2072">
        <f t="shared" si="16"/>
        <v>0.34157547406231725</v>
      </c>
      <c r="K39" s="2070">
        <v>23022</v>
      </c>
      <c r="L39" s="2071">
        <v>2886</v>
      </c>
      <c r="M39" s="2071">
        <v>7377</v>
      </c>
      <c r="N39" s="2071">
        <v>12759</v>
      </c>
      <c r="O39" s="138">
        <f t="shared" si="17"/>
        <v>0.12535835287985406</v>
      </c>
      <c r="P39" s="138">
        <f t="shared" si="18"/>
        <v>0.32043262965858743</v>
      </c>
      <c r="Q39" s="2072">
        <f t="shared" si="19"/>
        <v>0.44579098253844152</v>
      </c>
      <c r="R39" s="2070">
        <v>23248</v>
      </c>
      <c r="S39" s="2071">
        <v>3224</v>
      </c>
      <c r="T39" s="2071">
        <v>6311</v>
      </c>
      <c r="U39" s="2071">
        <v>13713</v>
      </c>
      <c r="V39" s="138">
        <f t="shared" si="20"/>
        <v>0.13867859600825877</v>
      </c>
      <c r="W39" s="138">
        <f t="shared" si="21"/>
        <v>0.27146421197522369</v>
      </c>
      <c r="X39" s="2072">
        <f t="shared" si="22"/>
        <v>0.58985719201651754</v>
      </c>
      <c r="Y39" s="2070">
        <v>22976</v>
      </c>
      <c r="Z39" s="2071">
        <v>3112</v>
      </c>
      <c r="AA39" s="2071">
        <v>5688</v>
      </c>
      <c r="AB39" s="2071">
        <v>14176</v>
      </c>
      <c r="AC39" s="138">
        <f t="shared" si="23"/>
        <v>0.13544568245125349</v>
      </c>
      <c r="AD39" s="138">
        <f t="shared" si="24"/>
        <v>0.24756267409470753</v>
      </c>
      <c r="AE39" s="2072">
        <f t="shared" si="25"/>
        <v>0.61699164345403901</v>
      </c>
      <c r="AF39" s="2070">
        <v>23104</v>
      </c>
      <c r="AG39" s="2071">
        <v>3507</v>
      </c>
      <c r="AH39" s="2071">
        <v>5802</v>
      </c>
      <c r="AI39" s="2071">
        <v>13795</v>
      </c>
      <c r="AJ39" s="138">
        <f t="shared" si="26"/>
        <v>0.15179189750692521</v>
      </c>
      <c r="AK39" s="138">
        <f t="shared" si="27"/>
        <v>0.25112534626038779</v>
      </c>
      <c r="AL39" s="2072">
        <f t="shared" si="28"/>
        <v>0.59708275623268703</v>
      </c>
    </row>
    <row r="40" spans="1:38" x14ac:dyDescent="0.3">
      <c r="A40" s="56" t="s">
        <v>85</v>
      </c>
      <c r="B40" s="84" t="s">
        <v>86</v>
      </c>
      <c r="C40" s="57" t="s">
        <v>254</v>
      </c>
      <c r="D40" s="2070">
        <v>28212</v>
      </c>
      <c r="E40" s="2071">
        <v>2248</v>
      </c>
      <c r="F40" s="2071">
        <v>9941</v>
      </c>
      <c r="G40" s="2071">
        <v>16023</v>
      </c>
      <c r="H40" s="138">
        <f t="shared" si="14"/>
        <v>7.968240465050333E-2</v>
      </c>
      <c r="I40" s="138">
        <f t="shared" si="15"/>
        <v>0.35236778675740821</v>
      </c>
      <c r="J40" s="2072">
        <f t="shared" si="16"/>
        <v>0.43205019140791151</v>
      </c>
      <c r="K40" s="2070">
        <v>29636</v>
      </c>
      <c r="L40" s="2071">
        <v>1859</v>
      </c>
      <c r="M40" s="2071">
        <v>10892</v>
      </c>
      <c r="N40" s="2071">
        <v>16885</v>
      </c>
      <c r="O40" s="138">
        <f t="shared" si="17"/>
        <v>6.2727763530840863E-2</v>
      </c>
      <c r="P40" s="138">
        <f t="shared" si="18"/>
        <v>0.36752598191388852</v>
      </c>
      <c r="Q40" s="2072">
        <f t="shared" si="19"/>
        <v>0.43025374544472939</v>
      </c>
      <c r="R40" s="2070">
        <v>29505</v>
      </c>
      <c r="S40" s="2071">
        <v>1793</v>
      </c>
      <c r="T40" s="2071">
        <v>10897</v>
      </c>
      <c r="U40" s="2071">
        <v>16815</v>
      </c>
      <c r="V40" s="138">
        <f t="shared" si="20"/>
        <v>6.0769361125233012E-2</v>
      </c>
      <c r="W40" s="138">
        <f t="shared" si="21"/>
        <v>0.3693272326724284</v>
      </c>
      <c r="X40" s="2072">
        <f t="shared" si="22"/>
        <v>0.56990340620233859</v>
      </c>
      <c r="Y40" s="2070">
        <v>30760</v>
      </c>
      <c r="Z40" s="2071">
        <v>1780</v>
      </c>
      <c r="AA40" s="2071">
        <v>8763</v>
      </c>
      <c r="AB40" s="2071">
        <v>20217</v>
      </c>
      <c r="AC40" s="138">
        <f t="shared" si="23"/>
        <v>5.7867360208062421E-2</v>
      </c>
      <c r="AD40" s="138">
        <f t="shared" si="24"/>
        <v>0.28488296488946685</v>
      </c>
      <c r="AE40" s="2072">
        <f t="shared" si="25"/>
        <v>0.65724967490247077</v>
      </c>
      <c r="AF40" s="2070">
        <v>30973</v>
      </c>
      <c r="AG40" s="2071">
        <v>1963</v>
      </c>
      <c r="AH40" s="2071">
        <v>9211</v>
      </c>
      <c r="AI40" s="2071">
        <v>19799</v>
      </c>
      <c r="AJ40" s="138">
        <f t="shared" si="26"/>
        <v>6.3377780647660864E-2</v>
      </c>
      <c r="AK40" s="138">
        <f t="shared" si="27"/>
        <v>0.29738804765440868</v>
      </c>
      <c r="AL40" s="2072">
        <f t="shared" si="28"/>
        <v>0.63923417169793051</v>
      </c>
    </row>
    <row r="41" spans="1:38" x14ac:dyDescent="0.3">
      <c r="A41" s="56" t="s">
        <v>91</v>
      </c>
      <c r="B41" s="84" t="s">
        <v>92</v>
      </c>
      <c r="C41" s="57" t="s">
        <v>255</v>
      </c>
      <c r="D41" s="2070">
        <v>7100</v>
      </c>
      <c r="E41" s="2071">
        <v>1121</v>
      </c>
      <c r="F41" s="2071">
        <v>1534</v>
      </c>
      <c r="G41" s="2071">
        <v>4445</v>
      </c>
      <c r="H41" s="138">
        <f t="shared" si="14"/>
        <v>0.15788732394366198</v>
      </c>
      <c r="I41" s="138">
        <f t="shared" si="15"/>
        <v>0.21605633802816901</v>
      </c>
      <c r="J41" s="2072">
        <f t="shared" si="16"/>
        <v>0.37394366197183099</v>
      </c>
      <c r="K41" s="2070">
        <v>7126</v>
      </c>
      <c r="L41" s="2071">
        <v>1108</v>
      </c>
      <c r="M41" s="2071">
        <v>1476</v>
      </c>
      <c r="N41" s="2071">
        <v>4542</v>
      </c>
      <c r="O41" s="138">
        <f t="shared" si="17"/>
        <v>0.15548694920011227</v>
      </c>
      <c r="P41" s="138">
        <f t="shared" si="18"/>
        <v>0.20712882402469829</v>
      </c>
      <c r="Q41" s="2072">
        <f t="shared" si="19"/>
        <v>0.36261577322481053</v>
      </c>
      <c r="R41" s="2070">
        <v>7253</v>
      </c>
      <c r="S41" s="2071">
        <v>1029</v>
      </c>
      <c r="T41" s="2071">
        <v>1731</v>
      </c>
      <c r="U41" s="2071">
        <v>4493</v>
      </c>
      <c r="V41" s="138">
        <f t="shared" si="20"/>
        <v>0.1418723286915759</v>
      </c>
      <c r="W41" s="138">
        <f t="shared" si="21"/>
        <v>0.2386598648834965</v>
      </c>
      <c r="X41" s="2072">
        <f t="shared" si="22"/>
        <v>0.6194678064249276</v>
      </c>
      <c r="Y41" s="2070">
        <v>7290</v>
      </c>
      <c r="Z41" s="2071">
        <v>878</v>
      </c>
      <c r="AA41" s="2071">
        <v>1924</v>
      </c>
      <c r="AB41" s="2071">
        <v>4488</v>
      </c>
      <c r="AC41" s="138">
        <f t="shared" si="23"/>
        <v>0.12043895747599451</v>
      </c>
      <c r="AD41" s="138">
        <f t="shared" si="24"/>
        <v>0.26392318244170099</v>
      </c>
      <c r="AE41" s="2072">
        <f t="shared" si="25"/>
        <v>0.61563786008230448</v>
      </c>
      <c r="AF41" s="2070">
        <v>6987</v>
      </c>
      <c r="AG41" s="2071">
        <v>731</v>
      </c>
      <c r="AH41" s="2071">
        <v>2098</v>
      </c>
      <c r="AI41" s="2071">
        <v>4158</v>
      </c>
      <c r="AJ41" s="138">
        <f t="shared" si="26"/>
        <v>0.10462287104622871</v>
      </c>
      <c r="AK41" s="138">
        <f t="shared" si="27"/>
        <v>0.30027193359095461</v>
      </c>
      <c r="AL41" s="2072">
        <f t="shared" si="28"/>
        <v>0.5951051953628167</v>
      </c>
    </row>
    <row r="42" spans="1:38" x14ac:dyDescent="0.3">
      <c r="A42" s="56" t="s">
        <v>93</v>
      </c>
      <c r="B42" s="84" t="s">
        <v>94</v>
      </c>
      <c r="C42" s="57" t="s">
        <v>251</v>
      </c>
      <c r="D42" s="2070">
        <v>13962</v>
      </c>
      <c r="E42" s="2071">
        <v>1113</v>
      </c>
      <c r="F42" s="2071">
        <v>3332</v>
      </c>
      <c r="G42" s="2071">
        <v>9517</v>
      </c>
      <c r="H42" s="138">
        <f t="shared" si="14"/>
        <v>7.9716373012462399E-2</v>
      </c>
      <c r="I42" s="138">
        <f t="shared" si="15"/>
        <v>0.23864775820083084</v>
      </c>
      <c r="J42" s="2072">
        <f t="shared" si="16"/>
        <v>0.31836413121329321</v>
      </c>
      <c r="K42" s="2070">
        <v>13685</v>
      </c>
      <c r="L42" s="2071">
        <v>1244</v>
      </c>
      <c r="M42" s="2071">
        <v>4985</v>
      </c>
      <c r="N42" s="2071">
        <v>7456</v>
      </c>
      <c r="O42" s="138">
        <f t="shared" si="17"/>
        <v>9.0902447935696018E-2</v>
      </c>
      <c r="P42" s="138">
        <f t="shared" si="18"/>
        <v>0.36426744610887835</v>
      </c>
      <c r="Q42" s="2072">
        <f t="shared" si="19"/>
        <v>0.45516989404457436</v>
      </c>
      <c r="R42" s="2070">
        <v>14074</v>
      </c>
      <c r="S42" s="2071">
        <v>1332</v>
      </c>
      <c r="T42" s="2071">
        <v>3932</v>
      </c>
      <c r="U42" s="2071">
        <v>8810</v>
      </c>
      <c r="V42" s="138">
        <f t="shared" si="20"/>
        <v>9.4642603382123061E-2</v>
      </c>
      <c r="W42" s="138">
        <f t="shared" si="21"/>
        <v>0.27938041779167261</v>
      </c>
      <c r="X42" s="2072">
        <f t="shared" si="22"/>
        <v>0.6259769788262044</v>
      </c>
      <c r="Y42" s="2070">
        <v>14511</v>
      </c>
      <c r="Z42" s="2071">
        <v>1253</v>
      </c>
      <c r="AA42" s="2071">
        <v>4123</v>
      </c>
      <c r="AB42" s="2071">
        <v>9135</v>
      </c>
      <c r="AC42" s="138">
        <f t="shared" si="23"/>
        <v>8.6348287506029908E-2</v>
      </c>
      <c r="AD42" s="138">
        <f t="shared" si="24"/>
        <v>0.2841292812349252</v>
      </c>
      <c r="AE42" s="2072">
        <f t="shared" si="25"/>
        <v>0.62952243125904483</v>
      </c>
      <c r="AF42" s="2070">
        <v>14759</v>
      </c>
      <c r="AG42" s="2071">
        <v>1226</v>
      </c>
      <c r="AH42" s="2071">
        <v>3548</v>
      </c>
      <c r="AI42" s="2071">
        <v>9985</v>
      </c>
      <c r="AJ42" s="138">
        <f t="shared" si="26"/>
        <v>8.3067958533776007E-2</v>
      </c>
      <c r="AK42" s="138">
        <f t="shared" si="27"/>
        <v>0.24039569076495698</v>
      </c>
      <c r="AL42" s="2072">
        <f t="shared" si="28"/>
        <v>0.67653635070126705</v>
      </c>
    </row>
    <row r="43" spans="1:38" x14ac:dyDescent="0.3">
      <c r="A43" s="56" t="s">
        <v>95</v>
      </c>
      <c r="B43" s="84" t="s">
        <v>96</v>
      </c>
      <c r="C43" s="57" t="s">
        <v>253</v>
      </c>
      <c r="D43" s="2070">
        <v>7391</v>
      </c>
      <c r="E43" s="2071">
        <v>362</v>
      </c>
      <c r="F43" s="2071">
        <v>2273</v>
      </c>
      <c r="G43" s="2071">
        <v>4756</v>
      </c>
      <c r="H43" s="138">
        <f t="shared" si="14"/>
        <v>4.89784873494791E-2</v>
      </c>
      <c r="I43" s="138">
        <f t="shared" si="15"/>
        <v>0.30753619266675686</v>
      </c>
      <c r="J43" s="2072">
        <f t="shared" si="16"/>
        <v>0.35651468001623599</v>
      </c>
      <c r="K43" s="2070">
        <v>8037</v>
      </c>
      <c r="L43" s="2071">
        <v>376</v>
      </c>
      <c r="M43" s="2071">
        <v>1710</v>
      </c>
      <c r="N43" s="2071">
        <v>5951</v>
      </c>
      <c r="O43" s="138">
        <f t="shared" si="17"/>
        <v>4.6783625730994149E-2</v>
      </c>
      <c r="P43" s="138">
        <f t="shared" si="18"/>
        <v>0.21276595744680851</v>
      </c>
      <c r="Q43" s="2072">
        <f t="shared" si="19"/>
        <v>0.25954958317780269</v>
      </c>
      <c r="R43" s="2070">
        <v>8212</v>
      </c>
      <c r="S43" s="2071">
        <v>548</v>
      </c>
      <c r="T43" s="2071">
        <v>2130</v>
      </c>
      <c r="U43" s="2071">
        <v>5534</v>
      </c>
      <c r="V43" s="138">
        <f t="shared" si="20"/>
        <v>6.6731612274719923E-2</v>
      </c>
      <c r="W43" s="138">
        <f t="shared" si="21"/>
        <v>0.25937652216268875</v>
      </c>
      <c r="X43" s="2072">
        <f t="shared" si="22"/>
        <v>0.67389186556259129</v>
      </c>
      <c r="Y43" s="2070">
        <v>8177</v>
      </c>
      <c r="Z43" s="2071">
        <v>431</v>
      </c>
      <c r="AA43" s="2071">
        <v>2142</v>
      </c>
      <c r="AB43" s="2071">
        <v>5604</v>
      </c>
      <c r="AC43" s="138">
        <f t="shared" si="23"/>
        <v>5.2708817414699766E-2</v>
      </c>
      <c r="AD43" s="138">
        <f t="shared" si="24"/>
        <v>0.26195426195426197</v>
      </c>
      <c r="AE43" s="2072">
        <f t="shared" si="25"/>
        <v>0.68533692063103824</v>
      </c>
      <c r="AF43" s="2070">
        <v>8426</v>
      </c>
      <c r="AG43" s="2071">
        <v>515</v>
      </c>
      <c r="AH43" s="2071">
        <v>1943</v>
      </c>
      <c r="AI43" s="2071">
        <v>5968</v>
      </c>
      <c r="AJ43" s="138">
        <f t="shared" si="26"/>
        <v>6.1120341799192977E-2</v>
      </c>
      <c r="AK43" s="138">
        <f t="shared" si="27"/>
        <v>0.23059577498219797</v>
      </c>
      <c r="AL43" s="2072">
        <f t="shared" si="28"/>
        <v>0.70828388321860902</v>
      </c>
    </row>
    <row r="44" spans="1:38" x14ac:dyDescent="0.3">
      <c r="A44" s="56" t="s">
        <v>97</v>
      </c>
      <c r="B44" s="84" t="s">
        <v>98</v>
      </c>
      <c r="C44" s="57" t="s">
        <v>255</v>
      </c>
      <c r="D44" s="2070">
        <v>6858</v>
      </c>
      <c r="E44" s="2071">
        <v>1286</v>
      </c>
      <c r="F44" s="2071">
        <v>1913</v>
      </c>
      <c r="G44" s="2071">
        <v>3659</v>
      </c>
      <c r="H44" s="138">
        <f t="shared" si="14"/>
        <v>0.18751822688830563</v>
      </c>
      <c r="I44" s="138">
        <f t="shared" si="15"/>
        <v>0.27894429862933801</v>
      </c>
      <c r="J44" s="2072">
        <f t="shared" si="16"/>
        <v>0.46646252551764361</v>
      </c>
      <c r="K44" s="2070">
        <v>6807</v>
      </c>
      <c r="L44" s="2071">
        <v>1328</v>
      </c>
      <c r="M44" s="2071">
        <v>2260</v>
      </c>
      <c r="N44" s="2071">
        <v>3219</v>
      </c>
      <c r="O44" s="138">
        <f t="shared" si="17"/>
        <v>0.1950932863229029</v>
      </c>
      <c r="P44" s="138">
        <f t="shared" si="18"/>
        <v>0.33201116497722932</v>
      </c>
      <c r="Q44" s="2072">
        <f t="shared" si="19"/>
        <v>0.52710445130013217</v>
      </c>
      <c r="R44" s="2070">
        <v>6686</v>
      </c>
      <c r="S44" s="2071">
        <v>1387</v>
      </c>
      <c r="T44" s="2071">
        <v>2521</v>
      </c>
      <c r="U44" s="2071">
        <v>2778</v>
      </c>
      <c r="V44" s="138">
        <f t="shared" si="20"/>
        <v>0.20744839964104098</v>
      </c>
      <c r="W44" s="138">
        <f t="shared" si="21"/>
        <v>0.37705653604546813</v>
      </c>
      <c r="X44" s="2072">
        <f t="shared" si="22"/>
        <v>0.41549506431349087</v>
      </c>
      <c r="Y44" s="2070">
        <v>6710</v>
      </c>
      <c r="Z44" s="2071">
        <v>1372</v>
      </c>
      <c r="AA44" s="2071">
        <v>2302</v>
      </c>
      <c r="AB44" s="2071">
        <v>3036</v>
      </c>
      <c r="AC44" s="138">
        <f t="shared" si="23"/>
        <v>0.20447093889716841</v>
      </c>
      <c r="AD44" s="138">
        <f t="shared" si="24"/>
        <v>0.34307004470938895</v>
      </c>
      <c r="AE44" s="2072">
        <f t="shared" si="25"/>
        <v>0.4524590163934426</v>
      </c>
      <c r="AF44" s="2070">
        <v>6542</v>
      </c>
      <c r="AG44" s="2071">
        <v>1404</v>
      </c>
      <c r="AH44" s="2071">
        <v>2369</v>
      </c>
      <c r="AI44" s="2071">
        <v>2769</v>
      </c>
      <c r="AJ44" s="138">
        <f t="shared" si="26"/>
        <v>0.21461326811372669</v>
      </c>
      <c r="AK44" s="138">
        <f t="shared" si="27"/>
        <v>0.3621216753286457</v>
      </c>
      <c r="AL44" s="2072">
        <f t="shared" si="28"/>
        <v>0.42326505655762764</v>
      </c>
    </row>
    <row r="45" spans="1:38" x14ac:dyDescent="0.3">
      <c r="A45" s="56" t="s">
        <v>99</v>
      </c>
      <c r="B45" s="84" t="s">
        <v>100</v>
      </c>
      <c r="C45" s="57" t="s">
        <v>254</v>
      </c>
      <c r="D45" s="2070">
        <v>6709</v>
      </c>
      <c r="E45" s="2071">
        <v>596</v>
      </c>
      <c r="F45" s="2071">
        <v>2047</v>
      </c>
      <c r="G45" s="2071">
        <v>4066</v>
      </c>
      <c r="H45" s="138">
        <f t="shared" si="14"/>
        <v>8.8835892085258605E-2</v>
      </c>
      <c r="I45" s="138">
        <f t="shared" si="15"/>
        <v>0.30511253540020866</v>
      </c>
      <c r="J45" s="2072">
        <f t="shared" si="16"/>
        <v>0.39394842748546727</v>
      </c>
      <c r="K45" s="2070">
        <v>6884</v>
      </c>
      <c r="L45" s="2071">
        <v>564</v>
      </c>
      <c r="M45" s="2071">
        <v>2169</v>
      </c>
      <c r="N45" s="2071">
        <v>4151</v>
      </c>
      <c r="O45" s="138">
        <f t="shared" si="17"/>
        <v>8.1929110981987213E-2</v>
      </c>
      <c r="P45" s="138">
        <f t="shared" si="18"/>
        <v>0.3150784427658338</v>
      </c>
      <c r="Q45" s="2072">
        <f t="shared" si="19"/>
        <v>0.39700755374782104</v>
      </c>
      <c r="R45" s="2070">
        <v>6965</v>
      </c>
      <c r="S45" s="2071">
        <v>625</v>
      </c>
      <c r="T45" s="2071">
        <v>2538</v>
      </c>
      <c r="U45" s="2071">
        <v>3802</v>
      </c>
      <c r="V45" s="138">
        <f t="shared" si="20"/>
        <v>8.9734386216798273E-2</v>
      </c>
      <c r="W45" s="138">
        <f t="shared" si="21"/>
        <v>0.36439339554917444</v>
      </c>
      <c r="X45" s="2072">
        <f t="shared" si="22"/>
        <v>0.54587221823402732</v>
      </c>
      <c r="Y45" s="2070">
        <v>7107</v>
      </c>
      <c r="Z45" s="2071">
        <v>648</v>
      </c>
      <c r="AA45" s="2071">
        <v>2554</v>
      </c>
      <c r="AB45" s="2071">
        <v>3905</v>
      </c>
      <c r="AC45" s="138">
        <f t="shared" si="23"/>
        <v>9.1177712114816373E-2</v>
      </c>
      <c r="AD45" s="138">
        <f t="shared" si="24"/>
        <v>0.35936400731672996</v>
      </c>
      <c r="AE45" s="2072">
        <f t="shared" si="25"/>
        <v>0.54945828056845358</v>
      </c>
      <c r="AF45" s="2070">
        <v>7357</v>
      </c>
      <c r="AG45" s="2071">
        <v>458</v>
      </c>
      <c r="AH45" s="2071">
        <v>2706</v>
      </c>
      <c r="AI45" s="2071">
        <v>4193</v>
      </c>
      <c r="AJ45" s="138">
        <f t="shared" si="26"/>
        <v>6.2253635992931905E-2</v>
      </c>
      <c r="AK45" s="138">
        <f t="shared" si="27"/>
        <v>0.36781296724208234</v>
      </c>
      <c r="AL45" s="2072">
        <f t="shared" si="28"/>
        <v>0.56993339676498578</v>
      </c>
    </row>
    <row r="46" spans="1:38" x14ac:dyDescent="0.3">
      <c r="A46" s="56" t="s">
        <v>101</v>
      </c>
      <c r="B46" s="84" t="s">
        <v>263</v>
      </c>
      <c r="C46" s="57" t="s">
        <v>251</v>
      </c>
      <c r="D46" s="2070">
        <v>5791</v>
      </c>
      <c r="E46" s="2071">
        <v>1171</v>
      </c>
      <c r="F46" s="2071">
        <v>2317</v>
      </c>
      <c r="G46" s="2071">
        <v>2303</v>
      </c>
      <c r="H46" s="138">
        <f t="shared" si="14"/>
        <v>0.20221032636850286</v>
      </c>
      <c r="I46" s="138">
        <f t="shared" si="15"/>
        <v>0.40010360904852355</v>
      </c>
      <c r="J46" s="2072">
        <f t="shared" si="16"/>
        <v>0.60231393541702638</v>
      </c>
      <c r="K46" s="2070">
        <v>5796</v>
      </c>
      <c r="L46" s="2071">
        <v>1589</v>
      </c>
      <c r="M46" s="2071">
        <v>1614</v>
      </c>
      <c r="N46" s="2071">
        <v>2593</v>
      </c>
      <c r="O46" s="138">
        <f t="shared" si="17"/>
        <v>0.27415458937198067</v>
      </c>
      <c r="P46" s="138">
        <f t="shared" si="18"/>
        <v>0.27846790890269152</v>
      </c>
      <c r="Q46" s="2072">
        <f t="shared" si="19"/>
        <v>0.55262249827467214</v>
      </c>
      <c r="R46" s="2070">
        <v>5817</v>
      </c>
      <c r="S46" s="2071">
        <v>1611</v>
      </c>
      <c r="T46" s="2071">
        <v>1470</v>
      </c>
      <c r="U46" s="2071">
        <v>2736</v>
      </c>
      <c r="V46" s="138">
        <f t="shared" si="20"/>
        <v>0.27694687983496646</v>
      </c>
      <c r="W46" s="138">
        <f t="shared" si="21"/>
        <v>0.25270758122743681</v>
      </c>
      <c r="X46" s="2072">
        <f t="shared" si="22"/>
        <v>0.47034553893759667</v>
      </c>
      <c r="Y46" s="2070">
        <v>5915</v>
      </c>
      <c r="Z46" s="2071">
        <v>1363</v>
      </c>
      <c r="AA46" s="2071">
        <v>2195</v>
      </c>
      <c r="AB46" s="2071">
        <v>2357</v>
      </c>
      <c r="AC46" s="138">
        <f t="shared" si="23"/>
        <v>0.23043110735418429</v>
      </c>
      <c r="AD46" s="138">
        <f t="shared" si="24"/>
        <v>0.37109044801352492</v>
      </c>
      <c r="AE46" s="2072">
        <f t="shared" si="25"/>
        <v>0.39847844463229076</v>
      </c>
      <c r="AF46" s="2070">
        <v>5807</v>
      </c>
      <c r="AG46" s="2071">
        <v>1182</v>
      </c>
      <c r="AH46" s="2071">
        <v>2001</v>
      </c>
      <c r="AI46" s="2071">
        <v>2624</v>
      </c>
      <c r="AJ46" s="138">
        <f t="shared" si="26"/>
        <v>0.20354744274151887</v>
      </c>
      <c r="AK46" s="138">
        <f t="shared" si="27"/>
        <v>0.34458412261064231</v>
      </c>
      <c r="AL46" s="2072">
        <f t="shared" si="28"/>
        <v>0.45186843464783882</v>
      </c>
    </row>
    <row r="47" spans="1:38" x14ac:dyDescent="0.3">
      <c r="A47" s="56" t="s">
        <v>103</v>
      </c>
      <c r="B47" s="84" t="s">
        <v>104</v>
      </c>
      <c r="C47" s="57" t="s">
        <v>252</v>
      </c>
      <c r="D47" s="2070">
        <v>14438</v>
      </c>
      <c r="E47" s="2071">
        <v>2744</v>
      </c>
      <c r="F47" s="2071">
        <v>4142</v>
      </c>
      <c r="G47" s="2071">
        <v>7552</v>
      </c>
      <c r="H47" s="138">
        <f t="shared" si="14"/>
        <v>0.19005402410306135</v>
      </c>
      <c r="I47" s="138">
        <f t="shared" si="15"/>
        <v>0.28688183958997093</v>
      </c>
      <c r="J47" s="2072">
        <f t="shared" si="16"/>
        <v>0.47693586369303226</v>
      </c>
      <c r="K47" s="2070">
        <v>14558</v>
      </c>
      <c r="L47" s="2071">
        <v>2949</v>
      </c>
      <c r="M47" s="2071">
        <v>4047</v>
      </c>
      <c r="N47" s="2071">
        <v>7562</v>
      </c>
      <c r="O47" s="138">
        <f t="shared" si="17"/>
        <v>0.2025690342079956</v>
      </c>
      <c r="P47" s="138">
        <f t="shared" si="18"/>
        <v>0.27799148234647614</v>
      </c>
      <c r="Q47" s="2072">
        <f t="shared" si="19"/>
        <v>0.48056051655447179</v>
      </c>
      <c r="R47" s="2070">
        <v>14472</v>
      </c>
      <c r="S47" s="2071">
        <v>2960</v>
      </c>
      <c r="T47" s="2071">
        <v>4668</v>
      </c>
      <c r="U47" s="2071">
        <v>6844</v>
      </c>
      <c r="V47" s="138">
        <f t="shared" si="20"/>
        <v>0.20453289110005529</v>
      </c>
      <c r="W47" s="138">
        <f t="shared" si="21"/>
        <v>0.32255389718076283</v>
      </c>
      <c r="X47" s="2072">
        <f t="shared" si="22"/>
        <v>0.47291321171918188</v>
      </c>
      <c r="Y47" s="2070">
        <v>14264</v>
      </c>
      <c r="Z47" s="2071">
        <v>2764</v>
      </c>
      <c r="AA47" s="2071">
        <v>4532</v>
      </c>
      <c r="AB47" s="2071">
        <v>6968</v>
      </c>
      <c r="AC47" s="138">
        <f t="shared" si="23"/>
        <v>0.19377453729669097</v>
      </c>
      <c r="AD47" s="138">
        <f t="shared" si="24"/>
        <v>0.31772293886707798</v>
      </c>
      <c r="AE47" s="2072">
        <f t="shared" si="25"/>
        <v>0.48850252383623105</v>
      </c>
      <c r="AF47" s="2070">
        <v>14025</v>
      </c>
      <c r="AG47" s="2071">
        <v>2329</v>
      </c>
      <c r="AH47" s="2071">
        <v>4461</v>
      </c>
      <c r="AI47" s="2071">
        <v>7235</v>
      </c>
      <c r="AJ47" s="138">
        <f t="shared" si="26"/>
        <v>0.16606060606060605</v>
      </c>
      <c r="AK47" s="138">
        <f t="shared" si="27"/>
        <v>0.31807486631016041</v>
      </c>
      <c r="AL47" s="2072">
        <f t="shared" si="28"/>
        <v>0.51586452762923352</v>
      </c>
    </row>
    <row r="48" spans="1:38" x14ac:dyDescent="0.3">
      <c r="A48" s="56" t="s">
        <v>107</v>
      </c>
      <c r="B48" s="84" t="s">
        <v>108</v>
      </c>
      <c r="C48" s="57" t="s">
        <v>253</v>
      </c>
      <c r="D48" s="2070">
        <v>36447</v>
      </c>
      <c r="E48" s="2071">
        <v>1639</v>
      </c>
      <c r="F48" s="2071">
        <v>9441</v>
      </c>
      <c r="G48" s="2071">
        <v>25367</v>
      </c>
      <c r="H48" s="138">
        <f t="shared" si="14"/>
        <v>4.4969407633001342E-2</v>
      </c>
      <c r="I48" s="138">
        <f t="shared" si="15"/>
        <v>0.25903366532224875</v>
      </c>
      <c r="J48" s="2072">
        <f t="shared" si="16"/>
        <v>0.30400307295525009</v>
      </c>
      <c r="K48" s="2070">
        <v>36146</v>
      </c>
      <c r="L48" s="2071">
        <v>2218</v>
      </c>
      <c r="M48" s="2071">
        <v>10609</v>
      </c>
      <c r="N48" s="2071">
        <v>23319</v>
      </c>
      <c r="O48" s="138">
        <f t="shared" si="17"/>
        <v>6.1362253084712E-2</v>
      </c>
      <c r="P48" s="138">
        <f t="shared" si="18"/>
        <v>0.29350412217119459</v>
      </c>
      <c r="Q48" s="2072">
        <f t="shared" si="19"/>
        <v>0.35486637525590659</v>
      </c>
      <c r="R48" s="2070">
        <v>37481</v>
      </c>
      <c r="S48" s="2071">
        <v>2186</v>
      </c>
      <c r="T48" s="2071">
        <v>9401</v>
      </c>
      <c r="U48" s="2071">
        <v>25894</v>
      </c>
      <c r="V48" s="138">
        <f t="shared" si="20"/>
        <v>5.8322883594354474E-2</v>
      </c>
      <c r="W48" s="138">
        <f t="shared" si="21"/>
        <v>0.25082041567727648</v>
      </c>
      <c r="X48" s="2072">
        <f t="shared" si="22"/>
        <v>0.69085670072836902</v>
      </c>
      <c r="Y48" s="2070">
        <v>37931</v>
      </c>
      <c r="Z48" s="2071">
        <v>2465</v>
      </c>
      <c r="AA48" s="2071">
        <v>9845</v>
      </c>
      <c r="AB48" s="2071">
        <v>25621</v>
      </c>
      <c r="AC48" s="138">
        <f t="shared" si="23"/>
        <v>6.4986422714929742E-2</v>
      </c>
      <c r="AD48" s="138">
        <f t="shared" si="24"/>
        <v>0.25955023595475996</v>
      </c>
      <c r="AE48" s="2072">
        <f t="shared" si="25"/>
        <v>0.67546334133031027</v>
      </c>
      <c r="AF48" s="2070">
        <v>38599</v>
      </c>
      <c r="AG48" s="2071">
        <v>2177</v>
      </c>
      <c r="AH48" s="2071">
        <v>9070</v>
      </c>
      <c r="AI48" s="2071">
        <v>27352</v>
      </c>
      <c r="AJ48" s="138">
        <f t="shared" si="26"/>
        <v>5.6400424881473614E-2</v>
      </c>
      <c r="AK48" s="138">
        <f t="shared" si="27"/>
        <v>0.23498018083370034</v>
      </c>
      <c r="AL48" s="2072">
        <f t="shared" si="28"/>
        <v>0.70861939428482601</v>
      </c>
    </row>
    <row r="49" spans="1:38" x14ac:dyDescent="0.3">
      <c r="A49" s="56" t="s">
        <v>109</v>
      </c>
      <c r="B49" s="84" t="s">
        <v>110</v>
      </c>
      <c r="C49" s="57" t="s">
        <v>253</v>
      </c>
      <c r="D49" s="2070">
        <v>122128</v>
      </c>
      <c r="E49" s="2071">
        <v>10134</v>
      </c>
      <c r="F49" s="2071">
        <v>35641</v>
      </c>
      <c r="G49" s="2071">
        <v>76353</v>
      </c>
      <c r="H49" s="138">
        <f t="shared" si="14"/>
        <v>8.2978514345604618E-2</v>
      </c>
      <c r="I49" s="138">
        <f t="shared" si="15"/>
        <v>0.2918331586532163</v>
      </c>
      <c r="J49" s="2072">
        <f t="shared" si="16"/>
        <v>0.3748116729988209</v>
      </c>
      <c r="K49" s="2070">
        <v>123501</v>
      </c>
      <c r="L49" s="2071">
        <v>11604</v>
      </c>
      <c r="M49" s="2071">
        <v>39447</v>
      </c>
      <c r="N49" s="2071">
        <v>72450</v>
      </c>
      <c r="O49" s="138">
        <f t="shared" si="17"/>
        <v>9.3958753370418049E-2</v>
      </c>
      <c r="P49" s="138">
        <f t="shared" si="18"/>
        <v>0.31940632059659435</v>
      </c>
      <c r="Q49" s="2072">
        <f t="shared" si="19"/>
        <v>0.41336507396701239</v>
      </c>
      <c r="R49" s="2070">
        <v>124447</v>
      </c>
      <c r="S49" s="2071">
        <v>12078</v>
      </c>
      <c r="T49" s="2071">
        <v>36827</v>
      </c>
      <c r="U49" s="2071">
        <v>75542</v>
      </c>
      <c r="V49" s="138">
        <f t="shared" si="20"/>
        <v>9.7053364082701876E-2</v>
      </c>
      <c r="W49" s="138">
        <f t="shared" si="21"/>
        <v>0.29592517296519805</v>
      </c>
      <c r="X49" s="2072">
        <f t="shared" si="22"/>
        <v>0.60702146295210013</v>
      </c>
      <c r="Y49" s="2070">
        <v>127930</v>
      </c>
      <c r="Z49" s="2071">
        <v>12903</v>
      </c>
      <c r="AA49" s="2071">
        <v>41492</v>
      </c>
      <c r="AB49" s="2071">
        <v>73535</v>
      </c>
      <c r="AC49" s="138">
        <f t="shared" si="23"/>
        <v>0.10085984522785899</v>
      </c>
      <c r="AD49" s="138">
        <f t="shared" si="24"/>
        <v>0.32433361994840931</v>
      </c>
      <c r="AE49" s="2072">
        <f t="shared" si="25"/>
        <v>0.57480653482373167</v>
      </c>
      <c r="AF49" s="2070">
        <v>129408</v>
      </c>
      <c r="AG49" s="2071">
        <v>11474</v>
      </c>
      <c r="AH49" s="2071">
        <v>42965</v>
      </c>
      <c r="AI49" s="2071">
        <v>74969</v>
      </c>
      <c r="AJ49" s="138">
        <f t="shared" si="26"/>
        <v>8.8665306627101884E-2</v>
      </c>
      <c r="AK49" s="138">
        <f t="shared" si="27"/>
        <v>0.332011931256182</v>
      </c>
      <c r="AL49" s="2072">
        <f t="shared" si="28"/>
        <v>0.57932276211671607</v>
      </c>
    </row>
    <row r="50" spans="1:38" x14ac:dyDescent="0.3">
      <c r="A50" s="56" t="s">
        <v>111</v>
      </c>
      <c r="B50" s="84" t="s">
        <v>275</v>
      </c>
      <c r="C50" s="57" t="s">
        <v>252</v>
      </c>
      <c r="D50" s="2070">
        <v>28796</v>
      </c>
      <c r="E50" s="2071">
        <v>5024</v>
      </c>
      <c r="F50" s="2071">
        <v>7976</v>
      </c>
      <c r="G50" s="2071">
        <v>15796</v>
      </c>
      <c r="H50" s="138">
        <f t="shared" si="14"/>
        <v>0.17446867620502848</v>
      </c>
      <c r="I50" s="138">
        <f t="shared" si="15"/>
        <v>0.27698291429365191</v>
      </c>
      <c r="J50" s="2072">
        <f t="shared" si="16"/>
        <v>0.45145159049868039</v>
      </c>
      <c r="K50" s="2070">
        <v>28527</v>
      </c>
      <c r="L50" s="2071">
        <v>5402</v>
      </c>
      <c r="M50" s="2071">
        <v>9178</v>
      </c>
      <c r="N50" s="2071">
        <v>13947</v>
      </c>
      <c r="O50" s="138">
        <f t="shared" si="17"/>
        <v>0.18936446173800259</v>
      </c>
      <c r="P50" s="138">
        <f t="shared" si="18"/>
        <v>0.32173029060188596</v>
      </c>
      <c r="Q50" s="2072">
        <f t="shared" si="19"/>
        <v>0.51109475233988855</v>
      </c>
      <c r="R50" s="2070">
        <v>28446</v>
      </c>
      <c r="S50" s="2071">
        <v>5398</v>
      </c>
      <c r="T50" s="2071">
        <v>8662</v>
      </c>
      <c r="U50" s="2071">
        <v>14386</v>
      </c>
      <c r="V50" s="138">
        <f t="shared" si="20"/>
        <v>0.18976305983266539</v>
      </c>
      <c r="W50" s="138">
        <f t="shared" si="21"/>
        <v>0.30450678478520704</v>
      </c>
      <c r="X50" s="2072">
        <f t="shared" si="22"/>
        <v>0.50573015538212751</v>
      </c>
      <c r="Y50" s="2070">
        <v>27923</v>
      </c>
      <c r="Z50" s="2071">
        <v>5462</v>
      </c>
      <c r="AA50" s="2071">
        <v>9688</v>
      </c>
      <c r="AB50" s="2071">
        <v>12773</v>
      </c>
      <c r="AC50" s="138">
        <f t="shared" si="23"/>
        <v>0.19560935429574186</v>
      </c>
      <c r="AD50" s="138">
        <f t="shared" si="24"/>
        <v>0.34695412384056157</v>
      </c>
      <c r="AE50" s="2072">
        <f t="shared" si="25"/>
        <v>0.4574365218636966</v>
      </c>
      <c r="AF50" s="2070">
        <v>27228</v>
      </c>
      <c r="AG50" s="2071">
        <v>5601</v>
      </c>
      <c r="AH50" s="2071">
        <v>8792</v>
      </c>
      <c r="AI50" s="2071">
        <v>12835</v>
      </c>
      <c r="AJ50" s="138">
        <f t="shared" si="26"/>
        <v>0.20570736007051565</v>
      </c>
      <c r="AK50" s="138">
        <f t="shared" si="27"/>
        <v>0.32290289407962391</v>
      </c>
      <c r="AL50" s="2072">
        <f t="shared" si="28"/>
        <v>0.47138974584986043</v>
      </c>
    </row>
    <row r="51" spans="1:38" x14ac:dyDescent="0.3">
      <c r="A51" s="56" t="s">
        <v>113</v>
      </c>
      <c r="B51" s="84" t="s">
        <v>114</v>
      </c>
      <c r="C51" s="57" t="s">
        <v>252</v>
      </c>
      <c r="D51" s="2070">
        <v>1130</v>
      </c>
      <c r="E51" s="2071">
        <v>127</v>
      </c>
      <c r="F51" s="2071">
        <v>243</v>
      </c>
      <c r="G51" s="2071">
        <v>760</v>
      </c>
      <c r="H51" s="138">
        <f t="shared" si="14"/>
        <v>0.11238938053097346</v>
      </c>
      <c r="I51" s="138">
        <f t="shared" si="15"/>
        <v>0.21504424778761061</v>
      </c>
      <c r="J51" s="2072">
        <f t="shared" si="16"/>
        <v>0.32743362831858408</v>
      </c>
      <c r="K51" s="2070">
        <v>1052</v>
      </c>
      <c r="L51" s="2071">
        <v>108</v>
      </c>
      <c r="M51" s="2071">
        <v>191</v>
      </c>
      <c r="N51" s="2071">
        <v>753</v>
      </c>
      <c r="O51" s="138">
        <f t="shared" si="17"/>
        <v>0.10266159695817491</v>
      </c>
      <c r="P51" s="138">
        <f t="shared" si="18"/>
        <v>0.18155893536121673</v>
      </c>
      <c r="Q51" s="2072">
        <f t="shared" si="19"/>
        <v>0.28422053231939165</v>
      </c>
      <c r="R51" s="2070">
        <v>1067</v>
      </c>
      <c r="S51" s="2071">
        <v>129</v>
      </c>
      <c r="T51" s="2071">
        <v>306</v>
      </c>
      <c r="U51" s="2071">
        <v>632</v>
      </c>
      <c r="V51" s="138">
        <f t="shared" si="20"/>
        <v>0.12089971883786317</v>
      </c>
      <c r="W51" s="138">
        <f t="shared" si="21"/>
        <v>0.28678537956888472</v>
      </c>
      <c r="X51" s="2072">
        <f t="shared" si="22"/>
        <v>0.59231490159325206</v>
      </c>
      <c r="Y51" s="2070">
        <v>1121</v>
      </c>
      <c r="Z51" s="2071">
        <v>132</v>
      </c>
      <c r="AA51" s="2071">
        <v>299</v>
      </c>
      <c r="AB51" s="2071">
        <v>690</v>
      </c>
      <c r="AC51" s="138">
        <f t="shared" si="23"/>
        <v>0.11775200713648529</v>
      </c>
      <c r="AD51" s="138">
        <f t="shared" si="24"/>
        <v>0.26672613737734163</v>
      </c>
      <c r="AE51" s="2072">
        <f t="shared" si="25"/>
        <v>0.61552185548617311</v>
      </c>
      <c r="AF51" s="2070">
        <v>1123</v>
      </c>
      <c r="AG51" s="2071">
        <v>133</v>
      </c>
      <c r="AH51" s="2071">
        <v>316</v>
      </c>
      <c r="AI51" s="2071">
        <v>674</v>
      </c>
      <c r="AJ51" s="138">
        <f t="shared" si="26"/>
        <v>0.11843276936776491</v>
      </c>
      <c r="AK51" s="138">
        <f t="shared" si="27"/>
        <v>0.28138913624220835</v>
      </c>
      <c r="AL51" s="2072">
        <f t="shared" si="28"/>
        <v>0.60017809439002667</v>
      </c>
    </row>
    <row r="52" spans="1:38" x14ac:dyDescent="0.3">
      <c r="A52" s="56" t="s">
        <v>117</v>
      </c>
      <c r="B52" s="84" t="s">
        <v>257</v>
      </c>
      <c r="C52" s="57" t="s">
        <v>251</v>
      </c>
      <c r="D52" s="2070">
        <v>13379</v>
      </c>
      <c r="E52" s="2071">
        <v>1122</v>
      </c>
      <c r="F52" s="2071">
        <v>3283</v>
      </c>
      <c r="G52" s="2071">
        <v>8974</v>
      </c>
      <c r="H52" s="138">
        <f t="shared" si="14"/>
        <v>8.3862770012706478E-2</v>
      </c>
      <c r="I52" s="138">
        <f t="shared" si="15"/>
        <v>0.24538455788922939</v>
      </c>
      <c r="J52" s="2072">
        <f t="shared" si="16"/>
        <v>0.32924732790193589</v>
      </c>
      <c r="K52" s="2070">
        <v>13353</v>
      </c>
      <c r="L52" s="2071">
        <v>1248</v>
      </c>
      <c r="M52" s="2071">
        <v>4200</v>
      </c>
      <c r="N52" s="2071">
        <v>7905</v>
      </c>
      <c r="O52" s="138">
        <f t="shared" si="17"/>
        <v>9.3462143338575596E-2</v>
      </c>
      <c r="P52" s="138">
        <f t="shared" si="18"/>
        <v>0.31453605931251405</v>
      </c>
      <c r="Q52" s="2072">
        <f t="shared" si="19"/>
        <v>0.40799820265108966</v>
      </c>
      <c r="R52" s="2070">
        <v>13519</v>
      </c>
      <c r="S52" s="2071">
        <v>1472</v>
      </c>
      <c r="T52" s="2071">
        <v>3528</v>
      </c>
      <c r="U52" s="2071">
        <v>8519</v>
      </c>
      <c r="V52" s="138">
        <f t="shared" si="20"/>
        <v>0.10888379317996894</v>
      </c>
      <c r="W52" s="138">
        <f t="shared" si="21"/>
        <v>0.26096604778459948</v>
      </c>
      <c r="X52" s="2072">
        <f t="shared" si="22"/>
        <v>0.63015015903543159</v>
      </c>
      <c r="Y52" s="2070">
        <v>13902</v>
      </c>
      <c r="Z52" s="2071">
        <v>1365</v>
      </c>
      <c r="AA52" s="2071">
        <v>3539</v>
      </c>
      <c r="AB52" s="2071">
        <v>8998</v>
      </c>
      <c r="AC52" s="138">
        <f t="shared" si="23"/>
        <v>9.8187311178247735E-2</v>
      </c>
      <c r="AD52" s="138">
        <f t="shared" si="24"/>
        <v>0.2545676881024313</v>
      </c>
      <c r="AE52" s="2072">
        <f t="shared" si="25"/>
        <v>0.64724500071932101</v>
      </c>
      <c r="AF52" s="2070">
        <v>14304</v>
      </c>
      <c r="AG52" s="2071">
        <v>1312</v>
      </c>
      <c r="AH52" s="2071">
        <v>3661</v>
      </c>
      <c r="AI52" s="2071">
        <v>9331</v>
      </c>
      <c r="AJ52" s="138">
        <f t="shared" si="26"/>
        <v>9.1722595078299773E-2</v>
      </c>
      <c r="AK52" s="138">
        <f t="shared" si="27"/>
        <v>0.2559423937360179</v>
      </c>
      <c r="AL52" s="2072">
        <f t="shared" si="28"/>
        <v>0.65233501118568238</v>
      </c>
    </row>
    <row r="53" spans="1:38" x14ac:dyDescent="0.3">
      <c r="A53" s="56" t="s">
        <v>119</v>
      </c>
      <c r="B53" s="84" t="s">
        <v>120</v>
      </c>
      <c r="C53" s="57" t="s">
        <v>251</v>
      </c>
      <c r="D53" s="2070">
        <v>26912</v>
      </c>
      <c r="E53" s="2071">
        <v>1700</v>
      </c>
      <c r="F53" s="2071">
        <v>8145</v>
      </c>
      <c r="G53" s="2071">
        <v>17067</v>
      </c>
      <c r="H53" s="138">
        <f t="shared" si="14"/>
        <v>6.3168846611177165E-2</v>
      </c>
      <c r="I53" s="138">
        <f t="shared" si="15"/>
        <v>0.30265309155766945</v>
      </c>
      <c r="J53" s="2072">
        <f t="shared" si="16"/>
        <v>0.36582193816884662</v>
      </c>
      <c r="K53" s="2070">
        <v>27360</v>
      </c>
      <c r="L53" s="2071">
        <v>1984</v>
      </c>
      <c r="M53" s="2071">
        <v>7930</v>
      </c>
      <c r="N53" s="2071">
        <v>17446</v>
      </c>
      <c r="O53" s="138">
        <f t="shared" si="17"/>
        <v>7.2514619883040934E-2</v>
      </c>
      <c r="P53" s="138">
        <f t="shared" si="18"/>
        <v>0.28983918128654973</v>
      </c>
      <c r="Q53" s="2072">
        <f t="shared" si="19"/>
        <v>0.36235380116959065</v>
      </c>
      <c r="R53" s="2070">
        <v>29312</v>
      </c>
      <c r="S53" s="2071">
        <v>2019</v>
      </c>
      <c r="T53" s="2071">
        <v>9161</v>
      </c>
      <c r="U53" s="2071">
        <v>18132</v>
      </c>
      <c r="V53" s="138">
        <f t="shared" si="20"/>
        <v>6.8879639737991272E-2</v>
      </c>
      <c r="W53" s="138">
        <f t="shared" si="21"/>
        <v>0.31253411572052403</v>
      </c>
      <c r="X53" s="2072">
        <f t="shared" si="22"/>
        <v>0.6185862445414847</v>
      </c>
      <c r="Y53" s="2070">
        <v>28480</v>
      </c>
      <c r="Z53" s="2071">
        <v>2069</v>
      </c>
      <c r="AA53" s="2071">
        <v>7675</v>
      </c>
      <c r="AB53" s="2071">
        <v>18736</v>
      </c>
      <c r="AC53" s="138">
        <f t="shared" si="23"/>
        <v>7.2647471910112366E-2</v>
      </c>
      <c r="AD53" s="138">
        <f t="shared" si="24"/>
        <v>0.2694873595505618</v>
      </c>
      <c r="AE53" s="2072">
        <f t="shared" si="25"/>
        <v>0.65786516853932586</v>
      </c>
      <c r="AF53" s="2070">
        <v>28766</v>
      </c>
      <c r="AG53" s="2071">
        <v>2053</v>
      </c>
      <c r="AH53" s="2071">
        <v>7545</v>
      </c>
      <c r="AI53" s="2071">
        <v>19168</v>
      </c>
      <c r="AJ53" s="138">
        <f t="shared" si="26"/>
        <v>7.1368977264826536E-2</v>
      </c>
      <c r="AK53" s="138">
        <f t="shared" si="27"/>
        <v>0.26228881318222902</v>
      </c>
      <c r="AL53" s="2072">
        <f t="shared" si="28"/>
        <v>0.66634220955294443</v>
      </c>
    </row>
    <row r="54" spans="1:38" x14ac:dyDescent="0.3">
      <c r="A54" s="56" t="s">
        <v>121</v>
      </c>
      <c r="B54" s="84" t="s">
        <v>258</v>
      </c>
      <c r="C54" s="57" t="s">
        <v>253</v>
      </c>
      <c r="D54" s="2070">
        <v>2815</v>
      </c>
      <c r="E54" s="2071">
        <v>282</v>
      </c>
      <c r="F54" s="2071">
        <v>1110</v>
      </c>
      <c r="G54" s="2071">
        <v>1423</v>
      </c>
      <c r="H54" s="138">
        <f t="shared" si="14"/>
        <v>0.10017761989342806</v>
      </c>
      <c r="I54" s="138">
        <f t="shared" si="15"/>
        <v>0.39431616341030196</v>
      </c>
      <c r="J54" s="2072">
        <f t="shared" si="16"/>
        <v>0.49449378330373001</v>
      </c>
      <c r="K54" s="2070">
        <v>2924</v>
      </c>
      <c r="L54" s="2071">
        <v>204</v>
      </c>
      <c r="M54" s="2071">
        <v>1033</v>
      </c>
      <c r="N54" s="2071">
        <v>1687</v>
      </c>
      <c r="O54" s="138">
        <f t="shared" si="17"/>
        <v>6.9767441860465115E-2</v>
      </c>
      <c r="P54" s="138">
        <f t="shared" si="18"/>
        <v>0.3532831737346101</v>
      </c>
      <c r="Q54" s="2072">
        <f t="shared" si="19"/>
        <v>0.42305061559507523</v>
      </c>
      <c r="R54" s="2070">
        <v>2832</v>
      </c>
      <c r="S54" s="2071">
        <v>281</v>
      </c>
      <c r="T54" s="2071">
        <v>1156</v>
      </c>
      <c r="U54" s="2071">
        <v>1395</v>
      </c>
      <c r="V54" s="138">
        <f t="shared" si="20"/>
        <v>9.9223163841807904E-2</v>
      </c>
      <c r="W54" s="138">
        <f t="shared" si="21"/>
        <v>0.40819209039548021</v>
      </c>
      <c r="X54" s="2072">
        <f t="shared" si="22"/>
        <v>0.49258474576271188</v>
      </c>
      <c r="Y54" s="2070">
        <v>2807</v>
      </c>
      <c r="Z54" s="2071">
        <v>282</v>
      </c>
      <c r="AA54" s="2071">
        <v>1052</v>
      </c>
      <c r="AB54" s="2071">
        <v>1473</v>
      </c>
      <c r="AC54" s="138">
        <f t="shared" si="23"/>
        <v>0.10046312789454934</v>
      </c>
      <c r="AD54" s="138">
        <f t="shared" si="24"/>
        <v>0.37477734235838972</v>
      </c>
      <c r="AE54" s="2072">
        <f t="shared" si="25"/>
        <v>0.52475952974706097</v>
      </c>
      <c r="AF54" s="2070">
        <v>2826</v>
      </c>
      <c r="AG54" s="2071">
        <v>339</v>
      </c>
      <c r="AH54" s="2071">
        <v>836</v>
      </c>
      <c r="AI54" s="2071">
        <v>1651</v>
      </c>
      <c r="AJ54" s="138">
        <f t="shared" si="26"/>
        <v>0.11995753715498939</v>
      </c>
      <c r="AK54" s="138">
        <f t="shared" si="27"/>
        <v>0.29582448690728946</v>
      </c>
      <c r="AL54" s="2072">
        <f t="shared" si="28"/>
        <v>0.58421797593772118</v>
      </c>
    </row>
    <row r="55" spans="1:38" x14ac:dyDescent="0.3">
      <c r="A55" s="56" t="s">
        <v>123</v>
      </c>
      <c r="B55" s="84" t="s">
        <v>124</v>
      </c>
      <c r="C55" s="57" t="s">
        <v>254</v>
      </c>
      <c r="D55" s="2070">
        <v>8308</v>
      </c>
      <c r="E55" s="2071">
        <v>501</v>
      </c>
      <c r="F55" s="2071">
        <v>1428</v>
      </c>
      <c r="G55" s="2071">
        <v>6379</v>
      </c>
      <c r="H55" s="138">
        <f t="shared" si="14"/>
        <v>6.030332209918151E-2</v>
      </c>
      <c r="I55" s="138">
        <f t="shared" si="15"/>
        <v>0.17188252286952335</v>
      </c>
      <c r="J55" s="2072">
        <f t="shared" si="16"/>
        <v>0.23218584496870487</v>
      </c>
      <c r="K55" s="2070">
        <v>8023</v>
      </c>
      <c r="L55" s="2071">
        <v>458</v>
      </c>
      <c r="M55" s="2071">
        <v>1398</v>
      </c>
      <c r="N55" s="2071">
        <v>6167</v>
      </c>
      <c r="O55" s="138">
        <f t="shared" si="17"/>
        <v>5.7085878100461174E-2</v>
      </c>
      <c r="P55" s="138">
        <f t="shared" si="18"/>
        <v>0.17424903402717187</v>
      </c>
      <c r="Q55" s="2072">
        <f t="shared" si="19"/>
        <v>0.23133491212763305</v>
      </c>
      <c r="R55" s="2070">
        <v>8315</v>
      </c>
      <c r="S55" s="2071">
        <v>474</v>
      </c>
      <c r="T55" s="2071">
        <v>1589</v>
      </c>
      <c r="U55" s="2071">
        <v>6252</v>
      </c>
      <c r="V55" s="138">
        <f t="shared" si="20"/>
        <v>5.7005411906193626E-2</v>
      </c>
      <c r="W55" s="138">
        <f t="shared" si="21"/>
        <v>0.1911004209260373</v>
      </c>
      <c r="X55" s="2072">
        <f t="shared" si="22"/>
        <v>0.75189416716776913</v>
      </c>
      <c r="Y55" s="2070">
        <v>8669</v>
      </c>
      <c r="Z55" s="2071">
        <v>582</v>
      </c>
      <c r="AA55" s="2071">
        <v>1523</v>
      </c>
      <c r="AB55" s="2071">
        <v>6564</v>
      </c>
      <c r="AC55" s="138">
        <f t="shared" si="23"/>
        <v>6.7135771138539621E-2</v>
      </c>
      <c r="AD55" s="138">
        <f t="shared" si="24"/>
        <v>0.1756834698350444</v>
      </c>
      <c r="AE55" s="2072">
        <f t="shared" si="25"/>
        <v>0.75718075902641602</v>
      </c>
      <c r="AF55" s="2070">
        <v>9103</v>
      </c>
      <c r="AG55" s="2071">
        <v>590</v>
      </c>
      <c r="AH55" s="2071">
        <v>1851</v>
      </c>
      <c r="AI55" s="2071">
        <v>6662</v>
      </c>
      <c r="AJ55" s="138">
        <f t="shared" si="26"/>
        <v>6.4813797649126662E-2</v>
      </c>
      <c r="AK55" s="138">
        <f t="shared" si="27"/>
        <v>0.20333955838734483</v>
      </c>
      <c r="AL55" s="2072">
        <f t="shared" si="28"/>
        <v>0.7318466439635285</v>
      </c>
    </row>
    <row r="56" spans="1:38" x14ac:dyDescent="0.3">
      <c r="A56" s="56" t="s">
        <v>125</v>
      </c>
      <c r="B56" s="84" t="s">
        <v>126</v>
      </c>
      <c r="C56" s="57" t="s">
        <v>253</v>
      </c>
      <c r="D56" s="2070">
        <v>5909</v>
      </c>
      <c r="E56" s="2071">
        <v>439</v>
      </c>
      <c r="F56" s="2071">
        <v>1383</v>
      </c>
      <c r="G56" s="2071">
        <v>4087</v>
      </c>
      <c r="H56" s="138">
        <f t="shared" si="14"/>
        <v>7.4293450668471817E-2</v>
      </c>
      <c r="I56" s="138">
        <f t="shared" si="15"/>
        <v>0.2340497546116094</v>
      </c>
      <c r="J56" s="2072">
        <f t="shared" si="16"/>
        <v>0.30834320528008125</v>
      </c>
      <c r="K56" s="2070">
        <v>6035</v>
      </c>
      <c r="L56" s="2071">
        <v>544</v>
      </c>
      <c r="M56" s="2071">
        <v>1334</v>
      </c>
      <c r="N56" s="2071">
        <v>4157</v>
      </c>
      <c r="O56" s="138">
        <f t="shared" si="17"/>
        <v>9.014084507042254E-2</v>
      </c>
      <c r="P56" s="138">
        <f t="shared" si="18"/>
        <v>0.22104391052195527</v>
      </c>
      <c r="Q56" s="2072">
        <f t="shared" si="19"/>
        <v>0.31118475559237779</v>
      </c>
      <c r="R56" s="2070">
        <v>6147</v>
      </c>
      <c r="S56" s="2071">
        <v>572</v>
      </c>
      <c r="T56" s="2071">
        <v>1685</v>
      </c>
      <c r="U56" s="2071">
        <v>3890</v>
      </c>
      <c r="V56" s="138">
        <f t="shared" si="20"/>
        <v>9.3053522043273135E-2</v>
      </c>
      <c r="W56" s="138">
        <f t="shared" si="21"/>
        <v>0.27411745566943224</v>
      </c>
      <c r="X56" s="2072">
        <f t="shared" si="22"/>
        <v>0.63282902228729465</v>
      </c>
      <c r="Y56" s="2070">
        <v>6066</v>
      </c>
      <c r="Z56" s="2071">
        <v>488</v>
      </c>
      <c r="AA56" s="2071">
        <v>2089</v>
      </c>
      <c r="AB56" s="2071">
        <v>3489</v>
      </c>
      <c r="AC56" s="138">
        <f t="shared" si="23"/>
        <v>8.044840092317837E-2</v>
      </c>
      <c r="AD56" s="138">
        <f t="shared" si="24"/>
        <v>0.34437850313221235</v>
      </c>
      <c r="AE56" s="2072">
        <f t="shared" si="25"/>
        <v>0.5751730959446093</v>
      </c>
      <c r="AF56" s="2070">
        <v>6170</v>
      </c>
      <c r="AG56" s="2071">
        <v>387</v>
      </c>
      <c r="AH56" s="2071">
        <v>2005</v>
      </c>
      <c r="AI56" s="2071">
        <v>3778</v>
      </c>
      <c r="AJ56" s="138">
        <f t="shared" si="26"/>
        <v>6.2722852512155591E-2</v>
      </c>
      <c r="AK56" s="138">
        <f t="shared" si="27"/>
        <v>0.32495948136142627</v>
      </c>
      <c r="AL56" s="2072">
        <f t="shared" si="28"/>
        <v>0.61231766612641814</v>
      </c>
    </row>
    <row r="57" spans="1:38" x14ac:dyDescent="0.3">
      <c r="A57" s="56" t="s">
        <v>127</v>
      </c>
      <c r="B57" s="84" t="s">
        <v>128</v>
      </c>
      <c r="C57" s="57" t="s">
        <v>253</v>
      </c>
      <c r="D57" s="2070">
        <v>5421</v>
      </c>
      <c r="E57" s="2071">
        <v>525</v>
      </c>
      <c r="F57" s="2071">
        <v>1321</v>
      </c>
      <c r="G57" s="2071">
        <v>3575</v>
      </c>
      <c r="H57" s="138">
        <f t="shared" si="14"/>
        <v>9.6845600442722751E-2</v>
      </c>
      <c r="I57" s="138">
        <f t="shared" si="15"/>
        <v>0.24368197749492715</v>
      </c>
      <c r="J57" s="2072">
        <f t="shared" si="16"/>
        <v>0.34052757793764987</v>
      </c>
      <c r="K57" s="2070">
        <v>5395</v>
      </c>
      <c r="L57" s="2071">
        <v>577</v>
      </c>
      <c r="M57" s="2071">
        <v>1526</v>
      </c>
      <c r="N57" s="2071">
        <v>3292</v>
      </c>
      <c r="O57" s="138">
        <f t="shared" si="17"/>
        <v>0.10695088044485634</v>
      </c>
      <c r="P57" s="138">
        <f t="shared" si="18"/>
        <v>0.28285449490268766</v>
      </c>
      <c r="Q57" s="2072">
        <f t="shared" si="19"/>
        <v>0.389805375347544</v>
      </c>
      <c r="R57" s="2070">
        <v>5283</v>
      </c>
      <c r="S57" s="2071">
        <v>657</v>
      </c>
      <c r="T57" s="2071">
        <v>1432</v>
      </c>
      <c r="U57" s="2071">
        <v>3194</v>
      </c>
      <c r="V57" s="138">
        <f t="shared" si="20"/>
        <v>0.12436115843270869</v>
      </c>
      <c r="W57" s="138">
        <f t="shared" si="21"/>
        <v>0.27105811092182475</v>
      </c>
      <c r="X57" s="2072">
        <f t="shared" si="22"/>
        <v>0.60458073064546658</v>
      </c>
      <c r="Y57" s="2070">
        <v>5097</v>
      </c>
      <c r="Z57" s="2071">
        <v>613</v>
      </c>
      <c r="AA57" s="2071">
        <v>1504</v>
      </c>
      <c r="AB57" s="2071">
        <v>2980</v>
      </c>
      <c r="AC57" s="138">
        <f t="shared" si="23"/>
        <v>0.12026682362173828</v>
      </c>
      <c r="AD57" s="138">
        <f t="shared" si="24"/>
        <v>0.29507553462821268</v>
      </c>
      <c r="AE57" s="2072">
        <f t="shared" si="25"/>
        <v>0.58465764175004908</v>
      </c>
      <c r="AF57" s="2070">
        <v>5142</v>
      </c>
      <c r="AG57" s="2071">
        <v>493</v>
      </c>
      <c r="AH57" s="2071">
        <v>1748</v>
      </c>
      <c r="AI57" s="2071">
        <v>2901</v>
      </c>
      <c r="AJ57" s="138">
        <f t="shared" si="26"/>
        <v>9.587709062621548E-2</v>
      </c>
      <c r="AK57" s="138">
        <f t="shared" si="27"/>
        <v>0.33994554647996889</v>
      </c>
      <c r="AL57" s="2072">
        <f t="shared" si="28"/>
        <v>0.56417736289381559</v>
      </c>
    </row>
    <row r="58" spans="1:38" x14ac:dyDescent="0.3">
      <c r="A58" s="56" t="s">
        <v>129</v>
      </c>
      <c r="B58" s="84" t="s">
        <v>130</v>
      </c>
      <c r="C58" s="57" t="s">
        <v>255</v>
      </c>
      <c r="D58" s="2070">
        <v>9877</v>
      </c>
      <c r="E58" s="2071">
        <v>2432</v>
      </c>
      <c r="F58" s="2071">
        <v>2573</v>
      </c>
      <c r="G58" s="2071">
        <v>4872</v>
      </c>
      <c r="H58" s="138">
        <f t="shared" si="14"/>
        <v>0.2462286119266984</v>
      </c>
      <c r="I58" s="138">
        <f t="shared" si="15"/>
        <v>0.26050420168067229</v>
      </c>
      <c r="J58" s="2072">
        <f t="shared" si="16"/>
        <v>0.50673281360737066</v>
      </c>
      <c r="K58" s="2070">
        <v>9799</v>
      </c>
      <c r="L58" s="2071">
        <v>2245</v>
      </c>
      <c r="M58" s="2071">
        <v>3437</v>
      </c>
      <c r="N58" s="2071">
        <v>4117</v>
      </c>
      <c r="O58" s="138">
        <f t="shared" si="17"/>
        <v>0.22910501071537911</v>
      </c>
      <c r="P58" s="138">
        <f t="shared" si="18"/>
        <v>0.35075007653842227</v>
      </c>
      <c r="Q58" s="2072">
        <f t="shared" si="19"/>
        <v>0.57985508725380142</v>
      </c>
      <c r="R58" s="2070">
        <v>9597</v>
      </c>
      <c r="S58" s="2071">
        <v>2420</v>
      </c>
      <c r="T58" s="2071">
        <v>3158</v>
      </c>
      <c r="U58" s="2071">
        <v>4019</v>
      </c>
      <c r="V58" s="138">
        <f t="shared" si="20"/>
        <v>0.25216213400020837</v>
      </c>
      <c r="W58" s="138">
        <f t="shared" si="21"/>
        <v>0.32906116494737941</v>
      </c>
      <c r="X58" s="2072">
        <f t="shared" si="22"/>
        <v>0.41877670105241221</v>
      </c>
      <c r="Y58" s="2070">
        <v>9282</v>
      </c>
      <c r="Z58" s="2071">
        <v>2385</v>
      </c>
      <c r="AA58" s="2071">
        <v>3182</v>
      </c>
      <c r="AB58" s="2071">
        <v>3715</v>
      </c>
      <c r="AC58" s="138">
        <f t="shared" si="23"/>
        <v>0.25694893341952163</v>
      </c>
      <c r="AD58" s="138">
        <f t="shared" si="24"/>
        <v>0.34281404869640164</v>
      </c>
      <c r="AE58" s="2072">
        <f t="shared" si="25"/>
        <v>0.40023701788407673</v>
      </c>
      <c r="AF58" s="2070">
        <v>9149</v>
      </c>
      <c r="AG58" s="2071">
        <v>2442</v>
      </c>
      <c r="AH58" s="2071">
        <v>3179</v>
      </c>
      <c r="AI58" s="2071">
        <v>3528</v>
      </c>
      <c r="AJ58" s="138">
        <f t="shared" si="26"/>
        <v>0.26691441687616135</v>
      </c>
      <c r="AK58" s="138">
        <f t="shared" si="27"/>
        <v>0.34746966881626407</v>
      </c>
      <c r="AL58" s="2072">
        <f t="shared" si="28"/>
        <v>0.38561591430757458</v>
      </c>
    </row>
    <row r="59" spans="1:38" x14ac:dyDescent="0.3">
      <c r="A59" s="56" t="s">
        <v>131</v>
      </c>
      <c r="B59" s="84" t="s">
        <v>132</v>
      </c>
      <c r="C59" s="57" t="s">
        <v>254</v>
      </c>
      <c r="D59" s="2070">
        <v>102979</v>
      </c>
      <c r="E59" s="2071">
        <v>3166</v>
      </c>
      <c r="F59" s="2071">
        <v>22728</v>
      </c>
      <c r="G59" s="2071">
        <v>77085</v>
      </c>
      <c r="H59" s="138">
        <f t="shared" si="14"/>
        <v>3.0744132298818207E-2</v>
      </c>
      <c r="I59" s="138">
        <f t="shared" si="15"/>
        <v>0.22070519232076444</v>
      </c>
      <c r="J59" s="2072">
        <f t="shared" si="16"/>
        <v>0.25144932461958264</v>
      </c>
      <c r="K59" s="2070">
        <v>108559</v>
      </c>
      <c r="L59" s="2071">
        <v>3468</v>
      </c>
      <c r="M59" s="2071">
        <v>25103</v>
      </c>
      <c r="N59" s="2071">
        <v>79988</v>
      </c>
      <c r="O59" s="138">
        <f t="shared" si="17"/>
        <v>3.1945762212253245E-2</v>
      </c>
      <c r="P59" s="138">
        <f t="shared" si="18"/>
        <v>0.23123831280686077</v>
      </c>
      <c r="Q59" s="2072">
        <f t="shared" si="19"/>
        <v>0.26318407501911401</v>
      </c>
      <c r="R59" s="2070">
        <v>117946</v>
      </c>
      <c r="S59" s="2071">
        <v>4907</v>
      </c>
      <c r="T59" s="2071">
        <v>25453</v>
      </c>
      <c r="U59" s="2071">
        <v>87586</v>
      </c>
      <c r="V59" s="138">
        <f t="shared" si="20"/>
        <v>4.1603784782866735E-2</v>
      </c>
      <c r="W59" s="138">
        <f t="shared" si="21"/>
        <v>0.21580214674512066</v>
      </c>
      <c r="X59" s="2072">
        <f t="shared" si="22"/>
        <v>0.74259406847201259</v>
      </c>
      <c r="Y59" s="2070">
        <v>124916</v>
      </c>
      <c r="Z59" s="2071">
        <v>4682</v>
      </c>
      <c r="AA59" s="2071">
        <v>25939</v>
      </c>
      <c r="AB59" s="2071">
        <v>94295</v>
      </c>
      <c r="AC59" s="138">
        <f t="shared" si="23"/>
        <v>3.7481187357904511E-2</v>
      </c>
      <c r="AD59" s="138">
        <f t="shared" si="24"/>
        <v>0.20765154183611387</v>
      </c>
      <c r="AE59" s="2072">
        <f t="shared" si="25"/>
        <v>0.75486727080598159</v>
      </c>
      <c r="AF59" s="2070">
        <v>133417</v>
      </c>
      <c r="AG59" s="2071">
        <v>4259</v>
      </c>
      <c r="AH59" s="2071">
        <v>27074</v>
      </c>
      <c r="AI59" s="2071">
        <v>102084</v>
      </c>
      <c r="AJ59" s="138">
        <f t="shared" si="26"/>
        <v>3.1922468650921548E-2</v>
      </c>
      <c r="AK59" s="138">
        <f t="shared" si="27"/>
        <v>0.20292766289153555</v>
      </c>
      <c r="AL59" s="2072">
        <f t="shared" si="28"/>
        <v>0.76514986845754285</v>
      </c>
    </row>
    <row r="60" spans="1:38" x14ac:dyDescent="0.3">
      <c r="A60" s="56" t="s">
        <v>133</v>
      </c>
      <c r="B60" s="84" t="s">
        <v>134</v>
      </c>
      <c r="C60" s="57" t="s">
        <v>254</v>
      </c>
      <c r="D60" s="2070">
        <v>13406</v>
      </c>
      <c r="E60" s="2071">
        <v>1243</v>
      </c>
      <c r="F60" s="2071">
        <v>2969</v>
      </c>
      <c r="G60" s="2071">
        <v>9194</v>
      </c>
      <c r="H60" s="138">
        <f t="shared" si="14"/>
        <v>9.2719677756228552E-2</v>
      </c>
      <c r="I60" s="138">
        <f t="shared" si="15"/>
        <v>0.22146799940325226</v>
      </c>
      <c r="J60" s="2072">
        <f t="shared" si="16"/>
        <v>0.31418767715948082</v>
      </c>
      <c r="K60" s="2070">
        <v>12728</v>
      </c>
      <c r="L60" s="2071">
        <v>956</v>
      </c>
      <c r="M60" s="2071">
        <v>3049</v>
      </c>
      <c r="N60" s="2071">
        <v>8723</v>
      </c>
      <c r="O60" s="138">
        <f t="shared" si="17"/>
        <v>7.5109993714644871E-2</v>
      </c>
      <c r="P60" s="138">
        <f t="shared" si="18"/>
        <v>0.23955059710873663</v>
      </c>
      <c r="Q60" s="2072">
        <f t="shared" si="19"/>
        <v>0.31466059082338155</v>
      </c>
      <c r="R60" s="2070">
        <v>12811</v>
      </c>
      <c r="S60" s="2071">
        <v>1162</v>
      </c>
      <c r="T60" s="2071">
        <v>3267</v>
      </c>
      <c r="U60" s="2071">
        <v>8382</v>
      </c>
      <c r="V60" s="138">
        <f t="shared" si="20"/>
        <v>9.0703301849972676E-2</v>
      </c>
      <c r="W60" s="138">
        <f t="shared" si="21"/>
        <v>0.25501522129420029</v>
      </c>
      <c r="X60" s="2072">
        <f t="shared" si="22"/>
        <v>0.65428147685582705</v>
      </c>
      <c r="Y60" s="2070">
        <v>13146</v>
      </c>
      <c r="Z60" s="2071">
        <v>1508</v>
      </c>
      <c r="AA60" s="2071">
        <v>3506</v>
      </c>
      <c r="AB60" s="2071">
        <v>8132</v>
      </c>
      <c r="AC60" s="138">
        <f t="shared" si="23"/>
        <v>0.11471169937623611</v>
      </c>
      <c r="AD60" s="138">
        <f t="shared" si="24"/>
        <v>0.26669709417313253</v>
      </c>
      <c r="AE60" s="2072">
        <f t="shared" si="25"/>
        <v>0.61859120645063137</v>
      </c>
      <c r="AF60" s="2070">
        <v>13575</v>
      </c>
      <c r="AG60" s="2071">
        <v>1691</v>
      </c>
      <c r="AH60" s="2071">
        <v>3453</v>
      </c>
      <c r="AI60" s="2071">
        <v>8431</v>
      </c>
      <c r="AJ60" s="138">
        <f t="shared" si="26"/>
        <v>0.12456721915285451</v>
      </c>
      <c r="AK60" s="138">
        <f t="shared" si="27"/>
        <v>0.25436464088397792</v>
      </c>
      <c r="AL60" s="2072">
        <f t="shared" si="28"/>
        <v>0.62106813996316756</v>
      </c>
    </row>
    <row r="61" spans="1:38" x14ac:dyDescent="0.3">
      <c r="A61" s="56" t="s">
        <v>135</v>
      </c>
      <c r="B61" s="84" t="s">
        <v>136</v>
      </c>
      <c r="C61" s="57" t="s">
        <v>253</v>
      </c>
      <c r="D61" s="2070">
        <v>4515</v>
      </c>
      <c r="E61" s="2071">
        <v>685</v>
      </c>
      <c r="F61" s="2071">
        <v>1649</v>
      </c>
      <c r="G61" s="2071">
        <v>2181</v>
      </c>
      <c r="H61" s="138">
        <f t="shared" si="14"/>
        <v>0.15171650055370986</v>
      </c>
      <c r="I61" s="138">
        <f t="shared" si="15"/>
        <v>0.36522702104097454</v>
      </c>
      <c r="J61" s="2072">
        <f t="shared" si="16"/>
        <v>0.51694352159468437</v>
      </c>
      <c r="K61" s="2070">
        <v>4601</v>
      </c>
      <c r="L61" s="2071">
        <v>973</v>
      </c>
      <c r="M61" s="2071">
        <v>1651</v>
      </c>
      <c r="N61" s="2071">
        <v>1977</v>
      </c>
      <c r="O61" s="138">
        <f t="shared" si="17"/>
        <v>0.21147576613779615</v>
      </c>
      <c r="P61" s="138">
        <f t="shared" si="18"/>
        <v>0.35883503586176918</v>
      </c>
      <c r="Q61" s="2072">
        <f t="shared" si="19"/>
        <v>0.5703108019995653</v>
      </c>
      <c r="R61" s="2070">
        <v>4634</v>
      </c>
      <c r="S61" s="2071">
        <v>858</v>
      </c>
      <c r="T61" s="2071">
        <v>1659</v>
      </c>
      <c r="U61" s="2071">
        <v>2117</v>
      </c>
      <c r="V61" s="138">
        <f t="shared" si="20"/>
        <v>0.18515321536469573</v>
      </c>
      <c r="W61" s="138">
        <f t="shared" si="21"/>
        <v>0.35800604229607252</v>
      </c>
      <c r="X61" s="2072">
        <f t="shared" si="22"/>
        <v>0.45684074233923178</v>
      </c>
      <c r="Y61" s="2070">
        <v>4670</v>
      </c>
      <c r="Z61" s="2071">
        <v>824</v>
      </c>
      <c r="AA61" s="2071">
        <v>1595</v>
      </c>
      <c r="AB61" s="2071">
        <v>2251</v>
      </c>
      <c r="AC61" s="138">
        <f t="shared" si="23"/>
        <v>0.17644539614561028</v>
      </c>
      <c r="AD61" s="138">
        <f t="shared" si="24"/>
        <v>0.34154175588865099</v>
      </c>
      <c r="AE61" s="2072">
        <f t="shared" si="25"/>
        <v>0.48201284796573873</v>
      </c>
      <c r="AF61" s="2070">
        <v>4331</v>
      </c>
      <c r="AG61" s="2071">
        <v>710</v>
      </c>
      <c r="AH61" s="2071">
        <v>1665</v>
      </c>
      <c r="AI61" s="2071">
        <v>1956</v>
      </c>
      <c r="AJ61" s="138">
        <f t="shared" si="26"/>
        <v>0.16393442622950818</v>
      </c>
      <c r="AK61" s="138">
        <f t="shared" si="27"/>
        <v>0.3844377741861002</v>
      </c>
      <c r="AL61" s="2072">
        <f t="shared" si="28"/>
        <v>0.45162779958439159</v>
      </c>
    </row>
    <row r="62" spans="1:38" x14ac:dyDescent="0.3">
      <c r="A62" s="56" t="s">
        <v>139</v>
      </c>
      <c r="B62" s="84" t="s">
        <v>140</v>
      </c>
      <c r="C62" s="57" t="s">
        <v>254</v>
      </c>
      <c r="D62" s="2070">
        <v>5213</v>
      </c>
      <c r="E62" s="2071">
        <v>546</v>
      </c>
      <c r="F62" s="2071">
        <v>1129</v>
      </c>
      <c r="G62" s="2071">
        <v>3538</v>
      </c>
      <c r="H62" s="138">
        <f t="shared" si="14"/>
        <v>0.10473815461346633</v>
      </c>
      <c r="I62" s="138">
        <f t="shared" si="15"/>
        <v>0.21657394974103203</v>
      </c>
      <c r="J62" s="2072">
        <f t="shared" si="16"/>
        <v>0.32131210435449836</v>
      </c>
      <c r="K62" s="2070">
        <v>5069</v>
      </c>
      <c r="L62" s="2071">
        <v>531</v>
      </c>
      <c r="M62" s="2071">
        <v>1323</v>
      </c>
      <c r="N62" s="2071">
        <v>3215</v>
      </c>
      <c r="O62" s="138">
        <f t="shared" si="17"/>
        <v>0.10475438942592227</v>
      </c>
      <c r="P62" s="138">
        <f t="shared" si="18"/>
        <v>0.26099822450187415</v>
      </c>
      <c r="Q62" s="2072">
        <f t="shared" si="19"/>
        <v>0.3657526139277964</v>
      </c>
      <c r="R62" s="2070">
        <v>5093</v>
      </c>
      <c r="S62" s="2071">
        <v>653</v>
      </c>
      <c r="T62" s="2071">
        <v>1501</v>
      </c>
      <c r="U62" s="2071">
        <v>2939</v>
      </c>
      <c r="V62" s="138">
        <f t="shared" si="20"/>
        <v>0.12821519732966818</v>
      </c>
      <c r="W62" s="138">
        <f t="shared" si="21"/>
        <v>0.29471824072256037</v>
      </c>
      <c r="X62" s="2072">
        <f t="shared" si="22"/>
        <v>0.57706656194777151</v>
      </c>
      <c r="Y62" s="2070">
        <v>5042</v>
      </c>
      <c r="Z62" s="2071">
        <v>625</v>
      </c>
      <c r="AA62" s="2071">
        <v>1694</v>
      </c>
      <c r="AB62" s="2071">
        <v>2723</v>
      </c>
      <c r="AC62" s="138">
        <f t="shared" si="23"/>
        <v>0.1239587465291551</v>
      </c>
      <c r="AD62" s="138">
        <f t="shared" si="24"/>
        <v>0.33597778659262195</v>
      </c>
      <c r="AE62" s="2072">
        <f t="shared" si="25"/>
        <v>0.54006346687822293</v>
      </c>
      <c r="AF62" s="2070">
        <v>5078</v>
      </c>
      <c r="AG62" s="2071">
        <v>490</v>
      </c>
      <c r="AH62" s="2071">
        <v>1659</v>
      </c>
      <c r="AI62" s="2071">
        <v>2929</v>
      </c>
      <c r="AJ62" s="138">
        <f t="shared" si="26"/>
        <v>9.6494682946041743E-2</v>
      </c>
      <c r="AK62" s="138">
        <f t="shared" si="27"/>
        <v>0.32670342654588419</v>
      </c>
      <c r="AL62" s="2072">
        <f t="shared" si="28"/>
        <v>0.57680189050807407</v>
      </c>
    </row>
    <row r="63" spans="1:38" x14ac:dyDescent="0.3">
      <c r="A63" s="56" t="s">
        <v>145</v>
      </c>
      <c r="B63" s="84" t="s">
        <v>146</v>
      </c>
      <c r="C63" s="57" t="s">
        <v>251</v>
      </c>
      <c r="D63" s="2070">
        <v>3773</v>
      </c>
      <c r="E63" s="2071">
        <v>293</v>
      </c>
      <c r="F63" s="2071">
        <v>1424</v>
      </c>
      <c r="G63" s="2071">
        <v>2056</v>
      </c>
      <c r="H63" s="138">
        <f t="shared" si="14"/>
        <v>7.7657036840710306E-2</v>
      </c>
      <c r="I63" s="138">
        <f t="shared" si="15"/>
        <v>0.37741849986747944</v>
      </c>
      <c r="J63" s="2072">
        <f t="shared" si="16"/>
        <v>0.45507553670818979</v>
      </c>
      <c r="K63" s="2070">
        <v>3815</v>
      </c>
      <c r="L63" s="2071">
        <v>275</v>
      </c>
      <c r="M63" s="2071">
        <v>1639</v>
      </c>
      <c r="N63" s="2071">
        <v>1901</v>
      </c>
      <c r="O63" s="138">
        <f t="shared" si="17"/>
        <v>7.2083879423328959E-2</v>
      </c>
      <c r="P63" s="138">
        <f t="shared" si="18"/>
        <v>0.42961992136304061</v>
      </c>
      <c r="Q63" s="2072">
        <f t="shared" si="19"/>
        <v>0.50170380078636956</v>
      </c>
      <c r="R63" s="2070">
        <v>3792</v>
      </c>
      <c r="S63" s="2071">
        <v>294</v>
      </c>
      <c r="T63" s="2071">
        <v>1318</v>
      </c>
      <c r="U63" s="2071">
        <v>2180</v>
      </c>
      <c r="V63" s="138">
        <f t="shared" si="20"/>
        <v>7.753164556962025E-2</v>
      </c>
      <c r="W63" s="138">
        <f t="shared" si="21"/>
        <v>0.34757383966244726</v>
      </c>
      <c r="X63" s="2072">
        <f t="shared" si="22"/>
        <v>0.57489451476793252</v>
      </c>
      <c r="Y63" s="2070">
        <v>3837</v>
      </c>
      <c r="Z63" s="2071">
        <v>319</v>
      </c>
      <c r="AA63" s="2071">
        <v>1089</v>
      </c>
      <c r="AB63" s="2071">
        <v>2429</v>
      </c>
      <c r="AC63" s="138">
        <f t="shared" si="23"/>
        <v>8.3137868126140213E-2</v>
      </c>
      <c r="AD63" s="138">
        <f t="shared" si="24"/>
        <v>0.28381548084440972</v>
      </c>
      <c r="AE63" s="2072">
        <f t="shared" si="25"/>
        <v>0.63304665102945012</v>
      </c>
      <c r="AF63" s="2070">
        <v>3908</v>
      </c>
      <c r="AG63" s="2071">
        <v>344</v>
      </c>
      <c r="AH63" s="2071">
        <v>1070</v>
      </c>
      <c r="AI63" s="2071">
        <v>2494</v>
      </c>
      <c r="AJ63" s="138">
        <f t="shared" si="26"/>
        <v>8.8024564994882287E-2</v>
      </c>
      <c r="AK63" s="138">
        <f t="shared" si="27"/>
        <v>0.27379733879222107</v>
      </c>
      <c r="AL63" s="2072">
        <f t="shared" si="28"/>
        <v>0.63817809621289667</v>
      </c>
    </row>
    <row r="64" spans="1:38" x14ac:dyDescent="0.3">
      <c r="A64" s="56" t="s">
        <v>147</v>
      </c>
      <c r="B64" s="84" t="s">
        <v>148</v>
      </c>
      <c r="C64" s="57" t="s">
        <v>252</v>
      </c>
      <c r="D64" s="2070">
        <v>12435</v>
      </c>
      <c r="E64" s="2071">
        <v>2371</v>
      </c>
      <c r="F64" s="2071">
        <v>3696</v>
      </c>
      <c r="G64" s="2071">
        <v>6368</v>
      </c>
      <c r="H64" s="138">
        <f t="shared" si="14"/>
        <v>0.1906714917571371</v>
      </c>
      <c r="I64" s="138">
        <f t="shared" si="15"/>
        <v>0.29722557297949337</v>
      </c>
      <c r="J64" s="2072">
        <f t="shared" si="16"/>
        <v>0.48789706473663047</v>
      </c>
      <c r="K64" s="2070">
        <v>13132</v>
      </c>
      <c r="L64" s="2071">
        <v>2452</v>
      </c>
      <c r="M64" s="2071">
        <v>3921</v>
      </c>
      <c r="N64" s="2071">
        <v>6759</v>
      </c>
      <c r="O64" s="138">
        <f t="shared" si="17"/>
        <v>0.18671946390496497</v>
      </c>
      <c r="P64" s="138">
        <f t="shared" si="18"/>
        <v>0.29858361254949739</v>
      </c>
      <c r="Q64" s="2072">
        <f t="shared" si="19"/>
        <v>0.48530307645446236</v>
      </c>
      <c r="R64" s="2070">
        <v>12857</v>
      </c>
      <c r="S64" s="2071">
        <v>2383</v>
      </c>
      <c r="T64" s="2071">
        <v>4074</v>
      </c>
      <c r="U64" s="2071">
        <v>6400</v>
      </c>
      <c r="V64" s="138">
        <f t="shared" si="20"/>
        <v>0.18534650385004278</v>
      </c>
      <c r="W64" s="138">
        <f t="shared" si="21"/>
        <v>0.31687018744652717</v>
      </c>
      <c r="X64" s="2072">
        <f t="shared" si="22"/>
        <v>0.49778330870343002</v>
      </c>
      <c r="Y64" s="2070">
        <v>12066</v>
      </c>
      <c r="Z64" s="2071">
        <v>2117</v>
      </c>
      <c r="AA64" s="2071">
        <v>3968</v>
      </c>
      <c r="AB64" s="2071">
        <v>5981</v>
      </c>
      <c r="AC64" s="138">
        <f t="shared" si="23"/>
        <v>0.17545168241339301</v>
      </c>
      <c r="AD64" s="138">
        <f t="shared" si="24"/>
        <v>0.32885794795292556</v>
      </c>
      <c r="AE64" s="2072">
        <f t="shared" si="25"/>
        <v>0.4956903696336814</v>
      </c>
      <c r="AF64" s="2070">
        <v>11815</v>
      </c>
      <c r="AG64" s="2071">
        <v>2141</v>
      </c>
      <c r="AH64" s="2071">
        <v>4088</v>
      </c>
      <c r="AI64" s="2071">
        <v>5586</v>
      </c>
      <c r="AJ64" s="138">
        <f t="shared" si="26"/>
        <v>0.18121032585696148</v>
      </c>
      <c r="AK64" s="138">
        <f t="shared" si="27"/>
        <v>0.34600084638171813</v>
      </c>
      <c r="AL64" s="2072">
        <f t="shared" si="28"/>
        <v>0.47278882776132036</v>
      </c>
    </row>
    <row r="65" spans="1:38" x14ac:dyDescent="0.3">
      <c r="A65" s="56" t="s">
        <v>149</v>
      </c>
      <c r="B65" s="84" t="s">
        <v>150</v>
      </c>
      <c r="C65" s="57" t="s">
        <v>253</v>
      </c>
      <c r="D65" s="2070">
        <v>4303</v>
      </c>
      <c r="E65" s="2071">
        <v>418</v>
      </c>
      <c r="F65" s="2071">
        <v>1045</v>
      </c>
      <c r="G65" s="2071">
        <v>2840</v>
      </c>
      <c r="H65" s="138">
        <f t="shared" si="14"/>
        <v>9.7141529165698348E-2</v>
      </c>
      <c r="I65" s="138">
        <f t="shared" si="15"/>
        <v>0.24285382291424587</v>
      </c>
      <c r="J65" s="2072">
        <f t="shared" si="16"/>
        <v>0.33999535207994425</v>
      </c>
      <c r="K65" s="2070">
        <v>4393</v>
      </c>
      <c r="L65" s="2071">
        <v>374</v>
      </c>
      <c r="M65" s="2071">
        <v>1053</v>
      </c>
      <c r="N65" s="2071">
        <v>2966</v>
      </c>
      <c r="O65" s="138">
        <f t="shared" si="17"/>
        <v>8.5135442749829274E-2</v>
      </c>
      <c r="P65" s="138">
        <f t="shared" si="18"/>
        <v>0.23969952196676531</v>
      </c>
      <c r="Q65" s="2072">
        <f t="shared" si="19"/>
        <v>0.32483496471659457</v>
      </c>
      <c r="R65" s="2070">
        <v>4432</v>
      </c>
      <c r="S65" s="2071">
        <v>466</v>
      </c>
      <c r="T65" s="2071">
        <v>1150</v>
      </c>
      <c r="U65" s="2071">
        <v>2816</v>
      </c>
      <c r="V65" s="138">
        <f t="shared" si="20"/>
        <v>0.10514440433212996</v>
      </c>
      <c r="W65" s="138">
        <f t="shared" si="21"/>
        <v>0.2594765342960289</v>
      </c>
      <c r="X65" s="2072">
        <f t="shared" si="22"/>
        <v>0.63537906137184119</v>
      </c>
      <c r="Y65" s="2070">
        <v>4474</v>
      </c>
      <c r="Z65" s="2071">
        <v>582</v>
      </c>
      <c r="AA65" s="2071">
        <v>1402</v>
      </c>
      <c r="AB65" s="2071">
        <v>2490</v>
      </c>
      <c r="AC65" s="138">
        <f t="shared" si="23"/>
        <v>0.13008493518104605</v>
      </c>
      <c r="AD65" s="138">
        <f t="shared" si="24"/>
        <v>0.31336611533303532</v>
      </c>
      <c r="AE65" s="2072">
        <f t="shared" si="25"/>
        <v>0.5565489494859186</v>
      </c>
      <c r="AF65" s="2070">
        <v>4454</v>
      </c>
      <c r="AG65" s="2071">
        <v>554</v>
      </c>
      <c r="AH65" s="2071">
        <v>1379</v>
      </c>
      <c r="AI65" s="2071">
        <v>2521</v>
      </c>
      <c r="AJ65" s="138">
        <f t="shared" si="26"/>
        <v>0.1243825774584643</v>
      </c>
      <c r="AK65" s="138">
        <f t="shared" si="27"/>
        <v>0.30960933991917378</v>
      </c>
      <c r="AL65" s="2072">
        <f t="shared" si="28"/>
        <v>0.56600808262236191</v>
      </c>
    </row>
    <row r="66" spans="1:38" x14ac:dyDescent="0.3">
      <c r="A66" s="56" t="s">
        <v>151</v>
      </c>
      <c r="B66" s="84" t="s">
        <v>152</v>
      </c>
      <c r="C66" s="57" t="s">
        <v>255</v>
      </c>
      <c r="D66" s="2070">
        <v>34985</v>
      </c>
      <c r="E66" s="2071">
        <v>8089</v>
      </c>
      <c r="F66" s="2071">
        <v>8920</v>
      </c>
      <c r="G66" s="2071">
        <v>17976</v>
      </c>
      <c r="H66" s="138">
        <f t="shared" si="14"/>
        <v>0.2312133771616407</v>
      </c>
      <c r="I66" s="138">
        <f t="shared" si="15"/>
        <v>0.25496641417750465</v>
      </c>
      <c r="J66" s="2072">
        <f t="shared" si="16"/>
        <v>0.48617979133914535</v>
      </c>
      <c r="K66" s="2070">
        <v>35154</v>
      </c>
      <c r="L66" s="2071">
        <v>8347</v>
      </c>
      <c r="M66" s="2071">
        <v>10012</v>
      </c>
      <c r="N66" s="2071">
        <v>16795</v>
      </c>
      <c r="O66" s="138">
        <f t="shared" si="17"/>
        <v>0.2374409740001138</v>
      </c>
      <c r="P66" s="138">
        <f t="shared" si="18"/>
        <v>0.28480400523411276</v>
      </c>
      <c r="Q66" s="2072">
        <f t="shared" si="19"/>
        <v>0.52224497923422653</v>
      </c>
      <c r="R66" s="2070">
        <v>34549</v>
      </c>
      <c r="S66" s="2071">
        <v>8424</v>
      </c>
      <c r="T66" s="2071">
        <v>10360</v>
      </c>
      <c r="U66" s="2071">
        <v>15765</v>
      </c>
      <c r="V66" s="138">
        <f t="shared" si="20"/>
        <v>0.2438276071666329</v>
      </c>
      <c r="W66" s="138">
        <f t="shared" si="21"/>
        <v>0.29986396133028453</v>
      </c>
      <c r="X66" s="2072">
        <f t="shared" si="22"/>
        <v>0.45630843150308259</v>
      </c>
      <c r="Y66" s="2070">
        <v>36128</v>
      </c>
      <c r="Z66" s="2071">
        <v>7693</v>
      </c>
      <c r="AA66" s="2071">
        <v>6998</v>
      </c>
      <c r="AB66" s="2071">
        <v>21437</v>
      </c>
      <c r="AC66" s="138">
        <f t="shared" si="23"/>
        <v>0.21293733392382638</v>
      </c>
      <c r="AD66" s="138">
        <f t="shared" si="24"/>
        <v>0.19370017714791851</v>
      </c>
      <c r="AE66" s="2072">
        <f t="shared" si="25"/>
        <v>0.59336248892825505</v>
      </c>
      <c r="AF66" s="2070">
        <v>34585</v>
      </c>
      <c r="AG66" s="2071">
        <v>6908</v>
      </c>
      <c r="AH66" s="2071">
        <v>11902</v>
      </c>
      <c r="AI66" s="2071">
        <v>15775</v>
      </c>
      <c r="AJ66" s="138">
        <f t="shared" si="26"/>
        <v>0.19973977157727338</v>
      </c>
      <c r="AK66" s="138">
        <f t="shared" si="27"/>
        <v>0.34413763192135322</v>
      </c>
      <c r="AL66" s="2072">
        <f t="shared" si="28"/>
        <v>0.45612259650137343</v>
      </c>
    </row>
    <row r="67" spans="1:38" x14ac:dyDescent="0.3">
      <c r="A67" s="56" t="s">
        <v>153</v>
      </c>
      <c r="B67" s="84" t="s">
        <v>154</v>
      </c>
      <c r="C67" s="57" t="s">
        <v>252</v>
      </c>
      <c r="D67" s="2070">
        <v>6534</v>
      </c>
      <c r="E67" s="2071">
        <v>769</v>
      </c>
      <c r="F67" s="2071">
        <v>1503</v>
      </c>
      <c r="G67" s="2071">
        <v>4262</v>
      </c>
      <c r="H67" s="138">
        <f t="shared" si="14"/>
        <v>0.11769207223752678</v>
      </c>
      <c r="I67" s="138">
        <f t="shared" si="15"/>
        <v>0.23002754820936638</v>
      </c>
      <c r="J67" s="2072">
        <f t="shared" si="16"/>
        <v>0.3477196204468932</v>
      </c>
      <c r="K67" s="2070">
        <v>6415</v>
      </c>
      <c r="L67" s="2071">
        <v>739</v>
      </c>
      <c r="M67" s="2071">
        <v>1858</v>
      </c>
      <c r="N67" s="2071">
        <v>3818</v>
      </c>
      <c r="O67" s="138">
        <f t="shared" si="17"/>
        <v>0.1151987529228371</v>
      </c>
      <c r="P67" s="138">
        <f t="shared" si="18"/>
        <v>0.28963367108339827</v>
      </c>
      <c r="Q67" s="2072">
        <f t="shared" si="19"/>
        <v>0.40483242400623537</v>
      </c>
      <c r="R67" s="2070">
        <v>6381</v>
      </c>
      <c r="S67" s="2071">
        <v>962</v>
      </c>
      <c r="T67" s="2071">
        <v>1770</v>
      </c>
      <c r="U67" s="2071">
        <v>3649</v>
      </c>
      <c r="V67" s="138">
        <f t="shared" si="20"/>
        <v>0.15076006895470928</v>
      </c>
      <c r="W67" s="138">
        <f t="shared" si="21"/>
        <v>0.27738598965679362</v>
      </c>
      <c r="X67" s="2072">
        <f t="shared" si="22"/>
        <v>0.5718539413884971</v>
      </c>
      <c r="Y67" s="2070">
        <v>6378</v>
      </c>
      <c r="Z67" s="2071">
        <v>865</v>
      </c>
      <c r="AA67" s="2071">
        <v>2101</v>
      </c>
      <c r="AB67" s="2071">
        <v>3412</v>
      </c>
      <c r="AC67" s="138">
        <f t="shared" si="23"/>
        <v>0.13562245217936658</v>
      </c>
      <c r="AD67" s="138">
        <f t="shared" si="24"/>
        <v>0.32941360928190655</v>
      </c>
      <c r="AE67" s="2072">
        <f t="shared" si="25"/>
        <v>0.53496393853872692</v>
      </c>
      <c r="AF67" s="2070">
        <v>6445</v>
      </c>
      <c r="AG67" s="2071">
        <v>815</v>
      </c>
      <c r="AH67" s="2071">
        <v>1744</v>
      </c>
      <c r="AI67" s="2071">
        <v>3886</v>
      </c>
      <c r="AJ67" s="138">
        <f t="shared" si="26"/>
        <v>0.12645461598138091</v>
      </c>
      <c r="AK67" s="138">
        <f t="shared" si="27"/>
        <v>0.27059736229635378</v>
      </c>
      <c r="AL67" s="2072">
        <f t="shared" si="28"/>
        <v>0.60294802172226536</v>
      </c>
    </row>
    <row r="68" spans="1:38" x14ac:dyDescent="0.3">
      <c r="A68" s="56" t="s">
        <v>155</v>
      </c>
      <c r="B68" s="84" t="s">
        <v>156</v>
      </c>
      <c r="C68" s="57" t="s">
        <v>253</v>
      </c>
      <c r="D68" s="2070">
        <v>6513</v>
      </c>
      <c r="E68" s="2071">
        <v>312</v>
      </c>
      <c r="F68" s="2071">
        <v>1810</v>
      </c>
      <c r="G68" s="2071">
        <v>4391</v>
      </c>
      <c r="H68" s="138">
        <f t="shared" si="14"/>
        <v>4.790419161676647E-2</v>
      </c>
      <c r="I68" s="138">
        <f t="shared" si="15"/>
        <v>0.27790572700752342</v>
      </c>
      <c r="J68" s="2072">
        <f t="shared" si="16"/>
        <v>0.32580991862428987</v>
      </c>
      <c r="K68" s="2070">
        <v>6719</v>
      </c>
      <c r="L68" s="2071">
        <v>324</v>
      </c>
      <c r="M68" s="2071">
        <v>1856</v>
      </c>
      <c r="N68" s="2071">
        <v>4539</v>
      </c>
      <c r="O68" s="138">
        <f t="shared" si="17"/>
        <v>4.8221461527012947E-2</v>
      </c>
      <c r="P68" s="138">
        <f t="shared" si="18"/>
        <v>0.27623158208066678</v>
      </c>
      <c r="Q68" s="2072">
        <f t="shared" si="19"/>
        <v>0.32445304360767974</v>
      </c>
      <c r="R68" s="2070">
        <v>7106</v>
      </c>
      <c r="S68" s="2071">
        <v>334</v>
      </c>
      <c r="T68" s="2071">
        <v>1663</v>
      </c>
      <c r="U68" s="2071">
        <v>5109</v>
      </c>
      <c r="V68" s="138">
        <f t="shared" si="20"/>
        <v>4.7002533070644524E-2</v>
      </c>
      <c r="W68" s="138">
        <f t="shared" si="21"/>
        <v>0.23402758232479595</v>
      </c>
      <c r="X68" s="2072">
        <f t="shared" si="22"/>
        <v>0.71896988460455957</v>
      </c>
      <c r="Y68" s="2070">
        <v>7537</v>
      </c>
      <c r="Z68" s="2071">
        <v>423</v>
      </c>
      <c r="AA68" s="2071">
        <v>2013</v>
      </c>
      <c r="AB68" s="2071">
        <v>5101</v>
      </c>
      <c r="AC68" s="138">
        <f t="shared" si="23"/>
        <v>5.6123125912166644E-2</v>
      </c>
      <c r="AD68" s="138">
        <f t="shared" si="24"/>
        <v>0.2670823935252753</v>
      </c>
      <c r="AE68" s="2072">
        <f t="shared" si="25"/>
        <v>0.67679448056255809</v>
      </c>
      <c r="AF68" s="2070">
        <v>7754</v>
      </c>
      <c r="AG68" s="2071">
        <v>383</v>
      </c>
      <c r="AH68" s="2071">
        <v>2167</v>
      </c>
      <c r="AI68" s="2071">
        <v>5204</v>
      </c>
      <c r="AJ68" s="138">
        <f t="shared" si="26"/>
        <v>4.9393861232912048E-2</v>
      </c>
      <c r="AK68" s="138">
        <f t="shared" si="27"/>
        <v>0.27946866133608461</v>
      </c>
      <c r="AL68" s="2072">
        <f t="shared" si="28"/>
        <v>0.67113747743100338</v>
      </c>
    </row>
    <row r="69" spans="1:38" x14ac:dyDescent="0.3">
      <c r="A69" s="56" t="s">
        <v>161</v>
      </c>
      <c r="B69" s="84" t="s">
        <v>162</v>
      </c>
      <c r="C69" s="57" t="s">
        <v>251</v>
      </c>
      <c r="D69" s="2070">
        <v>5088</v>
      </c>
      <c r="E69" s="2071">
        <v>998</v>
      </c>
      <c r="F69" s="2071">
        <v>1588</v>
      </c>
      <c r="G69" s="2071">
        <v>2502</v>
      </c>
      <c r="H69" s="138">
        <f t="shared" si="14"/>
        <v>0.19614779874213836</v>
      </c>
      <c r="I69" s="138">
        <f t="shared" si="15"/>
        <v>0.31210691823899372</v>
      </c>
      <c r="J69" s="2072">
        <f t="shared" si="16"/>
        <v>0.50825471698113212</v>
      </c>
      <c r="K69" s="2070">
        <v>5025</v>
      </c>
      <c r="L69" s="2071">
        <v>1151</v>
      </c>
      <c r="M69" s="2071">
        <v>1425</v>
      </c>
      <c r="N69" s="2071">
        <v>2449</v>
      </c>
      <c r="O69" s="138">
        <f t="shared" si="17"/>
        <v>0.22905472636815921</v>
      </c>
      <c r="P69" s="138">
        <f t="shared" si="18"/>
        <v>0.28358208955223879</v>
      </c>
      <c r="Q69" s="2072">
        <f t="shared" si="19"/>
        <v>0.512636815920398</v>
      </c>
      <c r="R69" s="2070">
        <v>5237</v>
      </c>
      <c r="S69" s="2071">
        <v>1256</v>
      </c>
      <c r="T69" s="2071">
        <v>1590</v>
      </c>
      <c r="U69" s="2071">
        <v>2391</v>
      </c>
      <c r="V69" s="138">
        <f t="shared" si="20"/>
        <v>0.23983196486538094</v>
      </c>
      <c r="W69" s="138">
        <f t="shared" si="21"/>
        <v>0.30360893641397746</v>
      </c>
      <c r="X69" s="2072">
        <f t="shared" si="22"/>
        <v>0.4565590987206416</v>
      </c>
      <c r="Y69" s="2070">
        <v>5075</v>
      </c>
      <c r="Z69" s="2071">
        <v>1144</v>
      </c>
      <c r="AA69" s="2071">
        <v>1525</v>
      </c>
      <c r="AB69" s="2071">
        <v>2406</v>
      </c>
      <c r="AC69" s="138">
        <f t="shared" si="23"/>
        <v>0.22541871921182266</v>
      </c>
      <c r="AD69" s="138">
        <f t="shared" si="24"/>
        <v>0.30049261083743845</v>
      </c>
      <c r="AE69" s="2072">
        <f t="shared" si="25"/>
        <v>0.47408866995073889</v>
      </c>
      <c r="AF69" s="2070">
        <v>5151</v>
      </c>
      <c r="AG69" s="2071">
        <v>933</v>
      </c>
      <c r="AH69" s="2071">
        <v>1596</v>
      </c>
      <c r="AI69" s="2071">
        <v>2622</v>
      </c>
      <c r="AJ69" s="138">
        <f t="shared" si="26"/>
        <v>0.18112987769365171</v>
      </c>
      <c r="AK69" s="138">
        <f t="shared" si="27"/>
        <v>0.30984274898078046</v>
      </c>
      <c r="AL69" s="2072">
        <f t="shared" si="28"/>
        <v>0.5090273733255678</v>
      </c>
    </row>
    <row r="70" spans="1:38" x14ac:dyDescent="0.3">
      <c r="A70" s="56" t="s">
        <v>163</v>
      </c>
      <c r="B70" s="84" t="s">
        <v>164</v>
      </c>
      <c r="C70" s="57" t="s">
        <v>253</v>
      </c>
      <c r="D70" s="2070">
        <v>5478</v>
      </c>
      <c r="E70" s="2071">
        <v>503</v>
      </c>
      <c r="F70" s="2071">
        <v>1142</v>
      </c>
      <c r="G70" s="2071">
        <v>3833</v>
      </c>
      <c r="H70" s="138">
        <f t="shared" si="14"/>
        <v>9.1821832785688201E-2</v>
      </c>
      <c r="I70" s="138">
        <f t="shared" si="15"/>
        <v>0.20847024461482294</v>
      </c>
      <c r="J70" s="2072">
        <f t="shared" si="16"/>
        <v>0.30029207740051111</v>
      </c>
      <c r="K70" s="2070">
        <v>5557</v>
      </c>
      <c r="L70" s="2071">
        <v>535</v>
      </c>
      <c r="M70" s="2071">
        <v>1058</v>
      </c>
      <c r="N70" s="2071">
        <v>3964</v>
      </c>
      <c r="O70" s="138">
        <f t="shared" si="17"/>
        <v>9.6274968508187869E-2</v>
      </c>
      <c r="P70" s="138">
        <f t="shared" si="18"/>
        <v>0.19039049847039768</v>
      </c>
      <c r="Q70" s="2072">
        <f t="shared" si="19"/>
        <v>0.28666546697858558</v>
      </c>
      <c r="R70" s="2070">
        <v>5669</v>
      </c>
      <c r="S70" s="2071">
        <v>731</v>
      </c>
      <c r="T70" s="2071">
        <v>1264</v>
      </c>
      <c r="U70" s="2071">
        <v>3674</v>
      </c>
      <c r="V70" s="138">
        <f t="shared" si="20"/>
        <v>0.1289469042159111</v>
      </c>
      <c r="W70" s="138">
        <f t="shared" si="21"/>
        <v>0.22296701358264245</v>
      </c>
      <c r="X70" s="2072">
        <f t="shared" si="22"/>
        <v>0.64808608220144648</v>
      </c>
      <c r="Y70" s="2070">
        <v>5776</v>
      </c>
      <c r="Z70" s="2071">
        <v>606</v>
      </c>
      <c r="AA70" s="2071">
        <v>1210</v>
      </c>
      <c r="AB70" s="2071">
        <v>3960</v>
      </c>
      <c r="AC70" s="138">
        <f t="shared" si="23"/>
        <v>0.10491689750692521</v>
      </c>
      <c r="AD70" s="138">
        <f t="shared" si="24"/>
        <v>0.20948753462603878</v>
      </c>
      <c r="AE70" s="2072">
        <f t="shared" si="25"/>
        <v>0.68559556786703602</v>
      </c>
      <c r="AF70" s="2070">
        <v>5686</v>
      </c>
      <c r="AG70" s="2071">
        <v>810</v>
      </c>
      <c r="AH70" s="2071">
        <v>1286</v>
      </c>
      <c r="AI70" s="2071">
        <v>3590</v>
      </c>
      <c r="AJ70" s="138">
        <f t="shared" si="26"/>
        <v>0.14245515300738656</v>
      </c>
      <c r="AK70" s="138">
        <f t="shared" si="27"/>
        <v>0.22616953921913471</v>
      </c>
      <c r="AL70" s="2072">
        <f t="shared" si="28"/>
        <v>0.63137530777347872</v>
      </c>
    </row>
    <row r="71" spans="1:38" x14ac:dyDescent="0.3">
      <c r="A71" s="56" t="s">
        <v>167</v>
      </c>
      <c r="B71" s="84" t="s">
        <v>168</v>
      </c>
      <c r="C71" s="57" t="s">
        <v>253</v>
      </c>
      <c r="D71" s="2070">
        <v>5607</v>
      </c>
      <c r="E71" s="2071">
        <v>1042</v>
      </c>
      <c r="F71" s="2071">
        <v>1698</v>
      </c>
      <c r="G71" s="2071">
        <v>2867</v>
      </c>
      <c r="H71" s="138">
        <f t="shared" ref="H71:H126" si="29">E71/D71</f>
        <v>0.18583912965935437</v>
      </c>
      <c r="I71" s="138">
        <f t="shared" ref="I71:I126" si="30">F71/D71</f>
        <v>0.30283574103798822</v>
      </c>
      <c r="J71" s="2072">
        <f t="shared" ref="J71:J126" si="31">(E71+F71)/D71</f>
        <v>0.48867487069734261</v>
      </c>
      <c r="K71" s="2070">
        <v>5504</v>
      </c>
      <c r="L71" s="2071">
        <v>1078</v>
      </c>
      <c r="M71" s="2071">
        <v>1878</v>
      </c>
      <c r="N71" s="2071">
        <v>2548</v>
      </c>
      <c r="O71" s="138">
        <f t="shared" ref="O71:O126" si="32">L71/K71</f>
        <v>0.19585755813953487</v>
      </c>
      <c r="P71" s="138">
        <f t="shared" ref="P71:P126" si="33">M71/K71</f>
        <v>0.34120639534883723</v>
      </c>
      <c r="Q71" s="2072">
        <f t="shared" ref="Q71:Q126" si="34">(L71+M71)/K71</f>
        <v>0.5370639534883721</v>
      </c>
      <c r="R71" s="2070">
        <v>5640</v>
      </c>
      <c r="S71" s="2071">
        <v>1165</v>
      </c>
      <c r="T71" s="2071">
        <v>1975</v>
      </c>
      <c r="U71" s="2071">
        <v>2500</v>
      </c>
      <c r="V71" s="138">
        <f t="shared" ref="V71:V126" si="35">S71/R71</f>
        <v>0.20656028368794327</v>
      </c>
      <c r="W71" s="138">
        <f t="shared" ref="W71:W126" si="36">T71/R71</f>
        <v>0.35017730496453903</v>
      </c>
      <c r="X71" s="2072">
        <f t="shared" ref="X71:X126" si="37">U71/R71</f>
        <v>0.4432624113475177</v>
      </c>
      <c r="Y71" s="2070">
        <v>5676</v>
      </c>
      <c r="Z71" s="2071">
        <v>1097</v>
      </c>
      <c r="AA71" s="2071">
        <v>2199</v>
      </c>
      <c r="AB71" s="2071">
        <v>2380</v>
      </c>
      <c r="AC71" s="138">
        <f t="shared" ref="AC71:AC126" si="38">Z71/Y71</f>
        <v>0.19326990838618746</v>
      </c>
      <c r="AD71" s="138">
        <f t="shared" ref="AD71:AD126" si="39">AA71/Y71</f>
        <v>0.38742071881606766</v>
      </c>
      <c r="AE71" s="2072">
        <f t="shared" ref="AE71:AE126" si="40">AB71/Y71</f>
        <v>0.41930937279774488</v>
      </c>
      <c r="AF71" s="2070">
        <v>5542</v>
      </c>
      <c r="AG71" s="2071">
        <v>1083</v>
      </c>
      <c r="AH71" s="2071">
        <v>1928</v>
      </c>
      <c r="AI71" s="2071">
        <v>2531</v>
      </c>
      <c r="AJ71" s="138">
        <f t="shared" ref="AJ71:AJ126" si="41">AG71/AF71</f>
        <v>0.1954168170335619</v>
      </c>
      <c r="AK71" s="138">
        <f t="shared" ref="AK71:AK126" si="42">AH71/AF71</f>
        <v>0.34788884879105014</v>
      </c>
      <c r="AL71" s="2072">
        <f t="shared" ref="AL71:AL126" si="43">AI71/AF71</f>
        <v>0.45669433417538796</v>
      </c>
    </row>
    <row r="72" spans="1:38" x14ac:dyDescent="0.3">
      <c r="A72" s="56" t="s">
        <v>169</v>
      </c>
      <c r="B72" s="84" t="s">
        <v>170</v>
      </c>
      <c r="C72" s="57" t="s">
        <v>254</v>
      </c>
      <c r="D72" s="2070">
        <v>12687</v>
      </c>
      <c r="E72" s="2071">
        <v>1240</v>
      </c>
      <c r="F72" s="2071">
        <v>2636</v>
      </c>
      <c r="G72" s="2071">
        <v>8811</v>
      </c>
      <c r="H72" s="138">
        <f t="shared" si="29"/>
        <v>9.77378418853945E-2</v>
      </c>
      <c r="I72" s="138">
        <f t="shared" si="30"/>
        <v>0.20777173484669348</v>
      </c>
      <c r="J72" s="2072">
        <f t="shared" si="31"/>
        <v>0.30550957673208795</v>
      </c>
      <c r="K72" s="2070">
        <v>12239</v>
      </c>
      <c r="L72" s="2071">
        <v>1381</v>
      </c>
      <c r="M72" s="2071">
        <v>2631</v>
      </c>
      <c r="N72" s="2071">
        <v>8227</v>
      </c>
      <c r="O72" s="138">
        <f t="shared" si="32"/>
        <v>0.11283601601438026</v>
      </c>
      <c r="P72" s="138">
        <f t="shared" si="33"/>
        <v>0.2149685431816325</v>
      </c>
      <c r="Q72" s="2072">
        <f t="shared" si="34"/>
        <v>0.32780455919601276</v>
      </c>
      <c r="R72" s="2070">
        <v>12433</v>
      </c>
      <c r="S72" s="2071">
        <v>1402</v>
      </c>
      <c r="T72" s="2071">
        <v>3134</v>
      </c>
      <c r="U72" s="2071">
        <v>7897</v>
      </c>
      <c r="V72" s="138">
        <f t="shared" si="35"/>
        <v>0.11276441727660259</v>
      </c>
      <c r="W72" s="138">
        <f t="shared" si="36"/>
        <v>0.25207110110190623</v>
      </c>
      <c r="X72" s="2072">
        <f t="shared" si="37"/>
        <v>0.63516448162149119</v>
      </c>
      <c r="Y72" s="2070">
        <v>13245</v>
      </c>
      <c r="Z72" s="2071">
        <v>1202</v>
      </c>
      <c r="AA72" s="2071">
        <v>3112</v>
      </c>
      <c r="AB72" s="2071">
        <v>8931</v>
      </c>
      <c r="AC72" s="138">
        <f t="shared" si="38"/>
        <v>9.0751226878067193E-2</v>
      </c>
      <c r="AD72" s="138">
        <f t="shared" si="39"/>
        <v>0.23495658739146849</v>
      </c>
      <c r="AE72" s="2072">
        <f t="shared" si="40"/>
        <v>0.67429218573046434</v>
      </c>
      <c r="AF72" s="2070">
        <v>13453</v>
      </c>
      <c r="AG72" s="2071">
        <v>1073</v>
      </c>
      <c r="AH72" s="2071">
        <v>3555</v>
      </c>
      <c r="AI72" s="2071">
        <v>8825</v>
      </c>
      <c r="AJ72" s="138">
        <f t="shared" si="41"/>
        <v>7.9759161525310346E-2</v>
      </c>
      <c r="AK72" s="138">
        <f t="shared" si="42"/>
        <v>0.26425332639559951</v>
      </c>
      <c r="AL72" s="2072">
        <f t="shared" si="43"/>
        <v>0.65598751207909012</v>
      </c>
    </row>
    <row r="73" spans="1:38" x14ac:dyDescent="0.3">
      <c r="A73" s="56" t="s">
        <v>171</v>
      </c>
      <c r="B73" s="84" t="s">
        <v>172</v>
      </c>
      <c r="C73" s="57" t="s">
        <v>254</v>
      </c>
      <c r="D73" s="2070">
        <v>9352</v>
      </c>
      <c r="E73" s="2071">
        <v>1203</v>
      </c>
      <c r="F73" s="2071">
        <v>2756</v>
      </c>
      <c r="G73" s="2071">
        <v>5393</v>
      </c>
      <c r="H73" s="138">
        <f t="shared" si="29"/>
        <v>0.12863558597091532</v>
      </c>
      <c r="I73" s="138">
        <f t="shared" si="30"/>
        <v>0.29469632164242943</v>
      </c>
      <c r="J73" s="2072">
        <f t="shared" si="31"/>
        <v>0.42333190761334472</v>
      </c>
      <c r="K73" s="2070">
        <v>9584</v>
      </c>
      <c r="L73" s="2071">
        <v>1756</v>
      </c>
      <c r="M73" s="2071">
        <v>2063</v>
      </c>
      <c r="N73" s="2071">
        <v>5765</v>
      </c>
      <c r="O73" s="138">
        <f t="shared" si="32"/>
        <v>0.18322203672787979</v>
      </c>
      <c r="P73" s="138">
        <f t="shared" si="33"/>
        <v>0.21525459098497496</v>
      </c>
      <c r="Q73" s="2072">
        <f t="shared" si="34"/>
        <v>0.39847662771285475</v>
      </c>
      <c r="R73" s="2070">
        <v>9526</v>
      </c>
      <c r="S73" s="2071">
        <v>1585</v>
      </c>
      <c r="T73" s="2071">
        <v>2692</v>
      </c>
      <c r="U73" s="2071">
        <v>5249</v>
      </c>
      <c r="V73" s="138">
        <f t="shared" si="35"/>
        <v>0.16638673105185808</v>
      </c>
      <c r="W73" s="138">
        <f t="shared" si="36"/>
        <v>0.28259500314927566</v>
      </c>
      <c r="X73" s="2072">
        <f t="shared" si="37"/>
        <v>0.55101826579886626</v>
      </c>
      <c r="Y73" s="2070">
        <v>9523</v>
      </c>
      <c r="Z73" s="2071">
        <v>1465</v>
      </c>
      <c r="AA73" s="2071">
        <v>2740</v>
      </c>
      <c r="AB73" s="2071">
        <v>5318</v>
      </c>
      <c r="AC73" s="138">
        <f t="shared" si="38"/>
        <v>0.1538380762364801</v>
      </c>
      <c r="AD73" s="138">
        <f t="shared" si="39"/>
        <v>0.28772445657880918</v>
      </c>
      <c r="AE73" s="2072">
        <f t="shared" si="40"/>
        <v>0.55843746718471066</v>
      </c>
      <c r="AF73" s="2070">
        <v>9338</v>
      </c>
      <c r="AG73" s="2071">
        <v>1439</v>
      </c>
      <c r="AH73" s="2071">
        <v>3083</v>
      </c>
      <c r="AI73" s="2071">
        <v>4816</v>
      </c>
      <c r="AJ73" s="138">
        <f t="shared" si="41"/>
        <v>0.15410152066823732</v>
      </c>
      <c r="AK73" s="138">
        <f t="shared" si="42"/>
        <v>0.33015635039623048</v>
      </c>
      <c r="AL73" s="2072">
        <f t="shared" si="43"/>
        <v>0.51574212893553228</v>
      </c>
    </row>
    <row r="74" spans="1:38" x14ac:dyDescent="0.3">
      <c r="A74" s="56" t="s">
        <v>173</v>
      </c>
      <c r="B74" s="84" t="s">
        <v>174</v>
      </c>
      <c r="C74" s="57" t="s">
        <v>255</v>
      </c>
      <c r="D74" s="2070">
        <v>7344</v>
      </c>
      <c r="E74" s="2071">
        <v>1009</v>
      </c>
      <c r="F74" s="2071">
        <v>2346</v>
      </c>
      <c r="G74" s="2071">
        <v>3989</v>
      </c>
      <c r="H74" s="138">
        <f t="shared" si="29"/>
        <v>0.13739106753812635</v>
      </c>
      <c r="I74" s="138">
        <f t="shared" si="30"/>
        <v>0.31944444444444442</v>
      </c>
      <c r="J74" s="2072">
        <f t="shared" si="31"/>
        <v>0.45683551198257083</v>
      </c>
      <c r="K74" s="2070">
        <v>7519</v>
      </c>
      <c r="L74" s="2071">
        <v>1223</v>
      </c>
      <c r="M74" s="2071">
        <v>2205</v>
      </c>
      <c r="N74" s="2071">
        <v>4091</v>
      </c>
      <c r="O74" s="138">
        <f t="shared" si="32"/>
        <v>0.16265460832557521</v>
      </c>
      <c r="P74" s="138">
        <f t="shared" si="33"/>
        <v>0.29325708205878442</v>
      </c>
      <c r="Q74" s="2072">
        <f t="shared" si="34"/>
        <v>0.45591169038435964</v>
      </c>
      <c r="R74" s="2070">
        <v>7678</v>
      </c>
      <c r="S74" s="2071">
        <v>1475</v>
      </c>
      <c r="T74" s="2071">
        <v>2392</v>
      </c>
      <c r="U74" s="2071">
        <v>3811</v>
      </c>
      <c r="V74" s="138">
        <f t="shared" si="35"/>
        <v>0.19210731961448294</v>
      </c>
      <c r="W74" s="138">
        <f t="shared" si="36"/>
        <v>0.31153946340192756</v>
      </c>
      <c r="X74" s="2072">
        <f t="shared" si="37"/>
        <v>0.49635321698358947</v>
      </c>
      <c r="Y74" s="2070">
        <v>7805</v>
      </c>
      <c r="Z74" s="2071">
        <v>1469</v>
      </c>
      <c r="AA74" s="2071">
        <v>2358</v>
      </c>
      <c r="AB74" s="2071">
        <v>3978</v>
      </c>
      <c r="AC74" s="138">
        <f t="shared" si="38"/>
        <v>0.18821268417680972</v>
      </c>
      <c r="AD74" s="138">
        <f t="shared" si="39"/>
        <v>0.30211402946828958</v>
      </c>
      <c r="AE74" s="2072">
        <f t="shared" si="40"/>
        <v>0.50967328635490072</v>
      </c>
      <c r="AF74" s="2070">
        <v>7685</v>
      </c>
      <c r="AG74" s="2071">
        <v>1319</v>
      </c>
      <c r="AH74" s="2071">
        <v>2484</v>
      </c>
      <c r="AI74" s="2071">
        <v>3882</v>
      </c>
      <c r="AJ74" s="138">
        <f t="shared" si="41"/>
        <v>0.1716330513988289</v>
      </c>
      <c r="AK74" s="138">
        <f t="shared" si="42"/>
        <v>0.32322706571242682</v>
      </c>
      <c r="AL74" s="2072">
        <f t="shared" si="43"/>
        <v>0.50513988288874434</v>
      </c>
    </row>
    <row r="75" spans="1:38" x14ac:dyDescent="0.3">
      <c r="A75" s="56" t="s">
        <v>177</v>
      </c>
      <c r="B75" s="84" t="s">
        <v>178</v>
      </c>
      <c r="C75" s="57" t="s">
        <v>252</v>
      </c>
      <c r="D75" s="2070">
        <v>26462</v>
      </c>
      <c r="E75" s="2071">
        <v>4282</v>
      </c>
      <c r="F75" s="2071">
        <v>6418</v>
      </c>
      <c r="G75" s="2071">
        <v>15762</v>
      </c>
      <c r="H75" s="138">
        <f t="shared" si="29"/>
        <v>0.16181694505328395</v>
      </c>
      <c r="I75" s="138">
        <f t="shared" si="30"/>
        <v>0.24253646738719672</v>
      </c>
      <c r="J75" s="2072">
        <f t="shared" si="31"/>
        <v>0.40435341244048068</v>
      </c>
      <c r="K75" s="2070">
        <v>25845</v>
      </c>
      <c r="L75" s="2071">
        <v>3882</v>
      </c>
      <c r="M75" s="2071">
        <v>6611</v>
      </c>
      <c r="N75" s="2071">
        <v>15352</v>
      </c>
      <c r="O75" s="138">
        <f t="shared" si="32"/>
        <v>0.15020313406848521</v>
      </c>
      <c r="P75" s="138">
        <f t="shared" si="33"/>
        <v>0.25579415747726836</v>
      </c>
      <c r="Q75" s="2072">
        <f t="shared" si="34"/>
        <v>0.40599729154575354</v>
      </c>
      <c r="R75" s="2070">
        <v>26029</v>
      </c>
      <c r="S75" s="2071">
        <v>3901</v>
      </c>
      <c r="T75" s="2071">
        <v>7191</v>
      </c>
      <c r="U75" s="2071">
        <v>14937</v>
      </c>
      <c r="V75" s="138">
        <f t="shared" si="35"/>
        <v>0.14987129739905489</v>
      </c>
      <c r="W75" s="138">
        <f t="shared" si="36"/>
        <v>0.27626877713319759</v>
      </c>
      <c r="X75" s="2072">
        <f t="shared" si="37"/>
        <v>0.57385992546774756</v>
      </c>
      <c r="Y75" s="2070">
        <v>26327</v>
      </c>
      <c r="Z75" s="2071">
        <v>4013</v>
      </c>
      <c r="AA75" s="2071">
        <v>7753</v>
      </c>
      <c r="AB75" s="2071">
        <v>14561</v>
      </c>
      <c r="AC75" s="138">
        <f t="shared" si="38"/>
        <v>0.15242906521821703</v>
      </c>
      <c r="AD75" s="138">
        <f t="shared" si="39"/>
        <v>0.29448854787860373</v>
      </c>
      <c r="AE75" s="2072">
        <f t="shared" si="40"/>
        <v>0.55308238690317924</v>
      </c>
      <c r="AF75" s="2070">
        <v>26330</v>
      </c>
      <c r="AG75" s="2071">
        <v>4024</v>
      </c>
      <c r="AH75" s="2071">
        <v>7783</v>
      </c>
      <c r="AI75" s="2071">
        <v>14523</v>
      </c>
      <c r="AJ75" s="138">
        <f t="shared" si="41"/>
        <v>0.15282947208507405</v>
      </c>
      <c r="AK75" s="138">
        <f t="shared" si="42"/>
        <v>0.29559437903532093</v>
      </c>
      <c r="AL75" s="2072">
        <f t="shared" si="43"/>
        <v>0.55157614887960504</v>
      </c>
    </row>
    <row r="76" spans="1:38" x14ac:dyDescent="0.3">
      <c r="A76" s="56" t="s">
        <v>181</v>
      </c>
      <c r="B76" s="84" t="s">
        <v>182</v>
      </c>
      <c r="C76" s="57" t="s">
        <v>253</v>
      </c>
      <c r="D76" s="2070">
        <v>9388</v>
      </c>
      <c r="E76" s="2071">
        <v>566</v>
      </c>
      <c r="F76" s="2071">
        <v>3009</v>
      </c>
      <c r="G76" s="2071">
        <v>5813</v>
      </c>
      <c r="H76" s="138">
        <f t="shared" si="29"/>
        <v>6.0289731572219854E-2</v>
      </c>
      <c r="I76" s="138">
        <f t="shared" si="30"/>
        <v>0.32051555176821472</v>
      </c>
      <c r="J76" s="2072">
        <f t="shared" si="31"/>
        <v>0.38080528334043462</v>
      </c>
      <c r="K76" s="2070">
        <v>9405</v>
      </c>
      <c r="L76" s="2071">
        <v>616</v>
      </c>
      <c r="M76" s="2071">
        <v>3057</v>
      </c>
      <c r="N76" s="2071">
        <v>5732</v>
      </c>
      <c r="O76" s="138">
        <f t="shared" si="32"/>
        <v>6.5497076023391818E-2</v>
      </c>
      <c r="P76" s="138">
        <f t="shared" si="33"/>
        <v>0.32503987240829346</v>
      </c>
      <c r="Q76" s="2072">
        <f t="shared" si="34"/>
        <v>0.39053694843168529</v>
      </c>
      <c r="R76" s="2070">
        <v>9590</v>
      </c>
      <c r="S76" s="2071">
        <v>630</v>
      </c>
      <c r="T76" s="2071">
        <v>2898</v>
      </c>
      <c r="U76" s="2071">
        <v>6062</v>
      </c>
      <c r="V76" s="138">
        <f t="shared" si="35"/>
        <v>6.569343065693431E-2</v>
      </c>
      <c r="W76" s="138">
        <f t="shared" si="36"/>
        <v>0.30218978102189781</v>
      </c>
      <c r="X76" s="2072">
        <f t="shared" si="37"/>
        <v>0.63211678832116791</v>
      </c>
      <c r="Y76" s="2070">
        <v>9866</v>
      </c>
      <c r="Z76" s="2071">
        <v>649</v>
      </c>
      <c r="AA76" s="2071">
        <v>2879</v>
      </c>
      <c r="AB76" s="2071">
        <v>6338</v>
      </c>
      <c r="AC76" s="138">
        <f t="shared" si="38"/>
        <v>6.5781471721062232E-2</v>
      </c>
      <c r="AD76" s="138">
        <f t="shared" si="39"/>
        <v>0.29181025744982769</v>
      </c>
      <c r="AE76" s="2072">
        <f t="shared" si="40"/>
        <v>0.64240827082911012</v>
      </c>
      <c r="AF76" s="2070">
        <v>10178</v>
      </c>
      <c r="AG76" s="2071">
        <v>593</v>
      </c>
      <c r="AH76" s="2071">
        <v>2428</v>
      </c>
      <c r="AI76" s="2071">
        <v>7157</v>
      </c>
      <c r="AJ76" s="138">
        <f t="shared" si="41"/>
        <v>5.8262920023580272E-2</v>
      </c>
      <c r="AK76" s="138">
        <f t="shared" si="42"/>
        <v>0.23855374336804874</v>
      </c>
      <c r="AL76" s="2072">
        <f t="shared" si="43"/>
        <v>0.70318333660837096</v>
      </c>
    </row>
    <row r="77" spans="1:38" x14ac:dyDescent="0.3">
      <c r="A77" s="56" t="s">
        <v>183</v>
      </c>
      <c r="B77" s="84" t="s">
        <v>184</v>
      </c>
      <c r="C77" s="57" t="s">
        <v>253</v>
      </c>
      <c r="D77" s="2070">
        <v>7370</v>
      </c>
      <c r="E77" s="2071">
        <v>1139</v>
      </c>
      <c r="F77" s="2071">
        <v>2822</v>
      </c>
      <c r="G77" s="2071">
        <v>3409</v>
      </c>
      <c r="H77" s="138">
        <f t="shared" si="29"/>
        <v>0.15454545454545454</v>
      </c>
      <c r="I77" s="138">
        <f t="shared" si="30"/>
        <v>0.38290366350067845</v>
      </c>
      <c r="J77" s="2072">
        <f t="shared" si="31"/>
        <v>0.53744911804613293</v>
      </c>
      <c r="K77" s="2070">
        <v>7238</v>
      </c>
      <c r="L77" s="2071">
        <v>1292</v>
      </c>
      <c r="M77" s="2071">
        <v>2457</v>
      </c>
      <c r="N77" s="2071">
        <v>3489</v>
      </c>
      <c r="O77" s="138">
        <f t="shared" si="32"/>
        <v>0.17850234871511467</v>
      </c>
      <c r="P77" s="138">
        <f t="shared" si="33"/>
        <v>0.33945841392649906</v>
      </c>
      <c r="Q77" s="2072">
        <f t="shared" si="34"/>
        <v>0.51796076264161373</v>
      </c>
      <c r="R77" s="2070">
        <v>7604</v>
      </c>
      <c r="S77" s="2071">
        <v>1557</v>
      </c>
      <c r="T77" s="2071">
        <v>2637</v>
      </c>
      <c r="U77" s="2071">
        <v>3410</v>
      </c>
      <c r="V77" s="138">
        <f t="shared" si="35"/>
        <v>0.20476065228826934</v>
      </c>
      <c r="W77" s="138">
        <f t="shared" si="36"/>
        <v>0.34679116254602843</v>
      </c>
      <c r="X77" s="2072">
        <f t="shared" si="37"/>
        <v>0.44844818516570228</v>
      </c>
      <c r="Y77" s="2070">
        <v>7294</v>
      </c>
      <c r="Z77" s="2071">
        <v>1129</v>
      </c>
      <c r="AA77" s="2071">
        <v>2739</v>
      </c>
      <c r="AB77" s="2071">
        <v>3426</v>
      </c>
      <c r="AC77" s="138">
        <f t="shared" si="38"/>
        <v>0.15478475459281602</v>
      </c>
      <c r="AD77" s="138">
        <f t="shared" si="39"/>
        <v>0.37551412119550315</v>
      </c>
      <c r="AE77" s="2072">
        <f t="shared" si="40"/>
        <v>0.46970112421168081</v>
      </c>
      <c r="AF77" s="2070">
        <v>7187</v>
      </c>
      <c r="AG77" s="2071">
        <v>1139</v>
      </c>
      <c r="AH77" s="2071">
        <v>2954</v>
      </c>
      <c r="AI77" s="2071">
        <v>3094</v>
      </c>
      <c r="AJ77" s="138">
        <f t="shared" si="41"/>
        <v>0.15848058995408376</v>
      </c>
      <c r="AK77" s="138">
        <f t="shared" si="42"/>
        <v>0.41101989703631558</v>
      </c>
      <c r="AL77" s="2072">
        <f t="shared" si="43"/>
        <v>0.43049951300960065</v>
      </c>
    </row>
    <row r="78" spans="1:38" x14ac:dyDescent="0.3">
      <c r="A78" s="56" t="s">
        <v>185</v>
      </c>
      <c r="B78" s="84" t="s">
        <v>186</v>
      </c>
      <c r="C78" s="57" t="s">
        <v>251</v>
      </c>
      <c r="D78" s="2070">
        <v>10812</v>
      </c>
      <c r="E78" s="2071">
        <v>708</v>
      </c>
      <c r="F78" s="2071">
        <v>4135</v>
      </c>
      <c r="G78" s="2071">
        <v>5969</v>
      </c>
      <c r="H78" s="138">
        <f t="shared" si="29"/>
        <v>6.5482796892341849E-2</v>
      </c>
      <c r="I78" s="138">
        <f t="shared" si="30"/>
        <v>0.38244543100258971</v>
      </c>
      <c r="J78" s="2072">
        <f t="shared" si="31"/>
        <v>0.44792822789493153</v>
      </c>
      <c r="K78" s="2070">
        <v>10595</v>
      </c>
      <c r="L78" s="2071">
        <v>639</v>
      </c>
      <c r="M78" s="2071">
        <v>4592</v>
      </c>
      <c r="N78" s="2071">
        <v>5364</v>
      </c>
      <c r="O78" s="138">
        <f t="shared" si="32"/>
        <v>6.031146767343086E-2</v>
      </c>
      <c r="P78" s="138">
        <f t="shared" si="33"/>
        <v>0.43341198678621989</v>
      </c>
      <c r="Q78" s="2072">
        <f t="shared" si="34"/>
        <v>0.49372345445965077</v>
      </c>
      <c r="R78" s="2070">
        <v>10906</v>
      </c>
      <c r="S78" s="2071">
        <v>1028</v>
      </c>
      <c r="T78" s="2071">
        <v>4952</v>
      </c>
      <c r="U78" s="2071">
        <v>4926</v>
      </c>
      <c r="V78" s="138">
        <f t="shared" si="35"/>
        <v>9.4260040344764345E-2</v>
      </c>
      <c r="W78" s="138">
        <f t="shared" si="36"/>
        <v>0.45406198422886485</v>
      </c>
      <c r="X78" s="2072">
        <f t="shared" si="37"/>
        <v>0.45167797542637078</v>
      </c>
      <c r="Y78" s="2070">
        <v>11191</v>
      </c>
      <c r="Z78" s="2071">
        <v>1007</v>
      </c>
      <c r="AA78" s="2071">
        <v>4775</v>
      </c>
      <c r="AB78" s="2071">
        <v>5409</v>
      </c>
      <c r="AC78" s="138">
        <f t="shared" si="38"/>
        <v>8.9983022071307303E-2</v>
      </c>
      <c r="AD78" s="138">
        <f t="shared" si="39"/>
        <v>0.42668215530336878</v>
      </c>
      <c r="AE78" s="2072">
        <f t="shared" si="40"/>
        <v>0.4833348226253239</v>
      </c>
      <c r="AF78" s="2070">
        <v>11415</v>
      </c>
      <c r="AG78" s="2071">
        <v>986</v>
      </c>
      <c r="AH78" s="2071">
        <v>5012</v>
      </c>
      <c r="AI78" s="2071">
        <v>5417</v>
      </c>
      <c r="AJ78" s="138">
        <f t="shared" si="41"/>
        <v>8.6377573368374941E-2</v>
      </c>
      <c r="AK78" s="138">
        <f t="shared" si="42"/>
        <v>0.43907139728427508</v>
      </c>
      <c r="AL78" s="2072">
        <f t="shared" si="43"/>
        <v>0.47455102934735</v>
      </c>
    </row>
    <row r="79" spans="1:38" x14ac:dyDescent="0.3">
      <c r="A79" s="56" t="s">
        <v>187</v>
      </c>
      <c r="B79" s="84" t="s">
        <v>188</v>
      </c>
      <c r="C79" s="57" t="s">
        <v>254</v>
      </c>
      <c r="D79" s="2070">
        <v>130358</v>
      </c>
      <c r="E79" s="2071">
        <v>6143</v>
      </c>
      <c r="F79" s="2071">
        <v>41387</v>
      </c>
      <c r="G79" s="2071">
        <v>82828</v>
      </c>
      <c r="H79" s="138">
        <f t="shared" si="29"/>
        <v>4.7124073704720847E-2</v>
      </c>
      <c r="I79" s="138">
        <f t="shared" si="30"/>
        <v>0.31748722748124397</v>
      </c>
      <c r="J79" s="2072">
        <f t="shared" si="31"/>
        <v>0.3646113011859648</v>
      </c>
      <c r="K79" s="2070">
        <v>134611</v>
      </c>
      <c r="L79" s="2071">
        <v>6672</v>
      </c>
      <c r="M79" s="2071">
        <v>43055</v>
      </c>
      <c r="N79" s="2071">
        <v>84884</v>
      </c>
      <c r="O79" s="138">
        <f t="shared" si="32"/>
        <v>4.9565042975685494E-2</v>
      </c>
      <c r="P79" s="138">
        <f t="shared" si="33"/>
        <v>0.31984756074912152</v>
      </c>
      <c r="Q79" s="2072">
        <f t="shared" si="34"/>
        <v>0.36941260372480705</v>
      </c>
      <c r="R79" s="2070">
        <v>137434</v>
      </c>
      <c r="S79" s="2071">
        <v>8921</v>
      </c>
      <c r="T79" s="2071">
        <v>44460</v>
      </c>
      <c r="U79" s="2071">
        <v>84053</v>
      </c>
      <c r="V79" s="138">
        <f t="shared" si="35"/>
        <v>6.4911157355530658E-2</v>
      </c>
      <c r="W79" s="138">
        <f t="shared" si="36"/>
        <v>0.32350073489820569</v>
      </c>
      <c r="X79" s="2072">
        <f t="shared" si="37"/>
        <v>0.61158810774626371</v>
      </c>
      <c r="Y79" s="2070">
        <v>139792</v>
      </c>
      <c r="Z79" s="2071">
        <v>10117</v>
      </c>
      <c r="AA79" s="2071">
        <v>40557</v>
      </c>
      <c r="AB79" s="2071">
        <v>89118</v>
      </c>
      <c r="AC79" s="138">
        <f t="shared" si="38"/>
        <v>7.2371809545610621E-2</v>
      </c>
      <c r="AD79" s="138">
        <f t="shared" si="39"/>
        <v>0.29012389836328262</v>
      </c>
      <c r="AE79" s="2072">
        <f t="shared" si="40"/>
        <v>0.63750429209110682</v>
      </c>
      <c r="AF79" s="2070">
        <v>143861</v>
      </c>
      <c r="AG79" s="2071">
        <v>7744</v>
      </c>
      <c r="AH79" s="2071">
        <v>39116</v>
      </c>
      <c r="AI79" s="2071">
        <v>97001</v>
      </c>
      <c r="AJ79" s="138">
        <f t="shared" si="41"/>
        <v>5.382973842806598E-2</v>
      </c>
      <c r="AK79" s="138">
        <f t="shared" si="42"/>
        <v>0.2719013492190378</v>
      </c>
      <c r="AL79" s="2072">
        <f t="shared" si="43"/>
        <v>0.67426891235289621</v>
      </c>
    </row>
    <row r="80" spans="1:38" x14ac:dyDescent="0.3">
      <c r="A80" s="56" t="s">
        <v>189</v>
      </c>
      <c r="B80" s="84" t="s">
        <v>190</v>
      </c>
      <c r="C80" s="57" t="s">
        <v>255</v>
      </c>
      <c r="D80" s="2070">
        <v>14803</v>
      </c>
      <c r="E80" s="2071">
        <v>2151</v>
      </c>
      <c r="F80" s="2071">
        <v>3154</v>
      </c>
      <c r="G80" s="2071">
        <v>9498</v>
      </c>
      <c r="H80" s="138">
        <f t="shared" si="29"/>
        <v>0.14530838343579006</v>
      </c>
      <c r="I80" s="138">
        <f t="shared" si="30"/>
        <v>0.21306491927312032</v>
      </c>
      <c r="J80" s="2072">
        <f t="shared" si="31"/>
        <v>0.35837330270891038</v>
      </c>
      <c r="K80" s="2070">
        <v>15275</v>
      </c>
      <c r="L80" s="2071">
        <v>2313</v>
      </c>
      <c r="M80" s="2071">
        <v>3639</v>
      </c>
      <c r="N80" s="2071">
        <v>9323</v>
      </c>
      <c r="O80" s="138">
        <f t="shared" si="32"/>
        <v>0.15142389525368249</v>
      </c>
      <c r="P80" s="138">
        <f t="shared" si="33"/>
        <v>0.23823240589198036</v>
      </c>
      <c r="Q80" s="2072">
        <f t="shared" si="34"/>
        <v>0.38965630114566285</v>
      </c>
      <c r="R80" s="2070">
        <v>15125</v>
      </c>
      <c r="S80" s="2071">
        <v>2139</v>
      </c>
      <c r="T80" s="2071">
        <v>3499</v>
      </c>
      <c r="U80" s="2071">
        <v>9487</v>
      </c>
      <c r="V80" s="138">
        <f t="shared" si="35"/>
        <v>0.14142148760330578</v>
      </c>
      <c r="W80" s="138">
        <f t="shared" si="36"/>
        <v>0.2313388429752066</v>
      </c>
      <c r="X80" s="2072">
        <f t="shared" si="37"/>
        <v>0.62723966942148757</v>
      </c>
      <c r="Y80" s="2070">
        <v>14553</v>
      </c>
      <c r="Z80" s="2071">
        <v>1895</v>
      </c>
      <c r="AA80" s="2071">
        <v>3771</v>
      </c>
      <c r="AB80" s="2071">
        <v>8887</v>
      </c>
      <c r="AC80" s="138">
        <f t="shared" si="38"/>
        <v>0.13021370164227308</v>
      </c>
      <c r="AD80" s="138">
        <f t="shared" si="39"/>
        <v>0.259121830550402</v>
      </c>
      <c r="AE80" s="2072">
        <f t="shared" si="40"/>
        <v>0.61066446780732497</v>
      </c>
      <c r="AF80" s="2070">
        <v>14525</v>
      </c>
      <c r="AG80" s="2071">
        <v>1968</v>
      </c>
      <c r="AH80" s="2071">
        <v>3579</v>
      </c>
      <c r="AI80" s="2071">
        <v>8978</v>
      </c>
      <c r="AJ80" s="138">
        <f t="shared" si="41"/>
        <v>0.13549053356282273</v>
      </c>
      <c r="AK80" s="138">
        <f t="shared" si="42"/>
        <v>0.24640275387263338</v>
      </c>
      <c r="AL80" s="2072">
        <f t="shared" si="43"/>
        <v>0.61810671256454386</v>
      </c>
    </row>
    <row r="81" spans="1:38" x14ac:dyDescent="0.3">
      <c r="A81" s="56" t="s">
        <v>193</v>
      </c>
      <c r="B81" s="84" t="s">
        <v>194</v>
      </c>
      <c r="C81" s="57" t="s">
        <v>254</v>
      </c>
      <c r="D81" s="2070">
        <v>3163</v>
      </c>
      <c r="E81" s="2071">
        <v>299</v>
      </c>
      <c r="F81" s="2071">
        <v>612</v>
      </c>
      <c r="G81" s="2071">
        <v>2252</v>
      </c>
      <c r="H81" s="138">
        <f t="shared" si="29"/>
        <v>9.4530509010433139E-2</v>
      </c>
      <c r="I81" s="138">
        <f t="shared" si="30"/>
        <v>0.19348719570028455</v>
      </c>
      <c r="J81" s="2072">
        <f t="shared" si="31"/>
        <v>0.28801770471071769</v>
      </c>
      <c r="K81" s="2070">
        <v>3276</v>
      </c>
      <c r="L81" s="2071">
        <v>342</v>
      </c>
      <c r="M81" s="2071">
        <v>690</v>
      </c>
      <c r="N81" s="2071">
        <v>2244</v>
      </c>
      <c r="O81" s="138">
        <f t="shared" si="32"/>
        <v>0.1043956043956044</v>
      </c>
      <c r="P81" s="138">
        <f t="shared" si="33"/>
        <v>0.21062271062271062</v>
      </c>
      <c r="Q81" s="2072">
        <f t="shared" si="34"/>
        <v>0.31501831501831501</v>
      </c>
      <c r="R81" s="2070">
        <v>3281</v>
      </c>
      <c r="S81" s="2071">
        <v>353</v>
      </c>
      <c r="T81" s="2071">
        <v>802</v>
      </c>
      <c r="U81" s="2071">
        <v>2126</v>
      </c>
      <c r="V81" s="138">
        <f t="shared" si="35"/>
        <v>0.1075891496494971</v>
      </c>
      <c r="W81" s="138">
        <f t="shared" si="36"/>
        <v>0.24443767144163364</v>
      </c>
      <c r="X81" s="2072">
        <f t="shared" si="37"/>
        <v>0.6479731789088693</v>
      </c>
      <c r="Y81" s="2070">
        <v>3247</v>
      </c>
      <c r="Z81" s="2071">
        <v>373</v>
      </c>
      <c r="AA81" s="2071">
        <v>785</v>
      </c>
      <c r="AB81" s="2071">
        <v>2089</v>
      </c>
      <c r="AC81" s="138">
        <f t="shared" si="38"/>
        <v>0.11487526947951955</v>
      </c>
      <c r="AD81" s="138">
        <f t="shared" si="39"/>
        <v>0.24176162611641516</v>
      </c>
      <c r="AE81" s="2072">
        <f t="shared" si="40"/>
        <v>0.6433631044040653</v>
      </c>
      <c r="AF81" s="2070">
        <v>2976</v>
      </c>
      <c r="AG81" s="2071">
        <v>313</v>
      </c>
      <c r="AH81" s="2071">
        <v>708</v>
      </c>
      <c r="AI81" s="2071">
        <v>1955</v>
      </c>
      <c r="AJ81" s="138">
        <f t="shared" si="41"/>
        <v>0.1051747311827957</v>
      </c>
      <c r="AK81" s="138">
        <f t="shared" si="42"/>
        <v>0.23790322580645162</v>
      </c>
      <c r="AL81" s="2072">
        <f t="shared" si="43"/>
        <v>0.65692204301075274</v>
      </c>
    </row>
    <row r="82" spans="1:38" x14ac:dyDescent="0.3">
      <c r="A82" s="56" t="s">
        <v>197</v>
      </c>
      <c r="B82" s="84" t="s">
        <v>259</v>
      </c>
      <c r="C82" s="57" t="s">
        <v>253</v>
      </c>
      <c r="D82" s="2070">
        <v>3007</v>
      </c>
      <c r="E82" s="2071">
        <v>429</v>
      </c>
      <c r="F82" s="2071">
        <v>1180</v>
      </c>
      <c r="G82" s="2071">
        <v>1398</v>
      </c>
      <c r="H82" s="138">
        <f t="shared" si="29"/>
        <v>0.14266711007648819</v>
      </c>
      <c r="I82" s="138">
        <f t="shared" si="30"/>
        <v>0.39241769205187893</v>
      </c>
      <c r="J82" s="2072">
        <f t="shared" si="31"/>
        <v>0.53508480212836718</v>
      </c>
      <c r="K82" s="2070">
        <v>2754</v>
      </c>
      <c r="L82" s="2071">
        <v>445</v>
      </c>
      <c r="M82" s="2071">
        <v>774</v>
      </c>
      <c r="N82" s="2071">
        <v>1535</v>
      </c>
      <c r="O82" s="138">
        <f t="shared" si="32"/>
        <v>0.16158315177923022</v>
      </c>
      <c r="P82" s="138">
        <f t="shared" si="33"/>
        <v>0.28104575163398693</v>
      </c>
      <c r="Q82" s="2072">
        <f t="shared" si="34"/>
        <v>0.44262890341321715</v>
      </c>
      <c r="R82" s="2070">
        <v>2800</v>
      </c>
      <c r="S82" s="2071">
        <v>419</v>
      </c>
      <c r="T82" s="2071">
        <v>765</v>
      </c>
      <c r="U82" s="2071">
        <v>1616</v>
      </c>
      <c r="V82" s="138">
        <f t="shared" si="35"/>
        <v>0.14964285714285713</v>
      </c>
      <c r="W82" s="138">
        <f t="shared" si="36"/>
        <v>0.27321428571428569</v>
      </c>
      <c r="X82" s="2072">
        <f t="shared" si="37"/>
        <v>0.57714285714285718</v>
      </c>
      <c r="Y82" s="2070">
        <v>3084</v>
      </c>
      <c r="Z82" s="2071">
        <v>517</v>
      </c>
      <c r="AA82" s="2071">
        <v>902</v>
      </c>
      <c r="AB82" s="2071">
        <v>1665</v>
      </c>
      <c r="AC82" s="138">
        <f t="shared" si="38"/>
        <v>0.16763942931258105</v>
      </c>
      <c r="AD82" s="138">
        <f t="shared" si="39"/>
        <v>0.29247730220492868</v>
      </c>
      <c r="AE82" s="2072">
        <f t="shared" si="40"/>
        <v>0.53988326848249024</v>
      </c>
      <c r="AF82" s="2070">
        <v>3139</v>
      </c>
      <c r="AG82" s="2071">
        <v>411</v>
      </c>
      <c r="AH82" s="2071">
        <v>1222</v>
      </c>
      <c r="AI82" s="2071">
        <v>1506</v>
      </c>
      <c r="AJ82" s="138">
        <f t="shared" si="41"/>
        <v>0.13093341828607838</v>
      </c>
      <c r="AK82" s="138">
        <f t="shared" si="42"/>
        <v>0.38929595412551771</v>
      </c>
      <c r="AL82" s="2072">
        <f t="shared" si="43"/>
        <v>0.47977062758840394</v>
      </c>
    </row>
    <row r="83" spans="1:38" x14ac:dyDescent="0.3">
      <c r="A83" s="56" t="s">
        <v>201</v>
      </c>
      <c r="B83" s="84" t="s">
        <v>276</v>
      </c>
      <c r="C83" s="57" t="s">
        <v>252</v>
      </c>
      <c r="D83" s="2070">
        <v>47725</v>
      </c>
      <c r="E83" s="2071">
        <v>3182</v>
      </c>
      <c r="F83" s="2071">
        <v>12844</v>
      </c>
      <c r="G83" s="2071">
        <v>31699</v>
      </c>
      <c r="H83" s="138">
        <f t="shared" si="29"/>
        <v>6.6673651126244113E-2</v>
      </c>
      <c r="I83" s="138">
        <f t="shared" si="30"/>
        <v>0.2691251964379256</v>
      </c>
      <c r="J83" s="2072">
        <f t="shared" si="31"/>
        <v>0.33579884756416972</v>
      </c>
      <c r="K83" s="2070">
        <v>47824</v>
      </c>
      <c r="L83" s="2071">
        <v>4317</v>
      </c>
      <c r="M83" s="2071">
        <v>14131</v>
      </c>
      <c r="N83" s="2071">
        <v>29376</v>
      </c>
      <c r="O83" s="138">
        <f t="shared" si="32"/>
        <v>9.0268484442957514E-2</v>
      </c>
      <c r="P83" s="138">
        <f t="shared" si="33"/>
        <v>0.29547925727668117</v>
      </c>
      <c r="Q83" s="2072">
        <f t="shared" si="34"/>
        <v>0.38574774171963866</v>
      </c>
      <c r="R83" s="2070">
        <v>48832</v>
      </c>
      <c r="S83" s="2071">
        <v>5160</v>
      </c>
      <c r="T83" s="2071">
        <v>13630</v>
      </c>
      <c r="U83" s="2071">
        <v>30042</v>
      </c>
      <c r="V83" s="138">
        <f t="shared" si="35"/>
        <v>0.10566841415465268</v>
      </c>
      <c r="W83" s="138">
        <f t="shared" si="36"/>
        <v>0.27912024901703802</v>
      </c>
      <c r="X83" s="2072">
        <f t="shared" si="37"/>
        <v>0.61521133682830931</v>
      </c>
      <c r="Y83" s="2070">
        <v>48601</v>
      </c>
      <c r="Z83" s="2071">
        <v>4444</v>
      </c>
      <c r="AA83" s="2071">
        <v>15480</v>
      </c>
      <c r="AB83" s="2071">
        <v>28677</v>
      </c>
      <c r="AC83" s="138">
        <f t="shared" si="38"/>
        <v>9.1438447768564426E-2</v>
      </c>
      <c r="AD83" s="138">
        <f t="shared" si="39"/>
        <v>0.31851196477438737</v>
      </c>
      <c r="AE83" s="2072">
        <f t="shared" si="40"/>
        <v>0.59004958745704816</v>
      </c>
      <c r="AF83" s="2070">
        <v>48224</v>
      </c>
      <c r="AG83" s="2071">
        <v>4172</v>
      </c>
      <c r="AH83" s="2071">
        <v>14489</v>
      </c>
      <c r="AI83" s="2071">
        <v>29563</v>
      </c>
      <c r="AJ83" s="138">
        <f t="shared" si="41"/>
        <v>8.6512939615129403E-2</v>
      </c>
      <c r="AK83" s="138">
        <f t="shared" si="42"/>
        <v>0.30045205706702055</v>
      </c>
      <c r="AL83" s="2072">
        <f t="shared" si="43"/>
        <v>0.61303500331784999</v>
      </c>
    </row>
    <row r="84" spans="1:38" x14ac:dyDescent="0.3">
      <c r="A84" s="56" t="s">
        <v>203</v>
      </c>
      <c r="B84" s="84" t="s">
        <v>269</v>
      </c>
      <c r="C84" s="57" t="s">
        <v>252</v>
      </c>
      <c r="D84" s="2070">
        <v>13937</v>
      </c>
      <c r="E84" s="2071">
        <v>2353</v>
      </c>
      <c r="F84" s="2071">
        <v>3571</v>
      </c>
      <c r="G84" s="2071">
        <v>8013</v>
      </c>
      <c r="H84" s="138">
        <f t="shared" si="29"/>
        <v>0.16883116883116883</v>
      </c>
      <c r="I84" s="138">
        <f t="shared" si="30"/>
        <v>0.25622443854488053</v>
      </c>
      <c r="J84" s="2072">
        <f t="shared" si="31"/>
        <v>0.42505560737604936</v>
      </c>
      <c r="K84" s="2070">
        <v>13714</v>
      </c>
      <c r="L84" s="2071">
        <v>1895</v>
      </c>
      <c r="M84" s="2071">
        <v>4193</v>
      </c>
      <c r="N84" s="2071">
        <v>7626</v>
      </c>
      <c r="O84" s="138">
        <f t="shared" si="32"/>
        <v>0.13817996208254338</v>
      </c>
      <c r="P84" s="138">
        <f t="shared" si="33"/>
        <v>0.30574595304068836</v>
      </c>
      <c r="Q84" s="2072">
        <f t="shared" si="34"/>
        <v>0.44392591512323171</v>
      </c>
      <c r="R84" s="2070">
        <v>13694</v>
      </c>
      <c r="S84" s="2071">
        <v>2029</v>
      </c>
      <c r="T84" s="2071">
        <v>4223</v>
      </c>
      <c r="U84" s="2071">
        <v>7442</v>
      </c>
      <c r="V84" s="138">
        <f t="shared" si="35"/>
        <v>0.14816708047319993</v>
      </c>
      <c r="W84" s="138">
        <f t="shared" si="36"/>
        <v>0.30838323353293412</v>
      </c>
      <c r="X84" s="2072">
        <f t="shared" si="37"/>
        <v>0.54344968599386589</v>
      </c>
      <c r="Y84" s="2070">
        <v>13842</v>
      </c>
      <c r="Z84" s="2071">
        <v>2159</v>
      </c>
      <c r="AA84" s="2071">
        <v>4014</v>
      </c>
      <c r="AB84" s="2071">
        <v>7669</v>
      </c>
      <c r="AC84" s="138">
        <f t="shared" si="38"/>
        <v>0.15597457014882243</v>
      </c>
      <c r="AD84" s="138">
        <f t="shared" si="39"/>
        <v>0.28998699609882966</v>
      </c>
      <c r="AE84" s="2072">
        <f t="shared" si="40"/>
        <v>0.55403843375234796</v>
      </c>
      <c r="AF84" s="2070">
        <v>13502</v>
      </c>
      <c r="AG84" s="2071">
        <v>1952</v>
      </c>
      <c r="AH84" s="2071">
        <v>4459</v>
      </c>
      <c r="AI84" s="2071">
        <v>7091</v>
      </c>
      <c r="AJ84" s="138">
        <f t="shared" si="41"/>
        <v>0.14457117464079397</v>
      </c>
      <c r="AK84" s="138">
        <f t="shared" si="42"/>
        <v>0.33024737075988742</v>
      </c>
      <c r="AL84" s="2072">
        <f t="shared" si="43"/>
        <v>0.52518145459931864</v>
      </c>
    </row>
    <row r="85" spans="1:38" x14ac:dyDescent="0.3">
      <c r="A85" s="56" t="s">
        <v>205</v>
      </c>
      <c r="B85" s="84" t="s">
        <v>270</v>
      </c>
      <c r="C85" s="57" t="s">
        <v>254</v>
      </c>
      <c r="D85" s="2070">
        <v>44184</v>
      </c>
      <c r="E85" s="2071">
        <v>7394</v>
      </c>
      <c r="F85" s="2071">
        <v>11694</v>
      </c>
      <c r="G85" s="2071">
        <v>25096</v>
      </c>
      <c r="H85" s="138">
        <f t="shared" si="29"/>
        <v>0.16734564548252762</v>
      </c>
      <c r="I85" s="138">
        <f t="shared" si="30"/>
        <v>0.26466594242259639</v>
      </c>
      <c r="J85" s="2072">
        <f t="shared" si="31"/>
        <v>0.43201158790512401</v>
      </c>
      <c r="K85" s="2070">
        <v>44658</v>
      </c>
      <c r="L85" s="2071">
        <v>7695</v>
      </c>
      <c r="M85" s="2071">
        <v>13556</v>
      </c>
      <c r="N85" s="2071">
        <v>23407</v>
      </c>
      <c r="O85" s="138">
        <f t="shared" si="32"/>
        <v>0.17230955259975816</v>
      </c>
      <c r="P85" s="138">
        <f t="shared" si="33"/>
        <v>0.30355143535312823</v>
      </c>
      <c r="Q85" s="2072">
        <f t="shared" si="34"/>
        <v>0.47586098795288639</v>
      </c>
      <c r="R85" s="2070">
        <v>46214</v>
      </c>
      <c r="S85" s="2071">
        <v>7677</v>
      </c>
      <c r="T85" s="2071">
        <v>11933</v>
      </c>
      <c r="U85" s="2071">
        <v>26604</v>
      </c>
      <c r="V85" s="138">
        <f t="shared" si="35"/>
        <v>0.16611849223179123</v>
      </c>
      <c r="W85" s="138">
        <f t="shared" si="36"/>
        <v>0.25821179729086424</v>
      </c>
      <c r="X85" s="2072">
        <f t="shared" si="37"/>
        <v>0.5756697104773445</v>
      </c>
      <c r="Y85" s="2070">
        <v>47812</v>
      </c>
      <c r="Z85" s="2071">
        <v>7445</v>
      </c>
      <c r="AA85" s="2071">
        <v>14016</v>
      </c>
      <c r="AB85" s="2071">
        <v>26351</v>
      </c>
      <c r="AC85" s="138">
        <f t="shared" si="38"/>
        <v>0.15571404668284114</v>
      </c>
      <c r="AD85" s="138">
        <f t="shared" si="39"/>
        <v>0.29314816364092694</v>
      </c>
      <c r="AE85" s="2072">
        <f t="shared" si="40"/>
        <v>0.55113778967623195</v>
      </c>
      <c r="AF85" s="2070">
        <v>48230</v>
      </c>
      <c r="AG85" s="2071">
        <v>7092</v>
      </c>
      <c r="AH85" s="2071">
        <v>14574</v>
      </c>
      <c r="AI85" s="2071">
        <v>26564</v>
      </c>
      <c r="AJ85" s="138">
        <f t="shared" si="41"/>
        <v>0.14704540742276592</v>
      </c>
      <c r="AK85" s="138">
        <f t="shared" si="42"/>
        <v>0.30217706821480406</v>
      </c>
      <c r="AL85" s="2072">
        <f t="shared" si="43"/>
        <v>0.55077752436242999</v>
      </c>
    </row>
    <row r="86" spans="1:38" x14ac:dyDescent="0.3">
      <c r="A86" s="56" t="s">
        <v>207</v>
      </c>
      <c r="B86" s="84" t="s">
        <v>208</v>
      </c>
      <c r="C86" s="57" t="s">
        <v>255</v>
      </c>
      <c r="D86" s="2070">
        <v>11296</v>
      </c>
      <c r="E86" s="2071">
        <v>2196</v>
      </c>
      <c r="F86" s="2071">
        <v>3379</v>
      </c>
      <c r="G86" s="2071">
        <v>5721</v>
      </c>
      <c r="H86" s="138">
        <f t="shared" si="29"/>
        <v>0.19440509915014165</v>
      </c>
      <c r="I86" s="138">
        <f t="shared" si="30"/>
        <v>0.29913243626062325</v>
      </c>
      <c r="J86" s="2072">
        <f t="shared" si="31"/>
        <v>0.49353753541076489</v>
      </c>
      <c r="K86" s="2070">
        <v>10824</v>
      </c>
      <c r="L86" s="2071">
        <v>2308</v>
      </c>
      <c r="M86" s="2071">
        <v>3643</v>
      </c>
      <c r="N86" s="2071">
        <v>4873</v>
      </c>
      <c r="O86" s="138">
        <f t="shared" si="32"/>
        <v>0.21322985957132298</v>
      </c>
      <c r="P86" s="138">
        <f t="shared" si="33"/>
        <v>0.33656688839615667</v>
      </c>
      <c r="Q86" s="2072">
        <f t="shared" si="34"/>
        <v>0.54979674796747968</v>
      </c>
      <c r="R86" s="2070">
        <v>11037</v>
      </c>
      <c r="S86" s="2071">
        <v>2260</v>
      </c>
      <c r="T86" s="2071">
        <v>3670</v>
      </c>
      <c r="U86" s="2071">
        <v>5107</v>
      </c>
      <c r="V86" s="138">
        <f t="shared" si="35"/>
        <v>0.20476578780465707</v>
      </c>
      <c r="W86" s="138">
        <f t="shared" si="36"/>
        <v>0.33251789435535017</v>
      </c>
      <c r="X86" s="2072">
        <f t="shared" si="37"/>
        <v>0.46271631783999273</v>
      </c>
      <c r="Y86" s="2070">
        <v>10937</v>
      </c>
      <c r="Z86" s="2071">
        <v>1975</v>
      </c>
      <c r="AA86" s="2071">
        <v>3606</v>
      </c>
      <c r="AB86" s="2071">
        <v>5356</v>
      </c>
      <c r="AC86" s="138">
        <f t="shared" si="38"/>
        <v>0.18057968364268082</v>
      </c>
      <c r="AD86" s="138">
        <f t="shared" si="39"/>
        <v>0.32970650086861114</v>
      </c>
      <c r="AE86" s="2072">
        <f t="shared" si="40"/>
        <v>0.48971381548870807</v>
      </c>
      <c r="AF86" s="2070">
        <v>10965</v>
      </c>
      <c r="AG86" s="2071">
        <v>2329</v>
      </c>
      <c r="AH86" s="2071">
        <v>3544</v>
      </c>
      <c r="AI86" s="2071">
        <v>5092</v>
      </c>
      <c r="AJ86" s="138">
        <f t="shared" si="41"/>
        <v>0.21240310077519381</v>
      </c>
      <c r="AK86" s="138">
        <f t="shared" si="42"/>
        <v>0.32321021431828545</v>
      </c>
      <c r="AL86" s="2072">
        <f t="shared" si="43"/>
        <v>0.46438668490652074</v>
      </c>
    </row>
    <row r="87" spans="1:38" x14ac:dyDescent="0.3">
      <c r="A87" s="56" t="s">
        <v>209</v>
      </c>
      <c r="B87" s="84" t="s">
        <v>210</v>
      </c>
      <c r="C87" s="57" t="s">
        <v>255</v>
      </c>
      <c r="D87" s="2070">
        <v>9609</v>
      </c>
      <c r="E87" s="2071">
        <v>2007</v>
      </c>
      <c r="F87" s="2071">
        <v>2428</v>
      </c>
      <c r="G87" s="2071">
        <v>5174</v>
      </c>
      <c r="H87" s="138">
        <f t="shared" si="29"/>
        <v>0.20886668748048703</v>
      </c>
      <c r="I87" s="138">
        <f t="shared" si="30"/>
        <v>0.252679779373504</v>
      </c>
      <c r="J87" s="2072">
        <f t="shared" si="31"/>
        <v>0.46154646685399103</v>
      </c>
      <c r="K87" s="2070">
        <v>9392</v>
      </c>
      <c r="L87" s="2071">
        <v>1764</v>
      </c>
      <c r="M87" s="2071">
        <v>2809</v>
      </c>
      <c r="N87" s="2071">
        <v>4819</v>
      </c>
      <c r="O87" s="138">
        <f t="shared" si="32"/>
        <v>0.18781942078364566</v>
      </c>
      <c r="P87" s="138">
        <f t="shared" si="33"/>
        <v>0.29908432708688243</v>
      </c>
      <c r="Q87" s="2072">
        <f t="shared" si="34"/>
        <v>0.48690374787052809</v>
      </c>
      <c r="R87" s="2070">
        <v>9363</v>
      </c>
      <c r="S87" s="2071">
        <v>1731</v>
      </c>
      <c r="T87" s="2071">
        <v>2892</v>
      </c>
      <c r="U87" s="2071">
        <v>4740</v>
      </c>
      <c r="V87" s="138">
        <f t="shared" si="35"/>
        <v>0.18487664210189042</v>
      </c>
      <c r="W87" s="138">
        <f t="shared" si="36"/>
        <v>0.30887536046139058</v>
      </c>
      <c r="X87" s="2072">
        <f t="shared" si="37"/>
        <v>0.506247997436719</v>
      </c>
      <c r="Y87" s="2070">
        <v>9104</v>
      </c>
      <c r="Z87" s="2071">
        <v>1766</v>
      </c>
      <c r="AA87" s="2071">
        <v>2768</v>
      </c>
      <c r="AB87" s="2071">
        <v>4570</v>
      </c>
      <c r="AC87" s="138">
        <f t="shared" si="38"/>
        <v>0.19398066783831283</v>
      </c>
      <c r="AD87" s="138">
        <f t="shared" si="39"/>
        <v>0.30404217926186294</v>
      </c>
      <c r="AE87" s="2072">
        <f t="shared" si="40"/>
        <v>0.50197715289982425</v>
      </c>
      <c r="AF87" s="2070">
        <v>8767</v>
      </c>
      <c r="AG87" s="2071">
        <v>1753</v>
      </c>
      <c r="AH87" s="2071">
        <v>2902</v>
      </c>
      <c r="AI87" s="2071">
        <v>4112</v>
      </c>
      <c r="AJ87" s="138">
        <f t="shared" si="41"/>
        <v>0.19995437435838942</v>
      </c>
      <c r="AK87" s="138">
        <f t="shared" si="42"/>
        <v>0.33101402988479528</v>
      </c>
      <c r="AL87" s="2072">
        <f t="shared" si="43"/>
        <v>0.46903159575681536</v>
      </c>
    </row>
    <row r="88" spans="1:38" x14ac:dyDescent="0.3">
      <c r="A88" s="56" t="s">
        <v>211</v>
      </c>
      <c r="B88" s="84" t="s">
        <v>212</v>
      </c>
      <c r="C88" s="57" t="s">
        <v>254</v>
      </c>
      <c r="D88" s="2070">
        <v>17541</v>
      </c>
      <c r="E88" s="2071">
        <v>2003</v>
      </c>
      <c r="F88" s="2071">
        <v>3974</v>
      </c>
      <c r="G88" s="2071">
        <v>11564</v>
      </c>
      <c r="H88" s="138">
        <f t="shared" si="29"/>
        <v>0.11418961290690383</v>
      </c>
      <c r="I88" s="138">
        <f t="shared" si="30"/>
        <v>0.22655492845333788</v>
      </c>
      <c r="J88" s="2072">
        <f t="shared" si="31"/>
        <v>0.34074454136024174</v>
      </c>
      <c r="K88" s="2070">
        <v>16780</v>
      </c>
      <c r="L88" s="2071">
        <v>1974</v>
      </c>
      <c r="M88" s="2071">
        <v>4864</v>
      </c>
      <c r="N88" s="2071">
        <v>9942</v>
      </c>
      <c r="O88" s="138">
        <f t="shared" si="32"/>
        <v>0.11764004767580453</v>
      </c>
      <c r="P88" s="138">
        <f t="shared" si="33"/>
        <v>0.28986889153754469</v>
      </c>
      <c r="Q88" s="2072">
        <f t="shared" si="34"/>
        <v>0.40750893921334924</v>
      </c>
      <c r="R88" s="2070">
        <v>17246</v>
      </c>
      <c r="S88" s="2071">
        <v>2070</v>
      </c>
      <c r="T88" s="2071">
        <v>4865</v>
      </c>
      <c r="U88" s="2071">
        <v>10311</v>
      </c>
      <c r="V88" s="138">
        <f t="shared" si="35"/>
        <v>0.12002783254087905</v>
      </c>
      <c r="W88" s="138">
        <f t="shared" si="36"/>
        <v>0.28209439870114811</v>
      </c>
      <c r="X88" s="2072">
        <f t="shared" si="37"/>
        <v>0.59787776875797283</v>
      </c>
      <c r="Y88" s="2070">
        <v>17222</v>
      </c>
      <c r="Z88" s="2071">
        <v>1795</v>
      </c>
      <c r="AA88" s="2071">
        <v>5026</v>
      </c>
      <c r="AB88" s="2071">
        <v>10401</v>
      </c>
      <c r="AC88" s="138">
        <f t="shared" si="38"/>
        <v>0.10422715131808152</v>
      </c>
      <c r="AD88" s="138">
        <f t="shared" si="39"/>
        <v>0.29183602369062828</v>
      </c>
      <c r="AE88" s="2072">
        <f t="shared" si="40"/>
        <v>0.6039368249912902</v>
      </c>
      <c r="AF88" s="2070">
        <v>17315</v>
      </c>
      <c r="AG88" s="2071">
        <v>2005</v>
      </c>
      <c r="AH88" s="2071">
        <v>4802</v>
      </c>
      <c r="AI88" s="2071">
        <v>10508</v>
      </c>
      <c r="AJ88" s="138">
        <f t="shared" si="41"/>
        <v>0.11579555298873809</v>
      </c>
      <c r="AK88" s="138">
        <f t="shared" si="42"/>
        <v>0.27733179324285301</v>
      </c>
      <c r="AL88" s="2072">
        <f t="shared" si="43"/>
        <v>0.60687265376840893</v>
      </c>
    </row>
    <row r="89" spans="1:38" x14ac:dyDescent="0.3">
      <c r="A89" s="56" t="s">
        <v>213</v>
      </c>
      <c r="B89" s="84" t="s">
        <v>214</v>
      </c>
      <c r="C89" s="57" t="s">
        <v>255</v>
      </c>
      <c r="D89" s="2070">
        <v>12617</v>
      </c>
      <c r="E89" s="2071">
        <v>2303</v>
      </c>
      <c r="F89" s="2071">
        <v>4161</v>
      </c>
      <c r="G89" s="2071">
        <v>6153</v>
      </c>
      <c r="H89" s="138">
        <f t="shared" si="29"/>
        <v>0.18253150511215027</v>
      </c>
      <c r="I89" s="138">
        <f t="shared" si="30"/>
        <v>0.32979313624474915</v>
      </c>
      <c r="J89" s="2072">
        <f t="shared" si="31"/>
        <v>0.51232464135689937</v>
      </c>
      <c r="K89" s="2070">
        <v>12550</v>
      </c>
      <c r="L89" s="2071">
        <v>2345</v>
      </c>
      <c r="M89" s="2071">
        <v>3636</v>
      </c>
      <c r="N89" s="2071">
        <v>6569</v>
      </c>
      <c r="O89" s="138">
        <f t="shared" si="32"/>
        <v>0.18685258964143425</v>
      </c>
      <c r="P89" s="138">
        <f t="shared" si="33"/>
        <v>0.28972111553784863</v>
      </c>
      <c r="Q89" s="2072">
        <f t="shared" si="34"/>
        <v>0.47657370517928288</v>
      </c>
      <c r="R89" s="2070">
        <v>12852</v>
      </c>
      <c r="S89" s="2071">
        <v>2303</v>
      </c>
      <c r="T89" s="2071">
        <v>3710</v>
      </c>
      <c r="U89" s="2071">
        <v>6839</v>
      </c>
      <c r="V89" s="138">
        <f t="shared" si="35"/>
        <v>0.17919389978213507</v>
      </c>
      <c r="W89" s="138">
        <f t="shared" si="36"/>
        <v>0.2886710239651416</v>
      </c>
      <c r="X89" s="2072">
        <f t="shared" si="37"/>
        <v>0.53213507625272327</v>
      </c>
      <c r="Y89" s="2070">
        <v>12930</v>
      </c>
      <c r="Z89" s="2071">
        <v>2410</v>
      </c>
      <c r="AA89" s="2071">
        <v>3441</v>
      </c>
      <c r="AB89" s="2071">
        <v>7079</v>
      </c>
      <c r="AC89" s="138">
        <f t="shared" si="38"/>
        <v>0.18638824439288476</v>
      </c>
      <c r="AD89" s="138">
        <f t="shared" si="39"/>
        <v>0.26612529002320184</v>
      </c>
      <c r="AE89" s="2072">
        <f t="shared" si="40"/>
        <v>0.54748646558391334</v>
      </c>
      <c r="AF89" s="2070">
        <v>12881</v>
      </c>
      <c r="AG89" s="2071">
        <v>2560</v>
      </c>
      <c r="AH89" s="2071">
        <v>3800</v>
      </c>
      <c r="AI89" s="2071">
        <v>6521</v>
      </c>
      <c r="AJ89" s="138">
        <f t="shared" si="41"/>
        <v>0.19874233366974614</v>
      </c>
      <c r="AK89" s="138">
        <f t="shared" si="42"/>
        <v>0.29500815154102944</v>
      </c>
      <c r="AL89" s="2072">
        <f t="shared" si="43"/>
        <v>0.50624951478922442</v>
      </c>
    </row>
    <row r="90" spans="1:38" x14ac:dyDescent="0.3">
      <c r="A90" s="56" t="s">
        <v>215</v>
      </c>
      <c r="B90" s="84" t="s">
        <v>216</v>
      </c>
      <c r="C90" s="57" t="s">
        <v>251</v>
      </c>
      <c r="D90" s="2070">
        <v>6571</v>
      </c>
      <c r="E90" s="2071">
        <v>988</v>
      </c>
      <c r="F90" s="2071">
        <v>1757</v>
      </c>
      <c r="G90" s="2071">
        <v>3826</v>
      </c>
      <c r="H90" s="138">
        <f t="shared" si="29"/>
        <v>0.15035763201947952</v>
      </c>
      <c r="I90" s="138">
        <f t="shared" si="30"/>
        <v>0.26738700350022826</v>
      </c>
      <c r="J90" s="2072">
        <f t="shared" si="31"/>
        <v>0.41774463551970781</v>
      </c>
      <c r="K90" s="2070">
        <v>6532</v>
      </c>
      <c r="L90" s="2071">
        <v>1038</v>
      </c>
      <c r="M90" s="2071">
        <v>1949</v>
      </c>
      <c r="N90" s="2071">
        <v>3545</v>
      </c>
      <c r="O90" s="138">
        <f t="shared" si="32"/>
        <v>0.15890998162890385</v>
      </c>
      <c r="P90" s="138">
        <f t="shared" si="33"/>
        <v>0.29837721984078386</v>
      </c>
      <c r="Q90" s="2072">
        <f t="shared" si="34"/>
        <v>0.45728720146968771</v>
      </c>
      <c r="R90" s="2070">
        <v>6654</v>
      </c>
      <c r="S90" s="2071">
        <v>925</v>
      </c>
      <c r="T90" s="2071">
        <v>1899</v>
      </c>
      <c r="U90" s="2071">
        <v>3830</v>
      </c>
      <c r="V90" s="138">
        <f t="shared" si="35"/>
        <v>0.1390141268409979</v>
      </c>
      <c r="W90" s="138">
        <f t="shared" si="36"/>
        <v>0.28539224526600543</v>
      </c>
      <c r="X90" s="2072">
        <f t="shared" si="37"/>
        <v>0.57559362789299673</v>
      </c>
      <c r="Y90" s="2070">
        <v>6727</v>
      </c>
      <c r="Z90" s="2071">
        <v>1066</v>
      </c>
      <c r="AA90" s="2071">
        <v>1748</v>
      </c>
      <c r="AB90" s="2071">
        <v>3913</v>
      </c>
      <c r="AC90" s="138">
        <f t="shared" si="38"/>
        <v>0.15846588375204401</v>
      </c>
      <c r="AD90" s="138">
        <f t="shared" si="39"/>
        <v>0.25984837223130669</v>
      </c>
      <c r="AE90" s="2072">
        <f t="shared" si="40"/>
        <v>0.5816857440166493</v>
      </c>
      <c r="AF90" s="2070">
        <v>6522</v>
      </c>
      <c r="AG90" s="2071">
        <v>780</v>
      </c>
      <c r="AH90" s="2071">
        <v>2088</v>
      </c>
      <c r="AI90" s="2071">
        <v>3654</v>
      </c>
      <c r="AJ90" s="138">
        <f t="shared" si="41"/>
        <v>0.11959521619135234</v>
      </c>
      <c r="AK90" s="138">
        <f t="shared" si="42"/>
        <v>0.32014719411223552</v>
      </c>
      <c r="AL90" s="2072">
        <f t="shared" si="43"/>
        <v>0.56025758969641215</v>
      </c>
    </row>
    <row r="91" spans="1:38" x14ac:dyDescent="0.3">
      <c r="A91" s="56" t="s">
        <v>217</v>
      </c>
      <c r="B91" s="84" t="s">
        <v>218</v>
      </c>
      <c r="C91" s="57" t="s">
        <v>254</v>
      </c>
      <c r="D91" s="2070">
        <v>40482</v>
      </c>
      <c r="E91" s="2071">
        <v>3254</v>
      </c>
      <c r="F91" s="2071">
        <v>12654</v>
      </c>
      <c r="G91" s="2071">
        <v>24574</v>
      </c>
      <c r="H91" s="138">
        <f t="shared" si="29"/>
        <v>8.0381404080826044E-2</v>
      </c>
      <c r="I91" s="138">
        <f t="shared" si="30"/>
        <v>0.31258337038683859</v>
      </c>
      <c r="J91" s="2072">
        <f t="shared" si="31"/>
        <v>0.39296477446766465</v>
      </c>
      <c r="K91" s="2070">
        <v>42292</v>
      </c>
      <c r="L91" s="2071">
        <v>3073</v>
      </c>
      <c r="M91" s="2071">
        <v>12474</v>
      </c>
      <c r="N91" s="2071">
        <v>26745</v>
      </c>
      <c r="O91" s="138">
        <f t="shared" si="32"/>
        <v>7.2661496264068856E-2</v>
      </c>
      <c r="P91" s="138">
        <f t="shared" si="33"/>
        <v>0.29494939941360065</v>
      </c>
      <c r="Q91" s="2072">
        <f t="shared" si="34"/>
        <v>0.36761089567766952</v>
      </c>
      <c r="R91" s="2070">
        <v>43049</v>
      </c>
      <c r="S91" s="2071">
        <v>4301</v>
      </c>
      <c r="T91" s="2071">
        <v>16297</v>
      </c>
      <c r="U91" s="2071">
        <v>22451</v>
      </c>
      <c r="V91" s="138">
        <f t="shared" si="35"/>
        <v>9.9909405561104794E-2</v>
      </c>
      <c r="W91" s="138">
        <f t="shared" si="36"/>
        <v>0.37856860786545565</v>
      </c>
      <c r="X91" s="2072">
        <f t="shared" si="37"/>
        <v>0.52152198657343962</v>
      </c>
      <c r="Y91" s="2070">
        <v>44169</v>
      </c>
      <c r="Z91" s="2071">
        <v>2505</v>
      </c>
      <c r="AA91" s="2071">
        <v>15687</v>
      </c>
      <c r="AB91" s="2071">
        <v>25977</v>
      </c>
      <c r="AC91" s="138">
        <f t="shared" si="38"/>
        <v>5.6713984921551316E-2</v>
      </c>
      <c r="AD91" s="138">
        <f t="shared" si="39"/>
        <v>0.35515859539496025</v>
      </c>
      <c r="AE91" s="2072">
        <f t="shared" si="40"/>
        <v>0.58812741968348847</v>
      </c>
      <c r="AF91" s="2070">
        <v>45223</v>
      </c>
      <c r="AG91" s="2071">
        <v>3359</v>
      </c>
      <c r="AH91" s="2071">
        <v>13769</v>
      </c>
      <c r="AI91" s="2071">
        <v>28095</v>
      </c>
      <c r="AJ91" s="138">
        <f t="shared" si="41"/>
        <v>7.4276363797182846E-2</v>
      </c>
      <c r="AK91" s="138">
        <f t="shared" si="42"/>
        <v>0.30446896490723746</v>
      </c>
      <c r="AL91" s="2072">
        <f t="shared" si="43"/>
        <v>0.62125467129557965</v>
      </c>
    </row>
    <row r="92" spans="1:38" x14ac:dyDescent="0.3">
      <c r="A92" s="56" t="s">
        <v>219</v>
      </c>
      <c r="B92" s="84" t="s">
        <v>220</v>
      </c>
      <c r="C92" s="57" t="s">
        <v>254</v>
      </c>
      <c r="D92" s="2070">
        <v>40720</v>
      </c>
      <c r="E92" s="2071">
        <v>1618</v>
      </c>
      <c r="F92" s="2071">
        <v>13902</v>
      </c>
      <c r="G92" s="2071">
        <v>25200</v>
      </c>
      <c r="H92" s="138">
        <f t="shared" si="29"/>
        <v>3.9734774066797644E-2</v>
      </c>
      <c r="I92" s="138">
        <f t="shared" si="30"/>
        <v>0.34140471512770137</v>
      </c>
      <c r="J92" s="2072">
        <f t="shared" si="31"/>
        <v>0.38113948919449903</v>
      </c>
      <c r="K92" s="2070">
        <v>42313</v>
      </c>
      <c r="L92" s="2071">
        <v>2280</v>
      </c>
      <c r="M92" s="2071">
        <v>13458</v>
      </c>
      <c r="N92" s="2071">
        <v>26575</v>
      </c>
      <c r="O92" s="138">
        <f t="shared" si="32"/>
        <v>5.3884149079479117E-2</v>
      </c>
      <c r="P92" s="138">
        <f t="shared" si="33"/>
        <v>0.31805827996124125</v>
      </c>
      <c r="Q92" s="2072">
        <f t="shared" si="34"/>
        <v>0.37194242904072033</v>
      </c>
      <c r="R92" s="2070">
        <v>44246</v>
      </c>
      <c r="S92" s="2071">
        <v>2353</v>
      </c>
      <c r="T92" s="2071">
        <v>14408</v>
      </c>
      <c r="U92" s="2071">
        <v>27485</v>
      </c>
      <c r="V92" s="138">
        <f t="shared" si="35"/>
        <v>5.3179948469918185E-2</v>
      </c>
      <c r="W92" s="138">
        <f t="shared" si="36"/>
        <v>0.32563395561180669</v>
      </c>
      <c r="X92" s="2072">
        <f t="shared" si="37"/>
        <v>0.62118609591827512</v>
      </c>
      <c r="Y92" s="2070">
        <v>47017</v>
      </c>
      <c r="Z92" s="2071">
        <v>2093</v>
      </c>
      <c r="AA92" s="2071">
        <v>15146</v>
      </c>
      <c r="AB92" s="2071">
        <v>29778</v>
      </c>
      <c r="AC92" s="138">
        <f t="shared" si="38"/>
        <v>4.4515813429185189E-2</v>
      </c>
      <c r="AD92" s="138">
        <f t="shared" si="39"/>
        <v>0.32213880085926366</v>
      </c>
      <c r="AE92" s="2072">
        <f t="shared" si="40"/>
        <v>0.63334538571155119</v>
      </c>
      <c r="AF92" s="2070">
        <v>48418</v>
      </c>
      <c r="AG92" s="2071">
        <v>2379</v>
      </c>
      <c r="AH92" s="2071">
        <v>11548</v>
      </c>
      <c r="AI92" s="2071">
        <v>34491</v>
      </c>
      <c r="AJ92" s="138">
        <f t="shared" si="41"/>
        <v>4.9134619356437689E-2</v>
      </c>
      <c r="AK92" s="138">
        <f t="shared" si="42"/>
        <v>0.23850634061712586</v>
      </c>
      <c r="AL92" s="2072">
        <f t="shared" si="43"/>
        <v>0.71235904002643646</v>
      </c>
    </row>
    <row r="93" spans="1:38" x14ac:dyDescent="0.3">
      <c r="A93" s="56" t="s">
        <v>223</v>
      </c>
      <c r="B93" s="84" t="s">
        <v>224</v>
      </c>
      <c r="C93" s="57" t="s">
        <v>251</v>
      </c>
      <c r="D93" s="2070">
        <v>2481</v>
      </c>
      <c r="E93" s="2071">
        <v>224</v>
      </c>
      <c r="F93" s="2071">
        <v>862</v>
      </c>
      <c r="G93" s="2071">
        <v>1395</v>
      </c>
      <c r="H93" s="138">
        <f t="shared" si="29"/>
        <v>9.0286174929463919E-2</v>
      </c>
      <c r="I93" s="138">
        <f t="shared" si="30"/>
        <v>0.34744054816606207</v>
      </c>
      <c r="J93" s="2072">
        <f t="shared" si="31"/>
        <v>0.43772672309552602</v>
      </c>
      <c r="K93" s="2070">
        <v>2572</v>
      </c>
      <c r="L93" s="2071">
        <v>218</v>
      </c>
      <c r="M93" s="2071">
        <v>944</v>
      </c>
      <c r="N93" s="2071">
        <v>1410</v>
      </c>
      <c r="O93" s="138">
        <f t="shared" si="32"/>
        <v>8.4758942457231728E-2</v>
      </c>
      <c r="P93" s="138">
        <f t="shared" si="33"/>
        <v>0.36702954898911355</v>
      </c>
      <c r="Q93" s="2072">
        <f t="shared" si="34"/>
        <v>0.45178849144634525</v>
      </c>
      <c r="R93" s="2070">
        <v>2652</v>
      </c>
      <c r="S93" s="2071">
        <v>298</v>
      </c>
      <c r="T93" s="2071">
        <v>890</v>
      </c>
      <c r="U93" s="2071">
        <v>1464</v>
      </c>
      <c r="V93" s="138">
        <f t="shared" si="35"/>
        <v>0.11236802413273002</v>
      </c>
      <c r="W93" s="138">
        <f t="shared" si="36"/>
        <v>0.33559577677224733</v>
      </c>
      <c r="X93" s="2072">
        <f t="shared" si="37"/>
        <v>0.55203619909502266</v>
      </c>
      <c r="Y93" s="2070">
        <v>2707</v>
      </c>
      <c r="Z93" s="2071">
        <v>315</v>
      </c>
      <c r="AA93" s="2071">
        <v>543</v>
      </c>
      <c r="AB93" s="2071">
        <v>1849</v>
      </c>
      <c r="AC93" s="138">
        <f t="shared" si="38"/>
        <v>0.11636497968230514</v>
      </c>
      <c r="AD93" s="138">
        <f t="shared" si="39"/>
        <v>0.20059106021425932</v>
      </c>
      <c r="AE93" s="2072">
        <f t="shared" si="40"/>
        <v>0.68304396010343549</v>
      </c>
      <c r="AF93" s="2070">
        <v>2760</v>
      </c>
      <c r="AG93" s="2071">
        <v>336</v>
      </c>
      <c r="AH93" s="2071">
        <v>629</v>
      </c>
      <c r="AI93" s="2071">
        <v>1795</v>
      </c>
      <c r="AJ93" s="138">
        <f t="shared" si="41"/>
        <v>0.12173913043478261</v>
      </c>
      <c r="AK93" s="138">
        <f t="shared" si="42"/>
        <v>0.22789855072463769</v>
      </c>
      <c r="AL93" s="2072">
        <f t="shared" si="43"/>
        <v>0.65036231884057971</v>
      </c>
    </row>
    <row r="94" spans="1:38" x14ac:dyDescent="0.3">
      <c r="A94" s="56" t="s">
        <v>225</v>
      </c>
      <c r="B94" s="84" t="s">
        <v>226</v>
      </c>
      <c r="C94" s="57" t="s">
        <v>251</v>
      </c>
      <c r="D94" s="2070">
        <v>3796</v>
      </c>
      <c r="E94" s="2071">
        <v>713</v>
      </c>
      <c r="F94" s="2071">
        <v>1954</v>
      </c>
      <c r="G94" s="2071">
        <v>1129</v>
      </c>
      <c r="H94" s="138">
        <f t="shared" si="29"/>
        <v>0.18782929399367757</v>
      </c>
      <c r="I94" s="138">
        <f t="shared" si="30"/>
        <v>0.51475237091675452</v>
      </c>
      <c r="J94" s="2072">
        <f t="shared" si="31"/>
        <v>0.70258166491043206</v>
      </c>
      <c r="K94" s="2070">
        <v>3639</v>
      </c>
      <c r="L94" s="2071">
        <v>568</v>
      </c>
      <c r="M94" s="2071">
        <v>1803</v>
      </c>
      <c r="N94" s="2071">
        <v>1268</v>
      </c>
      <c r="O94" s="138">
        <f t="shared" si="32"/>
        <v>0.15608683704314372</v>
      </c>
      <c r="P94" s="138">
        <f t="shared" si="33"/>
        <v>0.49546578730420443</v>
      </c>
      <c r="Q94" s="2072">
        <f t="shared" si="34"/>
        <v>0.65155262434734817</v>
      </c>
      <c r="R94" s="2070">
        <v>3261</v>
      </c>
      <c r="S94" s="2071">
        <v>629</v>
      </c>
      <c r="T94" s="2071">
        <v>1082</v>
      </c>
      <c r="U94" s="2071">
        <v>1550</v>
      </c>
      <c r="V94" s="138">
        <f t="shared" si="35"/>
        <v>0.192885617908617</v>
      </c>
      <c r="W94" s="138">
        <f t="shared" si="36"/>
        <v>0.33180006133088008</v>
      </c>
      <c r="X94" s="2072">
        <f t="shared" si="37"/>
        <v>0.4753143207605029</v>
      </c>
      <c r="Y94" s="2070">
        <v>3793</v>
      </c>
      <c r="Z94" s="2071">
        <v>787</v>
      </c>
      <c r="AA94" s="2071">
        <v>1256</v>
      </c>
      <c r="AB94" s="2071">
        <v>1750</v>
      </c>
      <c r="AC94" s="138">
        <f t="shared" si="38"/>
        <v>0.20748747693118902</v>
      </c>
      <c r="AD94" s="138">
        <f t="shared" si="39"/>
        <v>0.33113630371737413</v>
      </c>
      <c r="AE94" s="2072">
        <f t="shared" si="40"/>
        <v>0.46137621935143686</v>
      </c>
      <c r="AF94" s="2070">
        <v>3814</v>
      </c>
      <c r="AG94" s="2071">
        <v>721</v>
      </c>
      <c r="AH94" s="2071">
        <v>1248</v>
      </c>
      <c r="AI94" s="2071">
        <v>1845</v>
      </c>
      <c r="AJ94" s="138">
        <f t="shared" si="41"/>
        <v>0.18904037755637126</v>
      </c>
      <c r="AK94" s="138">
        <f t="shared" si="42"/>
        <v>0.32721552176192975</v>
      </c>
      <c r="AL94" s="2072">
        <f t="shared" si="43"/>
        <v>0.48374410068169899</v>
      </c>
    </row>
    <row r="95" spans="1:38" x14ac:dyDescent="0.3">
      <c r="A95" s="56" t="s">
        <v>227</v>
      </c>
      <c r="B95" s="84" t="s">
        <v>228</v>
      </c>
      <c r="C95" s="57" t="s">
        <v>255</v>
      </c>
      <c r="D95" s="2070">
        <v>18299</v>
      </c>
      <c r="E95" s="2071">
        <v>3177</v>
      </c>
      <c r="F95" s="2071">
        <v>5420</v>
      </c>
      <c r="G95" s="2071">
        <v>9702</v>
      </c>
      <c r="H95" s="138">
        <f t="shared" si="29"/>
        <v>0.17361604459260069</v>
      </c>
      <c r="I95" s="138">
        <f t="shared" si="30"/>
        <v>0.29619104869118529</v>
      </c>
      <c r="J95" s="2072">
        <f t="shared" si="31"/>
        <v>0.469807093283786</v>
      </c>
      <c r="K95" s="2070">
        <v>18308</v>
      </c>
      <c r="L95" s="2071">
        <v>3821</v>
      </c>
      <c r="M95" s="2071">
        <v>5405</v>
      </c>
      <c r="N95" s="2071">
        <v>9082</v>
      </c>
      <c r="O95" s="138">
        <f t="shared" si="32"/>
        <v>0.20870657636006118</v>
      </c>
      <c r="P95" s="138">
        <f t="shared" si="33"/>
        <v>0.29522613065326631</v>
      </c>
      <c r="Q95" s="2072">
        <f t="shared" si="34"/>
        <v>0.50393270701332749</v>
      </c>
      <c r="R95" s="2070">
        <v>18306</v>
      </c>
      <c r="S95" s="2071">
        <v>3573</v>
      </c>
      <c r="T95" s="2071">
        <v>5305</v>
      </c>
      <c r="U95" s="2071">
        <v>9428</v>
      </c>
      <c r="V95" s="138">
        <f t="shared" si="35"/>
        <v>0.19518190757128812</v>
      </c>
      <c r="W95" s="138">
        <f t="shared" si="36"/>
        <v>0.28979569540041517</v>
      </c>
      <c r="X95" s="2072">
        <f t="shared" si="37"/>
        <v>0.51502239702829677</v>
      </c>
      <c r="Y95" s="2070">
        <v>17595</v>
      </c>
      <c r="Z95" s="2071">
        <v>3165</v>
      </c>
      <c r="AA95" s="2071">
        <v>5627</v>
      </c>
      <c r="AB95" s="2071">
        <v>8803</v>
      </c>
      <c r="AC95" s="138">
        <f t="shared" si="38"/>
        <v>0.17988064791133845</v>
      </c>
      <c r="AD95" s="138">
        <f t="shared" si="39"/>
        <v>0.31980676328502416</v>
      </c>
      <c r="AE95" s="2072">
        <f t="shared" si="40"/>
        <v>0.50031258880363738</v>
      </c>
      <c r="AF95" s="2070">
        <v>17042</v>
      </c>
      <c r="AG95" s="2071">
        <v>2717</v>
      </c>
      <c r="AH95" s="2071">
        <v>6003</v>
      </c>
      <c r="AI95" s="2071">
        <v>8322</v>
      </c>
      <c r="AJ95" s="138">
        <f t="shared" si="41"/>
        <v>0.15942964440793334</v>
      </c>
      <c r="AK95" s="138">
        <f t="shared" si="42"/>
        <v>0.35224738880413098</v>
      </c>
      <c r="AL95" s="2072">
        <f t="shared" si="43"/>
        <v>0.48832296678793569</v>
      </c>
    </row>
    <row r="96" spans="1:38" x14ac:dyDescent="0.3">
      <c r="A96" s="56" t="s">
        <v>231</v>
      </c>
      <c r="B96" s="84" t="s">
        <v>232</v>
      </c>
      <c r="C96" s="57" t="s">
        <v>254</v>
      </c>
      <c r="D96" s="2070">
        <v>14415</v>
      </c>
      <c r="E96" s="2071">
        <v>1848</v>
      </c>
      <c r="F96" s="2071">
        <v>2980</v>
      </c>
      <c r="G96" s="2071">
        <v>9587</v>
      </c>
      <c r="H96" s="138">
        <f t="shared" si="29"/>
        <v>0.12819979188345473</v>
      </c>
      <c r="I96" s="138">
        <f t="shared" si="30"/>
        <v>0.20672910163024627</v>
      </c>
      <c r="J96" s="2072">
        <f t="shared" si="31"/>
        <v>0.33492889351370103</v>
      </c>
      <c r="K96" s="2070">
        <v>14334</v>
      </c>
      <c r="L96" s="2071">
        <v>1466</v>
      </c>
      <c r="M96" s="2071">
        <v>3476</v>
      </c>
      <c r="N96" s="2071">
        <v>9392</v>
      </c>
      <c r="O96" s="138">
        <f t="shared" si="32"/>
        <v>0.10227431282265941</v>
      </c>
      <c r="P96" s="138">
        <f t="shared" si="33"/>
        <v>0.24250034882098506</v>
      </c>
      <c r="Q96" s="2072">
        <f t="shared" si="34"/>
        <v>0.34477466164364451</v>
      </c>
      <c r="R96" s="2070">
        <v>14324</v>
      </c>
      <c r="S96" s="2071">
        <v>1514</v>
      </c>
      <c r="T96" s="2071">
        <v>3461</v>
      </c>
      <c r="U96" s="2071">
        <v>9349</v>
      </c>
      <c r="V96" s="138">
        <f t="shared" si="35"/>
        <v>0.10569673275621334</v>
      </c>
      <c r="W96" s="138">
        <f t="shared" si="36"/>
        <v>0.24162245182909803</v>
      </c>
      <c r="X96" s="2072">
        <f t="shared" si="37"/>
        <v>0.65268081541468859</v>
      </c>
      <c r="Y96" s="2070">
        <v>14174</v>
      </c>
      <c r="Z96" s="2071">
        <v>1401</v>
      </c>
      <c r="AA96" s="2071">
        <v>3231</v>
      </c>
      <c r="AB96" s="2071">
        <v>9542</v>
      </c>
      <c r="AC96" s="138">
        <f t="shared" si="38"/>
        <v>9.8842951883730781E-2</v>
      </c>
      <c r="AD96" s="138">
        <f t="shared" si="39"/>
        <v>0.22795258924791872</v>
      </c>
      <c r="AE96" s="2072">
        <f t="shared" si="40"/>
        <v>0.67320445886835045</v>
      </c>
      <c r="AF96" s="2070">
        <v>14379</v>
      </c>
      <c r="AG96" s="2071">
        <v>1351</v>
      </c>
      <c r="AH96" s="2071">
        <v>3415</v>
      </c>
      <c r="AI96" s="2071">
        <v>9613</v>
      </c>
      <c r="AJ96" s="138">
        <f t="shared" si="41"/>
        <v>9.3956464288198066E-2</v>
      </c>
      <c r="AK96" s="138">
        <f t="shared" si="42"/>
        <v>0.23749913067668127</v>
      </c>
      <c r="AL96" s="2072">
        <f t="shared" si="43"/>
        <v>0.66854440503512069</v>
      </c>
    </row>
    <row r="97" spans="1:38" x14ac:dyDescent="0.3">
      <c r="A97" s="56" t="s">
        <v>233</v>
      </c>
      <c r="B97" s="84" t="s">
        <v>234</v>
      </c>
      <c r="C97" s="57" t="s">
        <v>255</v>
      </c>
      <c r="D97" s="2070">
        <v>22858</v>
      </c>
      <c r="E97" s="2071">
        <v>3417</v>
      </c>
      <c r="F97" s="2071">
        <v>6591</v>
      </c>
      <c r="G97" s="2071">
        <v>12850</v>
      </c>
      <c r="H97" s="138">
        <f t="shared" si="29"/>
        <v>0.14948814419459269</v>
      </c>
      <c r="I97" s="138">
        <f t="shared" si="30"/>
        <v>0.28834543704611076</v>
      </c>
      <c r="J97" s="2072">
        <f t="shared" si="31"/>
        <v>0.43783358124070348</v>
      </c>
      <c r="K97" s="2070">
        <v>22879</v>
      </c>
      <c r="L97" s="2071">
        <v>2967</v>
      </c>
      <c r="M97" s="2071">
        <v>6871</v>
      </c>
      <c r="N97" s="2071">
        <v>13041</v>
      </c>
      <c r="O97" s="138">
        <f t="shared" si="32"/>
        <v>0.12968224135670264</v>
      </c>
      <c r="P97" s="138">
        <f t="shared" si="33"/>
        <v>0.30031906988941826</v>
      </c>
      <c r="Q97" s="2072">
        <f t="shared" si="34"/>
        <v>0.4300013112461209</v>
      </c>
      <c r="R97" s="2070">
        <v>22842</v>
      </c>
      <c r="S97" s="2071">
        <v>3081</v>
      </c>
      <c r="T97" s="2071">
        <v>7417</v>
      </c>
      <c r="U97" s="2071">
        <v>12344</v>
      </c>
      <c r="V97" s="138">
        <f t="shared" si="35"/>
        <v>0.13488311006041503</v>
      </c>
      <c r="W97" s="138">
        <f t="shared" si="36"/>
        <v>0.32470886962612733</v>
      </c>
      <c r="X97" s="2072">
        <f t="shared" si="37"/>
        <v>0.54040802031345769</v>
      </c>
      <c r="Y97" s="2070">
        <v>22512</v>
      </c>
      <c r="Z97" s="2071">
        <v>3350</v>
      </c>
      <c r="AA97" s="2071">
        <v>6387</v>
      </c>
      <c r="AB97" s="2071">
        <v>12775</v>
      </c>
      <c r="AC97" s="138">
        <f t="shared" si="38"/>
        <v>0.14880952380952381</v>
      </c>
      <c r="AD97" s="138">
        <f t="shared" si="39"/>
        <v>0.28371535181236673</v>
      </c>
      <c r="AE97" s="2072">
        <f t="shared" si="40"/>
        <v>0.56747512437810943</v>
      </c>
      <c r="AF97" s="2070">
        <v>22331</v>
      </c>
      <c r="AG97" s="2071">
        <v>3295</v>
      </c>
      <c r="AH97" s="2071">
        <v>7015</v>
      </c>
      <c r="AI97" s="2071">
        <v>12021</v>
      </c>
      <c r="AJ97" s="138">
        <f t="shared" si="41"/>
        <v>0.14755272938963773</v>
      </c>
      <c r="AK97" s="138">
        <f t="shared" si="42"/>
        <v>0.31413729792664907</v>
      </c>
      <c r="AL97" s="2072">
        <f t="shared" si="43"/>
        <v>0.53830997268371328</v>
      </c>
    </row>
    <row r="98" spans="1:38" x14ac:dyDescent="0.3">
      <c r="A98" s="56" t="s">
        <v>235</v>
      </c>
      <c r="B98" s="84" t="s">
        <v>236</v>
      </c>
      <c r="C98" s="57" t="s">
        <v>253</v>
      </c>
      <c r="D98" s="2070">
        <v>7135</v>
      </c>
      <c r="E98" s="2071">
        <v>770</v>
      </c>
      <c r="F98" s="2071">
        <v>1549</v>
      </c>
      <c r="G98" s="2071">
        <v>4816</v>
      </c>
      <c r="H98" s="138">
        <f t="shared" si="29"/>
        <v>0.10791871058163981</v>
      </c>
      <c r="I98" s="138">
        <f t="shared" si="30"/>
        <v>0.21709880868955853</v>
      </c>
      <c r="J98" s="2072">
        <f t="shared" si="31"/>
        <v>0.32501751927119832</v>
      </c>
      <c r="K98" s="2070">
        <v>7077</v>
      </c>
      <c r="L98" s="2071">
        <v>1073</v>
      </c>
      <c r="M98" s="2071">
        <v>1976</v>
      </c>
      <c r="N98" s="2071">
        <v>4028</v>
      </c>
      <c r="O98" s="138">
        <f t="shared" si="32"/>
        <v>0.15161791719655221</v>
      </c>
      <c r="P98" s="138">
        <f t="shared" si="33"/>
        <v>0.2792143563656917</v>
      </c>
      <c r="Q98" s="2072">
        <f t="shared" si="34"/>
        <v>0.43083227356224391</v>
      </c>
      <c r="R98" s="2070">
        <v>6981</v>
      </c>
      <c r="S98" s="2071">
        <v>990</v>
      </c>
      <c r="T98" s="2071">
        <v>2162</v>
      </c>
      <c r="U98" s="2071">
        <v>3829</v>
      </c>
      <c r="V98" s="138">
        <f t="shared" si="35"/>
        <v>0.14181349376880104</v>
      </c>
      <c r="W98" s="138">
        <f t="shared" si="36"/>
        <v>0.30969775103853314</v>
      </c>
      <c r="X98" s="2072">
        <f t="shared" si="37"/>
        <v>0.54848875519266582</v>
      </c>
      <c r="Y98" s="2070">
        <v>7124</v>
      </c>
      <c r="Z98" s="2071">
        <v>830</v>
      </c>
      <c r="AA98" s="2071">
        <v>1906</v>
      </c>
      <c r="AB98" s="2071">
        <v>4388</v>
      </c>
      <c r="AC98" s="138">
        <f t="shared" si="38"/>
        <v>0.11650758001122964</v>
      </c>
      <c r="AD98" s="138">
        <f t="shared" si="39"/>
        <v>0.26754632229084785</v>
      </c>
      <c r="AE98" s="2072">
        <f t="shared" si="40"/>
        <v>0.61594609769792252</v>
      </c>
      <c r="AF98" s="2070">
        <v>7612</v>
      </c>
      <c r="AG98" s="2071">
        <v>919</v>
      </c>
      <c r="AH98" s="2071">
        <v>2142</v>
      </c>
      <c r="AI98" s="2071">
        <v>4551</v>
      </c>
      <c r="AJ98" s="138">
        <f t="shared" si="41"/>
        <v>0.12073042564372044</v>
      </c>
      <c r="AK98" s="138">
        <f t="shared" si="42"/>
        <v>0.2813977929584866</v>
      </c>
      <c r="AL98" s="2072">
        <f t="shared" si="43"/>
        <v>0.59787178139779296</v>
      </c>
    </row>
    <row r="99" spans="1:38" x14ac:dyDescent="0.3">
      <c r="A99" s="56" t="s">
        <v>241</v>
      </c>
      <c r="B99" s="84" t="s">
        <v>242</v>
      </c>
      <c r="C99" s="57" t="s">
        <v>255</v>
      </c>
      <c r="D99" s="2070">
        <v>15616</v>
      </c>
      <c r="E99" s="2071">
        <v>3237</v>
      </c>
      <c r="F99" s="2071">
        <v>4188</v>
      </c>
      <c r="G99" s="2071">
        <v>8191</v>
      </c>
      <c r="H99" s="138">
        <f t="shared" si="29"/>
        <v>0.2072873975409836</v>
      </c>
      <c r="I99" s="138">
        <f t="shared" si="30"/>
        <v>0.26818647540983609</v>
      </c>
      <c r="J99" s="2072">
        <f t="shared" si="31"/>
        <v>0.47547387295081966</v>
      </c>
      <c r="K99" s="2070">
        <v>15539</v>
      </c>
      <c r="L99" s="2071">
        <v>4097</v>
      </c>
      <c r="M99" s="2071">
        <v>4147</v>
      </c>
      <c r="N99" s="2071">
        <v>7295</v>
      </c>
      <c r="O99" s="138">
        <f t="shared" si="32"/>
        <v>0.26365918012742134</v>
      </c>
      <c r="P99" s="138">
        <f t="shared" si="33"/>
        <v>0.26687689040478796</v>
      </c>
      <c r="Q99" s="2072">
        <f t="shared" si="34"/>
        <v>0.5305360705322093</v>
      </c>
      <c r="R99" s="2070">
        <v>15517</v>
      </c>
      <c r="S99" s="2071">
        <v>3536</v>
      </c>
      <c r="T99" s="2071">
        <v>4463</v>
      </c>
      <c r="U99" s="2071">
        <v>7518</v>
      </c>
      <c r="V99" s="138">
        <f t="shared" si="35"/>
        <v>0.22787910034156086</v>
      </c>
      <c r="W99" s="138">
        <f t="shared" si="36"/>
        <v>0.28762002964490557</v>
      </c>
      <c r="X99" s="2072">
        <f t="shared" si="37"/>
        <v>0.48450087001353354</v>
      </c>
      <c r="Y99" s="2070">
        <v>15225</v>
      </c>
      <c r="Z99" s="2071">
        <v>3353</v>
      </c>
      <c r="AA99" s="2071">
        <v>5113</v>
      </c>
      <c r="AB99" s="2071">
        <v>6759</v>
      </c>
      <c r="AC99" s="138">
        <f t="shared" si="38"/>
        <v>0.22022988505747126</v>
      </c>
      <c r="AD99" s="138">
        <f t="shared" si="39"/>
        <v>0.33582922824302136</v>
      </c>
      <c r="AE99" s="2072">
        <f t="shared" si="40"/>
        <v>0.44394088669950738</v>
      </c>
      <c r="AF99" s="2070">
        <v>15126</v>
      </c>
      <c r="AG99" s="2071">
        <v>3486</v>
      </c>
      <c r="AH99" s="2071">
        <v>4899</v>
      </c>
      <c r="AI99" s="2071">
        <v>6741</v>
      </c>
      <c r="AJ99" s="138">
        <f t="shared" si="41"/>
        <v>0.23046410154700517</v>
      </c>
      <c r="AK99" s="138">
        <f t="shared" si="42"/>
        <v>0.32387941293137645</v>
      </c>
      <c r="AL99" s="2072">
        <f t="shared" si="43"/>
        <v>0.44565648552161841</v>
      </c>
    </row>
    <row r="100" spans="1:38" x14ac:dyDescent="0.3">
      <c r="A100" s="56" t="s">
        <v>243</v>
      </c>
      <c r="B100" s="84" t="s">
        <v>244</v>
      </c>
      <c r="C100" s="57" t="s">
        <v>255</v>
      </c>
      <c r="D100" s="2070">
        <v>11385</v>
      </c>
      <c r="E100" s="2071">
        <v>1905</v>
      </c>
      <c r="F100" s="2071">
        <v>2871</v>
      </c>
      <c r="G100" s="2071">
        <v>6609</v>
      </c>
      <c r="H100" s="138">
        <f t="shared" si="29"/>
        <v>0.16732542819499341</v>
      </c>
      <c r="I100" s="138">
        <f t="shared" si="30"/>
        <v>0.25217391304347825</v>
      </c>
      <c r="J100" s="2072">
        <f t="shared" si="31"/>
        <v>0.41949934123847166</v>
      </c>
      <c r="K100" s="2070">
        <v>11807</v>
      </c>
      <c r="L100" s="2071">
        <v>1894</v>
      </c>
      <c r="M100" s="2071">
        <v>3396</v>
      </c>
      <c r="N100" s="2071">
        <v>6517</v>
      </c>
      <c r="O100" s="138">
        <f t="shared" si="32"/>
        <v>0.16041331413568222</v>
      </c>
      <c r="P100" s="138">
        <f t="shared" si="33"/>
        <v>0.28762598458541544</v>
      </c>
      <c r="Q100" s="2072">
        <f t="shared" si="34"/>
        <v>0.44803929872109766</v>
      </c>
      <c r="R100" s="2070">
        <v>11984</v>
      </c>
      <c r="S100" s="2071">
        <v>1921</v>
      </c>
      <c r="T100" s="2071">
        <v>3744</v>
      </c>
      <c r="U100" s="2071">
        <v>6319</v>
      </c>
      <c r="V100" s="138">
        <f t="shared" si="35"/>
        <v>0.16029706275033379</v>
      </c>
      <c r="W100" s="138">
        <f t="shared" si="36"/>
        <v>0.31241655540720964</v>
      </c>
      <c r="X100" s="2072">
        <f t="shared" si="37"/>
        <v>0.52728638184245658</v>
      </c>
      <c r="Y100" s="2070">
        <v>12039</v>
      </c>
      <c r="Z100" s="2071">
        <v>1973</v>
      </c>
      <c r="AA100" s="2071">
        <v>3556</v>
      </c>
      <c r="AB100" s="2071">
        <v>6510</v>
      </c>
      <c r="AC100" s="138">
        <f t="shared" si="38"/>
        <v>0.16388404352520974</v>
      </c>
      <c r="AD100" s="138">
        <f t="shared" si="39"/>
        <v>0.29537336988121937</v>
      </c>
      <c r="AE100" s="2072">
        <f t="shared" si="40"/>
        <v>0.54074258659357088</v>
      </c>
      <c r="AF100" s="2070">
        <v>11955</v>
      </c>
      <c r="AG100" s="2071">
        <v>1845</v>
      </c>
      <c r="AH100" s="2071">
        <v>3428</v>
      </c>
      <c r="AI100" s="2071">
        <v>6682</v>
      </c>
      <c r="AJ100" s="138">
        <f t="shared" si="41"/>
        <v>0.15432873274780426</v>
      </c>
      <c r="AK100" s="138">
        <f t="shared" si="42"/>
        <v>0.28674194897532412</v>
      </c>
      <c r="AL100" s="2072">
        <f t="shared" si="43"/>
        <v>0.55892931827687165</v>
      </c>
    </row>
    <row r="101" spans="1:38" x14ac:dyDescent="0.3">
      <c r="A101" s="56" t="s">
        <v>245</v>
      </c>
      <c r="B101" s="84" t="s">
        <v>246</v>
      </c>
      <c r="C101" s="57" t="s">
        <v>251</v>
      </c>
      <c r="D101" s="2070">
        <v>29271</v>
      </c>
      <c r="E101" s="2071">
        <v>1422</v>
      </c>
      <c r="F101" s="2071">
        <v>9095</v>
      </c>
      <c r="G101" s="2071">
        <v>18754</v>
      </c>
      <c r="H101" s="138">
        <f t="shared" si="29"/>
        <v>4.8580506303166959E-2</v>
      </c>
      <c r="I101" s="138">
        <f t="shared" si="30"/>
        <v>0.31071709200232311</v>
      </c>
      <c r="J101" s="2072">
        <f t="shared" si="31"/>
        <v>0.35929759830549007</v>
      </c>
      <c r="K101" s="2070">
        <v>27422</v>
      </c>
      <c r="L101" s="2071">
        <v>1805</v>
      </c>
      <c r="M101" s="2071">
        <v>11243</v>
      </c>
      <c r="N101" s="2071">
        <v>14374</v>
      </c>
      <c r="O101" s="138">
        <f t="shared" si="32"/>
        <v>6.5823061775216976E-2</v>
      </c>
      <c r="P101" s="138">
        <f t="shared" si="33"/>
        <v>0.40999927065859532</v>
      </c>
      <c r="Q101" s="2072">
        <f t="shared" si="34"/>
        <v>0.47582233243381228</v>
      </c>
      <c r="R101" s="2070">
        <v>28160</v>
      </c>
      <c r="S101" s="2071">
        <v>1767</v>
      </c>
      <c r="T101" s="2071">
        <v>9010</v>
      </c>
      <c r="U101" s="2071">
        <v>17383</v>
      </c>
      <c r="V101" s="138">
        <f t="shared" si="35"/>
        <v>6.2748579545454541E-2</v>
      </c>
      <c r="W101" s="138">
        <f t="shared" si="36"/>
        <v>0.31995738636363635</v>
      </c>
      <c r="X101" s="2072">
        <f t="shared" si="37"/>
        <v>0.61729403409090911</v>
      </c>
      <c r="Y101" s="2070">
        <v>28482</v>
      </c>
      <c r="Z101" s="2071">
        <v>1594</v>
      </c>
      <c r="AA101" s="2071">
        <v>9503</v>
      </c>
      <c r="AB101" s="2071">
        <v>17385</v>
      </c>
      <c r="AC101" s="138">
        <f t="shared" si="38"/>
        <v>5.5965170985183624E-2</v>
      </c>
      <c r="AD101" s="138">
        <f t="shared" si="39"/>
        <v>0.33364932237904643</v>
      </c>
      <c r="AE101" s="2072">
        <f t="shared" si="40"/>
        <v>0.61038550663576996</v>
      </c>
      <c r="AF101" s="2070">
        <v>29232</v>
      </c>
      <c r="AG101" s="2071">
        <v>1393</v>
      </c>
      <c r="AH101" s="2071">
        <v>6940</v>
      </c>
      <c r="AI101" s="2071">
        <v>20899</v>
      </c>
      <c r="AJ101" s="138">
        <f t="shared" si="41"/>
        <v>4.7653256704980843E-2</v>
      </c>
      <c r="AK101" s="138">
        <f t="shared" si="42"/>
        <v>0.23741105637657361</v>
      </c>
      <c r="AL101" s="2072">
        <f t="shared" si="43"/>
        <v>0.71493568691844556</v>
      </c>
    </row>
    <row r="102" spans="1:38" x14ac:dyDescent="0.3">
      <c r="A102" s="56" t="s">
        <v>13</v>
      </c>
      <c r="B102" s="84" t="s">
        <v>14</v>
      </c>
      <c r="C102" s="57" t="s">
        <v>254</v>
      </c>
      <c r="D102" s="2070">
        <v>64361</v>
      </c>
      <c r="E102" s="2071">
        <v>4903</v>
      </c>
      <c r="F102" s="2071">
        <v>18914</v>
      </c>
      <c r="G102" s="2071">
        <v>40544</v>
      </c>
      <c r="H102" s="138">
        <f t="shared" si="29"/>
        <v>7.6179674026195993E-2</v>
      </c>
      <c r="I102" s="138">
        <f t="shared" si="30"/>
        <v>0.29387361911716725</v>
      </c>
      <c r="J102" s="2072">
        <f t="shared" si="31"/>
        <v>0.37005329314336322</v>
      </c>
      <c r="K102" s="2070">
        <v>65468</v>
      </c>
      <c r="L102" s="2071">
        <v>4134</v>
      </c>
      <c r="M102" s="2071">
        <v>18382</v>
      </c>
      <c r="N102" s="2071">
        <v>42952</v>
      </c>
      <c r="O102" s="138">
        <f t="shared" si="32"/>
        <v>6.3145353455123107E-2</v>
      </c>
      <c r="P102" s="138">
        <f t="shared" si="33"/>
        <v>0.28077839555202544</v>
      </c>
      <c r="Q102" s="2072">
        <f t="shared" si="34"/>
        <v>0.3439237490071485</v>
      </c>
      <c r="R102" s="2070">
        <v>68796</v>
      </c>
      <c r="S102" s="2071">
        <v>5538</v>
      </c>
      <c r="T102" s="2071">
        <v>16652</v>
      </c>
      <c r="U102" s="2071">
        <v>46606</v>
      </c>
      <c r="V102" s="138">
        <f t="shared" si="35"/>
        <v>8.0498866213151929E-2</v>
      </c>
      <c r="W102" s="138">
        <f t="shared" si="36"/>
        <v>0.24204895633467063</v>
      </c>
      <c r="X102" s="2072">
        <f t="shared" si="37"/>
        <v>0.67745217745217745</v>
      </c>
      <c r="Y102" s="2070">
        <v>69875</v>
      </c>
      <c r="Z102" s="2071">
        <v>6172</v>
      </c>
      <c r="AA102" s="2071">
        <v>22396</v>
      </c>
      <c r="AB102" s="2071">
        <v>41307</v>
      </c>
      <c r="AC102" s="138">
        <f t="shared" si="38"/>
        <v>8.8329159212880148E-2</v>
      </c>
      <c r="AD102" s="138">
        <f t="shared" si="39"/>
        <v>0.32051520572450803</v>
      </c>
      <c r="AE102" s="2072">
        <f t="shared" si="40"/>
        <v>0.59115563506261182</v>
      </c>
      <c r="AF102" s="2070">
        <v>71740</v>
      </c>
      <c r="AG102" s="2071">
        <v>6191</v>
      </c>
      <c r="AH102" s="2071">
        <v>20090</v>
      </c>
      <c r="AI102" s="2071">
        <v>45459</v>
      </c>
      <c r="AJ102" s="138">
        <f t="shared" si="41"/>
        <v>8.6297741845553388E-2</v>
      </c>
      <c r="AK102" s="138">
        <f t="shared" si="42"/>
        <v>0.28003902982994144</v>
      </c>
      <c r="AL102" s="2072">
        <f t="shared" si="43"/>
        <v>0.63366322832450517</v>
      </c>
    </row>
    <row r="103" spans="1:38" x14ac:dyDescent="0.3">
      <c r="A103" s="56" t="s">
        <v>33</v>
      </c>
      <c r="B103" s="84" t="s">
        <v>34</v>
      </c>
      <c r="C103" s="57" t="s">
        <v>255</v>
      </c>
      <c r="D103" s="2070">
        <v>7948</v>
      </c>
      <c r="E103" s="2071">
        <v>1772</v>
      </c>
      <c r="F103" s="2071">
        <v>2273</v>
      </c>
      <c r="G103" s="2071">
        <v>3903</v>
      </c>
      <c r="H103" s="138">
        <f t="shared" si="29"/>
        <v>0.2229491696024157</v>
      </c>
      <c r="I103" s="138">
        <f t="shared" si="30"/>
        <v>0.28598389531957724</v>
      </c>
      <c r="J103" s="2072">
        <f t="shared" si="31"/>
        <v>0.50893306492199297</v>
      </c>
      <c r="K103" s="2070">
        <v>7757</v>
      </c>
      <c r="L103" s="2071">
        <v>1768</v>
      </c>
      <c r="M103" s="2071">
        <v>2352</v>
      </c>
      <c r="N103" s="2071">
        <v>3637</v>
      </c>
      <c r="O103" s="138">
        <f t="shared" si="32"/>
        <v>0.22792316617248937</v>
      </c>
      <c r="P103" s="138">
        <f t="shared" si="33"/>
        <v>0.30321000386747454</v>
      </c>
      <c r="Q103" s="2072">
        <f t="shared" si="34"/>
        <v>0.53113317003996385</v>
      </c>
      <c r="R103" s="2070">
        <v>7764</v>
      </c>
      <c r="S103" s="2071">
        <v>1491</v>
      </c>
      <c r="T103" s="2071">
        <v>2786</v>
      </c>
      <c r="U103" s="2071">
        <v>3487</v>
      </c>
      <c r="V103" s="138">
        <f t="shared" si="35"/>
        <v>0.1920401854714065</v>
      </c>
      <c r="W103" s="138">
        <f t="shared" si="36"/>
        <v>0.35883565172591447</v>
      </c>
      <c r="X103" s="2072">
        <f t="shared" si="37"/>
        <v>0.44912416280267903</v>
      </c>
      <c r="Y103" s="2070">
        <v>7671</v>
      </c>
      <c r="Z103" s="2071">
        <v>1440</v>
      </c>
      <c r="AA103" s="2071">
        <v>2578</v>
      </c>
      <c r="AB103" s="2071">
        <v>3653</v>
      </c>
      <c r="AC103" s="138">
        <f t="shared" si="38"/>
        <v>0.18771998435666798</v>
      </c>
      <c r="AD103" s="138">
        <f t="shared" si="39"/>
        <v>0.33607091643853476</v>
      </c>
      <c r="AE103" s="2072">
        <f t="shared" si="40"/>
        <v>0.47620909920479731</v>
      </c>
      <c r="AF103" s="2070">
        <v>7402</v>
      </c>
      <c r="AG103" s="2071">
        <v>1475</v>
      </c>
      <c r="AH103" s="2071">
        <v>2258</v>
      </c>
      <c r="AI103" s="2071">
        <v>3669</v>
      </c>
      <c r="AJ103" s="138">
        <f t="shared" si="41"/>
        <v>0.19927046744123211</v>
      </c>
      <c r="AK103" s="138">
        <f t="shared" si="42"/>
        <v>0.30505268846257766</v>
      </c>
      <c r="AL103" s="2072">
        <f t="shared" si="43"/>
        <v>0.49567684409619023</v>
      </c>
    </row>
    <row r="104" spans="1:38" x14ac:dyDescent="0.3">
      <c r="A104" s="56" t="s">
        <v>51</v>
      </c>
      <c r="B104" s="84" t="s">
        <v>52</v>
      </c>
      <c r="C104" s="57" t="s">
        <v>252</v>
      </c>
      <c r="D104" s="2070">
        <v>17550</v>
      </c>
      <c r="E104" s="2071">
        <v>4262</v>
      </c>
      <c r="F104" s="2071">
        <v>4816</v>
      </c>
      <c r="G104" s="2071">
        <v>8472</v>
      </c>
      <c r="H104" s="138">
        <f t="shared" si="29"/>
        <v>0.24284900284900285</v>
      </c>
      <c r="I104" s="138">
        <f t="shared" si="30"/>
        <v>0.2744159544159544</v>
      </c>
      <c r="J104" s="2072">
        <f t="shared" si="31"/>
        <v>0.51726495726495725</v>
      </c>
      <c r="K104" s="2070">
        <v>17142</v>
      </c>
      <c r="L104" s="2071">
        <v>4229</v>
      </c>
      <c r="M104" s="2071">
        <v>4915</v>
      </c>
      <c r="N104" s="2071">
        <v>7998</v>
      </c>
      <c r="O104" s="138">
        <f t="shared" si="32"/>
        <v>0.24670400186676</v>
      </c>
      <c r="P104" s="138">
        <f t="shared" si="33"/>
        <v>0.28672266946680669</v>
      </c>
      <c r="Q104" s="2072">
        <f t="shared" si="34"/>
        <v>0.53342667133356669</v>
      </c>
      <c r="R104" s="2070">
        <v>17604</v>
      </c>
      <c r="S104" s="2071">
        <v>4164</v>
      </c>
      <c r="T104" s="2071">
        <v>5900</v>
      </c>
      <c r="U104" s="2071">
        <v>7540</v>
      </c>
      <c r="V104" s="138">
        <f t="shared" si="35"/>
        <v>0.2365371506475801</v>
      </c>
      <c r="W104" s="138">
        <f t="shared" si="36"/>
        <v>0.33515110202226767</v>
      </c>
      <c r="X104" s="2072">
        <f t="shared" si="37"/>
        <v>0.42831174733015226</v>
      </c>
      <c r="Y104" s="2070">
        <v>17980</v>
      </c>
      <c r="Z104" s="2071">
        <v>3997</v>
      </c>
      <c r="AA104" s="2071">
        <v>5995</v>
      </c>
      <c r="AB104" s="2071">
        <v>7988</v>
      </c>
      <c r="AC104" s="138">
        <f t="shared" si="38"/>
        <v>0.22230255839822025</v>
      </c>
      <c r="AD104" s="138">
        <f t="shared" si="39"/>
        <v>0.33342602892102335</v>
      </c>
      <c r="AE104" s="2072">
        <f t="shared" si="40"/>
        <v>0.44427141268075637</v>
      </c>
      <c r="AF104" s="2070">
        <v>18613</v>
      </c>
      <c r="AG104" s="2071">
        <v>3885</v>
      </c>
      <c r="AH104" s="2071">
        <v>5550</v>
      </c>
      <c r="AI104" s="2071">
        <v>9178</v>
      </c>
      <c r="AJ104" s="138">
        <f t="shared" si="41"/>
        <v>0.20872508461827755</v>
      </c>
      <c r="AK104" s="138">
        <f t="shared" si="42"/>
        <v>0.29817869231182509</v>
      </c>
      <c r="AL104" s="2072">
        <f t="shared" si="43"/>
        <v>0.49309622306989737</v>
      </c>
    </row>
    <row r="105" spans="1:38" x14ac:dyDescent="0.3">
      <c r="A105" s="56" t="s">
        <v>53</v>
      </c>
      <c r="B105" s="84" t="s">
        <v>54</v>
      </c>
      <c r="C105" s="57" t="s">
        <v>251</v>
      </c>
      <c r="D105" s="2070">
        <v>78554</v>
      </c>
      <c r="E105" s="2071">
        <v>6024</v>
      </c>
      <c r="F105" s="2071">
        <v>26001</v>
      </c>
      <c r="G105" s="2071">
        <v>46529</v>
      </c>
      <c r="H105" s="138">
        <f t="shared" si="29"/>
        <v>7.6686101280647706E-2</v>
      </c>
      <c r="I105" s="138">
        <f t="shared" si="30"/>
        <v>0.3309952389439112</v>
      </c>
      <c r="J105" s="2072">
        <f t="shared" si="31"/>
        <v>0.40768134022455887</v>
      </c>
      <c r="K105" s="2070">
        <v>80343</v>
      </c>
      <c r="L105" s="2071">
        <v>8187</v>
      </c>
      <c r="M105" s="2071">
        <v>27447</v>
      </c>
      <c r="N105" s="2071">
        <v>44709</v>
      </c>
      <c r="O105" s="138">
        <f t="shared" si="32"/>
        <v>0.10190060117247302</v>
      </c>
      <c r="P105" s="138">
        <f t="shared" si="33"/>
        <v>0.3416227922781076</v>
      </c>
      <c r="Q105" s="2072">
        <f t="shared" si="34"/>
        <v>0.44352339345058062</v>
      </c>
      <c r="R105" s="2070">
        <v>83904</v>
      </c>
      <c r="S105" s="2071">
        <v>8175</v>
      </c>
      <c r="T105" s="2071">
        <v>27058</v>
      </c>
      <c r="U105" s="2071">
        <v>48671</v>
      </c>
      <c r="V105" s="138">
        <f t="shared" si="35"/>
        <v>9.7432780320366133E-2</v>
      </c>
      <c r="W105" s="138">
        <f t="shared" si="36"/>
        <v>0.32248760488176964</v>
      </c>
      <c r="X105" s="2072">
        <f t="shared" si="37"/>
        <v>0.58007961479786418</v>
      </c>
      <c r="Y105" s="2070">
        <v>83364</v>
      </c>
      <c r="Z105" s="2071">
        <v>6076</v>
      </c>
      <c r="AA105" s="2071">
        <v>25505</v>
      </c>
      <c r="AB105" s="2071">
        <v>51783</v>
      </c>
      <c r="AC105" s="138">
        <f t="shared" si="38"/>
        <v>7.2885178254402383E-2</v>
      </c>
      <c r="AD105" s="138">
        <f t="shared" si="39"/>
        <v>0.30594741135262221</v>
      </c>
      <c r="AE105" s="2072">
        <f t="shared" si="40"/>
        <v>0.62116741039297541</v>
      </c>
      <c r="AF105" s="2070">
        <v>86122</v>
      </c>
      <c r="AG105" s="2071">
        <v>6471</v>
      </c>
      <c r="AH105" s="2071">
        <v>24943</v>
      </c>
      <c r="AI105" s="2071">
        <v>54708</v>
      </c>
      <c r="AJ105" s="138">
        <f t="shared" si="41"/>
        <v>7.5137595504052385E-2</v>
      </c>
      <c r="AK105" s="138">
        <f t="shared" si="42"/>
        <v>0.28962402173660623</v>
      </c>
      <c r="AL105" s="2072">
        <f t="shared" si="43"/>
        <v>0.63523838275934141</v>
      </c>
    </row>
    <row r="106" spans="1:38" x14ac:dyDescent="0.3">
      <c r="A106" s="56" t="s">
        <v>65</v>
      </c>
      <c r="B106" s="84" t="s">
        <v>66</v>
      </c>
      <c r="C106" s="57" t="s">
        <v>252</v>
      </c>
      <c r="D106" s="2070">
        <v>19504</v>
      </c>
      <c r="E106" s="2071">
        <v>4612</v>
      </c>
      <c r="F106" s="2071">
        <v>6145</v>
      </c>
      <c r="G106" s="2071">
        <v>8747</v>
      </c>
      <c r="H106" s="138">
        <f t="shared" si="29"/>
        <v>0.23646431501230517</v>
      </c>
      <c r="I106" s="138">
        <f t="shared" si="30"/>
        <v>0.31506357670221491</v>
      </c>
      <c r="J106" s="2072">
        <f t="shared" si="31"/>
        <v>0.5515278917145201</v>
      </c>
      <c r="K106" s="2070">
        <v>18481</v>
      </c>
      <c r="L106" s="2071">
        <v>4449</v>
      </c>
      <c r="M106" s="2071">
        <v>5347</v>
      </c>
      <c r="N106" s="2071">
        <v>8685</v>
      </c>
      <c r="O106" s="138">
        <f t="shared" si="32"/>
        <v>0.24073372652994968</v>
      </c>
      <c r="P106" s="138">
        <f t="shared" si="33"/>
        <v>0.28932417076997996</v>
      </c>
      <c r="Q106" s="2072">
        <f t="shared" si="34"/>
        <v>0.53005789729992969</v>
      </c>
      <c r="R106" s="2070">
        <v>18520</v>
      </c>
      <c r="S106" s="2071">
        <v>4523</v>
      </c>
      <c r="T106" s="2071">
        <v>5049</v>
      </c>
      <c r="U106" s="2071">
        <v>8948</v>
      </c>
      <c r="V106" s="138">
        <f t="shared" si="35"/>
        <v>0.24422246220302377</v>
      </c>
      <c r="W106" s="138">
        <f t="shared" si="36"/>
        <v>0.27262419006479482</v>
      </c>
      <c r="X106" s="2072">
        <f t="shared" si="37"/>
        <v>0.48315334773218144</v>
      </c>
      <c r="Y106" s="2070">
        <v>18653</v>
      </c>
      <c r="Z106" s="2071">
        <v>4274</v>
      </c>
      <c r="AA106" s="2071">
        <v>5314</v>
      </c>
      <c r="AB106" s="2071">
        <v>9065</v>
      </c>
      <c r="AC106" s="138">
        <f t="shared" si="38"/>
        <v>0.22913204310298613</v>
      </c>
      <c r="AD106" s="138">
        <f t="shared" si="39"/>
        <v>0.2848871495201844</v>
      </c>
      <c r="AE106" s="2072">
        <f t="shared" si="40"/>
        <v>0.48598080737682947</v>
      </c>
      <c r="AF106" s="2070">
        <v>18479</v>
      </c>
      <c r="AG106" s="2071">
        <v>4280</v>
      </c>
      <c r="AH106" s="2071">
        <v>5384</v>
      </c>
      <c r="AI106" s="2071">
        <v>8815</v>
      </c>
      <c r="AJ106" s="138">
        <f t="shared" si="41"/>
        <v>0.23161426484117106</v>
      </c>
      <c r="AK106" s="138">
        <f t="shared" si="42"/>
        <v>0.29135775745440773</v>
      </c>
      <c r="AL106" s="2072">
        <f t="shared" si="43"/>
        <v>0.47702797770442124</v>
      </c>
    </row>
    <row r="107" spans="1:38" x14ac:dyDescent="0.3">
      <c r="A107" s="56" t="s">
        <v>81</v>
      </c>
      <c r="B107" s="84" t="s">
        <v>82</v>
      </c>
      <c r="C107" s="57" t="s">
        <v>251</v>
      </c>
      <c r="D107" s="2070">
        <v>3524</v>
      </c>
      <c r="E107" s="2071">
        <v>806</v>
      </c>
      <c r="F107" s="2071">
        <v>1043</v>
      </c>
      <c r="G107" s="2071">
        <v>1675</v>
      </c>
      <c r="H107" s="138">
        <f t="shared" si="29"/>
        <v>0.22871736662883088</v>
      </c>
      <c r="I107" s="138">
        <f t="shared" si="30"/>
        <v>0.29597048808172532</v>
      </c>
      <c r="J107" s="2072">
        <f t="shared" si="31"/>
        <v>0.52468785471055623</v>
      </c>
      <c r="K107" s="2070">
        <v>3532</v>
      </c>
      <c r="L107" s="2071">
        <v>785</v>
      </c>
      <c r="M107" s="2071">
        <v>1089</v>
      </c>
      <c r="N107" s="2071">
        <v>1658</v>
      </c>
      <c r="O107" s="138">
        <f t="shared" si="32"/>
        <v>0.22225368063420159</v>
      </c>
      <c r="P107" s="138">
        <f t="shared" si="33"/>
        <v>0.30832389580973951</v>
      </c>
      <c r="Q107" s="2072">
        <f t="shared" si="34"/>
        <v>0.5305775764439411</v>
      </c>
      <c r="R107" s="2070">
        <v>3580</v>
      </c>
      <c r="S107" s="2071">
        <v>741</v>
      </c>
      <c r="T107" s="2071">
        <v>1358</v>
      </c>
      <c r="U107" s="2071">
        <v>1481</v>
      </c>
      <c r="V107" s="138">
        <f t="shared" si="35"/>
        <v>0.20698324022346368</v>
      </c>
      <c r="W107" s="138">
        <f t="shared" si="36"/>
        <v>0.3793296089385475</v>
      </c>
      <c r="X107" s="2072">
        <f t="shared" si="37"/>
        <v>0.41368715083798885</v>
      </c>
      <c r="Y107" s="2070">
        <v>3424</v>
      </c>
      <c r="Z107" s="2071">
        <v>489</v>
      </c>
      <c r="AA107" s="2071">
        <v>1440</v>
      </c>
      <c r="AB107" s="2071">
        <v>1495</v>
      </c>
      <c r="AC107" s="138">
        <f t="shared" si="38"/>
        <v>0.14281542056074767</v>
      </c>
      <c r="AD107" s="138">
        <f t="shared" si="39"/>
        <v>0.42056074766355139</v>
      </c>
      <c r="AE107" s="2072">
        <f t="shared" si="40"/>
        <v>0.43662383177570091</v>
      </c>
      <c r="AF107" s="2070">
        <v>3526</v>
      </c>
      <c r="AG107" s="2071">
        <v>559</v>
      </c>
      <c r="AH107" s="2071">
        <v>1308</v>
      </c>
      <c r="AI107" s="2071">
        <v>1659</v>
      </c>
      <c r="AJ107" s="138">
        <f t="shared" si="41"/>
        <v>0.15853658536585366</v>
      </c>
      <c r="AK107" s="138">
        <f t="shared" si="42"/>
        <v>0.37095859330686332</v>
      </c>
      <c r="AL107" s="2072">
        <f t="shared" si="43"/>
        <v>0.47050482132728305</v>
      </c>
    </row>
    <row r="108" spans="1:38" x14ac:dyDescent="0.3">
      <c r="A108" s="56" t="s">
        <v>87</v>
      </c>
      <c r="B108" s="84" t="s">
        <v>88</v>
      </c>
      <c r="C108" s="57" t="s">
        <v>254</v>
      </c>
      <c r="D108" s="2070">
        <v>9530</v>
      </c>
      <c r="E108" s="2071">
        <v>1616</v>
      </c>
      <c r="F108" s="2071">
        <v>3951</v>
      </c>
      <c r="G108" s="2071">
        <v>3963</v>
      </c>
      <c r="H108" s="138">
        <f t="shared" si="29"/>
        <v>0.16956977964323189</v>
      </c>
      <c r="I108" s="138">
        <f t="shared" si="30"/>
        <v>0.41458551941238198</v>
      </c>
      <c r="J108" s="2072">
        <f t="shared" si="31"/>
        <v>0.58415529905561381</v>
      </c>
      <c r="K108" s="2070">
        <v>9629</v>
      </c>
      <c r="L108" s="2071">
        <v>1536</v>
      </c>
      <c r="M108" s="2071">
        <v>4189</v>
      </c>
      <c r="N108" s="2071">
        <v>3904</v>
      </c>
      <c r="O108" s="138">
        <f t="shared" si="32"/>
        <v>0.1595181223387683</v>
      </c>
      <c r="P108" s="138">
        <f t="shared" si="33"/>
        <v>0.43503998338352895</v>
      </c>
      <c r="Q108" s="2072">
        <f t="shared" si="34"/>
        <v>0.59455810572229728</v>
      </c>
      <c r="R108" s="2070">
        <v>9849</v>
      </c>
      <c r="S108" s="2071">
        <v>1694</v>
      </c>
      <c r="T108" s="2071">
        <v>3764</v>
      </c>
      <c r="U108" s="2071">
        <v>4391</v>
      </c>
      <c r="V108" s="138">
        <f t="shared" si="35"/>
        <v>0.17199715707178392</v>
      </c>
      <c r="W108" s="138">
        <f t="shared" si="36"/>
        <v>0.38217077875926492</v>
      </c>
      <c r="X108" s="2072">
        <f t="shared" si="37"/>
        <v>0.44583206416895116</v>
      </c>
      <c r="Y108" s="2070">
        <v>10271</v>
      </c>
      <c r="Z108" s="2071">
        <v>1595</v>
      </c>
      <c r="AA108" s="2071">
        <v>3986</v>
      </c>
      <c r="AB108" s="2071">
        <v>4690</v>
      </c>
      <c r="AC108" s="138">
        <f t="shared" si="38"/>
        <v>0.15529159770226852</v>
      </c>
      <c r="AD108" s="138">
        <f t="shared" si="39"/>
        <v>0.38808295200077891</v>
      </c>
      <c r="AE108" s="2072">
        <f t="shared" si="40"/>
        <v>0.45662545029695256</v>
      </c>
      <c r="AF108" s="2070">
        <v>10582</v>
      </c>
      <c r="AG108" s="2071">
        <v>1515</v>
      </c>
      <c r="AH108" s="2071">
        <v>4256</v>
      </c>
      <c r="AI108" s="2071">
        <v>4811</v>
      </c>
      <c r="AJ108" s="138">
        <f t="shared" si="41"/>
        <v>0.14316764316764316</v>
      </c>
      <c r="AK108" s="138">
        <f t="shared" si="42"/>
        <v>0.40219240219240221</v>
      </c>
      <c r="AL108" s="2072">
        <f t="shared" si="43"/>
        <v>0.45463995463995466</v>
      </c>
    </row>
    <row r="109" spans="1:38" x14ac:dyDescent="0.3">
      <c r="A109" s="56" t="s">
        <v>89</v>
      </c>
      <c r="B109" s="84" t="s">
        <v>90</v>
      </c>
      <c r="C109" s="57" t="s">
        <v>255</v>
      </c>
      <c r="D109" s="2070">
        <v>3326</v>
      </c>
      <c r="E109" s="2071">
        <v>1181</v>
      </c>
      <c r="F109" s="2071">
        <v>722</v>
      </c>
      <c r="G109" s="2071">
        <v>1423</v>
      </c>
      <c r="H109" s="138">
        <f t="shared" si="29"/>
        <v>0.35508117859290439</v>
      </c>
      <c r="I109" s="138">
        <f t="shared" si="30"/>
        <v>0.21707757065544198</v>
      </c>
      <c r="J109" s="2072">
        <f t="shared" si="31"/>
        <v>0.57215874924834631</v>
      </c>
      <c r="K109" s="2070">
        <v>3354</v>
      </c>
      <c r="L109" s="2071">
        <v>891</v>
      </c>
      <c r="M109" s="2071">
        <v>1160</v>
      </c>
      <c r="N109" s="2071">
        <v>1303</v>
      </c>
      <c r="O109" s="138">
        <f t="shared" si="32"/>
        <v>0.26565295169946335</v>
      </c>
      <c r="P109" s="138">
        <f t="shared" si="33"/>
        <v>0.345855694692904</v>
      </c>
      <c r="Q109" s="2072">
        <f t="shared" si="34"/>
        <v>0.61150864639236735</v>
      </c>
      <c r="R109" s="2070">
        <v>2968</v>
      </c>
      <c r="S109" s="2071">
        <v>703</v>
      </c>
      <c r="T109" s="2071">
        <v>936</v>
      </c>
      <c r="U109" s="2071">
        <v>1329</v>
      </c>
      <c r="V109" s="138">
        <f t="shared" si="35"/>
        <v>0.23685983827493262</v>
      </c>
      <c r="W109" s="138">
        <f t="shared" si="36"/>
        <v>0.31536388140161725</v>
      </c>
      <c r="X109" s="2072">
        <f t="shared" si="37"/>
        <v>0.44777628032345013</v>
      </c>
      <c r="Y109" s="2070">
        <v>2767</v>
      </c>
      <c r="Z109" s="2071">
        <v>741</v>
      </c>
      <c r="AA109" s="2071">
        <v>806</v>
      </c>
      <c r="AB109" s="2071">
        <v>1220</v>
      </c>
      <c r="AC109" s="138">
        <f t="shared" si="38"/>
        <v>0.26779906035417422</v>
      </c>
      <c r="AD109" s="138">
        <f t="shared" si="39"/>
        <v>0.29129020599927719</v>
      </c>
      <c r="AE109" s="2072">
        <f t="shared" si="40"/>
        <v>0.44091073364654859</v>
      </c>
      <c r="AF109" s="2070">
        <v>2742</v>
      </c>
      <c r="AG109" s="2071">
        <v>698</v>
      </c>
      <c r="AH109" s="2071">
        <v>966</v>
      </c>
      <c r="AI109" s="2071">
        <v>1078</v>
      </c>
      <c r="AJ109" s="138">
        <f t="shared" si="41"/>
        <v>0.25455871626549964</v>
      </c>
      <c r="AK109" s="138">
        <f t="shared" si="42"/>
        <v>0.35229759299781183</v>
      </c>
      <c r="AL109" s="2072">
        <f t="shared" si="43"/>
        <v>0.39314369073668853</v>
      </c>
    </row>
    <row r="110" spans="1:38" x14ac:dyDescent="0.3">
      <c r="A110" s="56" t="s">
        <v>105</v>
      </c>
      <c r="B110" s="84" t="s">
        <v>106</v>
      </c>
      <c r="C110" s="57" t="s">
        <v>251</v>
      </c>
      <c r="D110" s="2070">
        <v>51301</v>
      </c>
      <c r="E110" s="2071">
        <v>5520</v>
      </c>
      <c r="F110" s="2071">
        <v>18005</v>
      </c>
      <c r="G110" s="2071">
        <v>27776</v>
      </c>
      <c r="H110" s="138">
        <f t="shared" si="29"/>
        <v>0.1076002417106879</v>
      </c>
      <c r="I110" s="138">
        <f t="shared" si="30"/>
        <v>0.35096781739147387</v>
      </c>
      <c r="J110" s="2072">
        <f t="shared" si="31"/>
        <v>0.45856805910216175</v>
      </c>
      <c r="K110" s="2070">
        <v>52797</v>
      </c>
      <c r="L110" s="2071">
        <v>7463</v>
      </c>
      <c r="M110" s="2071">
        <v>23418</v>
      </c>
      <c r="N110" s="2071">
        <v>21916</v>
      </c>
      <c r="O110" s="138">
        <f t="shared" si="32"/>
        <v>0.14135272837471827</v>
      </c>
      <c r="P110" s="138">
        <f t="shared" si="33"/>
        <v>0.44354792885959432</v>
      </c>
      <c r="Q110" s="2072">
        <f t="shared" si="34"/>
        <v>0.5849006572343125</v>
      </c>
      <c r="R110" s="2070">
        <v>53420</v>
      </c>
      <c r="S110" s="2071">
        <v>8189</v>
      </c>
      <c r="T110" s="2071">
        <v>19707</v>
      </c>
      <c r="U110" s="2071">
        <v>25524</v>
      </c>
      <c r="V110" s="138">
        <f t="shared" si="35"/>
        <v>0.15329464619992511</v>
      </c>
      <c r="W110" s="138">
        <f t="shared" si="36"/>
        <v>0.36890677648820669</v>
      </c>
      <c r="X110" s="2072">
        <f t="shared" si="37"/>
        <v>0.4777985773118682</v>
      </c>
      <c r="Y110" s="2070">
        <v>54181</v>
      </c>
      <c r="Z110" s="2071">
        <v>7776</v>
      </c>
      <c r="AA110" s="2071">
        <v>18501</v>
      </c>
      <c r="AB110" s="2071">
        <v>27904</v>
      </c>
      <c r="AC110" s="138">
        <f t="shared" si="38"/>
        <v>0.14351894575589227</v>
      </c>
      <c r="AD110" s="138">
        <f t="shared" si="39"/>
        <v>0.3414665657702885</v>
      </c>
      <c r="AE110" s="2072">
        <f t="shared" si="40"/>
        <v>0.51501448847381925</v>
      </c>
      <c r="AF110" s="2070">
        <v>54800</v>
      </c>
      <c r="AG110" s="2071">
        <v>7604</v>
      </c>
      <c r="AH110" s="2071">
        <v>16061</v>
      </c>
      <c r="AI110" s="2071">
        <v>31135</v>
      </c>
      <c r="AJ110" s="138">
        <f t="shared" si="41"/>
        <v>0.13875912408759125</v>
      </c>
      <c r="AK110" s="138">
        <f t="shared" si="42"/>
        <v>0.29308394160583939</v>
      </c>
      <c r="AL110" s="2072">
        <f t="shared" si="43"/>
        <v>0.56815693430656933</v>
      </c>
    </row>
    <row r="111" spans="1:38" x14ac:dyDescent="0.3">
      <c r="A111" s="56" t="s">
        <v>115</v>
      </c>
      <c r="B111" s="84" t="s">
        <v>116</v>
      </c>
      <c r="C111" s="57" t="s">
        <v>253</v>
      </c>
      <c r="D111" s="2070">
        <v>8971</v>
      </c>
      <c r="E111" s="2071">
        <v>1875</v>
      </c>
      <c r="F111" s="2071">
        <v>3692</v>
      </c>
      <c r="G111" s="2071">
        <v>3404</v>
      </c>
      <c r="H111" s="138">
        <f t="shared" si="29"/>
        <v>0.20900679968788319</v>
      </c>
      <c r="I111" s="138">
        <f t="shared" si="30"/>
        <v>0.41154832237208783</v>
      </c>
      <c r="J111" s="2072">
        <f t="shared" si="31"/>
        <v>0.62055512205997099</v>
      </c>
      <c r="K111" s="2070">
        <v>8593</v>
      </c>
      <c r="L111" s="2071">
        <v>1484</v>
      </c>
      <c r="M111" s="2071">
        <v>3478</v>
      </c>
      <c r="N111" s="2071">
        <v>3631</v>
      </c>
      <c r="O111" s="138">
        <f t="shared" si="32"/>
        <v>0.17269870825090189</v>
      </c>
      <c r="P111" s="138">
        <f t="shared" si="33"/>
        <v>0.40474805073897357</v>
      </c>
      <c r="Q111" s="2072">
        <f t="shared" si="34"/>
        <v>0.57744675898987552</v>
      </c>
      <c r="R111" s="2070">
        <v>8774</v>
      </c>
      <c r="S111" s="2071">
        <v>1613</v>
      </c>
      <c r="T111" s="2071">
        <v>3559</v>
      </c>
      <c r="U111" s="2071">
        <v>3602</v>
      </c>
      <c r="V111" s="138">
        <f t="shared" si="35"/>
        <v>0.18383861408707544</v>
      </c>
      <c r="W111" s="138">
        <f t="shared" si="36"/>
        <v>0.40563027125598361</v>
      </c>
      <c r="X111" s="2072">
        <f t="shared" si="37"/>
        <v>0.41053111465694098</v>
      </c>
      <c r="Y111" s="2070">
        <v>8866</v>
      </c>
      <c r="Z111" s="2071">
        <v>1809</v>
      </c>
      <c r="AA111" s="2071">
        <v>3278</v>
      </c>
      <c r="AB111" s="2071">
        <v>3779</v>
      </c>
      <c r="AC111" s="138">
        <f t="shared" si="38"/>
        <v>0.20403789758628468</v>
      </c>
      <c r="AD111" s="138">
        <f t="shared" si="39"/>
        <v>0.36972704714640198</v>
      </c>
      <c r="AE111" s="2072">
        <f t="shared" si="40"/>
        <v>0.42623505526731331</v>
      </c>
      <c r="AF111" s="2070">
        <v>9193</v>
      </c>
      <c r="AG111" s="2071">
        <v>1972</v>
      </c>
      <c r="AH111" s="2071">
        <v>3618</v>
      </c>
      <c r="AI111" s="2071">
        <v>3603</v>
      </c>
      <c r="AJ111" s="138">
        <f t="shared" si="41"/>
        <v>0.21451104100946372</v>
      </c>
      <c r="AK111" s="138">
        <f t="shared" si="42"/>
        <v>0.3935603176329816</v>
      </c>
      <c r="AL111" s="2072">
        <f t="shared" si="43"/>
        <v>0.39192864135755467</v>
      </c>
    </row>
    <row r="112" spans="1:38" x14ac:dyDescent="0.3">
      <c r="A112" s="56" t="s">
        <v>137</v>
      </c>
      <c r="B112" s="84" t="s">
        <v>138</v>
      </c>
      <c r="C112" s="57" t="s">
        <v>252</v>
      </c>
      <c r="D112" s="2070">
        <v>26613</v>
      </c>
      <c r="E112" s="2071">
        <v>6232</v>
      </c>
      <c r="F112" s="2071">
        <v>8927</v>
      </c>
      <c r="G112" s="2071">
        <v>11454</v>
      </c>
      <c r="H112" s="138">
        <f t="shared" si="29"/>
        <v>0.23417126968023147</v>
      </c>
      <c r="I112" s="138">
        <f t="shared" si="30"/>
        <v>0.33543756810581293</v>
      </c>
      <c r="J112" s="2072">
        <f t="shared" si="31"/>
        <v>0.56960883778604443</v>
      </c>
      <c r="K112" s="2070">
        <v>28000</v>
      </c>
      <c r="L112" s="2071">
        <v>5964</v>
      </c>
      <c r="M112" s="2071">
        <v>10576</v>
      </c>
      <c r="N112" s="2071">
        <v>11460</v>
      </c>
      <c r="O112" s="138">
        <f t="shared" si="32"/>
        <v>0.21299999999999999</v>
      </c>
      <c r="P112" s="138">
        <f t="shared" si="33"/>
        <v>0.37771428571428572</v>
      </c>
      <c r="Q112" s="2072">
        <f t="shared" si="34"/>
        <v>0.59071428571428575</v>
      </c>
      <c r="R112" s="2070">
        <v>27870</v>
      </c>
      <c r="S112" s="2071">
        <v>6598</v>
      </c>
      <c r="T112" s="2071">
        <v>9056</v>
      </c>
      <c r="U112" s="2071">
        <v>12216</v>
      </c>
      <c r="V112" s="138">
        <f t="shared" si="35"/>
        <v>0.23674201650520274</v>
      </c>
      <c r="W112" s="138">
        <f t="shared" si="36"/>
        <v>0.3249372084678866</v>
      </c>
      <c r="X112" s="2072">
        <f t="shared" si="37"/>
        <v>0.43832077502691064</v>
      </c>
      <c r="Y112" s="2070">
        <v>27545</v>
      </c>
      <c r="Z112" s="2071">
        <v>4363</v>
      </c>
      <c r="AA112" s="2071">
        <v>11682</v>
      </c>
      <c r="AB112" s="2071">
        <v>11500</v>
      </c>
      <c r="AC112" s="138">
        <f t="shared" si="38"/>
        <v>0.15839535305863134</v>
      </c>
      <c r="AD112" s="138">
        <f t="shared" si="39"/>
        <v>0.42410600834997275</v>
      </c>
      <c r="AE112" s="2072">
        <f t="shared" si="40"/>
        <v>0.41749863859139591</v>
      </c>
      <c r="AF112" s="2070">
        <v>28500</v>
      </c>
      <c r="AG112" s="2071">
        <v>4798</v>
      </c>
      <c r="AH112" s="2071">
        <v>14287</v>
      </c>
      <c r="AI112" s="2071">
        <v>9415</v>
      </c>
      <c r="AJ112" s="138">
        <f t="shared" si="41"/>
        <v>0.16835087719298245</v>
      </c>
      <c r="AK112" s="138">
        <f t="shared" si="42"/>
        <v>0.50129824561403513</v>
      </c>
      <c r="AL112" s="2072">
        <f t="shared" si="43"/>
        <v>0.33035087719298245</v>
      </c>
    </row>
    <row r="113" spans="1:38" x14ac:dyDescent="0.3">
      <c r="A113" s="56" t="s">
        <v>141</v>
      </c>
      <c r="B113" s="84" t="s">
        <v>260</v>
      </c>
      <c r="C113" s="57" t="s">
        <v>254</v>
      </c>
      <c r="D113" s="2070">
        <v>11713</v>
      </c>
      <c r="E113" s="2071">
        <v>1266</v>
      </c>
      <c r="F113" s="2071">
        <v>4922</v>
      </c>
      <c r="G113" s="2071">
        <v>5525</v>
      </c>
      <c r="H113" s="138">
        <f t="shared" si="29"/>
        <v>0.10808503372321353</v>
      </c>
      <c r="I113" s="138">
        <f t="shared" si="30"/>
        <v>0.42021685306923928</v>
      </c>
      <c r="J113" s="2072">
        <f t="shared" si="31"/>
        <v>0.52830188679245282</v>
      </c>
      <c r="K113" s="2070">
        <v>12204</v>
      </c>
      <c r="L113" s="2071">
        <v>1283</v>
      </c>
      <c r="M113" s="2071">
        <v>5361</v>
      </c>
      <c r="N113" s="2071">
        <v>5560</v>
      </c>
      <c r="O113" s="138">
        <f t="shared" si="32"/>
        <v>0.10512946574893478</v>
      </c>
      <c r="P113" s="138">
        <f t="shared" si="33"/>
        <v>0.43928220255653883</v>
      </c>
      <c r="Q113" s="2072">
        <f t="shared" si="34"/>
        <v>0.54441166830547361</v>
      </c>
      <c r="R113" s="2070">
        <v>12274</v>
      </c>
      <c r="S113" s="2071">
        <v>1131</v>
      </c>
      <c r="T113" s="2071">
        <v>5253</v>
      </c>
      <c r="U113" s="2071">
        <v>5890</v>
      </c>
      <c r="V113" s="138">
        <f t="shared" si="35"/>
        <v>9.2145999674107873E-2</v>
      </c>
      <c r="W113" s="138">
        <f t="shared" si="36"/>
        <v>0.42797783933518008</v>
      </c>
      <c r="X113" s="2072">
        <f t="shared" si="37"/>
        <v>0.47987616099071206</v>
      </c>
      <c r="Y113" s="2070">
        <v>12430</v>
      </c>
      <c r="Z113" s="2071">
        <v>969</v>
      </c>
      <c r="AA113" s="2071">
        <v>5134</v>
      </c>
      <c r="AB113" s="2071">
        <v>6327</v>
      </c>
      <c r="AC113" s="138">
        <f t="shared" si="38"/>
        <v>7.7956556717618669E-2</v>
      </c>
      <c r="AD113" s="138">
        <f t="shared" si="39"/>
        <v>0.41303298471440064</v>
      </c>
      <c r="AE113" s="2072">
        <f t="shared" si="40"/>
        <v>0.50901045856798066</v>
      </c>
      <c r="AF113" s="2070">
        <v>12749</v>
      </c>
      <c r="AG113" s="2071">
        <v>1089</v>
      </c>
      <c r="AH113" s="2071">
        <v>4868</v>
      </c>
      <c r="AI113" s="2071">
        <v>6792</v>
      </c>
      <c r="AJ113" s="138">
        <f t="shared" si="41"/>
        <v>8.5418464193270066E-2</v>
      </c>
      <c r="AK113" s="138">
        <f t="shared" si="42"/>
        <v>0.38183386932308416</v>
      </c>
      <c r="AL113" s="2072">
        <f t="shared" si="43"/>
        <v>0.5327476664836458</v>
      </c>
    </row>
    <row r="114" spans="1:38" x14ac:dyDescent="0.3">
      <c r="A114" s="56" t="s">
        <v>143</v>
      </c>
      <c r="B114" s="84" t="s">
        <v>144</v>
      </c>
      <c r="C114" s="57" t="s">
        <v>254</v>
      </c>
      <c r="D114" s="2070">
        <v>4206</v>
      </c>
      <c r="E114" s="2071">
        <v>311</v>
      </c>
      <c r="F114" s="2071">
        <v>1963</v>
      </c>
      <c r="G114" s="2071">
        <v>1932</v>
      </c>
      <c r="H114" s="138">
        <f t="shared" si="29"/>
        <v>7.3941987636709464E-2</v>
      </c>
      <c r="I114" s="138">
        <f t="shared" si="30"/>
        <v>0.46671421778411792</v>
      </c>
      <c r="J114" s="2072">
        <f t="shared" si="31"/>
        <v>0.54065620542082737</v>
      </c>
      <c r="K114" s="2070">
        <v>4277</v>
      </c>
      <c r="L114" s="2071">
        <v>234</v>
      </c>
      <c r="M114" s="2071">
        <v>1944</v>
      </c>
      <c r="N114" s="2071">
        <v>2099</v>
      </c>
      <c r="O114" s="138">
        <f t="shared" si="32"/>
        <v>5.4711246200607903E-2</v>
      </c>
      <c r="P114" s="138">
        <f t="shared" si="33"/>
        <v>0.45452419920505027</v>
      </c>
      <c r="Q114" s="2072">
        <f t="shared" si="34"/>
        <v>0.50923544540565813</v>
      </c>
      <c r="R114" s="2070">
        <v>4526</v>
      </c>
      <c r="S114" s="2071">
        <v>345</v>
      </c>
      <c r="T114" s="2071">
        <v>1899</v>
      </c>
      <c r="U114" s="2071">
        <v>2282</v>
      </c>
      <c r="V114" s="138">
        <f t="shared" si="35"/>
        <v>7.6226248342907643E-2</v>
      </c>
      <c r="W114" s="138">
        <f t="shared" si="36"/>
        <v>0.41957578435704818</v>
      </c>
      <c r="X114" s="2072">
        <f t="shared" si="37"/>
        <v>0.50419796730004418</v>
      </c>
      <c r="Y114" s="2070">
        <v>4730</v>
      </c>
      <c r="Z114" s="2071">
        <v>275</v>
      </c>
      <c r="AA114" s="2071">
        <v>2000</v>
      </c>
      <c r="AB114" s="2071">
        <v>2455</v>
      </c>
      <c r="AC114" s="138">
        <f t="shared" si="38"/>
        <v>5.8139534883720929E-2</v>
      </c>
      <c r="AD114" s="138">
        <f t="shared" si="39"/>
        <v>0.42283298097251587</v>
      </c>
      <c r="AE114" s="2072">
        <f t="shared" si="40"/>
        <v>0.51902748414376321</v>
      </c>
      <c r="AF114" s="2070">
        <v>4706</v>
      </c>
      <c r="AG114" s="2071">
        <v>338</v>
      </c>
      <c r="AH114" s="2071">
        <v>2618</v>
      </c>
      <c r="AI114" s="2071">
        <v>1750</v>
      </c>
      <c r="AJ114" s="138">
        <f t="shared" si="41"/>
        <v>7.18232044198895E-2</v>
      </c>
      <c r="AK114" s="138">
        <f t="shared" si="42"/>
        <v>0.55631109222269448</v>
      </c>
      <c r="AL114" s="2072">
        <f t="shared" si="43"/>
        <v>0.37186570335741609</v>
      </c>
    </row>
    <row r="115" spans="1:38" x14ac:dyDescent="0.3">
      <c r="A115" s="56" t="s">
        <v>157</v>
      </c>
      <c r="B115" s="84" t="s">
        <v>158</v>
      </c>
      <c r="C115" s="57" t="s">
        <v>251</v>
      </c>
      <c r="D115" s="2070">
        <v>69958</v>
      </c>
      <c r="E115" s="2071">
        <v>9412</v>
      </c>
      <c r="F115" s="2071">
        <v>24265</v>
      </c>
      <c r="G115" s="2071">
        <v>36281</v>
      </c>
      <c r="H115" s="138">
        <f t="shared" si="29"/>
        <v>0.13453786557648875</v>
      </c>
      <c r="I115" s="138">
        <f t="shared" si="30"/>
        <v>0.34685096772349122</v>
      </c>
      <c r="J115" s="2072">
        <f t="shared" si="31"/>
        <v>0.48138883329998</v>
      </c>
      <c r="K115" s="2070">
        <v>70446</v>
      </c>
      <c r="L115" s="2071">
        <v>11166</v>
      </c>
      <c r="M115" s="2071">
        <v>26341</v>
      </c>
      <c r="N115" s="2071">
        <v>32939</v>
      </c>
      <c r="O115" s="138">
        <f t="shared" si="32"/>
        <v>0.15850438633847203</v>
      </c>
      <c r="P115" s="138">
        <f t="shared" si="33"/>
        <v>0.37391761065213069</v>
      </c>
      <c r="Q115" s="2072">
        <f t="shared" si="34"/>
        <v>0.53242199699060277</v>
      </c>
      <c r="R115" s="2070">
        <v>68768</v>
      </c>
      <c r="S115" s="2071">
        <v>9347</v>
      </c>
      <c r="T115" s="2071">
        <v>25200</v>
      </c>
      <c r="U115" s="2071">
        <v>34221</v>
      </c>
      <c r="V115" s="138">
        <f t="shared" si="35"/>
        <v>0.13592077710563052</v>
      </c>
      <c r="W115" s="138">
        <f t="shared" si="36"/>
        <v>0.36644951140065146</v>
      </c>
      <c r="X115" s="2072">
        <f t="shared" si="37"/>
        <v>0.49762971149371799</v>
      </c>
      <c r="Y115" s="2070">
        <v>67628</v>
      </c>
      <c r="Z115" s="2071">
        <v>7995</v>
      </c>
      <c r="AA115" s="2071">
        <v>25028</v>
      </c>
      <c r="AB115" s="2071">
        <v>34605</v>
      </c>
      <c r="AC115" s="138">
        <f t="shared" si="38"/>
        <v>0.11822026379606081</v>
      </c>
      <c r="AD115" s="138">
        <f t="shared" si="39"/>
        <v>0.37008339740935708</v>
      </c>
      <c r="AE115" s="2072">
        <f t="shared" si="40"/>
        <v>0.5116963387945821</v>
      </c>
      <c r="AF115" s="2070">
        <v>71291</v>
      </c>
      <c r="AG115" s="2071">
        <v>10710</v>
      </c>
      <c r="AH115" s="2071">
        <v>24354</v>
      </c>
      <c r="AI115" s="2071">
        <v>36227</v>
      </c>
      <c r="AJ115" s="138">
        <f t="shared" si="41"/>
        <v>0.15022934171213759</v>
      </c>
      <c r="AK115" s="138">
        <f t="shared" si="42"/>
        <v>0.34161394846474308</v>
      </c>
      <c r="AL115" s="2072">
        <f t="shared" si="43"/>
        <v>0.50815670982311933</v>
      </c>
    </row>
    <row r="116" spans="1:38" x14ac:dyDescent="0.3">
      <c r="A116" s="56" t="s">
        <v>159</v>
      </c>
      <c r="B116" s="84" t="s">
        <v>160</v>
      </c>
      <c r="C116" s="57" t="s">
        <v>251</v>
      </c>
      <c r="D116" s="2070">
        <v>83828</v>
      </c>
      <c r="E116" s="2071">
        <v>12149</v>
      </c>
      <c r="F116" s="2071">
        <v>36481</v>
      </c>
      <c r="G116" s="2071">
        <v>35198</v>
      </c>
      <c r="H116" s="138">
        <f t="shared" si="29"/>
        <v>0.14492770911867156</v>
      </c>
      <c r="I116" s="138">
        <f t="shared" si="30"/>
        <v>0.43518871975950757</v>
      </c>
      <c r="J116" s="2072">
        <f t="shared" si="31"/>
        <v>0.58011642887817916</v>
      </c>
      <c r="K116" s="2070">
        <v>86347</v>
      </c>
      <c r="L116" s="2071">
        <v>16619</v>
      </c>
      <c r="M116" s="2071">
        <v>39090</v>
      </c>
      <c r="N116" s="2071">
        <v>30638</v>
      </c>
      <c r="O116" s="138">
        <f t="shared" si="32"/>
        <v>0.19246760165379226</v>
      </c>
      <c r="P116" s="138">
        <f t="shared" si="33"/>
        <v>0.45270825853822366</v>
      </c>
      <c r="Q116" s="2072">
        <f t="shared" si="34"/>
        <v>0.64517586019201589</v>
      </c>
      <c r="R116" s="2070">
        <v>87760</v>
      </c>
      <c r="S116" s="2071">
        <v>18042</v>
      </c>
      <c r="T116" s="2071">
        <v>36891</v>
      </c>
      <c r="U116" s="2071">
        <v>32827</v>
      </c>
      <c r="V116" s="138">
        <f t="shared" si="35"/>
        <v>0.20558340929808569</v>
      </c>
      <c r="W116" s="138">
        <f t="shared" si="36"/>
        <v>0.42036235186873289</v>
      </c>
      <c r="X116" s="2072">
        <f t="shared" si="37"/>
        <v>0.3740542388331814</v>
      </c>
      <c r="Y116" s="2070">
        <v>87910</v>
      </c>
      <c r="Z116" s="2071">
        <v>15256</v>
      </c>
      <c r="AA116" s="2071">
        <v>31347</v>
      </c>
      <c r="AB116" s="2071">
        <v>41307</v>
      </c>
      <c r="AC116" s="138">
        <f t="shared" si="38"/>
        <v>0.17354112160163804</v>
      </c>
      <c r="AD116" s="138">
        <f t="shared" si="39"/>
        <v>0.35658059378910251</v>
      </c>
      <c r="AE116" s="2072">
        <f t="shared" si="40"/>
        <v>0.46987828460925946</v>
      </c>
      <c r="AF116" s="2070">
        <v>89338</v>
      </c>
      <c r="AG116" s="2071">
        <v>15208</v>
      </c>
      <c r="AH116" s="2071">
        <v>35388</v>
      </c>
      <c r="AI116" s="2071">
        <v>38742</v>
      </c>
      <c r="AJ116" s="138">
        <f t="shared" si="41"/>
        <v>0.17022991336273477</v>
      </c>
      <c r="AK116" s="138">
        <f t="shared" si="42"/>
        <v>0.39611363585484338</v>
      </c>
      <c r="AL116" s="2072">
        <f t="shared" si="43"/>
        <v>0.43365645078242182</v>
      </c>
    </row>
    <row r="117" spans="1:38" x14ac:dyDescent="0.3">
      <c r="A117" s="56" t="s">
        <v>165</v>
      </c>
      <c r="B117" s="84" t="s">
        <v>166</v>
      </c>
      <c r="C117" s="57" t="s">
        <v>255</v>
      </c>
      <c r="D117" s="2070">
        <v>1764</v>
      </c>
      <c r="E117" s="2071">
        <v>461</v>
      </c>
      <c r="F117" s="2071">
        <v>412</v>
      </c>
      <c r="G117" s="2071">
        <v>891</v>
      </c>
      <c r="H117" s="138">
        <f t="shared" si="29"/>
        <v>0.2613378684807256</v>
      </c>
      <c r="I117" s="138">
        <f t="shared" si="30"/>
        <v>0.23356009070294784</v>
      </c>
      <c r="J117" s="2072">
        <f t="shared" si="31"/>
        <v>0.49489795918367346</v>
      </c>
      <c r="K117" s="2070">
        <v>1701</v>
      </c>
      <c r="L117" s="2071">
        <v>412</v>
      </c>
      <c r="M117" s="2071">
        <v>378</v>
      </c>
      <c r="N117" s="2071">
        <v>911</v>
      </c>
      <c r="O117" s="138">
        <f t="shared" si="32"/>
        <v>0.24221046443268665</v>
      </c>
      <c r="P117" s="138">
        <f t="shared" si="33"/>
        <v>0.22222222222222221</v>
      </c>
      <c r="Q117" s="2072">
        <f t="shared" si="34"/>
        <v>0.46443268665490889</v>
      </c>
      <c r="R117" s="2070">
        <v>1655</v>
      </c>
      <c r="S117" s="2071">
        <v>371</v>
      </c>
      <c r="T117" s="2071">
        <v>434</v>
      </c>
      <c r="U117" s="2071">
        <v>850</v>
      </c>
      <c r="V117" s="138">
        <f t="shared" si="35"/>
        <v>0.22416918429003022</v>
      </c>
      <c r="W117" s="138">
        <f t="shared" si="36"/>
        <v>0.26223564954682782</v>
      </c>
      <c r="X117" s="2072">
        <f t="shared" si="37"/>
        <v>0.51359516616314205</v>
      </c>
      <c r="Y117" s="2070">
        <v>1858</v>
      </c>
      <c r="Z117" s="2071">
        <v>611</v>
      </c>
      <c r="AA117" s="2071">
        <v>500</v>
      </c>
      <c r="AB117" s="2071">
        <v>747</v>
      </c>
      <c r="AC117" s="138">
        <f t="shared" si="38"/>
        <v>0.32884822389666307</v>
      </c>
      <c r="AD117" s="138">
        <f t="shared" si="39"/>
        <v>0.26910656620021528</v>
      </c>
      <c r="AE117" s="2072">
        <f t="shared" si="40"/>
        <v>0.40204520990312165</v>
      </c>
      <c r="AF117" s="2070">
        <v>1819</v>
      </c>
      <c r="AG117" s="2071">
        <v>586</v>
      </c>
      <c r="AH117" s="2071">
        <v>423</v>
      </c>
      <c r="AI117" s="2071">
        <v>810</v>
      </c>
      <c r="AJ117" s="138">
        <f t="shared" si="41"/>
        <v>0.32215503023639364</v>
      </c>
      <c r="AK117" s="138">
        <f t="shared" si="42"/>
        <v>0.23254535459043429</v>
      </c>
      <c r="AL117" s="2072">
        <f t="shared" si="43"/>
        <v>0.44529961517317207</v>
      </c>
    </row>
    <row r="118" spans="1:38" x14ac:dyDescent="0.3">
      <c r="A118" s="56" t="s">
        <v>175</v>
      </c>
      <c r="B118" s="84" t="s">
        <v>176</v>
      </c>
      <c r="C118" s="57" t="s">
        <v>253</v>
      </c>
      <c r="D118" s="2070">
        <v>12309</v>
      </c>
      <c r="E118" s="2071">
        <v>2337</v>
      </c>
      <c r="F118" s="2071">
        <v>5799</v>
      </c>
      <c r="G118" s="2071">
        <v>4173</v>
      </c>
      <c r="H118" s="138">
        <f t="shared" si="29"/>
        <v>0.18986107726054108</v>
      </c>
      <c r="I118" s="138">
        <f t="shared" si="30"/>
        <v>0.47111869363880088</v>
      </c>
      <c r="J118" s="2072">
        <f t="shared" si="31"/>
        <v>0.6609797708993419</v>
      </c>
      <c r="K118" s="2070">
        <v>12031</v>
      </c>
      <c r="L118" s="2071">
        <v>2538</v>
      </c>
      <c r="M118" s="2071">
        <v>5567</v>
      </c>
      <c r="N118" s="2071">
        <v>3926</v>
      </c>
      <c r="O118" s="138">
        <f t="shared" si="32"/>
        <v>0.21095503283185105</v>
      </c>
      <c r="P118" s="138">
        <f t="shared" si="33"/>
        <v>0.46272130329980882</v>
      </c>
      <c r="Q118" s="2072">
        <f t="shared" si="34"/>
        <v>0.67367633613165989</v>
      </c>
      <c r="R118" s="2070">
        <v>12515</v>
      </c>
      <c r="S118" s="2071">
        <v>2952</v>
      </c>
      <c r="T118" s="2071">
        <v>5396</v>
      </c>
      <c r="U118" s="2071">
        <v>4167</v>
      </c>
      <c r="V118" s="138">
        <f t="shared" si="35"/>
        <v>0.23587694766280465</v>
      </c>
      <c r="W118" s="138">
        <f t="shared" si="36"/>
        <v>0.43116260487415103</v>
      </c>
      <c r="X118" s="2072">
        <f t="shared" si="37"/>
        <v>0.33296044746304437</v>
      </c>
      <c r="Y118" s="2070">
        <v>13175</v>
      </c>
      <c r="Z118" s="2071">
        <v>3521</v>
      </c>
      <c r="AA118" s="2071">
        <v>5302</v>
      </c>
      <c r="AB118" s="2071">
        <v>4352</v>
      </c>
      <c r="AC118" s="138">
        <f t="shared" si="38"/>
        <v>0.2672485768500949</v>
      </c>
      <c r="AD118" s="138">
        <f t="shared" si="39"/>
        <v>0.40242884250474381</v>
      </c>
      <c r="AE118" s="2072">
        <f t="shared" si="40"/>
        <v>0.33032258064516129</v>
      </c>
      <c r="AF118" s="2070">
        <v>13274</v>
      </c>
      <c r="AG118" s="2071">
        <v>3148</v>
      </c>
      <c r="AH118" s="2071">
        <v>5511</v>
      </c>
      <c r="AI118" s="2071">
        <v>4615</v>
      </c>
      <c r="AJ118" s="138">
        <f t="shared" si="41"/>
        <v>0.23715534126864546</v>
      </c>
      <c r="AK118" s="138">
        <f t="shared" si="42"/>
        <v>0.41517251770378183</v>
      </c>
      <c r="AL118" s="2072">
        <f t="shared" si="43"/>
        <v>0.34767214102757271</v>
      </c>
    </row>
    <row r="119" spans="1:38" x14ac:dyDescent="0.3">
      <c r="A119" s="56" t="s">
        <v>179</v>
      </c>
      <c r="B119" s="84" t="s">
        <v>180</v>
      </c>
      <c r="C119" s="57" t="s">
        <v>251</v>
      </c>
      <c r="D119" s="2070">
        <v>37201</v>
      </c>
      <c r="E119" s="2071">
        <v>5629</v>
      </c>
      <c r="F119" s="2071">
        <v>13530</v>
      </c>
      <c r="G119" s="2071">
        <v>18042</v>
      </c>
      <c r="H119" s="138">
        <f t="shared" si="29"/>
        <v>0.15131313674363592</v>
      </c>
      <c r="I119" s="138">
        <f t="shared" si="30"/>
        <v>0.36369990054030804</v>
      </c>
      <c r="J119" s="2072">
        <f t="shared" si="31"/>
        <v>0.51501303728394399</v>
      </c>
      <c r="K119" s="2070">
        <v>36781</v>
      </c>
      <c r="L119" s="2071">
        <v>6302</v>
      </c>
      <c r="M119" s="2071">
        <v>16787</v>
      </c>
      <c r="N119" s="2071">
        <v>13692</v>
      </c>
      <c r="O119" s="138">
        <f t="shared" si="32"/>
        <v>0.17133846279329001</v>
      </c>
      <c r="P119" s="138">
        <f t="shared" si="33"/>
        <v>0.45640412169326555</v>
      </c>
      <c r="Q119" s="2072">
        <f t="shared" si="34"/>
        <v>0.62774258448655551</v>
      </c>
      <c r="R119" s="2070">
        <v>37123</v>
      </c>
      <c r="S119" s="2071">
        <v>6409</v>
      </c>
      <c r="T119" s="2071">
        <v>15740</v>
      </c>
      <c r="U119" s="2071">
        <v>14974</v>
      </c>
      <c r="V119" s="138">
        <f t="shared" si="35"/>
        <v>0.17264229722813351</v>
      </c>
      <c r="W119" s="138">
        <f t="shared" si="36"/>
        <v>0.42399590550332678</v>
      </c>
      <c r="X119" s="2072">
        <f t="shared" si="37"/>
        <v>0.40336179726853971</v>
      </c>
      <c r="Y119" s="2070">
        <v>36615</v>
      </c>
      <c r="Z119" s="2071">
        <v>5548</v>
      </c>
      <c r="AA119" s="2071">
        <v>12572</v>
      </c>
      <c r="AB119" s="2071">
        <v>18495</v>
      </c>
      <c r="AC119" s="138">
        <f t="shared" si="38"/>
        <v>0.15152260002731122</v>
      </c>
      <c r="AD119" s="138">
        <f t="shared" si="39"/>
        <v>0.34335654786289771</v>
      </c>
      <c r="AE119" s="2072">
        <f t="shared" si="40"/>
        <v>0.50512085210979107</v>
      </c>
      <c r="AF119" s="2070">
        <v>34578</v>
      </c>
      <c r="AG119" s="2071">
        <v>6430</v>
      </c>
      <c r="AH119" s="2071">
        <v>13259</v>
      </c>
      <c r="AI119" s="2071">
        <v>14889</v>
      </c>
      <c r="AJ119" s="138">
        <f t="shared" si="41"/>
        <v>0.18595638845508705</v>
      </c>
      <c r="AK119" s="138">
        <f t="shared" si="42"/>
        <v>0.38345190583608074</v>
      </c>
      <c r="AL119" s="2072">
        <f t="shared" si="43"/>
        <v>0.43059170570883221</v>
      </c>
    </row>
    <row r="120" spans="1:38" x14ac:dyDescent="0.3">
      <c r="A120" s="56" t="s">
        <v>191</v>
      </c>
      <c r="B120" s="84" t="s">
        <v>192</v>
      </c>
      <c r="C120" s="57" t="s">
        <v>255</v>
      </c>
      <c r="D120" s="2070">
        <v>5667</v>
      </c>
      <c r="E120" s="2071">
        <v>1531</v>
      </c>
      <c r="F120" s="2071">
        <v>1984</v>
      </c>
      <c r="G120" s="2071">
        <v>2152</v>
      </c>
      <c r="H120" s="138">
        <f t="shared" si="29"/>
        <v>0.27016057878948296</v>
      </c>
      <c r="I120" s="138">
        <f t="shared" si="30"/>
        <v>0.35009705311452266</v>
      </c>
      <c r="J120" s="2072">
        <f t="shared" si="31"/>
        <v>0.62025763190400562</v>
      </c>
      <c r="K120" s="2070">
        <v>5624</v>
      </c>
      <c r="L120" s="2071">
        <v>1765</v>
      </c>
      <c r="M120" s="2071">
        <v>1748</v>
      </c>
      <c r="N120" s="2071">
        <v>2111</v>
      </c>
      <c r="O120" s="138">
        <f t="shared" si="32"/>
        <v>0.3138335704125178</v>
      </c>
      <c r="P120" s="138">
        <f t="shared" si="33"/>
        <v>0.3108108108108108</v>
      </c>
      <c r="Q120" s="2072">
        <f t="shared" si="34"/>
        <v>0.62464438122332855</v>
      </c>
      <c r="R120" s="2070">
        <v>5333</v>
      </c>
      <c r="S120" s="2071">
        <v>1925</v>
      </c>
      <c r="T120" s="2071">
        <v>1559</v>
      </c>
      <c r="U120" s="2071">
        <v>1849</v>
      </c>
      <c r="V120" s="138">
        <f t="shared" si="35"/>
        <v>0.36096006000375025</v>
      </c>
      <c r="W120" s="138">
        <f t="shared" si="36"/>
        <v>0.2923307706731671</v>
      </c>
      <c r="X120" s="2072">
        <f t="shared" si="37"/>
        <v>0.34670916932308271</v>
      </c>
      <c r="Y120" s="2070">
        <v>5604</v>
      </c>
      <c r="Z120" s="2071">
        <v>1976</v>
      </c>
      <c r="AA120" s="2071">
        <v>1738</v>
      </c>
      <c r="AB120" s="2071">
        <v>1890</v>
      </c>
      <c r="AC120" s="138">
        <f t="shared" si="38"/>
        <v>0.35260528194147039</v>
      </c>
      <c r="AD120" s="138">
        <f t="shared" si="39"/>
        <v>0.31013561741613133</v>
      </c>
      <c r="AE120" s="2072">
        <f t="shared" si="40"/>
        <v>0.33725910064239828</v>
      </c>
      <c r="AF120" s="2070">
        <v>5438</v>
      </c>
      <c r="AG120" s="2071">
        <v>1450</v>
      </c>
      <c r="AH120" s="2071">
        <v>2181</v>
      </c>
      <c r="AI120" s="2071">
        <v>1807</v>
      </c>
      <c r="AJ120" s="138">
        <f t="shared" si="41"/>
        <v>0.26664214784847368</v>
      </c>
      <c r="AK120" s="138">
        <f t="shared" si="42"/>
        <v>0.40106656859139389</v>
      </c>
      <c r="AL120" s="2072">
        <f t="shared" si="43"/>
        <v>0.33229128356013238</v>
      </c>
    </row>
    <row r="121" spans="1:38" x14ac:dyDescent="0.3">
      <c r="A121" s="56" t="s">
        <v>195</v>
      </c>
      <c r="B121" s="84" t="s">
        <v>196</v>
      </c>
      <c r="C121" s="57" t="s">
        <v>253</v>
      </c>
      <c r="D121" s="2070">
        <v>83927</v>
      </c>
      <c r="E121" s="2071">
        <v>17738</v>
      </c>
      <c r="F121" s="2071">
        <v>29650</v>
      </c>
      <c r="G121" s="2071">
        <v>36539</v>
      </c>
      <c r="H121" s="138">
        <f t="shared" si="29"/>
        <v>0.21135034017658202</v>
      </c>
      <c r="I121" s="138">
        <f t="shared" si="30"/>
        <v>0.35328321040904598</v>
      </c>
      <c r="J121" s="2072">
        <f t="shared" si="31"/>
        <v>0.56463355058562803</v>
      </c>
      <c r="K121" s="2070">
        <v>83456</v>
      </c>
      <c r="L121" s="2071">
        <v>18778</v>
      </c>
      <c r="M121" s="2071">
        <v>32090</v>
      </c>
      <c r="N121" s="2071">
        <v>32588</v>
      </c>
      <c r="O121" s="138">
        <f t="shared" si="32"/>
        <v>0.22500479294478529</v>
      </c>
      <c r="P121" s="138">
        <f t="shared" si="33"/>
        <v>0.38451399539877301</v>
      </c>
      <c r="Q121" s="2072">
        <f t="shared" si="34"/>
        <v>0.60951878834355833</v>
      </c>
      <c r="R121" s="2070">
        <v>88421</v>
      </c>
      <c r="S121" s="2071">
        <v>18016</v>
      </c>
      <c r="T121" s="2071">
        <v>32059</v>
      </c>
      <c r="U121" s="2071">
        <v>38346</v>
      </c>
      <c r="V121" s="138">
        <f t="shared" si="35"/>
        <v>0.20375250223363228</v>
      </c>
      <c r="W121" s="138">
        <f t="shared" si="36"/>
        <v>0.36257223962633311</v>
      </c>
      <c r="X121" s="2072">
        <f t="shared" si="37"/>
        <v>0.4336752581400346</v>
      </c>
      <c r="Y121" s="2070">
        <v>91704</v>
      </c>
      <c r="Z121" s="2071">
        <v>20777</v>
      </c>
      <c r="AA121" s="2071">
        <v>30220</v>
      </c>
      <c r="AB121" s="2071">
        <v>40707</v>
      </c>
      <c r="AC121" s="138">
        <f t="shared" si="38"/>
        <v>0.22656590770304458</v>
      </c>
      <c r="AD121" s="138">
        <f t="shared" si="39"/>
        <v>0.32953851522289102</v>
      </c>
      <c r="AE121" s="2072">
        <f t="shared" si="40"/>
        <v>0.44389557707406441</v>
      </c>
      <c r="AF121" s="2070">
        <v>91359</v>
      </c>
      <c r="AG121" s="2071">
        <v>16950</v>
      </c>
      <c r="AH121" s="2071">
        <v>29790</v>
      </c>
      <c r="AI121" s="2071">
        <v>44619</v>
      </c>
      <c r="AJ121" s="138">
        <f t="shared" si="41"/>
        <v>0.18553180310642631</v>
      </c>
      <c r="AK121" s="138">
        <f t="shared" si="42"/>
        <v>0.32607624864545365</v>
      </c>
      <c r="AL121" s="2072">
        <f t="shared" si="43"/>
        <v>0.48839194824812004</v>
      </c>
    </row>
    <row r="122" spans="1:38" x14ac:dyDescent="0.3">
      <c r="A122" s="56" t="s">
        <v>199</v>
      </c>
      <c r="B122" s="84" t="s">
        <v>200</v>
      </c>
      <c r="C122" s="57" t="s">
        <v>252</v>
      </c>
      <c r="D122" s="2070">
        <v>42478</v>
      </c>
      <c r="E122" s="2071">
        <v>8412</v>
      </c>
      <c r="F122" s="2071">
        <v>11488</v>
      </c>
      <c r="G122" s="2071">
        <v>22578</v>
      </c>
      <c r="H122" s="138">
        <f t="shared" si="29"/>
        <v>0.19803192240689299</v>
      </c>
      <c r="I122" s="138">
        <f t="shared" si="30"/>
        <v>0.27044587786618957</v>
      </c>
      <c r="J122" s="2072">
        <f t="shared" si="31"/>
        <v>0.46847780027308256</v>
      </c>
      <c r="K122" s="2070">
        <v>42134</v>
      </c>
      <c r="L122" s="2071">
        <v>8021</v>
      </c>
      <c r="M122" s="2071">
        <v>12734</v>
      </c>
      <c r="N122" s="2071">
        <v>21379</v>
      </c>
      <c r="O122" s="138">
        <f t="shared" si="32"/>
        <v>0.19036882327811269</v>
      </c>
      <c r="P122" s="138">
        <f t="shared" si="33"/>
        <v>0.30222623059761711</v>
      </c>
      <c r="Q122" s="2072">
        <f t="shared" si="34"/>
        <v>0.49259505387572983</v>
      </c>
      <c r="R122" s="2070">
        <v>42636</v>
      </c>
      <c r="S122" s="2071">
        <v>8244</v>
      </c>
      <c r="T122" s="2071">
        <v>11454</v>
      </c>
      <c r="U122" s="2071">
        <v>22938</v>
      </c>
      <c r="V122" s="138">
        <f t="shared" si="35"/>
        <v>0.19335772586546579</v>
      </c>
      <c r="W122" s="138">
        <f t="shared" si="36"/>
        <v>0.26864621446664788</v>
      </c>
      <c r="X122" s="2072">
        <f t="shared" si="37"/>
        <v>0.53799605966788633</v>
      </c>
      <c r="Y122" s="2070">
        <v>42213</v>
      </c>
      <c r="Z122" s="2071">
        <v>10653</v>
      </c>
      <c r="AA122" s="2071">
        <v>14247</v>
      </c>
      <c r="AB122" s="2071">
        <v>17313</v>
      </c>
      <c r="AC122" s="138">
        <f t="shared" si="38"/>
        <v>0.25236301613247103</v>
      </c>
      <c r="AD122" s="138">
        <f t="shared" si="39"/>
        <v>0.33750266505578852</v>
      </c>
      <c r="AE122" s="2072">
        <f t="shared" si="40"/>
        <v>0.41013431881174045</v>
      </c>
      <c r="AF122" s="2070">
        <v>41353</v>
      </c>
      <c r="AG122" s="2071">
        <v>8002</v>
      </c>
      <c r="AH122" s="2071">
        <v>15539</v>
      </c>
      <c r="AI122" s="2071">
        <v>17812</v>
      </c>
      <c r="AJ122" s="138">
        <f t="shared" si="41"/>
        <v>0.19350470340724979</v>
      </c>
      <c r="AK122" s="138">
        <f t="shared" si="42"/>
        <v>0.37576475709138396</v>
      </c>
      <c r="AL122" s="2072">
        <f t="shared" si="43"/>
        <v>0.43073053950136631</v>
      </c>
    </row>
    <row r="123" spans="1:38" x14ac:dyDescent="0.3">
      <c r="A123" s="56" t="s">
        <v>221</v>
      </c>
      <c r="B123" s="84" t="s">
        <v>222</v>
      </c>
      <c r="C123" s="57" t="s">
        <v>251</v>
      </c>
      <c r="D123" s="2070">
        <v>30987</v>
      </c>
      <c r="E123" s="2071">
        <v>3332</v>
      </c>
      <c r="F123" s="2071">
        <v>7697</v>
      </c>
      <c r="G123" s="2071">
        <v>19958</v>
      </c>
      <c r="H123" s="138">
        <f t="shared" si="29"/>
        <v>0.1075289637589957</v>
      </c>
      <c r="I123" s="138">
        <f t="shared" si="30"/>
        <v>0.24839448801110142</v>
      </c>
      <c r="J123" s="2072">
        <f t="shared" si="31"/>
        <v>0.35592345177009715</v>
      </c>
      <c r="K123" s="2070">
        <v>30623</v>
      </c>
      <c r="L123" s="2071">
        <v>2789</v>
      </c>
      <c r="M123" s="2071">
        <v>11320</v>
      </c>
      <c r="N123" s="2071">
        <v>16514</v>
      </c>
      <c r="O123" s="138">
        <f t="shared" si="32"/>
        <v>9.1075335532116386E-2</v>
      </c>
      <c r="P123" s="138">
        <f t="shared" si="33"/>
        <v>0.36965679391307188</v>
      </c>
      <c r="Q123" s="2072">
        <f t="shared" si="34"/>
        <v>0.46073212944518827</v>
      </c>
      <c r="R123" s="2070">
        <v>30689</v>
      </c>
      <c r="S123" s="2071">
        <v>4181</v>
      </c>
      <c r="T123" s="2071">
        <v>10329</v>
      </c>
      <c r="U123" s="2071">
        <v>16179</v>
      </c>
      <c r="V123" s="138">
        <f t="shared" si="35"/>
        <v>0.13623773990680699</v>
      </c>
      <c r="W123" s="138">
        <f t="shared" si="36"/>
        <v>0.33657010655283653</v>
      </c>
      <c r="X123" s="2072">
        <f t="shared" si="37"/>
        <v>0.52719215354035653</v>
      </c>
      <c r="Y123" s="2070">
        <v>33377</v>
      </c>
      <c r="Z123" s="2071">
        <v>3377</v>
      </c>
      <c r="AA123" s="2071">
        <v>10701</v>
      </c>
      <c r="AB123" s="2071">
        <v>19299</v>
      </c>
      <c r="AC123" s="138">
        <f t="shared" si="38"/>
        <v>0.10117745753063487</v>
      </c>
      <c r="AD123" s="138">
        <f t="shared" si="39"/>
        <v>0.32061000089882252</v>
      </c>
      <c r="AE123" s="2072">
        <f t="shared" si="40"/>
        <v>0.57821254157054258</v>
      </c>
      <c r="AF123" s="2070">
        <v>34890</v>
      </c>
      <c r="AG123" s="2071">
        <v>3007</v>
      </c>
      <c r="AH123" s="2071">
        <v>10526</v>
      </c>
      <c r="AI123" s="2071">
        <v>21357</v>
      </c>
      <c r="AJ123" s="138">
        <f t="shared" si="41"/>
        <v>8.6185153339065637E-2</v>
      </c>
      <c r="AK123" s="138">
        <f t="shared" si="42"/>
        <v>0.30169102894812266</v>
      </c>
      <c r="AL123" s="2072">
        <f t="shared" si="43"/>
        <v>0.61212381771281166</v>
      </c>
    </row>
    <row r="124" spans="1:38" x14ac:dyDescent="0.3">
      <c r="A124" s="56" t="s">
        <v>229</v>
      </c>
      <c r="B124" s="84" t="s">
        <v>230</v>
      </c>
      <c r="C124" s="57" t="s">
        <v>251</v>
      </c>
      <c r="D124" s="2070">
        <v>164300</v>
      </c>
      <c r="E124" s="2071">
        <v>11461</v>
      </c>
      <c r="F124" s="2071">
        <v>62335</v>
      </c>
      <c r="G124" s="2071">
        <v>90504</v>
      </c>
      <c r="H124" s="138">
        <f t="shared" si="29"/>
        <v>6.9756542909312227E-2</v>
      </c>
      <c r="I124" s="138">
        <f t="shared" si="30"/>
        <v>0.37939744370054779</v>
      </c>
      <c r="J124" s="2072">
        <f t="shared" si="31"/>
        <v>0.44915398660986</v>
      </c>
      <c r="K124" s="2070">
        <v>165376</v>
      </c>
      <c r="L124" s="2071">
        <v>13808</v>
      </c>
      <c r="M124" s="2071">
        <v>81603</v>
      </c>
      <c r="N124" s="2071">
        <v>69965</v>
      </c>
      <c r="O124" s="138">
        <f t="shared" si="32"/>
        <v>8.349458204334366E-2</v>
      </c>
      <c r="P124" s="138">
        <f t="shared" si="33"/>
        <v>0.49343919311145512</v>
      </c>
      <c r="Q124" s="2072">
        <f t="shared" si="34"/>
        <v>0.57693377515479871</v>
      </c>
      <c r="R124" s="2070">
        <v>167008</v>
      </c>
      <c r="S124" s="2071">
        <v>12657</v>
      </c>
      <c r="T124" s="2071">
        <v>56464</v>
      </c>
      <c r="U124" s="2071">
        <v>97887</v>
      </c>
      <c r="V124" s="138">
        <f t="shared" si="35"/>
        <v>7.5786788656830806E-2</v>
      </c>
      <c r="W124" s="138">
        <f t="shared" si="36"/>
        <v>0.33809158842690168</v>
      </c>
      <c r="X124" s="2072">
        <f t="shared" si="37"/>
        <v>0.58612162291626746</v>
      </c>
      <c r="Y124" s="2070">
        <v>168061</v>
      </c>
      <c r="Z124" s="2071">
        <v>12454</v>
      </c>
      <c r="AA124" s="2071">
        <v>53723</v>
      </c>
      <c r="AB124" s="2071">
        <v>101884</v>
      </c>
      <c r="AC124" s="138">
        <f t="shared" si="38"/>
        <v>7.410404555488781E-2</v>
      </c>
      <c r="AD124" s="138">
        <f t="shared" si="39"/>
        <v>0.31966369353984564</v>
      </c>
      <c r="AE124" s="2072">
        <f t="shared" si="40"/>
        <v>0.6062322609052665</v>
      </c>
      <c r="AF124" s="2070">
        <v>172183</v>
      </c>
      <c r="AG124" s="2071">
        <v>11414</v>
      </c>
      <c r="AH124" s="2071">
        <v>49807</v>
      </c>
      <c r="AI124" s="2071">
        <v>110962</v>
      </c>
      <c r="AJ124" s="138">
        <f t="shared" si="41"/>
        <v>6.6289935707938646E-2</v>
      </c>
      <c r="AK124" s="138">
        <f t="shared" si="42"/>
        <v>0.28926781389568074</v>
      </c>
      <c r="AL124" s="2072">
        <f t="shared" si="43"/>
        <v>0.64444225039638059</v>
      </c>
    </row>
    <row r="125" spans="1:38" x14ac:dyDescent="0.3">
      <c r="A125" s="56" t="s">
        <v>237</v>
      </c>
      <c r="B125" s="84" t="s">
        <v>238</v>
      </c>
      <c r="C125" s="57" t="s">
        <v>251</v>
      </c>
      <c r="D125" s="2070">
        <v>4069</v>
      </c>
      <c r="E125" s="2071">
        <v>583</v>
      </c>
      <c r="F125" s="2071">
        <v>1428</v>
      </c>
      <c r="G125" s="2071">
        <v>2058</v>
      </c>
      <c r="H125" s="138">
        <f t="shared" si="29"/>
        <v>0.14327844679282378</v>
      </c>
      <c r="I125" s="138">
        <f t="shared" si="30"/>
        <v>0.35094617842221676</v>
      </c>
      <c r="J125" s="2072">
        <f t="shared" si="31"/>
        <v>0.49422462521504057</v>
      </c>
      <c r="K125" s="2070">
        <v>4281</v>
      </c>
      <c r="L125" s="2071">
        <v>612</v>
      </c>
      <c r="M125" s="2071">
        <v>1886</v>
      </c>
      <c r="N125" s="2071">
        <v>1783</v>
      </c>
      <c r="O125" s="138">
        <f t="shared" si="32"/>
        <v>0.14295725297827611</v>
      </c>
      <c r="P125" s="138">
        <f t="shared" si="33"/>
        <v>0.44055127306704039</v>
      </c>
      <c r="Q125" s="2072">
        <f t="shared" si="34"/>
        <v>0.58350852604531656</v>
      </c>
      <c r="R125" s="2070">
        <v>4365</v>
      </c>
      <c r="S125" s="2071">
        <v>674</v>
      </c>
      <c r="T125" s="2071">
        <v>1873</v>
      </c>
      <c r="U125" s="2071">
        <v>1818</v>
      </c>
      <c r="V125" s="138">
        <f t="shared" si="35"/>
        <v>0.15441008018327607</v>
      </c>
      <c r="W125" s="138">
        <f t="shared" si="36"/>
        <v>0.42909507445589917</v>
      </c>
      <c r="X125" s="2072">
        <f t="shared" si="37"/>
        <v>0.41649484536082476</v>
      </c>
      <c r="Y125" s="2070">
        <v>4627</v>
      </c>
      <c r="Z125" s="2071">
        <v>735</v>
      </c>
      <c r="AA125" s="2071">
        <v>2086</v>
      </c>
      <c r="AB125" s="2071">
        <v>1806</v>
      </c>
      <c r="AC125" s="138">
        <f t="shared" si="38"/>
        <v>0.15885022692889561</v>
      </c>
      <c r="AD125" s="138">
        <f t="shared" si="39"/>
        <v>0.45083207261724662</v>
      </c>
      <c r="AE125" s="2072">
        <f t="shared" si="40"/>
        <v>0.39031770045385777</v>
      </c>
      <c r="AF125" s="2070">
        <v>4670</v>
      </c>
      <c r="AG125" s="2071">
        <v>724</v>
      </c>
      <c r="AH125" s="2071">
        <v>1729</v>
      </c>
      <c r="AI125" s="2071">
        <v>2217</v>
      </c>
      <c r="AJ125" s="138">
        <f t="shared" si="41"/>
        <v>0.1550321199143469</v>
      </c>
      <c r="AK125" s="138">
        <f t="shared" si="42"/>
        <v>0.37023554603854392</v>
      </c>
      <c r="AL125" s="2072">
        <f t="shared" si="43"/>
        <v>0.47473233404710918</v>
      </c>
    </row>
    <row r="126" spans="1:38" x14ac:dyDescent="0.3">
      <c r="A126" s="62" t="s">
        <v>239</v>
      </c>
      <c r="B126" s="86" t="s">
        <v>240</v>
      </c>
      <c r="C126" s="63" t="s">
        <v>254</v>
      </c>
      <c r="D126" s="2070">
        <v>10310</v>
      </c>
      <c r="E126" s="2071">
        <v>1846</v>
      </c>
      <c r="F126" s="2071">
        <v>3706</v>
      </c>
      <c r="G126" s="2071">
        <v>4758</v>
      </c>
      <c r="H126" s="138">
        <f t="shared" si="29"/>
        <v>0.17904946653734238</v>
      </c>
      <c r="I126" s="138">
        <f t="shared" si="30"/>
        <v>0.35945683802133849</v>
      </c>
      <c r="J126" s="2072">
        <f t="shared" si="31"/>
        <v>0.53850630455868087</v>
      </c>
      <c r="K126" s="2070">
        <v>10668</v>
      </c>
      <c r="L126" s="2071">
        <v>1913</v>
      </c>
      <c r="M126" s="2071">
        <v>3997</v>
      </c>
      <c r="N126" s="2071">
        <v>4758</v>
      </c>
      <c r="O126" s="138">
        <f t="shared" si="32"/>
        <v>0.17932133483314586</v>
      </c>
      <c r="P126" s="138">
        <f t="shared" si="33"/>
        <v>0.37467191601049871</v>
      </c>
      <c r="Q126" s="2072">
        <f t="shared" si="34"/>
        <v>0.55399325084364459</v>
      </c>
      <c r="R126" s="2070">
        <v>10692</v>
      </c>
      <c r="S126" s="2071">
        <v>1525</v>
      </c>
      <c r="T126" s="2071">
        <v>4280</v>
      </c>
      <c r="U126" s="2071">
        <v>4887</v>
      </c>
      <c r="V126" s="138">
        <f t="shared" si="35"/>
        <v>0.14263000374111484</v>
      </c>
      <c r="W126" s="138">
        <f t="shared" si="36"/>
        <v>0.40029928918817809</v>
      </c>
      <c r="X126" s="2072">
        <f t="shared" si="37"/>
        <v>0.45707070707070707</v>
      </c>
      <c r="Y126" s="2070">
        <v>10596</v>
      </c>
      <c r="Z126" s="2071">
        <v>1318</v>
      </c>
      <c r="AA126" s="2071">
        <v>4980</v>
      </c>
      <c r="AB126" s="2071">
        <v>4298</v>
      </c>
      <c r="AC126" s="138">
        <f t="shared" si="38"/>
        <v>0.12438656096640241</v>
      </c>
      <c r="AD126" s="138">
        <f t="shared" si="39"/>
        <v>0.46998867497168745</v>
      </c>
      <c r="AE126" s="2072">
        <f t="shared" si="40"/>
        <v>0.40562476406191017</v>
      </c>
      <c r="AF126" s="2070">
        <v>10554</v>
      </c>
      <c r="AG126" s="2071">
        <v>1226</v>
      </c>
      <c r="AH126" s="2071">
        <v>4381</v>
      </c>
      <c r="AI126" s="2071">
        <v>4947</v>
      </c>
      <c r="AJ126" s="138">
        <f t="shared" si="41"/>
        <v>0.11616448739814289</v>
      </c>
      <c r="AK126" s="138">
        <f t="shared" si="42"/>
        <v>0.4151032783778662</v>
      </c>
      <c r="AL126" s="2072">
        <f t="shared" si="43"/>
        <v>0.46873223422399091</v>
      </c>
    </row>
    <row r="127" spans="1:38" x14ac:dyDescent="0.3">
      <c r="A127" s="116"/>
      <c r="B127" s="90"/>
      <c r="C127" s="117"/>
    </row>
    <row r="128" spans="1:38" x14ac:dyDescent="0.3">
      <c r="A128" s="116" t="s">
        <v>253</v>
      </c>
      <c r="B128" s="90"/>
      <c r="C128" s="117"/>
      <c r="D128" s="576">
        <v>498516</v>
      </c>
      <c r="E128" s="576">
        <v>53617</v>
      </c>
      <c r="F128" s="576">
        <v>158448</v>
      </c>
      <c r="G128" s="576">
        <v>286451</v>
      </c>
      <c r="H128" s="138">
        <f t="shared" ref="H128:H132" si="44">E128/D128</f>
        <v>0.1075532179508782</v>
      </c>
      <c r="I128" s="138">
        <f t="shared" ref="I128:I132" si="45">F128/D128</f>
        <v>0.31783934718243745</v>
      </c>
      <c r="J128" s="2072">
        <f t="shared" ref="J128:J132" si="46">(E128+F128)/D128</f>
        <v>0.42539256513331569</v>
      </c>
      <c r="K128" s="576">
        <v>503435</v>
      </c>
      <c r="L128" s="576">
        <v>58661</v>
      </c>
      <c r="M128" s="576">
        <v>165002</v>
      </c>
      <c r="N128" s="576">
        <v>279772</v>
      </c>
      <c r="O128" s="138">
        <f t="shared" ref="O128:O132" si="47">L128/K128</f>
        <v>0.11652149731345655</v>
      </c>
      <c r="P128" s="138">
        <f t="shared" ref="P128:P132" si="48">M128/K128</f>
        <v>0.32775234141448251</v>
      </c>
      <c r="Q128" s="2072">
        <f t="shared" ref="Q128:Q132" si="49">(L128+M128)/K128</f>
        <v>0.44427383872793907</v>
      </c>
      <c r="R128" s="576">
        <v>517561</v>
      </c>
      <c r="S128" s="576">
        <v>59914</v>
      </c>
      <c r="T128" s="576">
        <v>165757</v>
      </c>
      <c r="U128" s="576">
        <v>291890</v>
      </c>
      <c r="V128" s="138">
        <f t="shared" ref="V128:V132" si="50">S128/R128</f>
        <v>0.11576220001120641</v>
      </c>
      <c r="W128" s="138">
        <f t="shared" ref="W128:W132" si="51">T128/R128</f>
        <v>0.32026563052471108</v>
      </c>
      <c r="X128" s="2072">
        <f t="shared" ref="X128:X132" si="52">U128/R128</f>
        <v>0.56397216946408246</v>
      </c>
      <c r="Y128" s="576">
        <v>529090</v>
      </c>
      <c r="Z128" s="576">
        <v>64097</v>
      </c>
      <c r="AA128" s="576">
        <v>170737</v>
      </c>
      <c r="AB128" s="576">
        <v>294256</v>
      </c>
      <c r="AC128" s="138">
        <f t="shared" ref="AC128:AC132" si="53">Z128/Y128</f>
        <v>0.12114574080024193</v>
      </c>
      <c r="AD128" s="138">
        <f t="shared" ref="AD128:AD132" si="54">AA128/Y128</f>
        <v>0.32269935171709918</v>
      </c>
      <c r="AE128" s="2072">
        <f t="shared" ref="AE128:AE132" si="55">AB128/Y128</f>
        <v>0.55615490748265894</v>
      </c>
      <c r="AF128" s="576">
        <v>536733</v>
      </c>
      <c r="AG128" s="576">
        <v>57931</v>
      </c>
      <c r="AH128" s="576">
        <v>165168</v>
      </c>
      <c r="AI128" s="576">
        <v>313634</v>
      </c>
      <c r="AJ128" s="138">
        <f t="shared" ref="AJ128:AJ132" si="56">AG128/AF128</f>
        <v>0.10793262199268537</v>
      </c>
      <c r="AK128" s="138">
        <f t="shared" ref="AK128:AK132" si="57">AH128/AF128</f>
        <v>0.30772842362962588</v>
      </c>
      <c r="AL128" s="2072">
        <f t="shared" ref="AL128:AL132" si="58">AI128/AF128</f>
        <v>0.58433895437768868</v>
      </c>
    </row>
    <row r="129" spans="1:38" x14ac:dyDescent="0.3">
      <c r="A129" s="116" t="s">
        <v>251</v>
      </c>
      <c r="B129" s="90"/>
      <c r="C129" s="117"/>
      <c r="D129" s="576">
        <v>675117</v>
      </c>
      <c r="E129" s="576">
        <v>70550</v>
      </c>
      <c r="F129" s="576">
        <v>237383</v>
      </c>
      <c r="G129" s="576">
        <v>367184</v>
      </c>
      <c r="H129" s="138">
        <f t="shared" si="44"/>
        <v>0.10450040511496526</v>
      </c>
      <c r="I129" s="138">
        <f t="shared" si="45"/>
        <v>0.35161757147279654</v>
      </c>
      <c r="J129" s="2072">
        <f t="shared" si="46"/>
        <v>0.45611797658776182</v>
      </c>
      <c r="K129" s="576">
        <v>680568</v>
      </c>
      <c r="L129" s="576">
        <v>85064</v>
      </c>
      <c r="M129" s="576">
        <v>279838</v>
      </c>
      <c r="N129" s="576">
        <v>315666</v>
      </c>
      <c r="O129" s="138">
        <f t="shared" si="47"/>
        <v>0.12498971447379248</v>
      </c>
      <c r="P129" s="138">
        <f t="shared" si="48"/>
        <v>0.41118301183717132</v>
      </c>
      <c r="Q129" s="2072">
        <f t="shared" si="49"/>
        <v>0.5361727263109638</v>
      </c>
      <c r="R129" s="576">
        <v>690111</v>
      </c>
      <c r="S129" s="576">
        <v>86312</v>
      </c>
      <c r="T129" s="576">
        <v>243765</v>
      </c>
      <c r="U129" s="576">
        <v>360034</v>
      </c>
      <c r="V129" s="138">
        <f t="shared" si="50"/>
        <v>0.12506973515854697</v>
      </c>
      <c r="W129" s="138">
        <f t="shared" si="51"/>
        <v>0.35322578541712857</v>
      </c>
      <c r="X129" s="2072">
        <f t="shared" si="52"/>
        <v>0.52170447942432452</v>
      </c>
      <c r="Y129" s="576">
        <v>694118</v>
      </c>
      <c r="Z129" s="576">
        <v>77442</v>
      </c>
      <c r="AA129" s="576">
        <v>228619</v>
      </c>
      <c r="AB129" s="576">
        <v>388057</v>
      </c>
      <c r="AC129" s="138">
        <f t="shared" si="53"/>
        <v>0.11156892632088491</v>
      </c>
      <c r="AD129" s="138">
        <f t="shared" si="54"/>
        <v>0.3293661884578703</v>
      </c>
      <c r="AE129" s="2072">
        <f t="shared" si="55"/>
        <v>0.55906488522124476</v>
      </c>
      <c r="AF129" s="576">
        <v>707676</v>
      </c>
      <c r="AG129" s="576">
        <v>78020</v>
      </c>
      <c r="AH129" s="576">
        <v>223352</v>
      </c>
      <c r="AI129" s="576">
        <v>406304</v>
      </c>
      <c r="AJ129" s="138">
        <f t="shared" si="56"/>
        <v>0.11024819267574426</v>
      </c>
      <c r="AK129" s="138">
        <f t="shared" si="57"/>
        <v>0.31561335978611682</v>
      </c>
      <c r="AL129" s="2072">
        <f t="shared" si="58"/>
        <v>0.57413844753813892</v>
      </c>
    </row>
    <row r="130" spans="1:38" x14ac:dyDescent="0.3">
      <c r="A130" s="116" t="s">
        <v>254</v>
      </c>
      <c r="B130" s="90"/>
      <c r="C130" s="117"/>
      <c r="D130" s="576">
        <v>1117921</v>
      </c>
      <c r="E130" s="576">
        <v>72453</v>
      </c>
      <c r="F130" s="576">
        <v>310561</v>
      </c>
      <c r="G130" s="576">
        <v>734907</v>
      </c>
      <c r="H130" s="138">
        <f t="shared" si="44"/>
        <v>6.4810483030554034E-2</v>
      </c>
      <c r="I130" s="138">
        <f t="shared" si="45"/>
        <v>0.27780227762069054</v>
      </c>
      <c r="J130" s="2072">
        <f t="shared" si="46"/>
        <v>0.34261276065124457</v>
      </c>
      <c r="K130" s="576">
        <v>1137831</v>
      </c>
      <c r="L130" s="576">
        <v>72018</v>
      </c>
      <c r="M130" s="576">
        <v>321845</v>
      </c>
      <c r="N130" s="576">
        <v>743968</v>
      </c>
      <c r="O130" s="138">
        <f t="shared" si="47"/>
        <v>6.3294109582178723E-2</v>
      </c>
      <c r="P130" s="138">
        <f t="shared" si="48"/>
        <v>0.28285835066894821</v>
      </c>
      <c r="Q130" s="2072">
        <f t="shared" si="49"/>
        <v>0.34615246025112695</v>
      </c>
      <c r="R130" s="576">
        <v>1165571</v>
      </c>
      <c r="S130" s="576">
        <v>85202</v>
      </c>
      <c r="T130" s="576">
        <v>310247</v>
      </c>
      <c r="U130" s="576">
        <v>770122</v>
      </c>
      <c r="V130" s="138">
        <f t="shared" si="50"/>
        <v>7.3098936057949274E-2</v>
      </c>
      <c r="W130" s="138">
        <f t="shared" si="51"/>
        <v>0.26617597726779407</v>
      </c>
      <c r="X130" s="2072">
        <f t="shared" si="52"/>
        <v>0.66072508667425667</v>
      </c>
      <c r="Y130" s="576">
        <v>1193435</v>
      </c>
      <c r="Z130" s="576">
        <v>82985</v>
      </c>
      <c r="AA130" s="576">
        <v>319722</v>
      </c>
      <c r="AB130" s="576">
        <v>790728</v>
      </c>
      <c r="AC130" s="138">
        <f t="shared" si="53"/>
        <v>6.9534578757954976E-2</v>
      </c>
      <c r="AD130" s="138">
        <f t="shared" si="54"/>
        <v>0.26790063974996542</v>
      </c>
      <c r="AE130" s="2072">
        <f t="shared" si="55"/>
        <v>0.66256478149207954</v>
      </c>
      <c r="AF130" s="576">
        <v>1220285</v>
      </c>
      <c r="AG130" s="576">
        <v>79198</v>
      </c>
      <c r="AH130" s="576">
        <v>311402</v>
      </c>
      <c r="AI130" s="576">
        <v>829685</v>
      </c>
      <c r="AJ130" s="138">
        <f t="shared" si="56"/>
        <v>6.4901232089225061E-2</v>
      </c>
      <c r="AK130" s="138">
        <f t="shared" si="57"/>
        <v>0.25518792741040003</v>
      </c>
      <c r="AL130" s="2072">
        <f t="shared" si="58"/>
        <v>0.67991084050037487</v>
      </c>
    </row>
    <row r="131" spans="1:38" x14ac:dyDescent="0.3">
      <c r="A131" s="116" t="s">
        <v>252</v>
      </c>
      <c r="B131" s="90"/>
      <c r="C131" s="117"/>
      <c r="D131" s="576">
        <v>467879</v>
      </c>
      <c r="E131" s="576">
        <v>68397</v>
      </c>
      <c r="F131" s="576">
        <v>127024</v>
      </c>
      <c r="G131" s="576">
        <v>272458</v>
      </c>
      <c r="H131" s="138">
        <f t="shared" si="44"/>
        <v>0.14618523165177322</v>
      </c>
      <c r="I131" s="138">
        <f t="shared" si="45"/>
        <v>0.27148899608659505</v>
      </c>
      <c r="J131" s="2072">
        <f t="shared" si="46"/>
        <v>0.41767422773836826</v>
      </c>
      <c r="K131" s="576">
        <v>468673</v>
      </c>
      <c r="L131" s="576">
        <v>69520</v>
      </c>
      <c r="M131" s="576">
        <v>135303</v>
      </c>
      <c r="N131" s="576">
        <v>263850</v>
      </c>
      <c r="O131" s="138">
        <f t="shared" si="47"/>
        <v>0.14833369961572354</v>
      </c>
      <c r="P131" s="138">
        <f t="shared" si="48"/>
        <v>0.28869382277195399</v>
      </c>
      <c r="Q131" s="2072">
        <f t="shared" si="49"/>
        <v>0.43702752238767756</v>
      </c>
      <c r="R131" s="576">
        <v>470782</v>
      </c>
      <c r="S131" s="576">
        <v>73021</v>
      </c>
      <c r="T131" s="576">
        <v>135002</v>
      </c>
      <c r="U131" s="576">
        <v>262759</v>
      </c>
      <c r="V131" s="138">
        <f t="shared" si="50"/>
        <v>0.15510576020323633</v>
      </c>
      <c r="W131" s="138">
        <f t="shared" si="51"/>
        <v>0.28676117608574669</v>
      </c>
      <c r="X131" s="2072">
        <f t="shared" si="52"/>
        <v>0.55813306371101701</v>
      </c>
      <c r="Y131" s="576">
        <v>471070</v>
      </c>
      <c r="Z131" s="576">
        <v>70100</v>
      </c>
      <c r="AA131" s="576">
        <v>151832</v>
      </c>
      <c r="AB131" s="576">
        <v>249138</v>
      </c>
      <c r="AC131" s="138">
        <f t="shared" si="53"/>
        <v>0.14881015560320121</v>
      </c>
      <c r="AD131" s="138">
        <f t="shared" si="54"/>
        <v>0.32231303203345574</v>
      </c>
      <c r="AE131" s="2072">
        <f t="shared" si="55"/>
        <v>0.52887681236334305</v>
      </c>
      <c r="AF131" s="576">
        <v>473079</v>
      </c>
      <c r="AG131" s="576">
        <v>67431</v>
      </c>
      <c r="AH131" s="576">
        <v>159844</v>
      </c>
      <c r="AI131" s="576">
        <v>245804</v>
      </c>
      <c r="AJ131" s="138">
        <f t="shared" si="56"/>
        <v>0.14253644740096263</v>
      </c>
      <c r="AK131" s="138">
        <f t="shared" si="57"/>
        <v>0.33788014264002419</v>
      </c>
      <c r="AL131" s="2072">
        <f t="shared" si="58"/>
        <v>0.5195834099590132</v>
      </c>
    </row>
    <row r="132" spans="1:38" x14ac:dyDescent="0.3">
      <c r="A132" s="116" t="s">
        <v>255</v>
      </c>
      <c r="B132" s="90"/>
      <c r="C132" s="117"/>
      <c r="D132" s="576">
        <v>237980</v>
      </c>
      <c r="E132" s="576">
        <v>46070</v>
      </c>
      <c r="F132" s="576">
        <v>66837</v>
      </c>
      <c r="G132" s="576">
        <v>125073</v>
      </c>
      <c r="H132" s="138">
        <f t="shared" si="44"/>
        <v>0.19358769644507942</v>
      </c>
      <c r="I132" s="138">
        <f t="shared" si="45"/>
        <v>0.28085133204470963</v>
      </c>
      <c r="J132" s="2072">
        <f t="shared" si="46"/>
        <v>0.47443902848978908</v>
      </c>
      <c r="K132" s="576">
        <v>238490</v>
      </c>
      <c r="L132" s="576">
        <v>48102</v>
      </c>
      <c r="M132" s="576">
        <v>69164</v>
      </c>
      <c r="N132" s="576">
        <v>121224</v>
      </c>
      <c r="O132" s="138">
        <f t="shared" si="47"/>
        <v>0.20169399136232127</v>
      </c>
      <c r="P132" s="138">
        <f t="shared" si="48"/>
        <v>0.29000796679106045</v>
      </c>
      <c r="Q132" s="2072">
        <f t="shared" si="49"/>
        <v>0.49170195815338169</v>
      </c>
      <c r="R132" s="576">
        <v>237300</v>
      </c>
      <c r="S132" s="576">
        <v>46806</v>
      </c>
      <c r="T132" s="576">
        <v>72571</v>
      </c>
      <c r="U132" s="576">
        <v>117923</v>
      </c>
      <c r="V132" s="138">
        <f t="shared" si="50"/>
        <v>0.19724399494310998</v>
      </c>
      <c r="W132" s="138">
        <f t="shared" si="51"/>
        <v>0.30581963758954911</v>
      </c>
      <c r="X132" s="2072">
        <f t="shared" si="52"/>
        <v>0.49693636746734093</v>
      </c>
      <c r="Y132" s="576">
        <v>236695</v>
      </c>
      <c r="Z132" s="576">
        <v>45569</v>
      </c>
      <c r="AA132" s="576">
        <v>68041</v>
      </c>
      <c r="AB132" s="576">
        <v>123085</v>
      </c>
      <c r="AC132" s="138">
        <f t="shared" si="53"/>
        <v>0.19252202201144933</v>
      </c>
      <c r="AD132" s="138">
        <f t="shared" si="54"/>
        <v>0.28746276854179431</v>
      </c>
      <c r="AE132" s="2072">
        <f t="shared" si="55"/>
        <v>0.52001520944675639</v>
      </c>
      <c r="AF132" s="576">
        <v>232031</v>
      </c>
      <c r="AG132" s="576">
        <v>44100</v>
      </c>
      <c r="AH132" s="576">
        <v>75163</v>
      </c>
      <c r="AI132" s="576">
        <v>112768</v>
      </c>
      <c r="AJ132" s="138">
        <f t="shared" si="56"/>
        <v>0.19006081083993087</v>
      </c>
      <c r="AK132" s="138">
        <f t="shared" si="57"/>
        <v>0.32393516383586674</v>
      </c>
      <c r="AL132" s="2072">
        <f t="shared" si="58"/>
        <v>0.48600402532420239</v>
      </c>
    </row>
    <row r="133" spans="1:38" x14ac:dyDescent="0.3">
      <c r="A133" s="116"/>
      <c r="B133" s="90"/>
      <c r="C133" s="117"/>
    </row>
    <row r="134" spans="1:38" x14ac:dyDescent="0.3">
      <c r="A134" s="772" t="s">
        <v>978</v>
      </c>
      <c r="B134"/>
      <c r="C134"/>
    </row>
    <row r="135" spans="1:38" x14ac:dyDescent="0.3">
      <c r="A135" s="81" t="s">
        <v>247</v>
      </c>
      <c r="B135" s="81"/>
      <c r="C135" s="81"/>
    </row>
    <row r="136" spans="1:38" x14ac:dyDescent="0.3">
      <c r="A136" s="87" t="s">
        <v>248</v>
      </c>
      <c r="B136" s="71" t="s">
        <v>249</v>
      </c>
      <c r="C136" s="81"/>
    </row>
  </sheetData>
  <mergeCells count="8">
    <mergeCell ref="Y4:AE4"/>
    <mergeCell ref="AF4:AL4"/>
    <mergeCell ref="A4:A5"/>
    <mergeCell ref="B4:B5"/>
    <mergeCell ref="C4:C5"/>
    <mergeCell ref="D4:J4"/>
    <mergeCell ref="K4:Q4"/>
    <mergeCell ref="R4:X4"/>
  </mergeCells>
  <hyperlinks>
    <hyperlink ref="B136"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N138"/>
  <sheetViews>
    <sheetView workbookViewId="0">
      <pane xSplit="3" ySplit="5" topLeftCell="D42" activePane="bottomRight" state="frozen"/>
      <selection pane="topRight" activeCell="D1" sqref="D1"/>
      <selection pane="bottomLeft" activeCell="A5" sqref="A5"/>
      <selection pane="bottomRight" activeCell="D127" sqref="D127:E131"/>
    </sheetView>
  </sheetViews>
  <sheetFormatPr defaultColWidth="9" defaultRowHeight="15.6" x14ac:dyDescent="0.3"/>
  <cols>
    <col min="1" max="1" width="9.796875" style="193" customWidth="1"/>
    <col min="2" max="2" width="32.5" style="193" customWidth="1"/>
    <col min="3" max="3" width="12.5" style="193" customWidth="1"/>
    <col min="4" max="5" width="15" style="193" customWidth="1"/>
    <col min="6" max="6" width="15.09765625" style="193" customWidth="1"/>
    <col min="7" max="8" width="15" style="193" customWidth="1"/>
    <col min="9" max="9" width="14" style="193" customWidth="1"/>
    <col min="10" max="11" width="15" style="193" customWidth="1"/>
    <col min="12" max="12" width="14.69921875" style="193" customWidth="1"/>
    <col min="13" max="14" width="15" style="193" customWidth="1"/>
    <col min="15" max="15" width="14.69921875" style="193" customWidth="1"/>
    <col min="16" max="17" width="15" style="193" customWidth="1"/>
    <col min="18" max="18" width="14.69921875" style="193" customWidth="1"/>
    <col min="19" max="20" width="15" style="193" customWidth="1"/>
    <col min="21" max="21" width="14.796875" style="193" customWidth="1"/>
    <col min="22" max="23" width="15" style="193" customWidth="1"/>
    <col min="24" max="24" width="15.796875" style="193" customWidth="1"/>
    <col min="25" max="26" width="15" style="193" customWidth="1"/>
    <col min="27" max="27" width="16.09765625" style="193" customWidth="1"/>
    <col min="28" max="29" width="15" style="193" customWidth="1"/>
    <col min="30" max="30" width="16.19921875" style="193" customWidth="1"/>
    <col min="31" max="32" width="15" style="193" customWidth="1"/>
    <col min="33" max="33" width="18" style="193" customWidth="1"/>
    <col min="34" max="35" width="15" style="193" customWidth="1"/>
    <col min="36" max="36" width="16.796875" style="193" customWidth="1"/>
    <col min="37" max="38" width="15" style="193" customWidth="1"/>
    <col min="39" max="39" width="17.296875" style="193" customWidth="1"/>
    <col min="40" max="40" width="14.09765625" style="193" customWidth="1"/>
    <col min="41" max="41" width="13.796875" style="193" customWidth="1"/>
    <col min="42" max="42" width="16.19921875" style="193" customWidth="1"/>
    <col min="43" max="44" width="14" style="193" customWidth="1"/>
    <col min="45" max="45" width="17.19921875" style="193" customWidth="1"/>
    <col min="46" max="46" width="10.796875" style="193" customWidth="1"/>
    <col min="47" max="47" width="12.59765625" style="193" customWidth="1"/>
    <col min="48" max="48" width="15.5" style="193" customWidth="1"/>
    <col min="49" max="50" width="12.59765625" style="193" customWidth="1"/>
    <col min="51" max="51" width="15.796875" style="193" customWidth="1"/>
    <col min="52" max="53" width="12.59765625" style="193" customWidth="1"/>
    <col min="54" max="54" width="15.09765625" style="193" customWidth="1"/>
    <col min="55" max="56" width="12.59765625" style="193" customWidth="1"/>
    <col min="57" max="57" width="15.09765625" style="193" customWidth="1"/>
    <col min="58" max="59" width="12.59765625" style="193" customWidth="1"/>
    <col min="60" max="60" width="15.09765625" style="193" customWidth="1"/>
    <col min="61" max="62" width="12.59765625" style="193" customWidth="1"/>
    <col min="63" max="63" width="15.09765625" style="193" customWidth="1"/>
    <col min="64" max="65" width="12.59765625" style="193" customWidth="1"/>
    <col min="66" max="66" width="15.09765625" style="193" customWidth="1"/>
    <col min="67" max="16384" width="9" style="193"/>
  </cols>
  <sheetData>
    <row r="1" spans="1:66" x14ac:dyDescent="0.3">
      <c r="A1" s="80" t="s">
        <v>1050</v>
      </c>
    </row>
    <row r="2" spans="1:66" x14ac:dyDescent="0.3">
      <c r="A2" s="80">
        <v>1</v>
      </c>
      <c r="B2" s="193">
        <v>2</v>
      </c>
      <c r="C2" s="193">
        <v>3</v>
      </c>
      <c r="D2" s="193">
        <v>4</v>
      </c>
      <c r="E2" s="193">
        <v>5</v>
      </c>
      <c r="F2" s="193">
        <v>6</v>
      </c>
      <c r="G2" s="193">
        <v>7</v>
      </c>
      <c r="H2" s="193">
        <v>8</v>
      </c>
      <c r="I2" s="193">
        <v>9</v>
      </c>
      <c r="J2" s="193">
        <v>10</v>
      </c>
      <c r="K2" s="193">
        <v>11</v>
      </c>
      <c r="L2" s="193">
        <v>12</v>
      </c>
      <c r="M2" s="193">
        <v>13</v>
      </c>
      <c r="N2" s="193">
        <v>14</v>
      </c>
      <c r="O2" s="193">
        <v>15</v>
      </c>
      <c r="P2" s="193">
        <v>16</v>
      </c>
      <c r="Q2" s="193">
        <v>17</v>
      </c>
      <c r="R2" s="193">
        <v>18</v>
      </c>
      <c r="S2" s="193">
        <v>19</v>
      </c>
      <c r="T2" s="193">
        <v>20</v>
      </c>
      <c r="U2" s="193">
        <v>21</v>
      </c>
      <c r="V2" s="193">
        <v>22</v>
      </c>
      <c r="W2" s="193">
        <v>23</v>
      </c>
      <c r="X2" s="193">
        <v>24</v>
      </c>
      <c r="Y2" s="193">
        <v>25</v>
      </c>
      <c r="Z2" s="193">
        <v>26</v>
      </c>
      <c r="AA2" s="193">
        <v>27</v>
      </c>
      <c r="AB2" s="193">
        <v>28</v>
      </c>
      <c r="AC2" s="193">
        <v>29</v>
      </c>
      <c r="AD2" s="193">
        <v>30</v>
      </c>
      <c r="AE2" s="193">
        <v>31</v>
      </c>
      <c r="AF2" s="193">
        <v>32</v>
      </c>
      <c r="AG2" s="193">
        <v>33</v>
      </c>
      <c r="AH2" s="193">
        <v>34</v>
      </c>
      <c r="AI2" s="193">
        <v>35</v>
      </c>
      <c r="AJ2" s="193">
        <v>36</v>
      </c>
      <c r="AK2" s="193">
        <v>37</v>
      </c>
      <c r="AL2" s="193">
        <v>38</v>
      </c>
      <c r="AM2" s="193">
        <v>39</v>
      </c>
      <c r="AN2" s="193">
        <v>40</v>
      </c>
      <c r="AO2" s="193">
        <v>41</v>
      </c>
      <c r="AP2" s="193">
        <v>42</v>
      </c>
      <c r="AQ2" s="193">
        <v>43</v>
      </c>
      <c r="AR2" s="193">
        <v>44</v>
      </c>
      <c r="AS2" s="193">
        <v>45</v>
      </c>
      <c r="AT2" s="193">
        <v>46</v>
      </c>
      <c r="AU2" s="193">
        <v>47</v>
      </c>
      <c r="AV2" s="193">
        <v>48</v>
      </c>
      <c r="AW2" s="193">
        <v>49</v>
      </c>
      <c r="AX2" s="193">
        <v>50</v>
      </c>
      <c r="AY2" s="193">
        <v>51</v>
      </c>
      <c r="AZ2" s="193">
        <v>52</v>
      </c>
      <c r="BA2" s="193">
        <v>53</v>
      </c>
      <c r="BB2" s="193">
        <v>54</v>
      </c>
      <c r="BC2" s="193">
        <v>55</v>
      </c>
      <c r="BD2" s="193">
        <v>56</v>
      </c>
      <c r="BE2" s="193">
        <v>57</v>
      </c>
      <c r="BF2" s="193">
        <v>58</v>
      </c>
      <c r="BG2" s="193">
        <v>59</v>
      </c>
      <c r="BH2" s="193">
        <v>60</v>
      </c>
      <c r="BI2" s="193">
        <v>61</v>
      </c>
      <c r="BJ2" s="193">
        <v>62</v>
      </c>
      <c r="BK2" s="193">
        <v>63</v>
      </c>
      <c r="BL2" s="193">
        <v>64</v>
      </c>
      <c r="BM2" s="193">
        <v>65</v>
      </c>
      <c r="BN2" s="193">
        <v>66</v>
      </c>
    </row>
    <row r="3" spans="1:66" x14ac:dyDescent="0.3">
      <c r="D3" s="2511">
        <v>2000</v>
      </c>
      <c r="E3" s="2510"/>
      <c r="F3" s="2512"/>
      <c r="G3" s="2511">
        <v>2001</v>
      </c>
      <c r="H3" s="2510"/>
      <c r="I3" s="2512"/>
      <c r="J3" s="2511">
        <v>2002</v>
      </c>
      <c r="K3" s="2510"/>
      <c r="L3" s="2512"/>
      <c r="M3" s="2511">
        <v>2003</v>
      </c>
      <c r="N3" s="2510"/>
      <c r="O3" s="2512"/>
      <c r="P3" s="2511">
        <v>2004</v>
      </c>
      <c r="Q3" s="2510"/>
      <c r="R3" s="2512"/>
      <c r="S3" s="2511">
        <v>2005</v>
      </c>
      <c r="T3" s="2510"/>
      <c r="U3" s="2512"/>
      <c r="V3" s="2511">
        <v>2006</v>
      </c>
      <c r="W3" s="2510"/>
      <c r="X3" s="2512"/>
      <c r="Y3" s="2511">
        <v>2007</v>
      </c>
      <c r="Z3" s="2510"/>
      <c r="AA3" s="2512"/>
      <c r="AB3" s="2511">
        <v>2008</v>
      </c>
      <c r="AC3" s="2510"/>
      <c r="AD3" s="2512"/>
      <c r="AE3" s="2511">
        <v>2009</v>
      </c>
      <c r="AF3" s="2510"/>
      <c r="AG3" s="2512"/>
      <c r="AH3" s="2511">
        <v>2010</v>
      </c>
      <c r="AI3" s="2510"/>
      <c r="AJ3" s="2512"/>
      <c r="AK3" s="2516">
        <v>2011</v>
      </c>
      <c r="AL3" s="2517"/>
      <c r="AM3" s="2518"/>
      <c r="AN3" s="2511">
        <v>2012</v>
      </c>
      <c r="AO3" s="2510"/>
      <c r="AP3" s="2512"/>
      <c r="AQ3" s="2511">
        <v>2013</v>
      </c>
      <c r="AR3" s="2510"/>
      <c r="AS3" s="2512"/>
      <c r="AT3" s="2513">
        <v>2014</v>
      </c>
      <c r="AU3" s="2514"/>
      <c r="AV3" s="2515"/>
      <c r="AW3" s="2513">
        <v>2015</v>
      </c>
      <c r="AX3" s="2514"/>
      <c r="AY3" s="2515"/>
      <c r="AZ3" s="2513">
        <v>2016</v>
      </c>
      <c r="BA3" s="2514"/>
      <c r="BB3" s="2515"/>
      <c r="BC3" s="2510">
        <v>2017</v>
      </c>
      <c r="BD3" s="2510"/>
      <c r="BE3" s="2510"/>
      <c r="BF3" s="2510">
        <v>2018</v>
      </c>
      <c r="BG3" s="2510"/>
      <c r="BH3" s="2510"/>
      <c r="BI3" s="2510">
        <v>2019</v>
      </c>
      <c r="BJ3" s="2510"/>
      <c r="BK3" s="2510"/>
      <c r="BL3" s="2510">
        <v>2020</v>
      </c>
      <c r="BM3" s="2510"/>
      <c r="BN3" s="2510"/>
    </row>
    <row r="4" spans="1:66" ht="33.75" customHeight="1" x14ac:dyDescent="0.3">
      <c r="A4" s="196" t="s">
        <v>4</v>
      </c>
      <c r="B4" s="271" t="s">
        <v>5</v>
      </c>
      <c r="C4" s="1660" t="s">
        <v>250</v>
      </c>
      <c r="D4" s="1670" t="s">
        <v>798</v>
      </c>
      <c r="E4" s="1671" t="s">
        <v>796</v>
      </c>
      <c r="F4" s="1672" t="s">
        <v>797</v>
      </c>
      <c r="G4" s="1670" t="s">
        <v>798</v>
      </c>
      <c r="H4" s="1671" t="s">
        <v>796</v>
      </c>
      <c r="I4" s="1672" t="s">
        <v>797</v>
      </c>
      <c r="J4" s="1670" t="s">
        <v>798</v>
      </c>
      <c r="K4" s="1671" t="s">
        <v>796</v>
      </c>
      <c r="L4" s="1672" t="s">
        <v>797</v>
      </c>
      <c r="M4" s="1670" t="s">
        <v>798</v>
      </c>
      <c r="N4" s="1671" t="s">
        <v>796</v>
      </c>
      <c r="O4" s="1672" t="s">
        <v>797</v>
      </c>
      <c r="P4" s="1670" t="s">
        <v>798</v>
      </c>
      <c r="Q4" s="1671" t="s">
        <v>796</v>
      </c>
      <c r="R4" s="1672" t="s">
        <v>797</v>
      </c>
      <c r="S4" s="1670" t="s">
        <v>798</v>
      </c>
      <c r="T4" s="1671" t="s">
        <v>796</v>
      </c>
      <c r="U4" s="1672" t="s">
        <v>797</v>
      </c>
      <c r="V4" s="1670" t="s">
        <v>798</v>
      </c>
      <c r="W4" s="1671" t="s">
        <v>796</v>
      </c>
      <c r="X4" s="1672" t="s">
        <v>797</v>
      </c>
      <c r="Y4" s="1670" t="s">
        <v>798</v>
      </c>
      <c r="Z4" s="1671" t="s">
        <v>796</v>
      </c>
      <c r="AA4" s="1672" t="s">
        <v>797</v>
      </c>
      <c r="AB4" s="1670" t="s">
        <v>798</v>
      </c>
      <c r="AC4" s="1671" t="s">
        <v>796</v>
      </c>
      <c r="AD4" s="1672" t="s">
        <v>797</v>
      </c>
      <c r="AE4" s="1670" t="s">
        <v>798</v>
      </c>
      <c r="AF4" s="1671" t="s">
        <v>796</v>
      </c>
      <c r="AG4" s="1672" t="s">
        <v>797</v>
      </c>
      <c r="AH4" s="1670" t="s">
        <v>798</v>
      </c>
      <c r="AI4" s="1671" t="s">
        <v>796</v>
      </c>
      <c r="AJ4" s="1672" t="s">
        <v>797</v>
      </c>
      <c r="AK4" s="1670" t="s">
        <v>798</v>
      </c>
      <c r="AL4" s="1671" t="s">
        <v>796</v>
      </c>
      <c r="AM4" s="1672" t="s">
        <v>797</v>
      </c>
      <c r="AN4" s="1670" t="s">
        <v>798</v>
      </c>
      <c r="AO4" s="1671" t="s">
        <v>796</v>
      </c>
      <c r="AP4" s="1672" t="s">
        <v>797</v>
      </c>
      <c r="AQ4" s="1670" t="s">
        <v>798</v>
      </c>
      <c r="AR4" s="1671" t="s">
        <v>796</v>
      </c>
      <c r="AS4" s="1672" t="s">
        <v>797</v>
      </c>
      <c r="AT4" s="1670" t="s">
        <v>798</v>
      </c>
      <c r="AU4" s="1671" t="s">
        <v>796</v>
      </c>
      <c r="AV4" s="1709" t="s">
        <v>797</v>
      </c>
      <c r="AW4" s="1670" t="s">
        <v>798</v>
      </c>
      <c r="AX4" s="1671" t="s">
        <v>796</v>
      </c>
      <c r="AY4" s="1709" t="s">
        <v>797</v>
      </c>
      <c r="AZ4" s="1670" t="s">
        <v>798</v>
      </c>
      <c r="BA4" s="1671" t="s">
        <v>796</v>
      </c>
      <c r="BB4" s="1709" t="s">
        <v>797</v>
      </c>
      <c r="BC4" s="1662" t="s">
        <v>798</v>
      </c>
      <c r="BD4" s="197" t="s">
        <v>796</v>
      </c>
      <c r="BE4" s="585" t="s">
        <v>797</v>
      </c>
      <c r="BF4" s="1662" t="s">
        <v>798</v>
      </c>
      <c r="BG4" s="197" t="s">
        <v>796</v>
      </c>
      <c r="BH4" s="585" t="s">
        <v>797</v>
      </c>
      <c r="BI4" s="1662" t="s">
        <v>798</v>
      </c>
      <c r="BJ4" s="197" t="s">
        <v>796</v>
      </c>
      <c r="BK4" s="585" t="s">
        <v>797</v>
      </c>
      <c r="BL4" s="1662" t="s">
        <v>798</v>
      </c>
      <c r="BM4" s="197" t="s">
        <v>796</v>
      </c>
      <c r="BN4" s="585" t="s">
        <v>797</v>
      </c>
    </row>
    <row r="5" spans="1:66" x14ac:dyDescent="0.3">
      <c r="A5" s="642" t="s">
        <v>7</v>
      </c>
      <c r="B5" s="643" t="s">
        <v>8</v>
      </c>
      <c r="C5" s="644"/>
      <c r="D5" s="1673">
        <v>3606390</v>
      </c>
      <c r="E5" s="1674">
        <v>81909</v>
      </c>
      <c r="F5" s="1666">
        <f t="shared" ref="F5" si="0">E5/D5</f>
        <v>2.2712185870080608E-2</v>
      </c>
      <c r="G5" s="1686">
        <v>3681107</v>
      </c>
      <c r="H5" s="1687">
        <v>121438</v>
      </c>
      <c r="I5" s="1663">
        <f t="shared" ref="I5" si="1">H5/G5</f>
        <v>3.2989532768267806E-2</v>
      </c>
      <c r="J5" s="1686">
        <v>3739499</v>
      </c>
      <c r="K5" s="1687">
        <v>162969</v>
      </c>
      <c r="L5" s="1696">
        <f t="shared" ref="L5" si="2">K5/J5</f>
        <v>4.3580436844614746E-2</v>
      </c>
      <c r="M5" s="1686">
        <v>3772549</v>
      </c>
      <c r="N5" s="1687">
        <v>163214</v>
      </c>
      <c r="O5" s="1696">
        <f t="shared" ref="O5" si="3">N5/M5</f>
        <v>4.3263586503448997E-2</v>
      </c>
      <c r="P5" s="1686">
        <v>3814529</v>
      </c>
      <c r="Q5" s="1687">
        <v>156108</v>
      </c>
      <c r="R5" s="1696">
        <f t="shared" ref="R5" si="4">Q5/P5</f>
        <v>4.0924580728053189E-2</v>
      </c>
      <c r="S5" s="1686">
        <v>3906549</v>
      </c>
      <c r="T5" s="1687">
        <v>149962</v>
      </c>
      <c r="U5" s="1696">
        <f t="shared" ref="U5" si="5">T5/S5</f>
        <v>3.8387333679930802E-2</v>
      </c>
      <c r="V5" s="1686">
        <v>3976503</v>
      </c>
      <c r="W5" s="1687">
        <v>132218</v>
      </c>
      <c r="X5" s="1696">
        <f t="shared" ref="X5" si="6">W5/V5</f>
        <v>3.3249817741870184E-2</v>
      </c>
      <c r="Y5" s="1686">
        <v>4039414</v>
      </c>
      <c r="Z5" s="1687">
        <v>132788</v>
      </c>
      <c r="AA5" s="1696">
        <f t="shared" ref="AA5" si="7">Z5/Y5</f>
        <v>3.2873085056396793E-2</v>
      </c>
      <c r="AB5" s="1686">
        <v>4128589</v>
      </c>
      <c r="AC5" s="1687">
        <v>175866</v>
      </c>
      <c r="AD5" s="1696">
        <f t="shared" ref="AD5" si="8">AC5/AB5</f>
        <v>4.2597119742362341E-2</v>
      </c>
      <c r="AE5" s="1686">
        <v>4136186</v>
      </c>
      <c r="AF5" s="1687">
        <v>282835</v>
      </c>
      <c r="AG5" s="1696">
        <f t="shared" ref="AG5" si="9">AF5/AE5</f>
        <v>6.8380628917558348E-2</v>
      </c>
      <c r="AH5" s="1686">
        <v>4163293</v>
      </c>
      <c r="AI5" s="1687">
        <v>304827</v>
      </c>
      <c r="AJ5" s="1696">
        <f t="shared" ref="AJ5" si="10">AI5/AH5</f>
        <v>7.3217762958312088E-2</v>
      </c>
      <c r="AK5" s="1686">
        <v>4205184</v>
      </c>
      <c r="AL5" s="1687">
        <v>276176</v>
      </c>
      <c r="AM5" s="1696">
        <f t="shared" ref="AM5" si="11">AL5/AK5</f>
        <v>6.5675128603171706E-2</v>
      </c>
      <c r="AN5" s="1703">
        <v>4217529</v>
      </c>
      <c r="AO5" s="1704">
        <v>250378</v>
      </c>
      <c r="AP5" s="1666">
        <f t="shared" ref="AP5" si="12">AO5/AN5</f>
        <v>5.9366041110802084E-2</v>
      </c>
      <c r="AQ5" s="1708">
        <v>4238377</v>
      </c>
      <c r="AR5" s="858">
        <v>236320</v>
      </c>
      <c r="AS5" s="1666">
        <f t="shared" ref="AS5" si="13">AR5/AQ5</f>
        <v>5.5757191962866916E-2</v>
      </c>
      <c r="AT5" s="1703">
        <v>4258856</v>
      </c>
      <c r="AU5" s="1710">
        <v>217948</v>
      </c>
      <c r="AV5" s="1696">
        <f t="shared" ref="AV5" si="14">AU5/AT5</f>
        <v>5.1175245183213522E-2</v>
      </c>
      <c r="AW5" s="1703">
        <v>4233981</v>
      </c>
      <c r="AX5" s="1710">
        <v>185900</v>
      </c>
      <c r="AY5" s="1696">
        <f t="shared" ref="AY5" si="15">AX5/AW5</f>
        <v>4.3906668452220264E-2</v>
      </c>
      <c r="AZ5" s="1703">
        <v>4254348</v>
      </c>
      <c r="BA5" s="1710">
        <v>169526</v>
      </c>
      <c r="BB5" s="1696">
        <f t="shared" ref="BB5" si="16">BA5/AZ5</f>
        <v>3.9847704043016699E-2</v>
      </c>
      <c r="BC5" s="1698">
        <v>4333556</v>
      </c>
      <c r="BD5" s="983">
        <v>159103</v>
      </c>
      <c r="BE5" s="979">
        <f t="shared" ref="BE5" si="17">BD5/BC5</f>
        <v>3.6714190378525163E-2</v>
      </c>
      <c r="BF5" s="1698">
        <v>4361378</v>
      </c>
      <c r="BG5" s="983">
        <v>128406</v>
      </c>
      <c r="BH5" s="979">
        <f t="shared" ref="BH5" si="18">BG5/BF5</f>
        <v>2.9441612261078953E-2</v>
      </c>
      <c r="BI5" s="1698">
        <v>4427338</v>
      </c>
      <c r="BJ5" s="983">
        <v>118716</v>
      </c>
      <c r="BK5" s="979">
        <f t="shared" ref="BK5:BK68" si="19">BJ5/BI5</f>
        <v>2.6814306926645312E-2</v>
      </c>
      <c r="BL5" s="1698">
        <v>4346644</v>
      </c>
      <c r="BM5" s="983">
        <v>271407</v>
      </c>
      <c r="BN5" s="979">
        <f t="shared" ref="BN5:BN68" si="20">BM5/BL5</f>
        <v>6.2440586346615916E-2</v>
      </c>
    </row>
    <row r="6" spans="1:66" ht="12.75" customHeight="1" x14ac:dyDescent="0.3">
      <c r="A6" s="198" t="s">
        <v>9</v>
      </c>
      <c r="B6" s="199" t="s">
        <v>10</v>
      </c>
      <c r="C6" s="85" t="s">
        <v>251</v>
      </c>
      <c r="D6" s="1675">
        <v>18126</v>
      </c>
      <c r="E6" s="1676">
        <v>543</v>
      </c>
      <c r="F6" s="1677">
        <f t="shared" ref="F6:F37" si="21">E6/D6</f>
        <v>2.995696789142668E-2</v>
      </c>
      <c r="G6" s="1688">
        <v>18346</v>
      </c>
      <c r="H6" s="1689">
        <v>620</v>
      </c>
      <c r="I6" s="1664">
        <f t="shared" ref="I6:I37" si="22">H6/G6</f>
        <v>3.3794832661070535E-2</v>
      </c>
      <c r="J6" s="1688">
        <v>19016</v>
      </c>
      <c r="K6" s="1689">
        <v>794</v>
      </c>
      <c r="L6" s="1695">
        <f t="shared" ref="L6:L37" si="23">K6/J6</f>
        <v>4.175431215818258E-2</v>
      </c>
      <c r="M6" s="1688">
        <v>19225</v>
      </c>
      <c r="N6" s="1689">
        <v>841</v>
      </c>
      <c r="O6" s="1695">
        <f t="shared" ref="O6:O37" si="24">N6/M6</f>
        <v>4.3745123537061122E-2</v>
      </c>
      <c r="P6" s="1688">
        <v>19062</v>
      </c>
      <c r="Q6" s="1689">
        <v>902</v>
      </c>
      <c r="R6" s="1695">
        <f t="shared" ref="R6:R37" si="25">Q6/P6</f>
        <v>4.7319273948169135E-2</v>
      </c>
      <c r="S6" s="1688">
        <v>18785</v>
      </c>
      <c r="T6" s="1689">
        <v>884</v>
      </c>
      <c r="U6" s="1695">
        <f t="shared" ref="U6:U37" si="26">T6/S6</f>
        <v>4.7058823529411764E-2</v>
      </c>
      <c r="V6" s="1688">
        <v>18569</v>
      </c>
      <c r="W6" s="1689">
        <v>795</v>
      </c>
      <c r="X6" s="1695">
        <f t="shared" ref="X6:X37" si="27">W6/V6</f>
        <v>4.2813290968819001E-2</v>
      </c>
      <c r="Y6" s="1688">
        <v>18780</v>
      </c>
      <c r="Z6" s="1689">
        <v>772</v>
      </c>
      <c r="AA6" s="1695">
        <f t="shared" ref="AA6:AA37" si="28">Z6/Y6</f>
        <v>4.1107561235356763E-2</v>
      </c>
      <c r="AB6" s="1688">
        <v>18991</v>
      </c>
      <c r="AC6" s="1689">
        <v>947</v>
      </c>
      <c r="AD6" s="1695">
        <f t="shared" ref="AD6:AD37" si="29">AC6/AB6</f>
        <v>4.9865725870149015E-2</v>
      </c>
      <c r="AE6" s="1688">
        <v>19704</v>
      </c>
      <c r="AF6" s="1689">
        <v>1279</v>
      </c>
      <c r="AG6" s="1695">
        <f t="shared" ref="AG6:AG37" si="30">AF6/AE6</f>
        <v>6.4910678034916763E-2</v>
      </c>
      <c r="AH6" s="1688">
        <v>16831</v>
      </c>
      <c r="AI6" s="1689">
        <v>1360</v>
      </c>
      <c r="AJ6" s="1695">
        <f t="shared" ref="AJ6:AJ37" si="31">AI6/AH6</f>
        <v>8.0803279662527483E-2</v>
      </c>
      <c r="AK6" s="1684">
        <v>16564</v>
      </c>
      <c r="AL6" s="1685">
        <v>1387</v>
      </c>
      <c r="AM6" s="1695">
        <f t="shared" ref="AM6:AM37" si="32">AL6/AK6</f>
        <v>8.3735812605650814E-2</v>
      </c>
      <c r="AN6" s="1705">
        <v>16388</v>
      </c>
      <c r="AO6" s="1706">
        <v>1265</v>
      </c>
      <c r="AP6" s="1667">
        <f t="shared" ref="AP6:AP37" si="33">AO6/AN6</f>
        <v>7.7190627288259706E-2</v>
      </c>
      <c r="AQ6" s="1705">
        <v>16226</v>
      </c>
      <c r="AR6" s="859">
        <v>1143</v>
      </c>
      <c r="AS6" s="1667">
        <f t="shared" ref="AS6:AS37" si="34">AR6/AQ6</f>
        <v>7.0442499691852581E-2</v>
      </c>
      <c r="AT6" s="1711">
        <v>16112</v>
      </c>
      <c r="AU6" s="1712">
        <v>1056</v>
      </c>
      <c r="AV6" s="1695">
        <f t="shared" ref="AV6:AV37" si="35">AU6/AT6</f>
        <v>6.5541211519364442E-2</v>
      </c>
      <c r="AW6" s="1705">
        <v>15938</v>
      </c>
      <c r="AX6" s="1715">
        <v>856</v>
      </c>
      <c r="AY6" s="1695">
        <f t="shared" ref="AY6:AY37" si="36">AX6/AW6</f>
        <v>5.3708118960973772E-2</v>
      </c>
      <c r="AZ6" s="1705">
        <v>15820</v>
      </c>
      <c r="BA6" s="1715">
        <v>760</v>
      </c>
      <c r="BB6" s="1695">
        <f t="shared" ref="BB6:BB37" si="37">BA6/AZ6</f>
        <v>4.804045512010114E-2</v>
      </c>
      <c r="BC6" s="1699">
        <v>16714</v>
      </c>
      <c r="BD6" s="984">
        <v>751</v>
      </c>
      <c r="BE6" s="980">
        <f t="shared" ref="BE6:BE37" si="38">BD6/BC6</f>
        <v>4.4932392006700968E-2</v>
      </c>
      <c r="BF6" s="1699">
        <v>16821</v>
      </c>
      <c r="BG6" s="984">
        <v>634</v>
      </c>
      <c r="BH6" s="980">
        <f t="shared" ref="BH6:BH37" si="39">BG6/BF6</f>
        <v>3.7690981511206229E-2</v>
      </c>
      <c r="BI6" s="1699">
        <v>16686</v>
      </c>
      <c r="BJ6" s="984">
        <v>570</v>
      </c>
      <c r="BK6" s="980">
        <f t="shared" si="19"/>
        <v>3.4160373966199212E-2</v>
      </c>
      <c r="BL6" s="1699">
        <v>16052</v>
      </c>
      <c r="BM6" s="984">
        <v>1041</v>
      </c>
      <c r="BN6" s="980">
        <f t="shared" si="20"/>
        <v>6.4851731871417892E-2</v>
      </c>
    </row>
    <row r="7" spans="1:66" ht="12.75" customHeight="1" x14ac:dyDescent="0.3">
      <c r="A7" s="198" t="s">
        <v>11</v>
      </c>
      <c r="B7" s="200" t="s">
        <v>12</v>
      </c>
      <c r="C7" s="85" t="s">
        <v>252</v>
      </c>
      <c r="D7" s="1675">
        <v>43562</v>
      </c>
      <c r="E7" s="1676">
        <v>752</v>
      </c>
      <c r="F7" s="1677">
        <f t="shared" si="21"/>
        <v>1.7262751939764013E-2</v>
      </c>
      <c r="G7" s="1688">
        <v>44165</v>
      </c>
      <c r="H7" s="1689">
        <v>958</v>
      </c>
      <c r="I7" s="1664">
        <f t="shared" si="22"/>
        <v>2.169138458055021E-2</v>
      </c>
      <c r="J7" s="1688">
        <v>44322</v>
      </c>
      <c r="K7" s="1689">
        <v>1394</v>
      </c>
      <c r="L7" s="1695">
        <f t="shared" si="23"/>
        <v>3.145164929380443E-2</v>
      </c>
      <c r="M7" s="1688">
        <v>44702</v>
      </c>
      <c r="N7" s="1689">
        <v>1523</v>
      </c>
      <c r="O7" s="1695">
        <f t="shared" si="24"/>
        <v>3.4070063979240305E-2</v>
      </c>
      <c r="P7" s="1688">
        <v>45638</v>
      </c>
      <c r="Q7" s="1689">
        <v>1437</v>
      </c>
      <c r="R7" s="1695">
        <f t="shared" si="25"/>
        <v>3.1486918795740393E-2</v>
      </c>
      <c r="S7" s="1688">
        <v>47414</v>
      </c>
      <c r="T7" s="1689">
        <v>1354</v>
      </c>
      <c r="U7" s="1695">
        <f t="shared" si="26"/>
        <v>2.8556966296874341E-2</v>
      </c>
      <c r="V7" s="1688">
        <v>49842</v>
      </c>
      <c r="W7" s="1689">
        <v>1223</v>
      </c>
      <c r="X7" s="1695">
        <f t="shared" si="27"/>
        <v>2.4537538622045663E-2</v>
      </c>
      <c r="Y7" s="1688">
        <v>51326</v>
      </c>
      <c r="Z7" s="1689">
        <v>1149</v>
      </c>
      <c r="AA7" s="1695">
        <f t="shared" si="28"/>
        <v>2.2386314928106613E-2</v>
      </c>
      <c r="AB7" s="1688">
        <v>52650</v>
      </c>
      <c r="AC7" s="1689">
        <v>1567</v>
      </c>
      <c r="AD7" s="1695">
        <f t="shared" si="29"/>
        <v>2.976258309591643E-2</v>
      </c>
      <c r="AE7" s="1688">
        <v>51932</v>
      </c>
      <c r="AF7" s="1689">
        <v>2663</v>
      </c>
      <c r="AG7" s="1695">
        <f t="shared" si="30"/>
        <v>5.1278595085881534E-2</v>
      </c>
      <c r="AH7" s="1688">
        <v>51043</v>
      </c>
      <c r="AI7" s="1689">
        <v>3131</v>
      </c>
      <c r="AJ7" s="1695">
        <f t="shared" si="31"/>
        <v>6.1340438453852633E-2</v>
      </c>
      <c r="AK7" s="1684">
        <v>52080</v>
      </c>
      <c r="AL7" s="1685">
        <v>2895</v>
      </c>
      <c r="AM7" s="1695">
        <f t="shared" si="32"/>
        <v>5.5587557603686638E-2</v>
      </c>
      <c r="AN7" s="1705">
        <v>52571</v>
      </c>
      <c r="AO7" s="1706">
        <v>2694</v>
      </c>
      <c r="AP7" s="1667">
        <f t="shared" si="33"/>
        <v>5.1244982975404689E-2</v>
      </c>
      <c r="AQ7" s="1705">
        <v>52554</v>
      </c>
      <c r="AR7" s="859">
        <v>2486</v>
      </c>
      <c r="AS7" s="1667">
        <f t="shared" si="34"/>
        <v>4.7303725691669518E-2</v>
      </c>
      <c r="AT7" s="1711">
        <v>53788</v>
      </c>
      <c r="AU7" s="1712">
        <v>2371</v>
      </c>
      <c r="AV7" s="1695">
        <f t="shared" si="35"/>
        <v>4.4080464044024686E-2</v>
      </c>
      <c r="AW7" s="1705">
        <v>54136</v>
      </c>
      <c r="AX7" s="1715">
        <v>2083</v>
      </c>
      <c r="AY7" s="1695">
        <f t="shared" si="36"/>
        <v>3.8477168612383629E-2</v>
      </c>
      <c r="AZ7" s="1705">
        <v>54534</v>
      </c>
      <c r="BA7" s="1715">
        <v>1903</v>
      </c>
      <c r="BB7" s="1695">
        <f t="shared" si="37"/>
        <v>3.4895661422232001E-2</v>
      </c>
      <c r="BC7" s="1699">
        <v>55627</v>
      </c>
      <c r="BD7" s="984">
        <v>1815</v>
      </c>
      <c r="BE7" s="980">
        <f t="shared" si="38"/>
        <v>3.2628040340122601E-2</v>
      </c>
      <c r="BF7" s="1699">
        <v>56470</v>
      </c>
      <c r="BG7" s="984">
        <v>1495</v>
      </c>
      <c r="BH7" s="980">
        <f t="shared" si="39"/>
        <v>2.6474234106605276E-2</v>
      </c>
      <c r="BI7" s="1699">
        <v>58320</v>
      </c>
      <c r="BJ7" s="984">
        <v>1381</v>
      </c>
      <c r="BK7" s="980">
        <f t="shared" si="19"/>
        <v>2.3679698216735254E-2</v>
      </c>
      <c r="BL7" s="1699">
        <v>55794</v>
      </c>
      <c r="BM7" s="984">
        <v>3002</v>
      </c>
      <c r="BN7" s="980">
        <f t="shared" si="20"/>
        <v>5.3805068645374057E-2</v>
      </c>
    </row>
    <row r="8" spans="1:66" ht="12.75" customHeight="1" x14ac:dyDescent="0.3">
      <c r="A8" s="198" t="s">
        <v>15</v>
      </c>
      <c r="B8" s="200" t="s">
        <v>16</v>
      </c>
      <c r="C8" s="85" t="s">
        <v>252</v>
      </c>
      <c r="D8" s="1678">
        <v>10633</v>
      </c>
      <c r="E8" s="1679">
        <v>352</v>
      </c>
      <c r="F8" s="1677">
        <f t="shared" si="21"/>
        <v>3.3104486034044957E-2</v>
      </c>
      <c r="G8" s="1690">
        <v>10776</v>
      </c>
      <c r="H8" s="1691">
        <v>470</v>
      </c>
      <c r="I8" s="1664">
        <f t="shared" si="22"/>
        <v>4.3615441722345952E-2</v>
      </c>
      <c r="J8" s="1690">
        <v>11092</v>
      </c>
      <c r="K8" s="1691">
        <v>618</v>
      </c>
      <c r="L8" s="1695">
        <f t="shared" si="23"/>
        <v>5.5715831229715108E-2</v>
      </c>
      <c r="M8" s="1690">
        <v>11048</v>
      </c>
      <c r="N8" s="1691">
        <v>539</v>
      </c>
      <c r="O8" s="1695">
        <f t="shared" si="24"/>
        <v>4.8787110789283127E-2</v>
      </c>
      <c r="P8" s="1690">
        <v>10323</v>
      </c>
      <c r="Q8" s="1691">
        <v>518</v>
      </c>
      <c r="R8" s="1695">
        <f t="shared" si="25"/>
        <v>5.0179211469534052E-2</v>
      </c>
      <c r="S8" s="1690">
        <v>10303</v>
      </c>
      <c r="T8" s="1691">
        <v>517</v>
      </c>
      <c r="U8" s="1695">
        <f t="shared" si="26"/>
        <v>5.0179559351645149E-2</v>
      </c>
      <c r="V8" s="1690">
        <v>10132</v>
      </c>
      <c r="W8" s="1691">
        <v>558</v>
      </c>
      <c r="X8" s="1695">
        <f t="shared" si="27"/>
        <v>5.5073035925779709E-2</v>
      </c>
      <c r="Y8" s="1690">
        <v>9683</v>
      </c>
      <c r="Z8" s="1691">
        <v>463</v>
      </c>
      <c r="AA8" s="1695">
        <f t="shared" si="28"/>
        <v>4.781575957864298E-2</v>
      </c>
      <c r="AB8" s="1690">
        <v>9557</v>
      </c>
      <c r="AC8" s="1691">
        <v>555</v>
      </c>
      <c r="AD8" s="1695">
        <f t="shared" si="29"/>
        <v>5.8072616929998953E-2</v>
      </c>
      <c r="AE8" s="1690">
        <v>9813</v>
      </c>
      <c r="AF8" s="1691">
        <v>920</v>
      </c>
      <c r="AG8" s="1695">
        <f t="shared" si="30"/>
        <v>9.3753184551105678E-2</v>
      </c>
      <c r="AH8" s="1690">
        <v>10658</v>
      </c>
      <c r="AI8" s="1691">
        <v>995</v>
      </c>
      <c r="AJ8" s="1695">
        <f t="shared" si="31"/>
        <v>9.3357102645899789E-2</v>
      </c>
      <c r="AK8" s="1684">
        <v>10551</v>
      </c>
      <c r="AL8" s="1685">
        <v>866</v>
      </c>
      <c r="AM8" s="1695">
        <f t="shared" si="32"/>
        <v>8.2077528196379493E-2</v>
      </c>
      <c r="AN8" s="1705">
        <v>10427</v>
      </c>
      <c r="AO8" s="1706">
        <v>772</v>
      </c>
      <c r="AP8" s="1667">
        <f t="shared" si="33"/>
        <v>7.4038553754675357E-2</v>
      </c>
      <c r="AQ8" s="1705">
        <v>10075</v>
      </c>
      <c r="AR8" s="859">
        <v>693</v>
      </c>
      <c r="AS8" s="1667">
        <f t="shared" si="34"/>
        <v>6.8784119106699751E-2</v>
      </c>
      <c r="AT8" s="1711">
        <v>9716</v>
      </c>
      <c r="AU8" s="1712">
        <v>616</v>
      </c>
      <c r="AV8" s="1695">
        <f t="shared" si="35"/>
        <v>6.3400576368876083E-2</v>
      </c>
      <c r="AW8" s="1705">
        <v>9502</v>
      </c>
      <c r="AX8" s="1715">
        <v>497</v>
      </c>
      <c r="AY8" s="1695">
        <f t="shared" si="36"/>
        <v>5.2304777941486004E-2</v>
      </c>
      <c r="AZ8" s="1705">
        <v>9326</v>
      </c>
      <c r="BA8" s="1715">
        <v>486</v>
      </c>
      <c r="BB8" s="1695">
        <f t="shared" si="37"/>
        <v>5.2112374008149262E-2</v>
      </c>
      <c r="BC8" s="1699">
        <v>9498</v>
      </c>
      <c r="BD8" s="984">
        <v>467</v>
      </c>
      <c r="BE8" s="980">
        <f t="shared" si="38"/>
        <v>4.9168245946515053E-2</v>
      </c>
      <c r="BF8" s="1699">
        <v>9372</v>
      </c>
      <c r="BG8" s="984">
        <v>366</v>
      </c>
      <c r="BH8" s="980">
        <f t="shared" si="39"/>
        <v>3.9052496798975669E-2</v>
      </c>
      <c r="BI8" s="1699">
        <v>9432</v>
      </c>
      <c r="BJ8" s="984">
        <v>322</v>
      </c>
      <c r="BK8" s="980">
        <f t="shared" si="19"/>
        <v>3.4139100932994063E-2</v>
      </c>
      <c r="BL8" s="1699">
        <v>9232</v>
      </c>
      <c r="BM8" s="984">
        <v>675</v>
      </c>
      <c r="BN8" s="980">
        <f t="shared" si="20"/>
        <v>7.3115251299826683E-2</v>
      </c>
    </row>
    <row r="9" spans="1:66" ht="12.75" customHeight="1" x14ac:dyDescent="0.3">
      <c r="A9" s="198" t="s">
        <v>17</v>
      </c>
      <c r="B9" s="200" t="s">
        <v>18</v>
      </c>
      <c r="C9" s="85" t="s">
        <v>253</v>
      </c>
      <c r="D9" s="1675">
        <v>5866</v>
      </c>
      <c r="E9" s="1676">
        <v>118</v>
      </c>
      <c r="F9" s="1677">
        <f t="shared" si="21"/>
        <v>2.0115922263893624E-2</v>
      </c>
      <c r="G9" s="1688">
        <v>5920</v>
      </c>
      <c r="H9" s="1689">
        <v>151</v>
      </c>
      <c r="I9" s="1664">
        <f t="shared" si="22"/>
        <v>2.5506756756756756E-2</v>
      </c>
      <c r="J9" s="1688">
        <v>5997</v>
      </c>
      <c r="K9" s="1689">
        <v>232</v>
      </c>
      <c r="L9" s="1695">
        <f t="shared" si="23"/>
        <v>3.8686009671502417E-2</v>
      </c>
      <c r="M9" s="1688">
        <v>5954</v>
      </c>
      <c r="N9" s="1689">
        <v>234</v>
      </c>
      <c r="O9" s="1695">
        <f t="shared" si="24"/>
        <v>3.9301310043668124E-2</v>
      </c>
      <c r="P9" s="1688">
        <v>6086</v>
      </c>
      <c r="Q9" s="1689">
        <v>221</v>
      </c>
      <c r="R9" s="1695">
        <f t="shared" si="25"/>
        <v>3.6312849162011177E-2</v>
      </c>
      <c r="S9" s="1688">
        <v>6317</v>
      </c>
      <c r="T9" s="1689">
        <v>219</v>
      </c>
      <c r="U9" s="1695">
        <f t="shared" si="26"/>
        <v>3.4668355231913882E-2</v>
      </c>
      <c r="V9" s="1688">
        <v>6481</v>
      </c>
      <c r="W9" s="1689">
        <v>197</v>
      </c>
      <c r="X9" s="1695">
        <f t="shared" si="27"/>
        <v>3.0396543743249498E-2</v>
      </c>
      <c r="Y9" s="1688">
        <v>6564</v>
      </c>
      <c r="Z9" s="1689">
        <v>181</v>
      </c>
      <c r="AA9" s="1695">
        <f t="shared" si="28"/>
        <v>2.7574649603900062E-2</v>
      </c>
      <c r="AB9" s="1688">
        <v>6762</v>
      </c>
      <c r="AC9" s="1689">
        <v>303</v>
      </c>
      <c r="AD9" s="1695">
        <f t="shared" si="29"/>
        <v>4.4809228039041707E-2</v>
      </c>
      <c r="AE9" s="1688">
        <v>6649</v>
      </c>
      <c r="AF9" s="1689">
        <v>515</v>
      </c>
      <c r="AG9" s="1695">
        <f t="shared" si="30"/>
        <v>7.745525642953828E-2</v>
      </c>
      <c r="AH9" s="1688">
        <v>6238</v>
      </c>
      <c r="AI9" s="1689">
        <v>541</v>
      </c>
      <c r="AJ9" s="1695">
        <f t="shared" si="31"/>
        <v>8.6726514908624555E-2</v>
      </c>
      <c r="AK9" s="1684">
        <v>6251</v>
      </c>
      <c r="AL9" s="1685">
        <v>466</v>
      </c>
      <c r="AM9" s="1695">
        <f t="shared" si="32"/>
        <v>7.4548072308430649E-2</v>
      </c>
      <c r="AN9" s="1705">
        <v>6208</v>
      </c>
      <c r="AO9" s="1706">
        <v>397</v>
      </c>
      <c r="AP9" s="1667">
        <f t="shared" si="33"/>
        <v>6.3949742268041232E-2</v>
      </c>
      <c r="AQ9" s="1705">
        <v>6173</v>
      </c>
      <c r="AR9" s="859">
        <v>357</v>
      </c>
      <c r="AS9" s="1667">
        <f t="shared" si="34"/>
        <v>5.783249635509477E-2</v>
      </c>
      <c r="AT9" s="1711">
        <v>6230</v>
      </c>
      <c r="AU9" s="1712">
        <v>322</v>
      </c>
      <c r="AV9" s="1695">
        <f t="shared" si="35"/>
        <v>5.1685393258426963E-2</v>
      </c>
      <c r="AW9" s="1705">
        <v>6215</v>
      </c>
      <c r="AX9" s="1715">
        <v>274</v>
      </c>
      <c r="AY9" s="1695">
        <f t="shared" si="36"/>
        <v>4.4086886564762673E-2</v>
      </c>
      <c r="AZ9" s="1705">
        <v>6207</v>
      </c>
      <c r="BA9" s="1715">
        <v>260</v>
      </c>
      <c r="BB9" s="1695">
        <f t="shared" si="37"/>
        <v>4.1888190752376347E-2</v>
      </c>
      <c r="BC9" s="1699">
        <v>6240</v>
      </c>
      <c r="BD9" s="984">
        <v>247</v>
      </c>
      <c r="BE9" s="980">
        <f t="shared" si="38"/>
        <v>3.9583333333333331E-2</v>
      </c>
      <c r="BF9" s="1699">
        <v>6236</v>
      </c>
      <c r="BG9" s="984">
        <v>202</v>
      </c>
      <c r="BH9" s="980">
        <f t="shared" si="39"/>
        <v>3.2392559332905711E-2</v>
      </c>
      <c r="BI9" s="1699">
        <v>6363</v>
      </c>
      <c r="BJ9" s="984">
        <v>192</v>
      </c>
      <c r="BK9" s="980">
        <f t="shared" si="19"/>
        <v>3.0174446016030174E-2</v>
      </c>
      <c r="BL9" s="1699">
        <v>6202</v>
      </c>
      <c r="BM9" s="984">
        <v>357</v>
      </c>
      <c r="BN9" s="980">
        <f t="shared" si="20"/>
        <v>5.7562076749435663E-2</v>
      </c>
    </row>
    <row r="10" spans="1:66" ht="12.75" customHeight="1" x14ac:dyDescent="0.3">
      <c r="A10" s="198" t="s">
        <v>19</v>
      </c>
      <c r="B10" s="200" t="s">
        <v>20</v>
      </c>
      <c r="C10" s="85" t="s">
        <v>252</v>
      </c>
      <c r="D10" s="1675">
        <v>15411</v>
      </c>
      <c r="E10" s="1676">
        <v>329</v>
      </c>
      <c r="F10" s="1677">
        <f t="shared" si="21"/>
        <v>2.1348387515411071E-2</v>
      </c>
      <c r="G10" s="1688">
        <v>15178</v>
      </c>
      <c r="H10" s="1689">
        <v>555</v>
      </c>
      <c r="I10" s="1664">
        <f t="shared" si="22"/>
        <v>3.6566082487811305E-2</v>
      </c>
      <c r="J10" s="1688">
        <v>15200</v>
      </c>
      <c r="K10" s="1689">
        <v>835</v>
      </c>
      <c r="L10" s="1695">
        <f t="shared" si="23"/>
        <v>5.4934210526315787E-2</v>
      </c>
      <c r="M10" s="1688">
        <v>15152</v>
      </c>
      <c r="N10" s="1689">
        <v>755</v>
      </c>
      <c r="O10" s="1695">
        <f t="shared" si="24"/>
        <v>4.982840549102429E-2</v>
      </c>
      <c r="P10" s="1688">
        <v>15033</v>
      </c>
      <c r="Q10" s="1689">
        <v>697</v>
      </c>
      <c r="R10" s="1695">
        <f t="shared" si="25"/>
        <v>4.636466440497572E-2</v>
      </c>
      <c r="S10" s="1688">
        <v>15320</v>
      </c>
      <c r="T10" s="1689">
        <v>635</v>
      </c>
      <c r="U10" s="1695">
        <f t="shared" si="26"/>
        <v>4.1449086161879894E-2</v>
      </c>
      <c r="V10" s="1688">
        <v>15529</v>
      </c>
      <c r="W10" s="1689">
        <v>506</v>
      </c>
      <c r="X10" s="1695">
        <f t="shared" si="27"/>
        <v>3.258419730826196E-2</v>
      </c>
      <c r="Y10" s="1688">
        <v>15528</v>
      </c>
      <c r="Z10" s="1689">
        <v>540</v>
      </c>
      <c r="AA10" s="1695">
        <f t="shared" si="28"/>
        <v>3.4775888717156103E-2</v>
      </c>
      <c r="AB10" s="1688">
        <v>16024</v>
      </c>
      <c r="AC10" s="1689">
        <v>660</v>
      </c>
      <c r="AD10" s="1695">
        <f t="shared" si="29"/>
        <v>4.1188217673489763E-2</v>
      </c>
      <c r="AE10" s="1688">
        <v>15627</v>
      </c>
      <c r="AF10" s="1689">
        <v>1210</v>
      </c>
      <c r="AG10" s="1695">
        <f t="shared" si="30"/>
        <v>7.7430088948614584E-2</v>
      </c>
      <c r="AH10" s="1688">
        <v>16372</v>
      </c>
      <c r="AI10" s="1689">
        <v>1350</v>
      </c>
      <c r="AJ10" s="1695">
        <f t="shared" si="31"/>
        <v>8.2457854874175424E-2</v>
      </c>
      <c r="AK10" s="1684">
        <v>16153</v>
      </c>
      <c r="AL10" s="1685">
        <v>1170</v>
      </c>
      <c r="AM10" s="1695">
        <f t="shared" si="32"/>
        <v>7.2432365504859778E-2</v>
      </c>
      <c r="AN10" s="1705">
        <v>16043</v>
      </c>
      <c r="AO10" s="1706">
        <v>1053</v>
      </c>
      <c r="AP10" s="1667">
        <f t="shared" si="33"/>
        <v>6.5636102973259364E-2</v>
      </c>
      <c r="AQ10" s="1705">
        <v>15801</v>
      </c>
      <c r="AR10" s="859">
        <v>945</v>
      </c>
      <c r="AS10" s="1667">
        <f t="shared" si="34"/>
        <v>5.9806341370799314E-2</v>
      </c>
      <c r="AT10" s="1711">
        <v>15682</v>
      </c>
      <c r="AU10" s="1712">
        <v>835</v>
      </c>
      <c r="AV10" s="1695">
        <f t="shared" si="35"/>
        <v>5.324575946945543E-2</v>
      </c>
      <c r="AW10" s="1705">
        <v>15340</v>
      </c>
      <c r="AX10" s="1715">
        <v>722</v>
      </c>
      <c r="AY10" s="1695">
        <f t="shared" si="36"/>
        <v>4.7066492829204692E-2</v>
      </c>
      <c r="AZ10" s="1705">
        <v>15010</v>
      </c>
      <c r="BA10" s="1715">
        <v>646</v>
      </c>
      <c r="BB10" s="1695">
        <f t="shared" si="37"/>
        <v>4.3037974683544304E-2</v>
      </c>
      <c r="BC10" s="1699">
        <v>15080</v>
      </c>
      <c r="BD10" s="984">
        <v>612</v>
      </c>
      <c r="BE10" s="980">
        <f t="shared" si="38"/>
        <v>4.0583554376657824E-2</v>
      </c>
      <c r="BF10" s="1699">
        <v>15012</v>
      </c>
      <c r="BG10" s="984">
        <v>488</v>
      </c>
      <c r="BH10" s="980">
        <f t="shared" si="39"/>
        <v>3.2507327471356248E-2</v>
      </c>
      <c r="BI10" s="1699">
        <v>15153</v>
      </c>
      <c r="BJ10" s="984">
        <v>463</v>
      </c>
      <c r="BK10" s="980">
        <f t="shared" si="19"/>
        <v>3.0555005609450275E-2</v>
      </c>
      <c r="BL10" s="1699">
        <v>14695</v>
      </c>
      <c r="BM10" s="984">
        <v>823</v>
      </c>
      <c r="BN10" s="980">
        <f t="shared" si="20"/>
        <v>5.6005444028581153E-2</v>
      </c>
    </row>
    <row r="11" spans="1:66" ht="12.75" customHeight="1" x14ac:dyDescent="0.3">
      <c r="A11" s="198" t="s">
        <v>21</v>
      </c>
      <c r="B11" s="200" t="s">
        <v>22</v>
      </c>
      <c r="C11" s="85" t="s">
        <v>252</v>
      </c>
      <c r="D11" s="1675">
        <v>6767</v>
      </c>
      <c r="E11" s="1676">
        <v>168</v>
      </c>
      <c r="F11" s="1677">
        <f t="shared" si="21"/>
        <v>2.4826363233338259E-2</v>
      </c>
      <c r="G11" s="1688">
        <v>6730</v>
      </c>
      <c r="H11" s="1689">
        <v>292</v>
      </c>
      <c r="I11" s="1664">
        <f t="shared" si="22"/>
        <v>4.338781575037147E-2</v>
      </c>
      <c r="J11" s="1688">
        <v>6707</v>
      </c>
      <c r="K11" s="1689">
        <v>383</v>
      </c>
      <c r="L11" s="1695">
        <f t="shared" si="23"/>
        <v>5.7104517668107944E-2</v>
      </c>
      <c r="M11" s="1688">
        <v>6691</v>
      </c>
      <c r="N11" s="1689">
        <v>374</v>
      </c>
      <c r="O11" s="1695">
        <f t="shared" si="24"/>
        <v>5.589597967418921E-2</v>
      </c>
      <c r="P11" s="1688">
        <v>6686</v>
      </c>
      <c r="Q11" s="1689">
        <v>309</v>
      </c>
      <c r="R11" s="1695">
        <f t="shared" si="25"/>
        <v>4.6215973676338618E-2</v>
      </c>
      <c r="S11" s="1688">
        <v>6824</v>
      </c>
      <c r="T11" s="1689">
        <v>324</v>
      </c>
      <c r="U11" s="1695">
        <f t="shared" si="26"/>
        <v>4.7479484173505275E-2</v>
      </c>
      <c r="V11" s="1688">
        <v>6961</v>
      </c>
      <c r="W11" s="1689">
        <v>257</v>
      </c>
      <c r="X11" s="1695">
        <f t="shared" si="27"/>
        <v>3.6919982761097543E-2</v>
      </c>
      <c r="Y11" s="1688">
        <v>6997</v>
      </c>
      <c r="Z11" s="1689">
        <v>272</v>
      </c>
      <c r="AA11" s="1695">
        <f t="shared" si="28"/>
        <v>3.8873803058453622E-2</v>
      </c>
      <c r="AB11" s="1688">
        <v>7297</v>
      </c>
      <c r="AC11" s="1689">
        <v>325</v>
      </c>
      <c r="AD11" s="1695">
        <f t="shared" si="29"/>
        <v>4.4538851582842265E-2</v>
      </c>
      <c r="AE11" s="1688">
        <v>7141</v>
      </c>
      <c r="AF11" s="1689">
        <v>564</v>
      </c>
      <c r="AG11" s="1695">
        <f t="shared" si="30"/>
        <v>7.8980534939084163E-2</v>
      </c>
      <c r="AH11" s="1688">
        <v>7354</v>
      </c>
      <c r="AI11" s="1689">
        <v>647</v>
      </c>
      <c r="AJ11" s="1695">
        <f t="shared" si="31"/>
        <v>8.7979330976339407E-2</v>
      </c>
      <c r="AK11" s="1684">
        <v>7250</v>
      </c>
      <c r="AL11" s="1685">
        <v>575</v>
      </c>
      <c r="AM11" s="1695">
        <f t="shared" si="32"/>
        <v>7.9310344827586213E-2</v>
      </c>
      <c r="AN11" s="1705">
        <v>7211</v>
      </c>
      <c r="AO11" s="1706">
        <v>527</v>
      </c>
      <c r="AP11" s="1667">
        <f t="shared" si="33"/>
        <v>7.3082790181666898E-2</v>
      </c>
      <c r="AQ11" s="1705">
        <v>7158</v>
      </c>
      <c r="AR11" s="859">
        <v>451</v>
      </c>
      <c r="AS11" s="1667">
        <f t="shared" si="34"/>
        <v>6.3006426376082711E-2</v>
      </c>
      <c r="AT11" s="1711">
        <v>7139</v>
      </c>
      <c r="AU11" s="1712">
        <v>400</v>
      </c>
      <c r="AV11" s="1695">
        <f t="shared" si="35"/>
        <v>5.6030256338422749E-2</v>
      </c>
      <c r="AW11" s="1705">
        <v>7066</v>
      </c>
      <c r="AX11" s="1715">
        <v>341</v>
      </c>
      <c r="AY11" s="1695">
        <f t="shared" si="36"/>
        <v>4.8259269742428529E-2</v>
      </c>
      <c r="AZ11" s="1705">
        <v>7006</v>
      </c>
      <c r="BA11" s="1715">
        <v>322</v>
      </c>
      <c r="BB11" s="1695">
        <f t="shared" si="37"/>
        <v>4.5960605195546678E-2</v>
      </c>
      <c r="BC11" s="1699">
        <v>7118</v>
      </c>
      <c r="BD11" s="984">
        <v>307</v>
      </c>
      <c r="BE11" s="980">
        <f t="shared" si="38"/>
        <v>4.3130092722674908E-2</v>
      </c>
      <c r="BF11" s="1699">
        <v>7151</v>
      </c>
      <c r="BG11" s="984">
        <v>258</v>
      </c>
      <c r="BH11" s="980">
        <f t="shared" si="39"/>
        <v>3.6078870088099568E-2</v>
      </c>
      <c r="BI11" s="1699">
        <v>7263</v>
      </c>
      <c r="BJ11" s="984">
        <v>242</v>
      </c>
      <c r="BK11" s="980">
        <f t="shared" si="19"/>
        <v>3.3319564918077929E-2</v>
      </c>
      <c r="BL11" s="1699">
        <v>7046</v>
      </c>
      <c r="BM11" s="984">
        <v>410</v>
      </c>
      <c r="BN11" s="980">
        <f t="shared" si="20"/>
        <v>5.8189043428895824E-2</v>
      </c>
    </row>
    <row r="12" spans="1:66" ht="12.75" customHeight="1" x14ac:dyDescent="0.3">
      <c r="A12" s="198" t="s">
        <v>23</v>
      </c>
      <c r="B12" s="200" t="s">
        <v>24</v>
      </c>
      <c r="C12" s="85" t="s">
        <v>254</v>
      </c>
      <c r="D12" s="1675">
        <v>119330</v>
      </c>
      <c r="E12" s="1676">
        <v>1882</v>
      </c>
      <c r="F12" s="1677">
        <f t="shared" si="21"/>
        <v>1.5771390262297829E-2</v>
      </c>
      <c r="G12" s="1688">
        <v>119188</v>
      </c>
      <c r="H12" s="1689">
        <v>2880</v>
      </c>
      <c r="I12" s="1664">
        <f t="shared" si="22"/>
        <v>2.4163506393261067E-2</v>
      </c>
      <c r="J12" s="1688">
        <v>121119</v>
      </c>
      <c r="K12" s="1689">
        <v>3624</v>
      </c>
      <c r="L12" s="1695">
        <f t="shared" si="23"/>
        <v>2.9920986798107646E-2</v>
      </c>
      <c r="M12" s="1688">
        <v>120433</v>
      </c>
      <c r="N12" s="1689">
        <v>3237</v>
      </c>
      <c r="O12" s="1695">
        <f t="shared" si="24"/>
        <v>2.6878015161957272E-2</v>
      </c>
      <c r="P12" s="1688">
        <v>121992</v>
      </c>
      <c r="Q12" s="1689">
        <v>3025</v>
      </c>
      <c r="R12" s="1695">
        <f t="shared" si="25"/>
        <v>2.4796707980851204E-2</v>
      </c>
      <c r="S12" s="1688">
        <v>123328</v>
      </c>
      <c r="T12" s="1689">
        <v>2886</v>
      </c>
      <c r="U12" s="1695">
        <f t="shared" si="26"/>
        <v>2.3401011935651271E-2</v>
      </c>
      <c r="V12" s="1688">
        <v>127332</v>
      </c>
      <c r="W12" s="1689">
        <v>2528</v>
      </c>
      <c r="X12" s="1695">
        <f t="shared" si="27"/>
        <v>1.9853611032576258E-2</v>
      </c>
      <c r="Y12" s="1688">
        <v>131366</v>
      </c>
      <c r="Z12" s="1689">
        <v>2527</v>
      </c>
      <c r="AA12" s="1695">
        <f t="shared" si="28"/>
        <v>1.923633207983801E-2</v>
      </c>
      <c r="AB12" s="1688">
        <v>136705</v>
      </c>
      <c r="AC12" s="1689">
        <v>3356</v>
      </c>
      <c r="AD12" s="1695">
        <f t="shared" si="29"/>
        <v>2.4549211806444534E-2</v>
      </c>
      <c r="AE12" s="1688">
        <v>137201</v>
      </c>
      <c r="AF12" s="1689">
        <v>5844</v>
      </c>
      <c r="AG12" s="1695">
        <f t="shared" si="30"/>
        <v>4.259444173147426E-2</v>
      </c>
      <c r="AH12" s="1688">
        <v>137453</v>
      </c>
      <c r="AI12" s="1689">
        <v>5818</v>
      </c>
      <c r="AJ12" s="1695">
        <f t="shared" si="31"/>
        <v>4.2327195477726932E-2</v>
      </c>
      <c r="AK12" s="1684">
        <v>141644</v>
      </c>
      <c r="AL12" s="1685">
        <v>5310</v>
      </c>
      <c r="AM12" s="1695">
        <f t="shared" si="32"/>
        <v>3.7488351077348846E-2</v>
      </c>
      <c r="AN12" s="1705">
        <v>143875</v>
      </c>
      <c r="AO12" s="1706">
        <v>4893</v>
      </c>
      <c r="AP12" s="1667">
        <f t="shared" si="33"/>
        <v>3.4008688097306693E-2</v>
      </c>
      <c r="AQ12" s="1705">
        <v>145169</v>
      </c>
      <c r="AR12" s="859">
        <v>4894</v>
      </c>
      <c r="AS12" s="1667">
        <f t="shared" si="34"/>
        <v>3.3712431717515451E-2</v>
      </c>
      <c r="AT12" s="1711">
        <v>145098</v>
      </c>
      <c r="AU12" s="1712">
        <v>4661</v>
      </c>
      <c r="AV12" s="1695">
        <f t="shared" si="35"/>
        <v>3.2123116790031568E-2</v>
      </c>
      <c r="AW12" s="1705">
        <v>144902</v>
      </c>
      <c r="AX12" s="1715">
        <v>4022</v>
      </c>
      <c r="AY12" s="1695">
        <f t="shared" si="36"/>
        <v>2.7756690728906432E-2</v>
      </c>
      <c r="AZ12" s="1705">
        <v>146628</v>
      </c>
      <c r="BA12" s="1715">
        <v>3771</v>
      </c>
      <c r="BB12" s="1695">
        <f t="shared" si="37"/>
        <v>2.5718143874294132E-2</v>
      </c>
      <c r="BC12" s="1699">
        <v>150686</v>
      </c>
      <c r="BD12" s="984">
        <v>3713</v>
      </c>
      <c r="BE12" s="980">
        <f t="shared" si="38"/>
        <v>2.4640643457255484E-2</v>
      </c>
      <c r="BF12" s="1699">
        <v>152972</v>
      </c>
      <c r="BG12" s="984">
        <v>3031</v>
      </c>
      <c r="BH12" s="980">
        <f t="shared" si="39"/>
        <v>1.9814083623146718E-2</v>
      </c>
      <c r="BI12" s="1699">
        <v>155298</v>
      </c>
      <c r="BJ12" s="984">
        <v>2854</v>
      </c>
      <c r="BK12" s="980">
        <f t="shared" si="19"/>
        <v>1.837757086375871E-2</v>
      </c>
      <c r="BL12" s="1699">
        <v>151080</v>
      </c>
      <c r="BM12" s="984">
        <v>6773</v>
      </c>
      <c r="BN12" s="980">
        <f t="shared" si="20"/>
        <v>4.4830553349218955E-2</v>
      </c>
    </row>
    <row r="13" spans="1:66" ht="12.75" customHeight="1" x14ac:dyDescent="0.3">
      <c r="A13" s="198" t="s">
        <v>25</v>
      </c>
      <c r="B13" s="836" t="s">
        <v>444</v>
      </c>
      <c r="C13" s="1661" t="s">
        <v>252</v>
      </c>
      <c r="D13" s="1678">
        <v>55390</v>
      </c>
      <c r="E13" s="1679">
        <v>1166</v>
      </c>
      <c r="F13" s="1677">
        <f t="shared" si="21"/>
        <v>2.1050731178913162E-2</v>
      </c>
      <c r="G13" s="1690">
        <v>56156</v>
      </c>
      <c r="H13" s="1691">
        <v>1666</v>
      </c>
      <c r="I13" s="1664">
        <f t="shared" si="22"/>
        <v>2.9667355224731105E-2</v>
      </c>
      <c r="J13" s="1690">
        <v>56829</v>
      </c>
      <c r="K13" s="1691">
        <v>2160</v>
      </c>
      <c r="L13" s="1695">
        <f t="shared" si="23"/>
        <v>3.8008763131499763E-2</v>
      </c>
      <c r="M13" s="1690">
        <v>56952</v>
      </c>
      <c r="N13" s="1691">
        <v>2112</v>
      </c>
      <c r="O13" s="1695">
        <f t="shared" si="24"/>
        <v>3.7083860092709649E-2</v>
      </c>
      <c r="P13" s="1690">
        <v>55812</v>
      </c>
      <c r="Q13" s="1691">
        <v>1864</v>
      </c>
      <c r="R13" s="1695">
        <f t="shared" si="25"/>
        <v>3.3397835590912348E-2</v>
      </c>
      <c r="S13" s="1690">
        <v>57325</v>
      </c>
      <c r="T13" s="1691">
        <v>1863</v>
      </c>
      <c r="U13" s="1695">
        <f t="shared" si="26"/>
        <v>3.2498909725250762E-2</v>
      </c>
      <c r="V13" s="1690">
        <v>57956</v>
      </c>
      <c r="W13" s="1691">
        <v>1644</v>
      </c>
      <c r="X13" s="1695">
        <f t="shared" si="27"/>
        <v>2.8366346883842916E-2</v>
      </c>
      <c r="Y13" s="1690">
        <v>58882</v>
      </c>
      <c r="Z13" s="1691">
        <v>1685</v>
      </c>
      <c r="AA13" s="1695">
        <f t="shared" si="28"/>
        <v>2.8616555144186678E-2</v>
      </c>
      <c r="AB13" s="1690">
        <v>60187</v>
      </c>
      <c r="AC13" s="1691">
        <v>2389</v>
      </c>
      <c r="AD13" s="1695">
        <f t="shared" si="29"/>
        <v>3.9692956950836557E-2</v>
      </c>
      <c r="AE13" s="1690">
        <v>61025</v>
      </c>
      <c r="AF13" s="1691">
        <v>4246</v>
      </c>
      <c r="AG13" s="1695">
        <f t="shared" si="30"/>
        <v>6.9578041786153219E-2</v>
      </c>
      <c r="AH13" s="1690">
        <v>59237</v>
      </c>
      <c r="AI13" s="1691">
        <v>4608</v>
      </c>
      <c r="AJ13" s="1695">
        <f t="shared" si="31"/>
        <v>7.7789219575603086E-2</v>
      </c>
      <c r="AK13" s="1684">
        <v>59521</v>
      </c>
      <c r="AL13" s="1685">
        <v>4028</v>
      </c>
      <c r="AM13" s="1695">
        <f t="shared" si="32"/>
        <v>6.7673594193645936E-2</v>
      </c>
      <c r="AN13" s="1705">
        <v>58821</v>
      </c>
      <c r="AO13" s="1706">
        <v>3534</v>
      </c>
      <c r="AP13" s="1667">
        <f t="shared" si="33"/>
        <v>6.0080583465089002E-2</v>
      </c>
      <c r="AQ13" s="1705">
        <v>58892</v>
      </c>
      <c r="AR13" s="859">
        <v>3153</v>
      </c>
      <c r="AS13" s="1667">
        <f t="shared" si="34"/>
        <v>5.3538680975344699E-2</v>
      </c>
      <c r="AT13" s="1711">
        <v>59164</v>
      </c>
      <c r="AU13" s="1712">
        <v>2843</v>
      </c>
      <c r="AV13" s="1695">
        <f t="shared" si="35"/>
        <v>4.8052869988506525E-2</v>
      </c>
      <c r="AW13" s="1705">
        <v>58698</v>
      </c>
      <c r="AX13" s="1715">
        <v>2470</v>
      </c>
      <c r="AY13" s="1695">
        <f t="shared" si="36"/>
        <v>4.20797982895499E-2</v>
      </c>
      <c r="AZ13" s="1705">
        <v>58911</v>
      </c>
      <c r="BA13" s="1715">
        <v>2199</v>
      </c>
      <c r="BB13" s="1695">
        <f t="shared" si="37"/>
        <v>3.7327494016397615E-2</v>
      </c>
      <c r="BC13" s="1699">
        <v>59302</v>
      </c>
      <c r="BD13" s="984">
        <v>2083</v>
      </c>
      <c r="BE13" s="980">
        <f t="shared" si="38"/>
        <v>3.5125290883949951E-2</v>
      </c>
      <c r="BF13" s="1699">
        <v>59611</v>
      </c>
      <c r="BG13" s="984">
        <v>1668</v>
      </c>
      <c r="BH13" s="980">
        <f t="shared" si="39"/>
        <v>2.7981412826491754E-2</v>
      </c>
      <c r="BI13" s="1699">
        <v>60845</v>
      </c>
      <c r="BJ13" s="984">
        <v>1503</v>
      </c>
      <c r="BK13" s="980">
        <f t="shared" si="19"/>
        <v>2.4702111923740652E-2</v>
      </c>
      <c r="BL13" s="1699">
        <v>59993</v>
      </c>
      <c r="BM13" s="984">
        <v>3167</v>
      </c>
      <c r="BN13" s="980">
        <f t="shared" si="20"/>
        <v>5.2789492107412531E-2</v>
      </c>
    </row>
    <row r="14" spans="1:66" ht="12.75" customHeight="1" x14ac:dyDescent="0.3">
      <c r="A14" s="198" t="s">
        <v>26</v>
      </c>
      <c r="B14" s="200" t="s">
        <v>27</v>
      </c>
      <c r="C14" s="85" t="s">
        <v>252</v>
      </c>
      <c r="D14" s="1675">
        <v>2738</v>
      </c>
      <c r="E14" s="1676">
        <v>74</v>
      </c>
      <c r="F14" s="1677">
        <f t="shared" si="21"/>
        <v>2.7027027027027029E-2</v>
      </c>
      <c r="G14" s="1688">
        <v>2716</v>
      </c>
      <c r="H14" s="1689">
        <v>102</v>
      </c>
      <c r="I14" s="1664">
        <f t="shared" si="22"/>
        <v>3.755522827687776E-2</v>
      </c>
      <c r="J14" s="1688">
        <v>2803</v>
      </c>
      <c r="K14" s="1689">
        <v>124</v>
      </c>
      <c r="L14" s="1695">
        <f t="shared" si="23"/>
        <v>4.4238316089903675E-2</v>
      </c>
      <c r="M14" s="1688">
        <v>2870</v>
      </c>
      <c r="N14" s="1689">
        <v>132</v>
      </c>
      <c r="O14" s="1695">
        <f t="shared" si="24"/>
        <v>4.5993031358885016E-2</v>
      </c>
      <c r="P14" s="1688">
        <v>2797</v>
      </c>
      <c r="Q14" s="1689">
        <v>103</v>
      </c>
      <c r="R14" s="1695">
        <f t="shared" si="25"/>
        <v>3.68251698248123E-2</v>
      </c>
      <c r="S14" s="1688">
        <v>2927</v>
      </c>
      <c r="T14" s="1689">
        <v>105</v>
      </c>
      <c r="U14" s="1695">
        <f t="shared" si="26"/>
        <v>3.5872907413734202E-2</v>
      </c>
      <c r="V14" s="1688">
        <v>2893</v>
      </c>
      <c r="W14" s="1689">
        <v>95</v>
      </c>
      <c r="X14" s="1695">
        <f t="shared" si="27"/>
        <v>3.2837884548911164E-2</v>
      </c>
      <c r="Y14" s="1688">
        <v>2930</v>
      </c>
      <c r="Z14" s="1689">
        <v>93</v>
      </c>
      <c r="AA14" s="1695">
        <f t="shared" si="28"/>
        <v>3.1740614334470993E-2</v>
      </c>
      <c r="AB14" s="1688">
        <v>2798</v>
      </c>
      <c r="AC14" s="1689">
        <v>114</v>
      </c>
      <c r="AD14" s="1695">
        <f t="shared" si="29"/>
        <v>4.0743388134381699E-2</v>
      </c>
      <c r="AE14" s="1688">
        <v>2690</v>
      </c>
      <c r="AF14" s="1689">
        <v>167</v>
      </c>
      <c r="AG14" s="1695">
        <f t="shared" si="30"/>
        <v>6.20817843866171E-2</v>
      </c>
      <c r="AH14" s="1688">
        <v>2513</v>
      </c>
      <c r="AI14" s="1689">
        <v>194</v>
      </c>
      <c r="AJ14" s="1695">
        <f t="shared" si="31"/>
        <v>7.719856744926383E-2</v>
      </c>
      <c r="AK14" s="1684">
        <v>2572</v>
      </c>
      <c r="AL14" s="1685">
        <v>162</v>
      </c>
      <c r="AM14" s="1695">
        <f t="shared" si="32"/>
        <v>6.2986003110419908E-2</v>
      </c>
      <c r="AN14" s="1705">
        <v>2582</v>
      </c>
      <c r="AO14" s="1706">
        <v>147</v>
      </c>
      <c r="AP14" s="1667">
        <f t="shared" si="33"/>
        <v>5.6932610379550733E-2</v>
      </c>
      <c r="AQ14" s="1705">
        <v>2578</v>
      </c>
      <c r="AR14" s="859">
        <v>133</v>
      </c>
      <c r="AS14" s="1667">
        <f t="shared" si="34"/>
        <v>5.1590380139643136E-2</v>
      </c>
      <c r="AT14" s="1711">
        <v>2602</v>
      </c>
      <c r="AU14" s="1712">
        <v>114</v>
      </c>
      <c r="AV14" s="1695">
        <f t="shared" si="35"/>
        <v>4.3812451960030745E-2</v>
      </c>
      <c r="AW14" s="1705">
        <v>2546</v>
      </c>
      <c r="AX14" s="1715">
        <v>102</v>
      </c>
      <c r="AY14" s="1695">
        <f t="shared" si="36"/>
        <v>4.006284367635507E-2</v>
      </c>
      <c r="AZ14" s="1705">
        <v>2499</v>
      </c>
      <c r="BA14" s="1715">
        <v>91</v>
      </c>
      <c r="BB14" s="1695">
        <f t="shared" si="37"/>
        <v>3.6414565826330535E-2</v>
      </c>
      <c r="BC14" s="1699">
        <v>2574</v>
      </c>
      <c r="BD14" s="984">
        <v>77</v>
      </c>
      <c r="BE14" s="980">
        <f t="shared" si="38"/>
        <v>2.9914529914529916E-2</v>
      </c>
      <c r="BF14" s="1699">
        <v>2526</v>
      </c>
      <c r="BG14" s="984">
        <v>62</v>
      </c>
      <c r="BH14" s="980">
        <f t="shared" si="39"/>
        <v>2.4544734758511481E-2</v>
      </c>
      <c r="BI14" s="1699">
        <v>2489</v>
      </c>
      <c r="BJ14" s="984">
        <v>58</v>
      </c>
      <c r="BK14" s="980">
        <f t="shared" si="19"/>
        <v>2.3302531137002813E-2</v>
      </c>
      <c r="BL14" s="1699">
        <v>2290</v>
      </c>
      <c r="BM14" s="984">
        <v>227</v>
      </c>
      <c r="BN14" s="980">
        <f t="shared" si="20"/>
        <v>9.9126637554585159E-2</v>
      </c>
    </row>
    <row r="15" spans="1:66" ht="12.75" customHeight="1" x14ac:dyDescent="0.3">
      <c r="A15" s="198" t="s">
        <v>28</v>
      </c>
      <c r="B15" s="200" t="s">
        <v>568</v>
      </c>
      <c r="C15" s="85" t="s">
        <v>252</v>
      </c>
      <c r="D15" s="1678">
        <v>37316</v>
      </c>
      <c r="E15" s="1679">
        <v>750</v>
      </c>
      <c r="F15" s="1677">
        <f t="shared" si="21"/>
        <v>2.0098617215135599E-2</v>
      </c>
      <c r="G15" s="1690">
        <v>36849</v>
      </c>
      <c r="H15" s="1691">
        <v>1240</v>
      </c>
      <c r="I15" s="1664">
        <f t="shared" si="22"/>
        <v>3.3650845341800323E-2</v>
      </c>
      <c r="J15" s="1690">
        <v>37290</v>
      </c>
      <c r="K15" s="1691">
        <v>1745</v>
      </c>
      <c r="L15" s="1695">
        <f t="shared" si="23"/>
        <v>4.6795387503352104E-2</v>
      </c>
      <c r="M15" s="1690">
        <v>37531</v>
      </c>
      <c r="N15" s="1691">
        <v>1580</v>
      </c>
      <c r="O15" s="1695">
        <f t="shared" si="24"/>
        <v>4.2098531880312276E-2</v>
      </c>
      <c r="P15" s="1690">
        <v>37852</v>
      </c>
      <c r="Q15" s="1691">
        <v>1497</v>
      </c>
      <c r="R15" s="1695">
        <f t="shared" si="25"/>
        <v>3.9548768889358557E-2</v>
      </c>
      <c r="S15" s="1690">
        <v>39015</v>
      </c>
      <c r="T15" s="1691">
        <v>1390</v>
      </c>
      <c r="U15" s="1695">
        <f t="shared" si="26"/>
        <v>3.5627322824554657E-2</v>
      </c>
      <c r="V15" s="1690">
        <v>40237</v>
      </c>
      <c r="W15" s="1691">
        <v>1227</v>
      </c>
      <c r="X15" s="1695">
        <f t="shared" si="27"/>
        <v>3.0494321147202824E-2</v>
      </c>
      <c r="Y15" s="1690">
        <v>40309</v>
      </c>
      <c r="Z15" s="1691">
        <v>1232</v>
      </c>
      <c r="AA15" s="1695">
        <f t="shared" si="28"/>
        <v>3.0563893919472077E-2</v>
      </c>
      <c r="AB15" s="1690">
        <v>41295</v>
      </c>
      <c r="AC15" s="1691">
        <v>1558</v>
      </c>
      <c r="AD15" s="1695">
        <f t="shared" si="29"/>
        <v>3.7728538563990797E-2</v>
      </c>
      <c r="AE15" s="1690">
        <v>40370</v>
      </c>
      <c r="AF15" s="1691">
        <v>2828</v>
      </c>
      <c r="AG15" s="1695">
        <f t="shared" si="30"/>
        <v>7.005201882586079E-2</v>
      </c>
      <c r="AH15" s="1690">
        <v>41648</v>
      </c>
      <c r="AI15" s="1691">
        <v>3079</v>
      </c>
      <c r="AJ15" s="1695">
        <f t="shared" si="31"/>
        <v>7.3929120245870145E-2</v>
      </c>
      <c r="AK15" s="1684">
        <v>41235</v>
      </c>
      <c r="AL15" s="1685">
        <v>2712</v>
      </c>
      <c r="AM15" s="1695">
        <f t="shared" si="32"/>
        <v>6.5769370680247366E-2</v>
      </c>
      <c r="AN15" s="1705">
        <v>40635</v>
      </c>
      <c r="AO15" s="1706">
        <v>2443</v>
      </c>
      <c r="AP15" s="1667">
        <f t="shared" si="33"/>
        <v>6.0120585701981054E-2</v>
      </c>
      <c r="AQ15" s="1705">
        <v>40605</v>
      </c>
      <c r="AR15" s="859">
        <v>2319</v>
      </c>
      <c r="AS15" s="1667">
        <f t="shared" si="34"/>
        <v>5.7111193202807539E-2</v>
      </c>
      <c r="AT15" s="1711">
        <v>38576</v>
      </c>
      <c r="AU15" s="1712">
        <v>1935</v>
      </c>
      <c r="AV15" s="1695">
        <f t="shared" si="35"/>
        <v>5.0160721692243886E-2</v>
      </c>
      <c r="AW15" s="1705">
        <v>38381</v>
      </c>
      <c r="AX15" s="1715">
        <v>1678</v>
      </c>
      <c r="AY15" s="1695">
        <f t="shared" si="36"/>
        <v>4.3719548735051197E-2</v>
      </c>
      <c r="AZ15" s="1705">
        <v>38012</v>
      </c>
      <c r="BA15" s="1715">
        <v>1526</v>
      </c>
      <c r="BB15" s="1695">
        <f t="shared" si="37"/>
        <v>4.0145217299800064E-2</v>
      </c>
      <c r="BC15" s="1699">
        <v>38287</v>
      </c>
      <c r="BD15" s="984">
        <v>1467</v>
      </c>
      <c r="BE15" s="980">
        <f t="shared" si="38"/>
        <v>3.8315877451876618E-2</v>
      </c>
      <c r="BF15" s="1699">
        <v>38448</v>
      </c>
      <c r="BG15" s="984">
        <v>1160</v>
      </c>
      <c r="BH15" s="980">
        <f t="shared" si="39"/>
        <v>3.0170620058260506E-2</v>
      </c>
      <c r="BI15" s="1699">
        <v>38964</v>
      </c>
      <c r="BJ15" s="984">
        <v>1067</v>
      </c>
      <c r="BK15" s="980">
        <f t="shared" si="19"/>
        <v>2.7384252130171441E-2</v>
      </c>
      <c r="BL15" s="1699">
        <v>37737</v>
      </c>
      <c r="BM15" s="984">
        <v>1937</v>
      </c>
      <c r="BN15" s="980">
        <f t="shared" si="20"/>
        <v>5.1328934467498741E-2</v>
      </c>
    </row>
    <row r="16" spans="1:66" ht="12.75" customHeight="1" x14ac:dyDescent="0.3">
      <c r="A16" s="198" t="s">
        <v>29</v>
      </c>
      <c r="B16" s="200" t="s">
        <v>30</v>
      </c>
      <c r="C16" s="85" t="s">
        <v>255</v>
      </c>
      <c r="D16" s="1675">
        <v>2933</v>
      </c>
      <c r="E16" s="1676">
        <v>154</v>
      </c>
      <c r="F16" s="1677">
        <f t="shared" si="21"/>
        <v>5.2505966587112173E-2</v>
      </c>
      <c r="G16" s="1688">
        <v>3048</v>
      </c>
      <c r="H16" s="1689">
        <v>173</v>
      </c>
      <c r="I16" s="1664">
        <f t="shared" si="22"/>
        <v>5.6758530183727035E-2</v>
      </c>
      <c r="J16" s="1688">
        <v>3016</v>
      </c>
      <c r="K16" s="1689">
        <v>160</v>
      </c>
      <c r="L16" s="1695">
        <f t="shared" si="23"/>
        <v>5.3050397877984087E-2</v>
      </c>
      <c r="M16" s="1688">
        <v>3020</v>
      </c>
      <c r="N16" s="1689">
        <v>152</v>
      </c>
      <c r="O16" s="1695">
        <f t="shared" si="24"/>
        <v>5.0331125827814571E-2</v>
      </c>
      <c r="P16" s="1688">
        <v>2951</v>
      </c>
      <c r="Q16" s="1689">
        <v>137</v>
      </c>
      <c r="R16" s="1695">
        <f t="shared" si="25"/>
        <v>4.6424940698068448E-2</v>
      </c>
      <c r="S16" s="1688">
        <v>3060</v>
      </c>
      <c r="T16" s="1689">
        <v>123</v>
      </c>
      <c r="U16" s="1695">
        <f t="shared" si="26"/>
        <v>4.0196078431372552E-2</v>
      </c>
      <c r="V16" s="1688">
        <v>3222</v>
      </c>
      <c r="W16" s="1689">
        <v>122</v>
      </c>
      <c r="X16" s="1695">
        <f t="shared" si="27"/>
        <v>3.7864680322780883E-2</v>
      </c>
      <c r="Y16" s="1688">
        <v>3385</v>
      </c>
      <c r="Z16" s="1689">
        <v>128</v>
      </c>
      <c r="AA16" s="1695">
        <f t="shared" si="28"/>
        <v>3.781388478581979E-2</v>
      </c>
      <c r="AB16" s="1688">
        <v>3496</v>
      </c>
      <c r="AC16" s="1689">
        <v>166</v>
      </c>
      <c r="AD16" s="1695">
        <f t="shared" si="29"/>
        <v>4.7482837528604119E-2</v>
      </c>
      <c r="AE16" s="1688">
        <v>3595</v>
      </c>
      <c r="AF16" s="1689">
        <v>266</v>
      </c>
      <c r="AG16" s="1695">
        <f t="shared" si="30"/>
        <v>7.3991655076495133E-2</v>
      </c>
      <c r="AH16" s="1688">
        <v>2899</v>
      </c>
      <c r="AI16" s="1689">
        <v>254</v>
      </c>
      <c r="AJ16" s="1695">
        <f t="shared" si="31"/>
        <v>8.7616419454984482E-2</v>
      </c>
      <c r="AK16" s="1684">
        <v>2854</v>
      </c>
      <c r="AL16" s="1685">
        <v>210</v>
      </c>
      <c r="AM16" s="1695">
        <f t="shared" si="32"/>
        <v>7.3580939032936235E-2</v>
      </c>
      <c r="AN16" s="1705">
        <v>2871</v>
      </c>
      <c r="AO16" s="1706">
        <v>198</v>
      </c>
      <c r="AP16" s="1667">
        <f t="shared" si="33"/>
        <v>6.8965517241379309E-2</v>
      </c>
      <c r="AQ16" s="1705">
        <v>2877</v>
      </c>
      <c r="AR16" s="859">
        <v>190</v>
      </c>
      <c r="AS16" s="1667">
        <f t="shared" si="34"/>
        <v>6.6041014946124438E-2</v>
      </c>
      <c r="AT16" s="1711">
        <v>2876</v>
      </c>
      <c r="AU16" s="1712">
        <v>170</v>
      </c>
      <c r="AV16" s="1695">
        <f t="shared" si="35"/>
        <v>5.9109874826147428E-2</v>
      </c>
      <c r="AW16" s="1705">
        <v>2792</v>
      </c>
      <c r="AX16" s="1715">
        <v>157</v>
      </c>
      <c r="AY16" s="1695">
        <f t="shared" si="36"/>
        <v>5.6232091690544411E-2</v>
      </c>
      <c r="AZ16" s="1705">
        <v>2742</v>
      </c>
      <c r="BA16" s="1715">
        <v>141</v>
      </c>
      <c r="BB16" s="1695">
        <f t="shared" si="37"/>
        <v>5.1422319474835887E-2</v>
      </c>
      <c r="BC16" s="1699">
        <v>2883</v>
      </c>
      <c r="BD16" s="984">
        <v>118</v>
      </c>
      <c r="BE16" s="980">
        <f t="shared" si="38"/>
        <v>4.0929587235518559E-2</v>
      </c>
      <c r="BF16" s="1699">
        <v>2846</v>
      </c>
      <c r="BG16" s="984">
        <v>89</v>
      </c>
      <c r="BH16" s="980">
        <f t="shared" si="39"/>
        <v>3.1271960646521435E-2</v>
      </c>
      <c r="BI16" s="1699">
        <v>2858</v>
      </c>
      <c r="BJ16" s="984">
        <v>76</v>
      </c>
      <c r="BK16" s="980">
        <f t="shared" si="19"/>
        <v>2.6592022393282014E-2</v>
      </c>
      <c r="BL16" s="1699">
        <v>2811</v>
      </c>
      <c r="BM16" s="984">
        <v>158</v>
      </c>
      <c r="BN16" s="980">
        <f t="shared" si="20"/>
        <v>5.6207755247242974E-2</v>
      </c>
    </row>
    <row r="17" spans="1:66" ht="12.75" customHeight="1" x14ac:dyDescent="0.3">
      <c r="A17" s="198" t="s">
        <v>31</v>
      </c>
      <c r="B17" s="200" t="s">
        <v>32</v>
      </c>
      <c r="C17" s="85" t="s">
        <v>252</v>
      </c>
      <c r="D17" s="1675">
        <v>16473</v>
      </c>
      <c r="E17" s="1676">
        <v>295</v>
      </c>
      <c r="F17" s="1677">
        <f t="shared" si="21"/>
        <v>1.7908092029381411E-2</v>
      </c>
      <c r="G17" s="1688">
        <v>16684</v>
      </c>
      <c r="H17" s="1689">
        <v>446</v>
      </c>
      <c r="I17" s="1664">
        <f t="shared" si="22"/>
        <v>2.6732198513545913E-2</v>
      </c>
      <c r="J17" s="1688">
        <v>17118</v>
      </c>
      <c r="K17" s="1689">
        <v>627</v>
      </c>
      <c r="L17" s="1695">
        <f t="shared" si="23"/>
        <v>3.6628110760602871E-2</v>
      </c>
      <c r="M17" s="1688">
        <v>16788</v>
      </c>
      <c r="N17" s="1689">
        <v>601</v>
      </c>
      <c r="O17" s="1695">
        <f t="shared" si="24"/>
        <v>3.5799380509888012E-2</v>
      </c>
      <c r="P17" s="1688">
        <v>16656</v>
      </c>
      <c r="Q17" s="1689">
        <v>561</v>
      </c>
      <c r="R17" s="1695">
        <f t="shared" si="25"/>
        <v>3.3681556195965419E-2</v>
      </c>
      <c r="S17" s="1688">
        <v>17017</v>
      </c>
      <c r="T17" s="1689">
        <v>518</v>
      </c>
      <c r="U17" s="1695">
        <f t="shared" si="26"/>
        <v>3.0440148087206912E-2</v>
      </c>
      <c r="V17" s="1688">
        <v>17430</v>
      </c>
      <c r="W17" s="1689">
        <v>454</v>
      </c>
      <c r="X17" s="1695">
        <f t="shared" si="27"/>
        <v>2.6047045324153757E-2</v>
      </c>
      <c r="Y17" s="1688">
        <v>17421</v>
      </c>
      <c r="Z17" s="1689">
        <v>459</v>
      </c>
      <c r="AA17" s="1695">
        <f t="shared" si="28"/>
        <v>2.6347511623902187E-2</v>
      </c>
      <c r="AB17" s="1688">
        <v>17759</v>
      </c>
      <c r="AC17" s="1689">
        <v>579</v>
      </c>
      <c r="AD17" s="1695">
        <f t="shared" si="29"/>
        <v>3.2603187116391687E-2</v>
      </c>
      <c r="AE17" s="1688">
        <v>17491</v>
      </c>
      <c r="AF17" s="1689">
        <v>1100</v>
      </c>
      <c r="AG17" s="1695">
        <f t="shared" si="30"/>
        <v>6.2889486021382432E-2</v>
      </c>
      <c r="AH17" s="1688">
        <v>17722</v>
      </c>
      <c r="AI17" s="1689">
        <v>1171</v>
      </c>
      <c r="AJ17" s="1695">
        <f t="shared" si="31"/>
        <v>6.6076063649700936E-2</v>
      </c>
      <c r="AK17" s="1684">
        <v>17703</v>
      </c>
      <c r="AL17" s="1685">
        <v>1036</v>
      </c>
      <c r="AM17" s="1695">
        <f t="shared" si="32"/>
        <v>5.852115460656386E-2</v>
      </c>
      <c r="AN17" s="1705">
        <v>17702</v>
      </c>
      <c r="AO17" s="1706">
        <v>950</v>
      </c>
      <c r="AP17" s="1667">
        <f t="shared" si="33"/>
        <v>5.3666252400858663E-2</v>
      </c>
      <c r="AQ17" s="1705">
        <v>17634</v>
      </c>
      <c r="AR17" s="859">
        <v>903</v>
      </c>
      <c r="AS17" s="1667">
        <f t="shared" si="34"/>
        <v>5.120789384144267E-2</v>
      </c>
      <c r="AT17" s="1711">
        <v>17749</v>
      </c>
      <c r="AU17" s="1712">
        <v>849</v>
      </c>
      <c r="AV17" s="1695">
        <f t="shared" si="35"/>
        <v>4.783368077074765E-2</v>
      </c>
      <c r="AW17" s="1705">
        <v>17459</v>
      </c>
      <c r="AX17" s="1715">
        <v>721</v>
      </c>
      <c r="AY17" s="1695">
        <f t="shared" si="36"/>
        <v>4.1296752391316797E-2</v>
      </c>
      <c r="AZ17" s="1705">
        <v>17375</v>
      </c>
      <c r="BA17" s="1715">
        <v>620</v>
      </c>
      <c r="BB17" s="1695">
        <f t="shared" si="37"/>
        <v>3.5683453237410075E-2</v>
      </c>
      <c r="BC17" s="1699">
        <v>17357</v>
      </c>
      <c r="BD17" s="984">
        <v>605</v>
      </c>
      <c r="BE17" s="980">
        <f t="shared" si="38"/>
        <v>3.4856253960937951E-2</v>
      </c>
      <c r="BF17" s="1699">
        <v>17365</v>
      </c>
      <c r="BG17" s="984">
        <v>461</v>
      </c>
      <c r="BH17" s="980">
        <f t="shared" si="39"/>
        <v>2.6547653325655052E-2</v>
      </c>
      <c r="BI17" s="1699">
        <v>17685</v>
      </c>
      <c r="BJ17" s="984">
        <v>430</v>
      </c>
      <c r="BK17" s="980">
        <f t="shared" si="19"/>
        <v>2.4314390726604466E-2</v>
      </c>
      <c r="BL17" s="1699">
        <v>17140</v>
      </c>
      <c r="BM17" s="984">
        <v>777</v>
      </c>
      <c r="BN17" s="980">
        <f t="shared" si="20"/>
        <v>4.5332555425904315E-2</v>
      </c>
    </row>
    <row r="18" spans="1:66" ht="12.75" customHeight="1" x14ac:dyDescent="0.3">
      <c r="A18" s="198" t="s">
        <v>35</v>
      </c>
      <c r="B18" s="200" t="s">
        <v>36</v>
      </c>
      <c r="C18" s="85" t="s">
        <v>251</v>
      </c>
      <c r="D18" s="1675">
        <v>6851</v>
      </c>
      <c r="E18" s="1676">
        <v>242</v>
      </c>
      <c r="F18" s="1677">
        <f t="shared" si="21"/>
        <v>3.5323310465625458E-2</v>
      </c>
      <c r="G18" s="1688">
        <v>6859</v>
      </c>
      <c r="H18" s="1689">
        <v>373</v>
      </c>
      <c r="I18" s="1664">
        <f t="shared" si="22"/>
        <v>5.4381105117364048E-2</v>
      </c>
      <c r="J18" s="1688">
        <v>6826</v>
      </c>
      <c r="K18" s="1689">
        <v>437</v>
      </c>
      <c r="L18" s="1695">
        <f t="shared" si="23"/>
        <v>6.4019923820685609E-2</v>
      </c>
      <c r="M18" s="1688">
        <v>6912</v>
      </c>
      <c r="N18" s="1689">
        <v>483</v>
      </c>
      <c r="O18" s="1695">
        <f t="shared" si="24"/>
        <v>6.9878472222222224E-2</v>
      </c>
      <c r="P18" s="1688">
        <v>6731</v>
      </c>
      <c r="Q18" s="1689">
        <v>446</v>
      </c>
      <c r="R18" s="1695">
        <f t="shared" si="25"/>
        <v>6.6260585351359383E-2</v>
      </c>
      <c r="S18" s="1688">
        <v>6761</v>
      </c>
      <c r="T18" s="1689">
        <v>351</v>
      </c>
      <c r="U18" s="1695">
        <f t="shared" si="26"/>
        <v>5.1915397130601983E-2</v>
      </c>
      <c r="V18" s="1688">
        <v>6832</v>
      </c>
      <c r="W18" s="1689">
        <v>333</v>
      </c>
      <c r="X18" s="1695">
        <f t="shared" si="27"/>
        <v>4.8741217798594846E-2</v>
      </c>
      <c r="Y18" s="1688">
        <v>6873</v>
      </c>
      <c r="Z18" s="1689">
        <v>330</v>
      </c>
      <c r="AA18" s="1695">
        <f t="shared" si="28"/>
        <v>4.801396769969446E-2</v>
      </c>
      <c r="AB18" s="1688">
        <v>7044</v>
      </c>
      <c r="AC18" s="1689">
        <v>466</v>
      </c>
      <c r="AD18" s="1695">
        <f t="shared" si="29"/>
        <v>6.6155593412833613E-2</v>
      </c>
      <c r="AE18" s="1688">
        <v>7195</v>
      </c>
      <c r="AF18" s="1689">
        <v>807</v>
      </c>
      <c r="AG18" s="1695">
        <f t="shared" si="30"/>
        <v>0.11216122307157748</v>
      </c>
      <c r="AH18" s="1688">
        <v>6968</v>
      </c>
      <c r="AI18" s="1689">
        <v>803</v>
      </c>
      <c r="AJ18" s="1695">
        <f t="shared" si="31"/>
        <v>0.11524110218140068</v>
      </c>
      <c r="AK18" s="1684">
        <v>6806</v>
      </c>
      <c r="AL18" s="1685">
        <v>717</v>
      </c>
      <c r="AM18" s="1695">
        <f t="shared" si="32"/>
        <v>0.10534822215692037</v>
      </c>
      <c r="AN18" s="1705">
        <v>6717</v>
      </c>
      <c r="AO18" s="1706">
        <v>666</v>
      </c>
      <c r="AP18" s="1667">
        <f t="shared" si="33"/>
        <v>9.9151406878070572E-2</v>
      </c>
      <c r="AQ18" s="1705">
        <v>6656</v>
      </c>
      <c r="AR18" s="859">
        <v>610</v>
      </c>
      <c r="AS18" s="1667">
        <f t="shared" si="34"/>
        <v>9.1646634615384609E-2</v>
      </c>
      <c r="AT18" s="1711">
        <v>6485</v>
      </c>
      <c r="AU18" s="1712">
        <v>514</v>
      </c>
      <c r="AV18" s="1695">
        <f t="shared" si="35"/>
        <v>7.925983037779491E-2</v>
      </c>
      <c r="AW18" s="1705">
        <v>6355</v>
      </c>
      <c r="AX18" s="1715">
        <v>427</v>
      </c>
      <c r="AY18" s="1695">
        <f t="shared" si="36"/>
        <v>6.7191188040912661E-2</v>
      </c>
      <c r="AZ18" s="1705">
        <v>6216</v>
      </c>
      <c r="BA18" s="1715">
        <v>364</v>
      </c>
      <c r="BB18" s="1695">
        <f t="shared" si="37"/>
        <v>5.8558558558558557E-2</v>
      </c>
      <c r="BC18" s="1699">
        <v>6150</v>
      </c>
      <c r="BD18" s="984">
        <v>324</v>
      </c>
      <c r="BE18" s="980">
        <f t="shared" si="38"/>
        <v>5.2682926829268291E-2</v>
      </c>
      <c r="BF18" s="1699">
        <v>6024</v>
      </c>
      <c r="BG18" s="984">
        <v>294</v>
      </c>
      <c r="BH18" s="980">
        <f t="shared" si="39"/>
        <v>4.8804780876494022E-2</v>
      </c>
      <c r="BI18" s="1699">
        <v>6073</v>
      </c>
      <c r="BJ18" s="984">
        <v>273</v>
      </c>
      <c r="BK18" s="980">
        <f t="shared" si="19"/>
        <v>4.4953070969866622E-2</v>
      </c>
      <c r="BL18" s="1699">
        <v>5951</v>
      </c>
      <c r="BM18" s="984">
        <v>474</v>
      </c>
      <c r="BN18" s="980">
        <f t="shared" si="20"/>
        <v>7.9650478911107381E-2</v>
      </c>
    </row>
    <row r="19" spans="1:66" ht="12.75" customHeight="1" x14ac:dyDescent="0.3">
      <c r="A19" s="198" t="s">
        <v>37</v>
      </c>
      <c r="B19" s="200" t="s">
        <v>38</v>
      </c>
      <c r="C19" s="85" t="s">
        <v>255</v>
      </c>
      <c r="D19" s="1675">
        <v>8738</v>
      </c>
      <c r="E19" s="1676">
        <v>515</v>
      </c>
      <c r="F19" s="1677">
        <f t="shared" si="21"/>
        <v>5.8937972075989928E-2</v>
      </c>
      <c r="G19" s="1688">
        <v>8881</v>
      </c>
      <c r="H19" s="1689">
        <v>537</v>
      </c>
      <c r="I19" s="1664">
        <f t="shared" si="22"/>
        <v>6.0466163720301766E-2</v>
      </c>
      <c r="J19" s="1688">
        <v>8983</v>
      </c>
      <c r="K19" s="1689">
        <v>639</v>
      </c>
      <c r="L19" s="1695">
        <f t="shared" si="23"/>
        <v>7.1134364911499492E-2</v>
      </c>
      <c r="M19" s="1688">
        <v>8838</v>
      </c>
      <c r="N19" s="1689">
        <v>618</v>
      </c>
      <c r="O19" s="1695">
        <f t="shared" si="24"/>
        <v>6.9925322471147314E-2</v>
      </c>
      <c r="P19" s="1688">
        <v>8317</v>
      </c>
      <c r="Q19" s="1689">
        <v>483</v>
      </c>
      <c r="R19" s="1695">
        <f t="shared" si="25"/>
        <v>5.8073824696404951E-2</v>
      </c>
      <c r="S19" s="1688">
        <v>8401</v>
      </c>
      <c r="T19" s="1689">
        <v>454</v>
      </c>
      <c r="U19" s="1695">
        <f t="shared" si="26"/>
        <v>5.4041185573146057E-2</v>
      </c>
      <c r="V19" s="1688">
        <v>8419</v>
      </c>
      <c r="W19" s="1689">
        <v>422</v>
      </c>
      <c r="X19" s="1695">
        <f t="shared" si="27"/>
        <v>5.0124717899988125E-2</v>
      </c>
      <c r="Y19" s="1688">
        <v>8657</v>
      </c>
      <c r="Z19" s="1689">
        <v>422</v>
      </c>
      <c r="AA19" s="1695">
        <f t="shared" si="28"/>
        <v>4.8746678988102116E-2</v>
      </c>
      <c r="AB19" s="1688">
        <v>8950</v>
      </c>
      <c r="AC19" s="1689">
        <v>448</v>
      </c>
      <c r="AD19" s="1695">
        <f t="shared" si="29"/>
        <v>5.0055865921787707E-2</v>
      </c>
      <c r="AE19" s="1688">
        <v>9236</v>
      </c>
      <c r="AF19" s="1689">
        <v>788</v>
      </c>
      <c r="AG19" s="1695">
        <f t="shared" si="30"/>
        <v>8.5318319618882629E-2</v>
      </c>
      <c r="AH19" s="1688">
        <v>8339</v>
      </c>
      <c r="AI19" s="1689">
        <v>846</v>
      </c>
      <c r="AJ19" s="1695">
        <f t="shared" si="31"/>
        <v>0.10145101331094855</v>
      </c>
      <c r="AK19" s="1684">
        <v>8458</v>
      </c>
      <c r="AL19" s="1685">
        <v>718</v>
      </c>
      <c r="AM19" s="1695">
        <f t="shared" si="32"/>
        <v>8.4890044927878924E-2</v>
      </c>
      <c r="AN19" s="1705">
        <v>8569</v>
      </c>
      <c r="AO19" s="1706">
        <v>764</v>
      </c>
      <c r="AP19" s="1667">
        <f t="shared" si="33"/>
        <v>8.915859493523165E-2</v>
      </c>
      <c r="AQ19" s="1705">
        <v>8159</v>
      </c>
      <c r="AR19" s="859">
        <v>878</v>
      </c>
      <c r="AS19" s="1667">
        <f t="shared" si="34"/>
        <v>0.10761122686603751</v>
      </c>
      <c r="AT19" s="1711">
        <v>7788</v>
      </c>
      <c r="AU19" s="1712">
        <v>800</v>
      </c>
      <c r="AV19" s="1695">
        <f t="shared" si="35"/>
        <v>0.1027221366204417</v>
      </c>
      <c r="AW19" s="1705">
        <v>7298</v>
      </c>
      <c r="AX19" s="1715">
        <v>781</v>
      </c>
      <c r="AY19" s="1695">
        <f t="shared" si="36"/>
        <v>0.10701562071800494</v>
      </c>
      <c r="AZ19" s="1705">
        <v>6860</v>
      </c>
      <c r="BA19" s="1715">
        <v>724</v>
      </c>
      <c r="BB19" s="1695">
        <f t="shared" si="37"/>
        <v>0.1055393586005831</v>
      </c>
      <c r="BC19" s="1699">
        <v>7023</v>
      </c>
      <c r="BD19" s="984">
        <v>492</v>
      </c>
      <c r="BE19" s="980">
        <f t="shared" si="38"/>
        <v>7.0055531824006839E-2</v>
      </c>
      <c r="BF19" s="1699">
        <v>6956</v>
      </c>
      <c r="BG19" s="984">
        <v>375</v>
      </c>
      <c r="BH19" s="980">
        <f t="shared" si="39"/>
        <v>5.3910293271995396E-2</v>
      </c>
      <c r="BI19" s="1699">
        <v>6833</v>
      </c>
      <c r="BJ19" s="984">
        <v>364</v>
      </c>
      <c r="BK19" s="980">
        <f t="shared" si="19"/>
        <v>5.3270891262988437E-2</v>
      </c>
      <c r="BL19" s="1699">
        <v>6450</v>
      </c>
      <c r="BM19" s="984">
        <v>614</v>
      </c>
      <c r="BN19" s="980">
        <f t="shared" si="20"/>
        <v>9.5193798449612399E-2</v>
      </c>
    </row>
    <row r="20" spans="1:66" ht="12.75" customHeight="1" x14ac:dyDescent="0.3">
      <c r="A20" s="198" t="s">
        <v>39</v>
      </c>
      <c r="B20" s="200" t="s">
        <v>40</v>
      </c>
      <c r="C20" s="85" t="s">
        <v>253</v>
      </c>
      <c r="D20" s="1675">
        <v>6145</v>
      </c>
      <c r="E20" s="1676">
        <v>198</v>
      </c>
      <c r="F20" s="1677">
        <f t="shared" si="21"/>
        <v>3.22213181448332E-2</v>
      </c>
      <c r="G20" s="1688">
        <v>6204</v>
      </c>
      <c r="H20" s="1689">
        <v>214</v>
      </c>
      <c r="I20" s="1664">
        <f t="shared" si="22"/>
        <v>3.4493874919406836E-2</v>
      </c>
      <c r="J20" s="1688">
        <v>6229</v>
      </c>
      <c r="K20" s="1689">
        <v>241</v>
      </c>
      <c r="L20" s="1695">
        <f t="shared" si="23"/>
        <v>3.8689998394605879E-2</v>
      </c>
      <c r="M20" s="1688">
        <v>6425</v>
      </c>
      <c r="N20" s="1689">
        <v>281</v>
      </c>
      <c r="O20" s="1695">
        <f t="shared" si="24"/>
        <v>4.3735408560311287E-2</v>
      </c>
      <c r="P20" s="1688">
        <v>6666</v>
      </c>
      <c r="Q20" s="1689">
        <v>289</v>
      </c>
      <c r="R20" s="1695">
        <f t="shared" si="25"/>
        <v>4.3354335433543355E-2</v>
      </c>
      <c r="S20" s="1688">
        <v>6783</v>
      </c>
      <c r="T20" s="1689">
        <v>297</v>
      </c>
      <c r="U20" s="1695">
        <f t="shared" si="26"/>
        <v>4.37859354268023E-2</v>
      </c>
      <c r="V20" s="1688">
        <v>6836</v>
      </c>
      <c r="W20" s="1689">
        <v>247</v>
      </c>
      <c r="X20" s="1695">
        <f t="shared" si="27"/>
        <v>3.6132241076653013E-2</v>
      </c>
      <c r="Y20" s="1688">
        <v>6998</v>
      </c>
      <c r="Z20" s="1689">
        <v>242</v>
      </c>
      <c r="AA20" s="1695">
        <f t="shared" si="28"/>
        <v>3.4581308945412975E-2</v>
      </c>
      <c r="AB20" s="1688">
        <v>7268</v>
      </c>
      <c r="AC20" s="1689">
        <v>357</v>
      </c>
      <c r="AD20" s="1695">
        <f t="shared" si="29"/>
        <v>4.9119427627958172E-2</v>
      </c>
      <c r="AE20" s="1688">
        <v>7372</v>
      </c>
      <c r="AF20" s="1689">
        <v>597</v>
      </c>
      <c r="AG20" s="1695">
        <f t="shared" si="30"/>
        <v>8.098209441128594E-2</v>
      </c>
      <c r="AH20" s="1688">
        <v>6583</v>
      </c>
      <c r="AI20" s="1689">
        <v>717</v>
      </c>
      <c r="AJ20" s="1695">
        <f t="shared" si="31"/>
        <v>0.10891690718517394</v>
      </c>
      <c r="AK20" s="1684">
        <v>6583</v>
      </c>
      <c r="AL20" s="1685">
        <v>628</v>
      </c>
      <c r="AM20" s="1695">
        <f t="shared" si="32"/>
        <v>9.5397235303053315E-2</v>
      </c>
      <c r="AN20" s="1705">
        <v>6460</v>
      </c>
      <c r="AO20" s="1706">
        <v>540</v>
      </c>
      <c r="AP20" s="1667">
        <f t="shared" si="33"/>
        <v>8.3591331269349839E-2</v>
      </c>
      <c r="AQ20" s="1705">
        <v>6406</v>
      </c>
      <c r="AR20" s="859">
        <v>496</v>
      </c>
      <c r="AS20" s="1667">
        <f t="shared" si="34"/>
        <v>7.7427411801436155E-2</v>
      </c>
      <c r="AT20" s="1711">
        <v>6322</v>
      </c>
      <c r="AU20" s="1712">
        <v>422</v>
      </c>
      <c r="AV20" s="1695">
        <f t="shared" si="35"/>
        <v>6.6751028155646944E-2</v>
      </c>
      <c r="AW20" s="1705">
        <v>6317</v>
      </c>
      <c r="AX20" s="1715">
        <v>369</v>
      </c>
      <c r="AY20" s="1695">
        <f t="shared" si="36"/>
        <v>5.8413804020895993E-2</v>
      </c>
      <c r="AZ20" s="1705">
        <v>6273</v>
      </c>
      <c r="BA20" s="1715">
        <v>334</v>
      </c>
      <c r="BB20" s="1695">
        <f t="shared" si="37"/>
        <v>5.3244061852383229E-2</v>
      </c>
      <c r="BC20" s="1699">
        <v>6348</v>
      </c>
      <c r="BD20" s="984">
        <v>338</v>
      </c>
      <c r="BE20" s="980">
        <f t="shared" si="38"/>
        <v>5.3245116572148705E-2</v>
      </c>
      <c r="BF20" s="1699">
        <v>6339</v>
      </c>
      <c r="BG20" s="984">
        <v>279</v>
      </c>
      <c r="BH20" s="980">
        <f t="shared" si="39"/>
        <v>4.4013251301467111E-2</v>
      </c>
      <c r="BI20" s="1699">
        <v>6561</v>
      </c>
      <c r="BJ20" s="984">
        <v>261</v>
      </c>
      <c r="BK20" s="980">
        <f t="shared" si="19"/>
        <v>3.9780521262002745E-2</v>
      </c>
      <c r="BL20" s="1699">
        <v>6317</v>
      </c>
      <c r="BM20" s="984">
        <v>467</v>
      </c>
      <c r="BN20" s="980">
        <f t="shared" si="20"/>
        <v>7.3927497229697645E-2</v>
      </c>
    </row>
    <row r="21" spans="1:66" ht="12.75" customHeight="1" x14ac:dyDescent="0.3">
      <c r="A21" s="198" t="s">
        <v>41</v>
      </c>
      <c r="B21" s="200" t="s">
        <v>42</v>
      </c>
      <c r="C21" s="85" t="s">
        <v>252</v>
      </c>
      <c r="D21" s="1675">
        <v>26509</v>
      </c>
      <c r="E21" s="1676">
        <v>617</v>
      </c>
      <c r="F21" s="1677">
        <f t="shared" si="21"/>
        <v>2.3275114112188314E-2</v>
      </c>
      <c r="G21" s="1688">
        <v>26134</v>
      </c>
      <c r="H21" s="1689">
        <v>1115</v>
      </c>
      <c r="I21" s="1664">
        <f t="shared" si="22"/>
        <v>4.266472794061376E-2</v>
      </c>
      <c r="J21" s="1688">
        <v>26392</v>
      </c>
      <c r="K21" s="1689">
        <v>1516</v>
      </c>
      <c r="L21" s="1695">
        <f t="shared" si="23"/>
        <v>5.7441648984540773E-2</v>
      </c>
      <c r="M21" s="1688">
        <v>26171</v>
      </c>
      <c r="N21" s="1689">
        <v>1309</v>
      </c>
      <c r="O21" s="1695">
        <f t="shared" si="24"/>
        <v>5.001719460471514E-2</v>
      </c>
      <c r="P21" s="1688">
        <v>25990</v>
      </c>
      <c r="Q21" s="1689">
        <v>1156</v>
      </c>
      <c r="R21" s="1695">
        <f t="shared" si="25"/>
        <v>4.4478645632935743E-2</v>
      </c>
      <c r="S21" s="1688">
        <v>26677</v>
      </c>
      <c r="T21" s="1689">
        <v>1064</v>
      </c>
      <c r="U21" s="1695">
        <f t="shared" si="26"/>
        <v>3.9884544738913674E-2</v>
      </c>
      <c r="V21" s="1688">
        <v>27168</v>
      </c>
      <c r="W21" s="1689">
        <v>887</v>
      </c>
      <c r="X21" s="1695">
        <f t="shared" si="27"/>
        <v>3.2648704358068319E-2</v>
      </c>
      <c r="Y21" s="1688">
        <v>27253</v>
      </c>
      <c r="Z21" s="1689">
        <v>933</v>
      </c>
      <c r="AA21" s="1695">
        <f t="shared" si="28"/>
        <v>3.4234763145341796E-2</v>
      </c>
      <c r="AB21" s="1688">
        <v>27915</v>
      </c>
      <c r="AC21" s="1689">
        <v>1108</v>
      </c>
      <c r="AD21" s="1695">
        <f t="shared" si="29"/>
        <v>3.9691921905785417E-2</v>
      </c>
      <c r="AE21" s="1688">
        <v>27137</v>
      </c>
      <c r="AF21" s="1689">
        <v>1962</v>
      </c>
      <c r="AG21" s="1695">
        <f t="shared" si="30"/>
        <v>7.2299812064708702E-2</v>
      </c>
      <c r="AH21" s="1688">
        <v>27793</v>
      </c>
      <c r="AI21" s="1689">
        <v>2192</v>
      </c>
      <c r="AJ21" s="1695">
        <f t="shared" si="31"/>
        <v>7.8868779908610076E-2</v>
      </c>
      <c r="AK21" s="1684">
        <v>27560</v>
      </c>
      <c r="AL21" s="1685">
        <v>1966</v>
      </c>
      <c r="AM21" s="1695">
        <f t="shared" si="32"/>
        <v>7.1335268505079832E-2</v>
      </c>
      <c r="AN21" s="1705">
        <v>27044</v>
      </c>
      <c r="AO21" s="1706">
        <v>1713</v>
      </c>
      <c r="AP21" s="1667">
        <f t="shared" si="33"/>
        <v>6.3341221712764378E-2</v>
      </c>
      <c r="AQ21" s="1705">
        <v>26942</v>
      </c>
      <c r="AR21" s="859">
        <v>1567</v>
      </c>
      <c r="AS21" s="1667">
        <f t="shared" si="34"/>
        <v>5.8161977581471312E-2</v>
      </c>
      <c r="AT21" s="1711">
        <v>26725</v>
      </c>
      <c r="AU21" s="1712">
        <v>1408</v>
      </c>
      <c r="AV21" s="1695">
        <f t="shared" si="35"/>
        <v>5.2684752104770811E-2</v>
      </c>
      <c r="AW21" s="1705">
        <v>26328</v>
      </c>
      <c r="AX21" s="1715">
        <v>1228</v>
      </c>
      <c r="AY21" s="1695">
        <f t="shared" si="36"/>
        <v>4.6642357945913093E-2</v>
      </c>
      <c r="AZ21" s="1705">
        <v>25973</v>
      </c>
      <c r="BA21" s="1715">
        <v>1133</v>
      </c>
      <c r="BB21" s="1695">
        <f t="shared" si="37"/>
        <v>4.3622223077811571E-2</v>
      </c>
      <c r="BC21" s="1699">
        <v>26185</v>
      </c>
      <c r="BD21" s="984">
        <v>1075</v>
      </c>
      <c r="BE21" s="980">
        <f t="shared" si="38"/>
        <v>4.1054038571701354E-2</v>
      </c>
      <c r="BF21" s="1699">
        <v>26008</v>
      </c>
      <c r="BG21" s="984">
        <v>867</v>
      </c>
      <c r="BH21" s="980">
        <f t="shared" si="39"/>
        <v>3.3335896647185483E-2</v>
      </c>
      <c r="BI21" s="1699">
        <v>26205</v>
      </c>
      <c r="BJ21" s="984">
        <v>781</v>
      </c>
      <c r="BK21" s="980">
        <f t="shared" si="19"/>
        <v>2.9803472619729061E-2</v>
      </c>
      <c r="BL21" s="1699">
        <v>25507</v>
      </c>
      <c r="BM21" s="984">
        <v>1506</v>
      </c>
      <c r="BN21" s="980">
        <f t="shared" si="20"/>
        <v>5.9042615752538517E-2</v>
      </c>
    </row>
    <row r="22" spans="1:66" ht="12.75" customHeight="1" x14ac:dyDescent="0.3">
      <c r="A22" s="198" t="s">
        <v>43</v>
      </c>
      <c r="B22" s="200" t="s">
        <v>44</v>
      </c>
      <c r="C22" s="85" t="s">
        <v>253</v>
      </c>
      <c r="D22" s="1675">
        <v>10999</v>
      </c>
      <c r="E22" s="1676">
        <v>241</v>
      </c>
      <c r="F22" s="1677">
        <f t="shared" si="21"/>
        <v>2.1911082825711428E-2</v>
      </c>
      <c r="G22" s="1688">
        <v>11072</v>
      </c>
      <c r="H22" s="1689">
        <v>337</v>
      </c>
      <c r="I22" s="1664">
        <f t="shared" si="22"/>
        <v>3.0437138728323699E-2</v>
      </c>
      <c r="J22" s="1688">
        <v>11285</v>
      </c>
      <c r="K22" s="1689">
        <v>486</v>
      </c>
      <c r="L22" s="1695">
        <f t="shared" si="23"/>
        <v>4.3066016836508639E-2</v>
      </c>
      <c r="M22" s="1688">
        <v>11490</v>
      </c>
      <c r="N22" s="1689">
        <v>491</v>
      </c>
      <c r="O22" s="1695">
        <f t="shared" si="24"/>
        <v>4.2732811140121847E-2</v>
      </c>
      <c r="P22" s="1688">
        <v>11947</v>
      </c>
      <c r="Q22" s="1689">
        <v>484</v>
      </c>
      <c r="R22" s="1695">
        <f t="shared" si="25"/>
        <v>4.0512262492675984E-2</v>
      </c>
      <c r="S22" s="1688">
        <v>12862</v>
      </c>
      <c r="T22" s="1689">
        <v>493</v>
      </c>
      <c r="U22" s="1695">
        <f t="shared" si="26"/>
        <v>3.832996423573317E-2</v>
      </c>
      <c r="V22" s="1688">
        <v>13560</v>
      </c>
      <c r="W22" s="1689">
        <v>465</v>
      </c>
      <c r="X22" s="1695">
        <f t="shared" si="27"/>
        <v>3.4292035398230086E-2</v>
      </c>
      <c r="Y22" s="1688">
        <v>13902</v>
      </c>
      <c r="Z22" s="1689">
        <v>517</v>
      </c>
      <c r="AA22" s="1695">
        <f t="shared" si="28"/>
        <v>3.7188893684361964E-2</v>
      </c>
      <c r="AB22" s="1688">
        <v>14271</v>
      </c>
      <c r="AC22" s="1689">
        <v>683</v>
      </c>
      <c r="AD22" s="1695">
        <f t="shared" si="29"/>
        <v>4.7859295073926146E-2</v>
      </c>
      <c r="AE22" s="1688">
        <v>14126</v>
      </c>
      <c r="AF22" s="1689">
        <v>1185</v>
      </c>
      <c r="AG22" s="1695">
        <f t="shared" si="30"/>
        <v>8.3887866345745438E-2</v>
      </c>
      <c r="AH22" s="1688">
        <v>14363</v>
      </c>
      <c r="AI22" s="1689">
        <v>1397</v>
      </c>
      <c r="AJ22" s="1695">
        <f t="shared" si="31"/>
        <v>9.7263802826707518E-2</v>
      </c>
      <c r="AK22" s="1684">
        <v>14450</v>
      </c>
      <c r="AL22" s="1685">
        <v>1293</v>
      </c>
      <c r="AM22" s="1695">
        <f t="shared" si="32"/>
        <v>8.948096885813149E-2</v>
      </c>
      <c r="AN22" s="1705">
        <v>14477</v>
      </c>
      <c r="AO22" s="1706">
        <v>1107</v>
      </c>
      <c r="AP22" s="1667">
        <f t="shared" si="33"/>
        <v>7.646611867099537E-2</v>
      </c>
      <c r="AQ22" s="1705">
        <v>14579</v>
      </c>
      <c r="AR22" s="859">
        <v>1006</v>
      </c>
      <c r="AS22" s="1667">
        <f t="shared" si="34"/>
        <v>6.900336099869675E-2</v>
      </c>
      <c r="AT22" s="1711">
        <v>14819</v>
      </c>
      <c r="AU22" s="1712">
        <v>897</v>
      </c>
      <c r="AV22" s="1695">
        <f t="shared" si="35"/>
        <v>6.0530400161954247E-2</v>
      </c>
      <c r="AW22" s="1705">
        <v>14790</v>
      </c>
      <c r="AX22" s="1715">
        <v>743</v>
      </c>
      <c r="AY22" s="1695">
        <f t="shared" si="36"/>
        <v>5.0236646382691007E-2</v>
      </c>
      <c r="AZ22" s="1705">
        <v>14875</v>
      </c>
      <c r="BA22" s="1715">
        <v>651</v>
      </c>
      <c r="BB22" s="1695">
        <f t="shared" si="37"/>
        <v>4.3764705882352942E-2</v>
      </c>
      <c r="BC22" s="1699">
        <v>15096</v>
      </c>
      <c r="BD22" s="984">
        <v>642</v>
      </c>
      <c r="BE22" s="980">
        <f t="shared" si="38"/>
        <v>4.2527821939586645E-2</v>
      </c>
      <c r="BF22" s="1699">
        <v>15213</v>
      </c>
      <c r="BG22" s="984">
        <v>522</v>
      </c>
      <c r="BH22" s="980">
        <f t="shared" si="39"/>
        <v>3.4312758824689413E-2</v>
      </c>
      <c r="BI22" s="1699">
        <v>15288</v>
      </c>
      <c r="BJ22" s="984">
        <v>472</v>
      </c>
      <c r="BK22" s="980">
        <f t="shared" si="19"/>
        <v>3.0873888016745159E-2</v>
      </c>
      <c r="BL22" s="1699">
        <v>15004</v>
      </c>
      <c r="BM22" s="984">
        <v>1009</v>
      </c>
      <c r="BN22" s="980">
        <f t="shared" si="20"/>
        <v>6.7248733671021063E-2</v>
      </c>
    </row>
    <row r="23" spans="1:66" ht="12.75" customHeight="1" x14ac:dyDescent="0.3">
      <c r="A23" s="198" t="s">
        <v>45</v>
      </c>
      <c r="B23" s="200" t="s">
        <v>46</v>
      </c>
      <c r="C23" s="85" t="s">
        <v>255</v>
      </c>
      <c r="D23" s="1675">
        <v>14817</v>
      </c>
      <c r="E23" s="1676">
        <v>602</v>
      </c>
      <c r="F23" s="1677">
        <f t="shared" si="21"/>
        <v>4.0629007221434837E-2</v>
      </c>
      <c r="G23" s="1688">
        <v>14830</v>
      </c>
      <c r="H23" s="1689">
        <v>1027</v>
      </c>
      <c r="I23" s="1664">
        <f t="shared" si="22"/>
        <v>6.9251517194875253E-2</v>
      </c>
      <c r="J23" s="1688">
        <v>14782</v>
      </c>
      <c r="K23" s="1689">
        <v>980</v>
      </c>
      <c r="L23" s="1695">
        <f t="shared" si="23"/>
        <v>6.6296847517250707E-2</v>
      </c>
      <c r="M23" s="1688">
        <v>14855</v>
      </c>
      <c r="N23" s="1689">
        <v>831</v>
      </c>
      <c r="O23" s="1695">
        <f t="shared" si="24"/>
        <v>5.5940760686637496E-2</v>
      </c>
      <c r="P23" s="1688">
        <v>14464</v>
      </c>
      <c r="Q23" s="1689">
        <v>732</v>
      </c>
      <c r="R23" s="1695">
        <f t="shared" si="25"/>
        <v>5.060840707964602E-2</v>
      </c>
      <c r="S23" s="1688">
        <v>14383</v>
      </c>
      <c r="T23" s="1689">
        <v>813</v>
      </c>
      <c r="U23" s="1695">
        <f t="shared" si="26"/>
        <v>5.6525064312035044E-2</v>
      </c>
      <c r="V23" s="1688">
        <v>13826</v>
      </c>
      <c r="W23" s="1689">
        <v>729</v>
      </c>
      <c r="X23" s="1695">
        <f t="shared" si="27"/>
        <v>5.2726746709098798E-2</v>
      </c>
      <c r="Y23" s="1688">
        <v>13901</v>
      </c>
      <c r="Z23" s="1689">
        <v>785</v>
      </c>
      <c r="AA23" s="1695">
        <f t="shared" si="28"/>
        <v>5.6470757499460469E-2</v>
      </c>
      <c r="AB23" s="1688">
        <v>14058</v>
      </c>
      <c r="AC23" s="1689">
        <v>934</v>
      </c>
      <c r="AD23" s="1695">
        <f t="shared" si="29"/>
        <v>6.6439038270024189E-2</v>
      </c>
      <c r="AE23" s="1688">
        <v>14407</v>
      </c>
      <c r="AF23" s="1689">
        <v>1559</v>
      </c>
      <c r="AG23" s="1695">
        <f t="shared" si="30"/>
        <v>0.10821128618032901</v>
      </c>
      <c r="AH23" s="1688">
        <v>14032</v>
      </c>
      <c r="AI23" s="1689">
        <v>1650</v>
      </c>
      <c r="AJ23" s="1695">
        <f t="shared" si="31"/>
        <v>0.11758836944127708</v>
      </c>
      <c r="AK23" s="1684">
        <v>13602</v>
      </c>
      <c r="AL23" s="1685">
        <v>1335</v>
      </c>
      <c r="AM23" s="1695">
        <f t="shared" si="32"/>
        <v>9.8147331274812524E-2</v>
      </c>
      <c r="AN23" s="1705">
        <v>13467</v>
      </c>
      <c r="AO23" s="1706">
        <v>1126</v>
      </c>
      <c r="AP23" s="1667">
        <f t="shared" si="33"/>
        <v>8.3611791787331996E-2</v>
      </c>
      <c r="AQ23" s="1705">
        <v>13256</v>
      </c>
      <c r="AR23" s="859">
        <v>1071</v>
      </c>
      <c r="AS23" s="1667">
        <f t="shared" si="34"/>
        <v>8.0793602896801445E-2</v>
      </c>
      <c r="AT23" s="1711">
        <v>13229</v>
      </c>
      <c r="AU23" s="1712">
        <v>872</v>
      </c>
      <c r="AV23" s="1695">
        <f t="shared" si="35"/>
        <v>6.5915791065084287E-2</v>
      </c>
      <c r="AW23" s="1705">
        <v>13100</v>
      </c>
      <c r="AX23" s="1715">
        <v>691</v>
      </c>
      <c r="AY23" s="1695">
        <f t="shared" si="36"/>
        <v>5.2748091603053437E-2</v>
      </c>
      <c r="AZ23" s="1705">
        <v>12977</v>
      </c>
      <c r="BA23" s="1715">
        <v>656</v>
      </c>
      <c r="BB23" s="1695">
        <f t="shared" si="37"/>
        <v>5.0550974801572009E-2</v>
      </c>
      <c r="BC23" s="1699">
        <v>13577</v>
      </c>
      <c r="BD23" s="984">
        <v>595</v>
      </c>
      <c r="BE23" s="980">
        <f t="shared" si="38"/>
        <v>4.3824114310967076E-2</v>
      </c>
      <c r="BF23" s="1699">
        <v>13348</v>
      </c>
      <c r="BG23" s="984">
        <v>475</v>
      </c>
      <c r="BH23" s="980">
        <f t="shared" si="39"/>
        <v>3.5585855558885229E-2</v>
      </c>
      <c r="BI23" s="1699">
        <v>13361</v>
      </c>
      <c r="BJ23" s="984">
        <v>457</v>
      </c>
      <c r="BK23" s="980">
        <f t="shared" si="19"/>
        <v>3.420402664471222E-2</v>
      </c>
      <c r="BL23" s="1699">
        <v>13153</v>
      </c>
      <c r="BM23" s="984">
        <v>1075</v>
      </c>
      <c r="BN23" s="980">
        <f t="shared" si="20"/>
        <v>8.1730403710180186E-2</v>
      </c>
    </row>
    <row r="24" spans="1:66" ht="12.75" customHeight="1" x14ac:dyDescent="0.3">
      <c r="A24" s="198" t="s">
        <v>47</v>
      </c>
      <c r="B24" s="200" t="s">
        <v>256</v>
      </c>
      <c r="C24" s="85" t="s">
        <v>253</v>
      </c>
      <c r="D24" s="1675">
        <v>3616</v>
      </c>
      <c r="E24" s="1676">
        <v>90</v>
      </c>
      <c r="F24" s="1677">
        <f t="shared" si="21"/>
        <v>2.4889380530973452E-2</v>
      </c>
      <c r="G24" s="1688">
        <v>3698</v>
      </c>
      <c r="H24" s="1689">
        <v>181</v>
      </c>
      <c r="I24" s="1664">
        <f t="shared" si="22"/>
        <v>4.8945375878853434E-2</v>
      </c>
      <c r="J24" s="1688">
        <v>3725</v>
      </c>
      <c r="K24" s="1689">
        <v>195</v>
      </c>
      <c r="L24" s="1695">
        <f t="shared" si="23"/>
        <v>5.2348993288590606E-2</v>
      </c>
      <c r="M24" s="1688">
        <v>3728</v>
      </c>
      <c r="N24" s="1689">
        <v>189</v>
      </c>
      <c r="O24" s="1695">
        <f t="shared" si="24"/>
        <v>5.069742489270386E-2</v>
      </c>
      <c r="P24" s="1688">
        <v>3743</v>
      </c>
      <c r="Q24" s="1689">
        <v>192</v>
      </c>
      <c r="R24" s="1695">
        <f t="shared" si="25"/>
        <v>5.1295752070531657E-2</v>
      </c>
      <c r="S24" s="1688">
        <v>3757</v>
      </c>
      <c r="T24" s="1689">
        <v>165</v>
      </c>
      <c r="U24" s="1695">
        <f t="shared" si="26"/>
        <v>4.3918019696566411E-2</v>
      </c>
      <c r="V24" s="1688">
        <v>3837</v>
      </c>
      <c r="W24" s="1689">
        <v>153</v>
      </c>
      <c r="X24" s="1695">
        <f t="shared" si="27"/>
        <v>3.98749022673964E-2</v>
      </c>
      <c r="Y24" s="1688">
        <v>3809</v>
      </c>
      <c r="Z24" s="1689">
        <v>149</v>
      </c>
      <c r="AA24" s="1695">
        <f t="shared" si="28"/>
        <v>3.9117878708322396E-2</v>
      </c>
      <c r="AB24" s="1688">
        <v>3886</v>
      </c>
      <c r="AC24" s="1689">
        <v>194</v>
      </c>
      <c r="AD24" s="1695">
        <f t="shared" si="29"/>
        <v>4.9922799794132784E-2</v>
      </c>
      <c r="AE24" s="1688">
        <v>3833</v>
      </c>
      <c r="AF24" s="1689">
        <v>345</v>
      </c>
      <c r="AG24" s="1695">
        <f t="shared" si="30"/>
        <v>9.0007826767544999E-2</v>
      </c>
      <c r="AH24" s="1688">
        <v>3908</v>
      </c>
      <c r="AI24" s="1689">
        <v>383</v>
      </c>
      <c r="AJ24" s="1695">
        <f t="shared" si="31"/>
        <v>9.800409416581371E-2</v>
      </c>
      <c r="AK24" s="1684">
        <v>3930</v>
      </c>
      <c r="AL24" s="1685">
        <v>352</v>
      </c>
      <c r="AM24" s="1695">
        <f t="shared" si="32"/>
        <v>8.9567430025445288E-2</v>
      </c>
      <c r="AN24" s="1705">
        <v>3847</v>
      </c>
      <c r="AO24" s="1706">
        <v>296</v>
      </c>
      <c r="AP24" s="1667">
        <f t="shared" si="33"/>
        <v>7.6943072524044712E-2</v>
      </c>
      <c r="AQ24" s="1705">
        <v>3788</v>
      </c>
      <c r="AR24" s="859">
        <v>250</v>
      </c>
      <c r="AS24" s="1667">
        <f t="shared" si="34"/>
        <v>6.5997888067581834E-2</v>
      </c>
      <c r="AT24" s="1711">
        <v>3730</v>
      </c>
      <c r="AU24" s="1712">
        <v>218</v>
      </c>
      <c r="AV24" s="1695">
        <f t="shared" si="35"/>
        <v>5.844504021447721E-2</v>
      </c>
      <c r="AW24" s="1705">
        <v>3731</v>
      </c>
      <c r="AX24" s="1715">
        <v>196</v>
      </c>
      <c r="AY24" s="1695">
        <f t="shared" si="36"/>
        <v>5.2532833020637902E-2</v>
      </c>
      <c r="AZ24" s="1705">
        <v>3724</v>
      </c>
      <c r="BA24" s="1715">
        <v>166</v>
      </c>
      <c r="BB24" s="1695">
        <f t="shared" si="37"/>
        <v>4.4575725026852843E-2</v>
      </c>
      <c r="BC24" s="1699">
        <v>3701</v>
      </c>
      <c r="BD24" s="984">
        <v>175</v>
      </c>
      <c r="BE24" s="980">
        <f t="shared" si="38"/>
        <v>4.7284517697919484E-2</v>
      </c>
      <c r="BF24" s="1699">
        <v>3659</v>
      </c>
      <c r="BG24" s="984">
        <v>145</v>
      </c>
      <c r="BH24" s="980">
        <f t="shared" si="39"/>
        <v>3.9628313746925388E-2</v>
      </c>
      <c r="BI24" s="1699">
        <v>3689</v>
      </c>
      <c r="BJ24" s="984">
        <v>122</v>
      </c>
      <c r="BK24" s="980">
        <f t="shared" si="19"/>
        <v>3.3071293033342372E-2</v>
      </c>
      <c r="BL24" s="1699">
        <v>3610</v>
      </c>
      <c r="BM24" s="984">
        <v>235</v>
      </c>
      <c r="BN24" s="980">
        <f t="shared" si="20"/>
        <v>6.5096952908587261E-2</v>
      </c>
    </row>
    <row r="25" spans="1:66" ht="12.75" customHeight="1" x14ac:dyDescent="0.3">
      <c r="A25" s="198" t="s">
        <v>49</v>
      </c>
      <c r="B25" s="200" t="s">
        <v>50</v>
      </c>
      <c r="C25" s="85" t="s">
        <v>252</v>
      </c>
      <c r="D25" s="1675">
        <v>5518</v>
      </c>
      <c r="E25" s="1676">
        <v>175</v>
      </c>
      <c r="F25" s="1677">
        <f t="shared" si="21"/>
        <v>3.1714389271475171E-2</v>
      </c>
      <c r="G25" s="1688">
        <v>5480</v>
      </c>
      <c r="H25" s="1689">
        <v>237</v>
      </c>
      <c r="I25" s="1664">
        <f t="shared" si="22"/>
        <v>4.3248175182481752E-2</v>
      </c>
      <c r="J25" s="1688">
        <v>5542</v>
      </c>
      <c r="K25" s="1689">
        <v>415</v>
      </c>
      <c r="L25" s="1695">
        <f t="shared" si="23"/>
        <v>7.4882713821725011E-2</v>
      </c>
      <c r="M25" s="1688">
        <v>5636</v>
      </c>
      <c r="N25" s="1689">
        <v>368</v>
      </c>
      <c r="O25" s="1695">
        <f t="shared" si="24"/>
        <v>6.5294535131298792E-2</v>
      </c>
      <c r="P25" s="1688">
        <v>5511</v>
      </c>
      <c r="Q25" s="1689">
        <v>336</v>
      </c>
      <c r="R25" s="1695">
        <f t="shared" si="25"/>
        <v>6.096897114861187E-2</v>
      </c>
      <c r="S25" s="1688">
        <v>5424</v>
      </c>
      <c r="T25" s="1689">
        <v>448</v>
      </c>
      <c r="U25" s="1695">
        <f t="shared" si="26"/>
        <v>8.2595870206489674E-2</v>
      </c>
      <c r="V25" s="1688">
        <v>5257</v>
      </c>
      <c r="W25" s="1689">
        <v>353</v>
      </c>
      <c r="X25" s="1695">
        <f t="shared" si="27"/>
        <v>6.7148563819669008E-2</v>
      </c>
      <c r="Y25" s="1688">
        <v>5268</v>
      </c>
      <c r="Z25" s="1689">
        <v>280</v>
      </c>
      <c r="AA25" s="1695">
        <f t="shared" si="28"/>
        <v>5.3151100987091873E-2</v>
      </c>
      <c r="AB25" s="1688">
        <v>5435</v>
      </c>
      <c r="AC25" s="1689">
        <v>321</v>
      </c>
      <c r="AD25" s="1695">
        <f t="shared" si="29"/>
        <v>5.9061637534498619E-2</v>
      </c>
      <c r="AE25" s="1688">
        <v>5548</v>
      </c>
      <c r="AF25" s="1689">
        <v>511</v>
      </c>
      <c r="AG25" s="1695">
        <f t="shared" si="30"/>
        <v>9.2105263157894732E-2</v>
      </c>
      <c r="AH25" s="1688">
        <v>5368</v>
      </c>
      <c r="AI25" s="1689">
        <v>550</v>
      </c>
      <c r="AJ25" s="1695">
        <f t="shared" si="31"/>
        <v>0.10245901639344263</v>
      </c>
      <c r="AK25" s="1684">
        <v>5391</v>
      </c>
      <c r="AL25" s="1685">
        <v>526</v>
      </c>
      <c r="AM25" s="1695">
        <f t="shared" si="32"/>
        <v>9.757002411426452E-2</v>
      </c>
      <c r="AN25" s="1705">
        <v>5354</v>
      </c>
      <c r="AO25" s="1706">
        <v>457</v>
      </c>
      <c r="AP25" s="1667">
        <f t="shared" si="33"/>
        <v>8.5356742622338444E-2</v>
      </c>
      <c r="AQ25" s="1705">
        <v>5312</v>
      </c>
      <c r="AR25" s="859">
        <v>403</v>
      </c>
      <c r="AS25" s="1667">
        <f t="shared" si="34"/>
        <v>7.5865963855421686E-2</v>
      </c>
      <c r="AT25" s="1711">
        <v>5317</v>
      </c>
      <c r="AU25" s="1712">
        <v>353</v>
      </c>
      <c r="AV25" s="1695">
        <f t="shared" si="35"/>
        <v>6.6390821892044385E-2</v>
      </c>
      <c r="AW25" s="1705">
        <v>5271</v>
      </c>
      <c r="AX25" s="1715">
        <v>296</v>
      </c>
      <c r="AY25" s="1695">
        <f t="shared" si="36"/>
        <v>5.6156327072661737E-2</v>
      </c>
      <c r="AZ25" s="1705">
        <v>5259</v>
      </c>
      <c r="BA25" s="1715">
        <v>259</v>
      </c>
      <c r="BB25" s="1695">
        <f t="shared" si="37"/>
        <v>4.924890663624263E-2</v>
      </c>
      <c r="BC25" s="1699">
        <v>5347</v>
      </c>
      <c r="BD25" s="984">
        <v>242</v>
      </c>
      <c r="BE25" s="980">
        <f t="shared" si="38"/>
        <v>4.5259023751636429E-2</v>
      </c>
      <c r="BF25" s="1699">
        <v>5232</v>
      </c>
      <c r="BG25" s="984">
        <v>189</v>
      </c>
      <c r="BH25" s="980">
        <f t="shared" si="39"/>
        <v>3.6123853211009173E-2</v>
      </c>
      <c r="BI25" s="1699">
        <v>5291</v>
      </c>
      <c r="BJ25" s="984">
        <v>179</v>
      </c>
      <c r="BK25" s="980">
        <f t="shared" si="19"/>
        <v>3.3831033831033828E-2</v>
      </c>
      <c r="BL25" s="1699">
        <v>5084</v>
      </c>
      <c r="BM25" s="984">
        <v>285</v>
      </c>
      <c r="BN25" s="980">
        <f t="shared" si="20"/>
        <v>5.6058221872541308E-2</v>
      </c>
    </row>
    <row r="26" spans="1:66" ht="12.75" customHeight="1" x14ac:dyDescent="0.3">
      <c r="A26" s="198" t="s">
        <v>55</v>
      </c>
      <c r="B26" s="200" t="s">
        <v>56</v>
      </c>
      <c r="C26" s="85" t="s">
        <v>253</v>
      </c>
      <c r="D26" s="1678">
        <v>150924</v>
      </c>
      <c r="E26" s="1679">
        <v>2757</v>
      </c>
      <c r="F26" s="1677">
        <f t="shared" si="21"/>
        <v>1.8267472370199572E-2</v>
      </c>
      <c r="G26" s="1690">
        <v>153662</v>
      </c>
      <c r="H26" s="1691">
        <v>4038</v>
      </c>
      <c r="I26" s="1664">
        <f t="shared" si="22"/>
        <v>2.6278455311007275E-2</v>
      </c>
      <c r="J26" s="1690">
        <v>156271</v>
      </c>
      <c r="K26" s="1691">
        <v>5436</v>
      </c>
      <c r="L26" s="1695">
        <f t="shared" si="23"/>
        <v>3.4785724798587069E-2</v>
      </c>
      <c r="M26" s="1690">
        <v>158483</v>
      </c>
      <c r="N26" s="1691">
        <v>5676</v>
      </c>
      <c r="O26" s="1695">
        <f t="shared" si="24"/>
        <v>3.5814566862060915E-2</v>
      </c>
      <c r="P26" s="1690">
        <v>162515</v>
      </c>
      <c r="Q26" s="1691">
        <v>5552</v>
      </c>
      <c r="R26" s="1695">
        <f t="shared" si="25"/>
        <v>3.4163000338430297E-2</v>
      </c>
      <c r="S26" s="1690">
        <v>167672</v>
      </c>
      <c r="T26" s="1691">
        <v>5427</v>
      </c>
      <c r="U26" s="1695">
        <f t="shared" si="26"/>
        <v>3.236676368147335E-2</v>
      </c>
      <c r="V26" s="1690">
        <v>173302</v>
      </c>
      <c r="W26" s="1691">
        <v>4895</v>
      </c>
      <c r="X26" s="1695">
        <f t="shared" si="27"/>
        <v>2.8245490530980601E-2</v>
      </c>
      <c r="Y26" s="1690">
        <v>174887</v>
      </c>
      <c r="Z26" s="1691">
        <v>4649</v>
      </c>
      <c r="AA26" s="1695">
        <f t="shared" si="28"/>
        <v>2.6582879230588895E-2</v>
      </c>
      <c r="AB26" s="1690">
        <v>179267</v>
      </c>
      <c r="AC26" s="1691">
        <v>6628</v>
      </c>
      <c r="AD26" s="1695">
        <f t="shared" si="29"/>
        <v>3.697278361326959E-2</v>
      </c>
      <c r="AE26" s="1690">
        <v>176498</v>
      </c>
      <c r="AF26" s="1691">
        <v>11840</v>
      </c>
      <c r="AG26" s="1695">
        <f t="shared" si="30"/>
        <v>6.7082913120828563E-2</v>
      </c>
      <c r="AH26" s="1690">
        <v>177398</v>
      </c>
      <c r="AI26" s="1691">
        <v>13344</v>
      </c>
      <c r="AJ26" s="1695">
        <f t="shared" si="31"/>
        <v>7.5220690199438556E-2</v>
      </c>
      <c r="AK26" s="1684">
        <v>179816</v>
      </c>
      <c r="AL26" s="1685">
        <v>12188</v>
      </c>
      <c r="AM26" s="1695">
        <f t="shared" si="32"/>
        <v>6.7780397739911916E-2</v>
      </c>
      <c r="AN26" s="1705">
        <v>181332</v>
      </c>
      <c r="AO26" s="1706">
        <v>10917</v>
      </c>
      <c r="AP26" s="1667">
        <f t="shared" si="33"/>
        <v>6.0204486797697042E-2</v>
      </c>
      <c r="AQ26" s="1705">
        <v>183381</v>
      </c>
      <c r="AR26" s="859">
        <v>10192</v>
      </c>
      <c r="AS26" s="1667">
        <f t="shared" si="34"/>
        <v>5.5578276920727886E-2</v>
      </c>
      <c r="AT26" s="1711">
        <v>186775</v>
      </c>
      <c r="AU26" s="1712">
        <v>9446</v>
      </c>
      <c r="AV26" s="1695">
        <f t="shared" si="35"/>
        <v>5.0574220318565122E-2</v>
      </c>
      <c r="AW26" s="1705">
        <v>187375</v>
      </c>
      <c r="AX26" s="1715">
        <v>7990</v>
      </c>
      <c r="AY26" s="1695">
        <f t="shared" si="36"/>
        <v>4.2641761174116076E-2</v>
      </c>
      <c r="AZ26" s="1705">
        <v>189695</v>
      </c>
      <c r="BA26" s="1715">
        <v>7252</v>
      </c>
      <c r="BB26" s="1695">
        <f t="shared" si="37"/>
        <v>3.8229789925933733E-2</v>
      </c>
      <c r="BC26" s="1699">
        <v>193356</v>
      </c>
      <c r="BD26" s="984">
        <v>6942</v>
      </c>
      <c r="BE26" s="980">
        <f t="shared" si="38"/>
        <v>3.5902687271147524E-2</v>
      </c>
      <c r="BF26" s="1699">
        <v>195767</v>
      </c>
      <c r="BG26" s="984">
        <v>5690</v>
      </c>
      <c r="BH26" s="980">
        <f t="shared" si="39"/>
        <v>2.9065164200299337E-2</v>
      </c>
      <c r="BI26" s="1699">
        <v>199163</v>
      </c>
      <c r="BJ26" s="984">
        <v>5283</v>
      </c>
      <c r="BK26" s="980">
        <f t="shared" si="19"/>
        <v>2.6526011357531267E-2</v>
      </c>
      <c r="BL26" s="1699">
        <v>194567</v>
      </c>
      <c r="BM26" s="984">
        <v>11574</v>
      </c>
      <c r="BN26" s="980">
        <f t="shared" si="20"/>
        <v>5.948593543612226E-2</v>
      </c>
    </row>
    <row r="27" spans="1:66" ht="12.75" customHeight="1" x14ac:dyDescent="0.3">
      <c r="A27" s="198" t="s">
        <v>57</v>
      </c>
      <c r="B27" s="200" t="s">
        <v>58</v>
      </c>
      <c r="C27" s="85" t="s">
        <v>254</v>
      </c>
      <c r="D27" s="1675">
        <v>6908</v>
      </c>
      <c r="E27" s="1676">
        <v>110</v>
      </c>
      <c r="F27" s="1677">
        <f t="shared" si="21"/>
        <v>1.5923566878980892E-2</v>
      </c>
      <c r="G27" s="1688">
        <v>7068</v>
      </c>
      <c r="H27" s="1689">
        <v>158</v>
      </c>
      <c r="I27" s="1664">
        <f t="shared" si="22"/>
        <v>2.2354272778720995E-2</v>
      </c>
      <c r="J27" s="1688">
        <v>7068</v>
      </c>
      <c r="K27" s="1689">
        <v>215</v>
      </c>
      <c r="L27" s="1695">
        <f t="shared" si="23"/>
        <v>3.0418788907753253E-2</v>
      </c>
      <c r="M27" s="1688">
        <v>7106</v>
      </c>
      <c r="N27" s="1689">
        <v>221</v>
      </c>
      <c r="O27" s="1695">
        <f t="shared" si="24"/>
        <v>3.1100478468899521E-2</v>
      </c>
      <c r="P27" s="1688">
        <v>7387</v>
      </c>
      <c r="Q27" s="1689">
        <v>213</v>
      </c>
      <c r="R27" s="1695">
        <f t="shared" si="25"/>
        <v>2.8834438879111954E-2</v>
      </c>
      <c r="S27" s="1688">
        <v>7738</v>
      </c>
      <c r="T27" s="1689">
        <v>201</v>
      </c>
      <c r="U27" s="1695">
        <f t="shared" si="26"/>
        <v>2.5975704316360818E-2</v>
      </c>
      <c r="V27" s="1688">
        <v>8054</v>
      </c>
      <c r="W27" s="1689">
        <v>199</v>
      </c>
      <c r="X27" s="1695">
        <f t="shared" si="27"/>
        <v>2.4708219518251799E-2</v>
      </c>
      <c r="Y27" s="1688">
        <v>8017</v>
      </c>
      <c r="Z27" s="1689">
        <v>215</v>
      </c>
      <c r="AA27" s="1695">
        <f t="shared" si="28"/>
        <v>2.6818011725084197E-2</v>
      </c>
      <c r="AB27" s="1688">
        <v>8195</v>
      </c>
      <c r="AC27" s="1689">
        <v>280</v>
      </c>
      <c r="AD27" s="1695">
        <f t="shared" si="29"/>
        <v>3.4167175106772425E-2</v>
      </c>
      <c r="AE27" s="1688">
        <v>8102</v>
      </c>
      <c r="AF27" s="1689">
        <v>511</v>
      </c>
      <c r="AG27" s="1695">
        <f t="shared" si="30"/>
        <v>6.3070846704517403E-2</v>
      </c>
      <c r="AH27" s="1688">
        <v>7705</v>
      </c>
      <c r="AI27" s="1689">
        <v>527</v>
      </c>
      <c r="AJ27" s="1695">
        <f t="shared" si="31"/>
        <v>6.8397144711226474E-2</v>
      </c>
      <c r="AK27" s="1684">
        <v>7761</v>
      </c>
      <c r="AL27" s="1685">
        <v>443</v>
      </c>
      <c r="AM27" s="1695">
        <f t="shared" si="32"/>
        <v>5.7080273160675168E-2</v>
      </c>
      <c r="AN27" s="1705">
        <v>7728</v>
      </c>
      <c r="AO27" s="1706">
        <v>397</v>
      </c>
      <c r="AP27" s="1667">
        <f t="shared" si="33"/>
        <v>5.1371635610766048E-2</v>
      </c>
      <c r="AQ27" s="1705">
        <v>7626</v>
      </c>
      <c r="AR27" s="859">
        <v>353</v>
      </c>
      <c r="AS27" s="1667">
        <f t="shared" si="34"/>
        <v>4.6289011277209545E-2</v>
      </c>
      <c r="AT27" s="1711">
        <v>7572</v>
      </c>
      <c r="AU27" s="1712">
        <v>326</v>
      </c>
      <c r="AV27" s="1695">
        <f t="shared" si="35"/>
        <v>4.3053354463814052E-2</v>
      </c>
      <c r="AW27" s="1705">
        <v>7461</v>
      </c>
      <c r="AX27" s="1715">
        <v>293</v>
      </c>
      <c r="AY27" s="1695">
        <f t="shared" si="36"/>
        <v>3.927087521779922E-2</v>
      </c>
      <c r="AZ27" s="1705">
        <v>7446</v>
      </c>
      <c r="BA27" s="1715">
        <v>262</v>
      </c>
      <c r="BB27" s="1695">
        <f t="shared" si="37"/>
        <v>3.5186677410690301E-2</v>
      </c>
      <c r="BC27" s="1699">
        <v>7488</v>
      </c>
      <c r="BD27" s="984">
        <v>254</v>
      </c>
      <c r="BE27" s="980">
        <f t="shared" si="38"/>
        <v>3.3920940170940168E-2</v>
      </c>
      <c r="BF27" s="1699">
        <v>7535</v>
      </c>
      <c r="BG27" s="984">
        <v>215</v>
      </c>
      <c r="BH27" s="980">
        <f t="shared" si="39"/>
        <v>2.8533510285335104E-2</v>
      </c>
      <c r="BI27" s="1699">
        <v>7713</v>
      </c>
      <c r="BJ27" s="984">
        <v>182</v>
      </c>
      <c r="BK27" s="980">
        <f t="shared" si="19"/>
        <v>2.3596525346817061E-2</v>
      </c>
      <c r="BL27" s="1699">
        <v>7498</v>
      </c>
      <c r="BM27" s="984">
        <v>341</v>
      </c>
      <c r="BN27" s="980">
        <f t="shared" si="20"/>
        <v>4.547879434515871E-2</v>
      </c>
    </row>
    <row r="28" spans="1:66" ht="12.75" customHeight="1" x14ac:dyDescent="0.3">
      <c r="A28" s="198" t="s">
        <v>59</v>
      </c>
      <c r="B28" s="200" t="s">
        <v>60</v>
      </c>
      <c r="C28" s="85" t="s">
        <v>252</v>
      </c>
      <c r="D28" s="1675">
        <v>2503</v>
      </c>
      <c r="E28" s="1676">
        <v>61</v>
      </c>
      <c r="F28" s="1677">
        <f t="shared" si="21"/>
        <v>2.4370755093887336E-2</v>
      </c>
      <c r="G28" s="1688">
        <v>2505</v>
      </c>
      <c r="H28" s="1689">
        <v>73</v>
      </c>
      <c r="I28" s="1664">
        <f t="shared" si="22"/>
        <v>2.9141716566866267E-2</v>
      </c>
      <c r="J28" s="1688">
        <v>2534</v>
      </c>
      <c r="K28" s="1689">
        <v>103</v>
      </c>
      <c r="L28" s="1695">
        <f t="shared" si="23"/>
        <v>4.0647198105761645E-2</v>
      </c>
      <c r="M28" s="1688">
        <v>2487</v>
      </c>
      <c r="N28" s="1689">
        <v>102</v>
      </c>
      <c r="O28" s="1695">
        <f t="shared" si="24"/>
        <v>4.1013268998793727E-2</v>
      </c>
      <c r="P28" s="1688">
        <v>2471</v>
      </c>
      <c r="Q28" s="1689">
        <v>99</v>
      </c>
      <c r="R28" s="1695">
        <f t="shared" si="25"/>
        <v>4.0064751112909754E-2</v>
      </c>
      <c r="S28" s="1688">
        <v>2500</v>
      </c>
      <c r="T28" s="1689">
        <v>98</v>
      </c>
      <c r="U28" s="1695">
        <f t="shared" si="26"/>
        <v>3.9199999999999999E-2</v>
      </c>
      <c r="V28" s="1688">
        <v>2556</v>
      </c>
      <c r="W28" s="1689">
        <v>89</v>
      </c>
      <c r="X28" s="1695">
        <f t="shared" si="27"/>
        <v>3.4820031298904541E-2</v>
      </c>
      <c r="Y28" s="1688">
        <v>2559</v>
      </c>
      <c r="Z28" s="1689">
        <v>95</v>
      </c>
      <c r="AA28" s="1695">
        <f t="shared" si="28"/>
        <v>3.7123876514263382E-2</v>
      </c>
      <c r="AB28" s="1688">
        <v>2552</v>
      </c>
      <c r="AC28" s="1689">
        <v>102</v>
      </c>
      <c r="AD28" s="1695">
        <f t="shared" si="29"/>
        <v>3.9968652037617555E-2</v>
      </c>
      <c r="AE28" s="1688">
        <v>2443</v>
      </c>
      <c r="AF28" s="1689">
        <v>180</v>
      </c>
      <c r="AG28" s="1695">
        <f t="shared" si="30"/>
        <v>7.3679901760130992E-2</v>
      </c>
      <c r="AH28" s="1688">
        <v>2444</v>
      </c>
      <c r="AI28" s="1689">
        <v>199</v>
      </c>
      <c r="AJ28" s="1695">
        <f t="shared" si="31"/>
        <v>8.1423895253682488E-2</v>
      </c>
      <c r="AK28" s="1684">
        <v>2477</v>
      </c>
      <c r="AL28" s="1685">
        <v>186</v>
      </c>
      <c r="AM28" s="1695">
        <f t="shared" si="32"/>
        <v>7.5090835688332663E-2</v>
      </c>
      <c r="AN28" s="1705">
        <v>2461</v>
      </c>
      <c r="AO28" s="1706">
        <v>169</v>
      </c>
      <c r="AP28" s="1667">
        <f t="shared" si="33"/>
        <v>6.8671271840715156E-2</v>
      </c>
      <c r="AQ28" s="1705">
        <v>2456</v>
      </c>
      <c r="AR28" s="859">
        <v>169</v>
      </c>
      <c r="AS28" s="1667">
        <f t="shared" si="34"/>
        <v>6.8811074918566778E-2</v>
      </c>
      <c r="AT28" s="1711">
        <v>2466</v>
      </c>
      <c r="AU28" s="1712">
        <v>154</v>
      </c>
      <c r="AV28" s="1695">
        <f t="shared" si="35"/>
        <v>6.2449310624493104E-2</v>
      </c>
      <c r="AW28" s="1705">
        <v>2389</v>
      </c>
      <c r="AX28" s="1715">
        <v>130</v>
      </c>
      <c r="AY28" s="1695">
        <f t="shared" si="36"/>
        <v>5.4416073670992049E-2</v>
      </c>
      <c r="AZ28" s="1705">
        <v>2353</v>
      </c>
      <c r="BA28" s="1715">
        <v>110</v>
      </c>
      <c r="BB28" s="1695">
        <f t="shared" si="37"/>
        <v>4.6748831279218021E-2</v>
      </c>
      <c r="BC28" s="1699">
        <v>2299</v>
      </c>
      <c r="BD28" s="984">
        <v>99</v>
      </c>
      <c r="BE28" s="980">
        <f t="shared" si="38"/>
        <v>4.3062200956937802E-2</v>
      </c>
      <c r="BF28" s="1699">
        <v>2300</v>
      </c>
      <c r="BG28" s="984">
        <v>81</v>
      </c>
      <c r="BH28" s="980">
        <f t="shared" si="39"/>
        <v>3.5217391304347825E-2</v>
      </c>
      <c r="BI28" s="1699">
        <v>2357</v>
      </c>
      <c r="BJ28" s="984">
        <v>71</v>
      </c>
      <c r="BK28" s="980">
        <f t="shared" si="19"/>
        <v>3.0123037759864236E-2</v>
      </c>
      <c r="BL28" s="1699">
        <v>2286</v>
      </c>
      <c r="BM28" s="984">
        <v>116</v>
      </c>
      <c r="BN28" s="980">
        <f t="shared" si="20"/>
        <v>5.0743657042869643E-2</v>
      </c>
    </row>
    <row r="29" spans="1:66" ht="12.75" customHeight="1" x14ac:dyDescent="0.3">
      <c r="A29" s="198" t="s">
        <v>61</v>
      </c>
      <c r="B29" s="200" t="s">
        <v>62</v>
      </c>
      <c r="C29" s="85" t="s">
        <v>254</v>
      </c>
      <c r="D29" s="1675">
        <v>16930</v>
      </c>
      <c r="E29" s="1676">
        <v>326</v>
      </c>
      <c r="F29" s="1677">
        <f t="shared" si="21"/>
        <v>1.9255759007678678E-2</v>
      </c>
      <c r="G29" s="1688">
        <v>17352</v>
      </c>
      <c r="H29" s="1689">
        <v>454</v>
      </c>
      <c r="I29" s="1664">
        <f t="shared" si="22"/>
        <v>2.6164130935915169E-2</v>
      </c>
      <c r="J29" s="1688">
        <v>17557</v>
      </c>
      <c r="K29" s="1689">
        <v>667</v>
      </c>
      <c r="L29" s="1695">
        <f t="shared" si="23"/>
        <v>3.799054508173378E-2</v>
      </c>
      <c r="M29" s="1688">
        <v>17933</v>
      </c>
      <c r="N29" s="1689">
        <v>725</v>
      </c>
      <c r="O29" s="1695">
        <f t="shared" si="24"/>
        <v>4.0428260748341049E-2</v>
      </c>
      <c r="P29" s="1688">
        <v>17939</v>
      </c>
      <c r="Q29" s="1689">
        <v>645</v>
      </c>
      <c r="R29" s="1695">
        <f t="shared" si="25"/>
        <v>3.5955181448241259E-2</v>
      </c>
      <c r="S29" s="1688">
        <v>19022</v>
      </c>
      <c r="T29" s="1689">
        <v>631</v>
      </c>
      <c r="U29" s="1695">
        <f t="shared" si="26"/>
        <v>3.3172116496688046E-2</v>
      </c>
      <c r="V29" s="1688">
        <v>20066</v>
      </c>
      <c r="W29" s="1689">
        <v>656</v>
      </c>
      <c r="X29" s="1695">
        <f t="shared" si="27"/>
        <v>3.2692116017143426E-2</v>
      </c>
      <c r="Y29" s="1688">
        <v>20225</v>
      </c>
      <c r="Z29" s="1689">
        <v>728</v>
      </c>
      <c r="AA29" s="1695">
        <f t="shared" si="28"/>
        <v>3.5995055624227439E-2</v>
      </c>
      <c r="AB29" s="1688">
        <v>20962</v>
      </c>
      <c r="AC29" s="1689">
        <v>1006</v>
      </c>
      <c r="AD29" s="1695">
        <f t="shared" si="29"/>
        <v>4.7991603854594028E-2</v>
      </c>
      <c r="AE29" s="1688">
        <v>21308</v>
      </c>
      <c r="AF29" s="1689">
        <v>1686</v>
      </c>
      <c r="AG29" s="1695">
        <f t="shared" si="30"/>
        <v>7.9125211188286096E-2</v>
      </c>
      <c r="AH29" s="1688">
        <v>23289</v>
      </c>
      <c r="AI29" s="1689">
        <v>1709</v>
      </c>
      <c r="AJ29" s="1695">
        <f t="shared" si="31"/>
        <v>7.3382283481471938E-2</v>
      </c>
      <c r="AK29" s="1684">
        <v>23359</v>
      </c>
      <c r="AL29" s="1685">
        <v>1481</v>
      </c>
      <c r="AM29" s="1695">
        <f t="shared" si="32"/>
        <v>6.340168671604092E-2</v>
      </c>
      <c r="AN29" s="1705">
        <v>23329</v>
      </c>
      <c r="AO29" s="1706">
        <v>1300</v>
      </c>
      <c r="AP29" s="1667">
        <f t="shared" si="33"/>
        <v>5.57246345749925E-2</v>
      </c>
      <c r="AQ29" s="1705">
        <v>23387</v>
      </c>
      <c r="AR29" s="859">
        <v>1226</v>
      </c>
      <c r="AS29" s="1667">
        <f t="shared" si="34"/>
        <v>5.2422285885320906E-2</v>
      </c>
      <c r="AT29" s="1711">
        <v>23431</v>
      </c>
      <c r="AU29" s="1712">
        <v>1150</v>
      </c>
      <c r="AV29" s="1695">
        <f t="shared" si="35"/>
        <v>4.9080278263838505E-2</v>
      </c>
      <c r="AW29" s="1705">
        <v>23196</v>
      </c>
      <c r="AX29" s="1715">
        <v>994</v>
      </c>
      <c r="AY29" s="1695">
        <f t="shared" si="36"/>
        <v>4.2852215899292979E-2</v>
      </c>
      <c r="AZ29" s="1705">
        <v>23481</v>
      </c>
      <c r="BA29" s="1715">
        <v>896</v>
      </c>
      <c r="BB29" s="1695">
        <f t="shared" si="37"/>
        <v>3.8158511136663686E-2</v>
      </c>
      <c r="BC29" s="1699">
        <v>24024</v>
      </c>
      <c r="BD29" s="984">
        <v>861</v>
      </c>
      <c r="BE29" s="980">
        <f t="shared" si="38"/>
        <v>3.583916083916084E-2</v>
      </c>
      <c r="BF29" s="1699">
        <v>24392</v>
      </c>
      <c r="BG29" s="984">
        <v>693</v>
      </c>
      <c r="BH29" s="980">
        <f t="shared" si="39"/>
        <v>2.8410954411282389E-2</v>
      </c>
      <c r="BI29" s="1699">
        <v>25164</v>
      </c>
      <c r="BJ29" s="984">
        <v>625</v>
      </c>
      <c r="BK29" s="980">
        <f t="shared" si="19"/>
        <v>2.4837068828485138E-2</v>
      </c>
      <c r="BL29" s="1699">
        <v>24511</v>
      </c>
      <c r="BM29" s="984">
        <v>1214</v>
      </c>
      <c r="BN29" s="980">
        <f t="shared" si="20"/>
        <v>4.9528782995389826E-2</v>
      </c>
    </row>
    <row r="30" spans="1:66" ht="12.75" customHeight="1" x14ac:dyDescent="0.3">
      <c r="A30" s="198" t="s">
        <v>63</v>
      </c>
      <c r="B30" s="200" t="s">
        <v>64</v>
      </c>
      <c r="C30" s="85" t="s">
        <v>253</v>
      </c>
      <c r="D30" s="1675">
        <v>4237</v>
      </c>
      <c r="E30" s="1676">
        <v>95</v>
      </c>
      <c r="F30" s="1677">
        <f t="shared" si="21"/>
        <v>2.2421524663677129E-2</v>
      </c>
      <c r="G30" s="1688">
        <v>4214</v>
      </c>
      <c r="H30" s="1689">
        <v>118</v>
      </c>
      <c r="I30" s="1664">
        <f t="shared" si="22"/>
        <v>2.8001898433792121E-2</v>
      </c>
      <c r="J30" s="1688">
        <v>4237</v>
      </c>
      <c r="K30" s="1689">
        <v>156</v>
      </c>
      <c r="L30" s="1695">
        <f t="shared" si="23"/>
        <v>3.6818503658248763E-2</v>
      </c>
      <c r="M30" s="1688">
        <v>4276</v>
      </c>
      <c r="N30" s="1689">
        <v>173</v>
      </c>
      <c r="O30" s="1695">
        <f t="shared" si="24"/>
        <v>4.0458372310570624E-2</v>
      </c>
      <c r="P30" s="1688">
        <v>4310</v>
      </c>
      <c r="Q30" s="1689">
        <v>174</v>
      </c>
      <c r="R30" s="1695">
        <f t="shared" si="25"/>
        <v>4.0371229698375873E-2</v>
      </c>
      <c r="S30" s="1688">
        <v>4452</v>
      </c>
      <c r="T30" s="1689">
        <v>175</v>
      </c>
      <c r="U30" s="1695">
        <f t="shared" si="26"/>
        <v>3.9308176100628929E-2</v>
      </c>
      <c r="V30" s="1688">
        <v>4523</v>
      </c>
      <c r="W30" s="1689">
        <v>157</v>
      </c>
      <c r="X30" s="1695">
        <f t="shared" si="27"/>
        <v>3.4711474684943622E-2</v>
      </c>
      <c r="Y30" s="1688">
        <v>4592</v>
      </c>
      <c r="Z30" s="1689">
        <v>147</v>
      </c>
      <c r="AA30" s="1695">
        <f t="shared" si="28"/>
        <v>3.201219512195122E-2</v>
      </c>
      <c r="AB30" s="1688">
        <v>4699</v>
      </c>
      <c r="AC30" s="1689">
        <v>224</v>
      </c>
      <c r="AD30" s="1695">
        <f t="shared" si="29"/>
        <v>4.7669716961055542E-2</v>
      </c>
      <c r="AE30" s="1688">
        <v>4598</v>
      </c>
      <c r="AF30" s="1689">
        <v>336</v>
      </c>
      <c r="AG30" s="1695">
        <f t="shared" si="30"/>
        <v>7.3075250108742926E-2</v>
      </c>
      <c r="AH30" s="1688">
        <v>4530</v>
      </c>
      <c r="AI30" s="1689">
        <v>391</v>
      </c>
      <c r="AJ30" s="1695">
        <f t="shared" si="31"/>
        <v>8.6313465783664459E-2</v>
      </c>
      <c r="AK30" s="1684">
        <v>4552</v>
      </c>
      <c r="AL30" s="1685">
        <v>346</v>
      </c>
      <c r="AM30" s="1695">
        <f t="shared" si="32"/>
        <v>7.6010544815465736E-2</v>
      </c>
      <c r="AN30" s="1705">
        <v>4520</v>
      </c>
      <c r="AO30" s="1706">
        <v>316</v>
      </c>
      <c r="AP30" s="1667">
        <f t="shared" si="33"/>
        <v>6.9911504424778767E-2</v>
      </c>
      <c r="AQ30" s="1705">
        <v>4508</v>
      </c>
      <c r="AR30" s="859">
        <v>293</v>
      </c>
      <c r="AS30" s="1667">
        <f t="shared" si="34"/>
        <v>6.4995563442768411E-2</v>
      </c>
      <c r="AT30" s="1711">
        <v>4553</v>
      </c>
      <c r="AU30" s="1712">
        <v>274</v>
      </c>
      <c r="AV30" s="1695">
        <f t="shared" si="35"/>
        <v>6.0180101032286402E-2</v>
      </c>
      <c r="AW30" s="1705">
        <v>4573</v>
      </c>
      <c r="AX30" s="1715">
        <v>232</v>
      </c>
      <c r="AY30" s="1695">
        <f t="shared" si="36"/>
        <v>5.0732560682265469E-2</v>
      </c>
      <c r="AZ30" s="1705">
        <v>4609</v>
      </c>
      <c r="BA30" s="1715">
        <v>209</v>
      </c>
      <c r="BB30" s="1695">
        <f t="shared" si="37"/>
        <v>4.5346062052505964E-2</v>
      </c>
      <c r="BC30" s="1699">
        <v>4709</v>
      </c>
      <c r="BD30" s="984">
        <v>194</v>
      </c>
      <c r="BE30" s="980">
        <f t="shared" si="38"/>
        <v>4.1197706519430874E-2</v>
      </c>
      <c r="BF30" s="1699">
        <v>4669</v>
      </c>
      <c r="BG30" s="984">
        <v>150</v>
      </c>
      <c r="BH30" s="980">
        <f t="shared" si="39"/>
        <v>3.212679374598415E-2</v>
      </c>
      <c r="BI30" s="1699">
        <v>4695</v>
      </c>
      <c r="BJ30" s="984">
        <v>136</v>
      </c>
      <c r="BK30" s="980">
        <f t="shared" si="19"/>
        <v>2.8966986155484559E-2</v>
      </c>
      <c r="BL30" s="1699">
        <v>4569</v>
      </c>
      <c r="BM30" s="984">
        <v>280</v>
      </c>
      <c r="BN30" s="980">
        <f t="shared" si="20"/>
        <v>6.1282556358065225E-2</v>
      </c>
    </row>
    <row r="31" spans="1:66" ht="12.75" customHeight="1" x14ac:dyDescent="0.3">
      <c r="A31" s="198" t="s">
        <v>67</v>
      </c>
      <c r="B31" s="200" t="s">
        <v>68</v>
      </c>
      <c r="C31" s="85" t="s">
        <v>255</v>
      </c>
      <c r="D31" s="1675">
        <v>5365</v>
      </c>
      <c r="E31" s="1676">
        <v>313</v>
      </c>
      <c r="F31" s="1677">
        <f t="shared" si="21"/>
        <v>5.8341099720410065E-2</v>
      </c>
      <c r="G31" s="1688">
        <v>5491</v>
      </c>
      <c r="H31" s="1689">
        <v>387</v>
      </c>
      <c r="I31" s="1664">
        <f t="shared" si="22"/>
        <v>7.0478965580040062E-2</v>
      </c>
      <c r="J31" s="1688">
        <v>5650</v>
      </c>
      <c r="K31" s="1689">
        <v>444</v>
      </c>
      <c r="L31" s="1695">
        <f t="shared" si="23"/>
        <v>7.8584070796460181E-2</v>
      </c>
      <c r="M31" s="1688">
        <v>5796</v>
      </c>
      <c r="N31" s="1689">
        <v>492</v>
      </c>
      <c r="O31" s="1695">
        <f t="shared" si="24"/>
        <v>8.4886128364389232E-2</v>
      </c>
      <c r="P31" s="1688">
        <v>5558</v>
      </c>
      <c r="Q31" s="1689">
        <v>352</v>
      </c>
      <c r="R31" s="1695">
        <f t="shared" si="25"/>
        <v>6.333213386110112E-2</v>
      </c>
      <c r="S31" s="1688">
        <v>5720</v>
      </c>
      <c r="T31" s="1689">
        <v>370</v>
      </c>
      <c r="U31" s="1695">
        <f t="shared" si="26"/>
        <v>6.4685314685314688E-2</v>
      </c>
      <c r="V31" s="1688">
        <v>5660</v>
      </c>
      <c r="W31" s="1689">
        <v>291</v>
      </c>
      <c r="X31" s="1695">
        <f t="shared" si="27"/>
        <v>5.1413427561837456E-2</v>
      </c>
      <c r="Y31" s="1688">
        <v>5787</v>
      </c>
      <c r="Z31" s="1689">
        <v>303</v>
      </c>
      <c r="AA31" s="1695">
        <f t="shared" si="28"/>
        <v>5.2358735095904614E-2</v>
      </c>
      <c r="AB31" s="1688">
        <v>6074</v>
      </c>
      <c r="AC31" s="1689">
        <v>347</v>
      </c>
      <c r="AD31" s="1695">
        <f t="shared" si="29"/>
        <v>5.7128745472505765E-2</v>
      </c>
      <c r="AE31" s="1688">
        <v>6442</v>
      </c>
      <c r="AF31" s="1689">
        <v>558</v>
      </c>
      <c r="AG31" s="1695">
        <f t="shared" si="30"/>
        <v>8.6619062402980437E-2</v>
      </c>
      <c r="AH31" s="1688">
        <v>5524</v>
      </c>
      <c r="AI31" s="1689">
        <v>593</v>
      </c>
      <c r="AJ31" s="1695">
        <f t="shared" si="31"/>
        <v>0.10734974656046344</v>
      </c>
      <c r="AK31" s="1684">
        <v>5451</v>
      </c>
      <c r="AL31" s="1685">
        <v>538</v>
      </c>
      <c r="AM31" s="1695">
        <f t="shared" si="32"/>
        <v>9.8697486699688128E-2</v>
      </c>
      <c r="AN31" s="1705">
        <v>5204</v>
      </c>
      <c r="AO31" s="1706">
        <v>544</v>
      </c>
      <c r="AP31" s="1667">
        <f t="shared" si="33"/>
        <v>0.10453497309761722</v>
      </c>
      <c r="AQ31" s="1705">
        <v>5341</v>
      </c>
      <c r="AR31" s="859">
        <v>583</v>
      </c>
      <c r="AS31" s="1667">
        <f t="shared" si="34"/>
        <v>0.109155588841041</v>
      </c>
      <c r="AT31" s="1711">
        <v>5209</v>
      </c>
      <c r="AU31" s="1712">
        <v>521</v>
      </c>
      <c r="AV31" s="1695">
        <f t="shared" si="35"/>
        <v>0.10001919754271453</v>
      </c>
      <c r="AW31" s="1705">
        <v>4927</v>
      </c>
      <c r="AX31" s="1715">
        <v>491</v>
      </c>
      <c r="AY31" s="1695">
        <f t="shared" si="36"/>
        <v>9.9654962451796225E-2</v>
      </c>
      <c r="AZ31" s="1705">
        <v>4575</v>
      </c>
      <c r="BA31" s="1715">
        <v>447</v>
      </c>
      <c r="BB31" s="1695">
        <f t="shared" si="37"/>
        <v>9.7704918032786886E-2</v>
      </c>
      <c r="BC31" s="1699">
        <v>4654</v>
      </c>
      <c r="BD31" s="984">
        <v>312</v>
      </c>
      <c r="BE31" s="980">
        <f t="shared" si="38"/>
        <v>6.7039106145251395E-2</v>
      </c>
      <c r="BF31" s="1699">
        <v>4540</v>
      </c>
      <c r="BG31" s="984">
        <v>230</v>
      </c>
      <c r="BH31" s="980">
        <f t="shared" si="39"/>
        <v>5.0660792951541848E-2</v>
      </c>
      <c r="BI31" s="1699">
        <v>4711</v>
      </c>
      <c r="BJ31" s="984">
        <v>224</v>
      </c>
      <c r="BK31" s="980">
        <f t="shared" si="19"/>
        <v>4.7548291233283801E-2</v>
      </c>
      <c r="BL31" s="1699">
        <v>4746</v>
      </c>
      <c r="BM31" s="984">
        <v>378</v>
      </c>
      <c r="BN31" s="980">
        <f t="shared" si="20"/>
        <v>7.9646017699115043E-2</v>
      </c>
    </row>
    <row r="32" spans="1:66" ht="12.75" customHeight="1" x14ac:dyDescent="0.3">
      <c r="A32" s="198" t="s">
        <v>69</v>
      </c>
      <c r="B32" s="200" t="s">
        <v>70</v>
      </c>
      <c r="C32" s="85" t="s">
        <v>251</v>
      </c>
      <c r="D32" s="1675">
        <v>12037</v>
      </c>
      <c r="E32" s="1676">
        <v>253</v>
      </c>
      <c r="F32" s="1677">
        <f t="shared" si="21"/>
        <v>2.1018526210849878E-2</v>
      </c>
      <c r="G32" s="1688">
        <v>11981</v>
      </c>
      <c r="H32" s="1689">
        <v>363</v>
      </c>
      <c r="I32" s="1664">
        <f t="shared" si="22"/>
        <v>3.0297971788665386E-2</v>
      </c>
      <c r="J32" s="1688">
        <v>12074</v>
      </c>
      <c r="K32" s="1689">
        <v>484</v>
      </c>
      <c r="L32" s="1695">
        <f t="shared" si="23"/>
        <v>4.008613549776379E-2</v>
      </c>
      <c r="M32" s="1688">
        <v>12110</v>
      </c>
      <c r="N32" s="1689">
        <v>493</v>
      </c>
      <c r="O32" s="1695">
        <f t="shared" si="24"/>
        <v>4.0710156895127997E-2</v>
      </c>
      <c r="P32" s="1688">
        <v>12280</v>
      </c>
      <c r="Q32" s="1689">
        <v>482</v>
      </c>
      <c r="R32" s="1695">
        <f t="shared" si="25"/>
        <v>3.9250814332247558E-2</v>
      </c>
      <c r="S32" s="1688">
        <v>12594</v>
      </c>
      <c r="T32" s="1689">
        <v>522</v>
      </c>
      <c r="U32" s="1695">
        <f t="shared" si="26"/>
        <v>4.1448308718437354E-2</v>
      </c>
      <c r="V32" s="1688">
        <v>12770</v>
      </c>
      <c r="W32" s="1689">
        <v>408</v>
      </c>
      <c r="X32" s="1695">
        <f t="shared" si="27"/>
        <v>3.1949882537196557E-2</v>
      </c>
      <c r="Y32" s="1688">
        <v>12841</v>
      </c>
      <c r="Z32" s="1689">
        <v>442</v>
      </c>
      <c r="AA32" s="1695">
        <f t="shared" si="28"/>
        <v>3.4420995249591156E-2</v>
      </c>
      <c r="AB32" s="1688">
        <v>13191</v>
      </c>
      <c r="AC32" s="1689">
        <v>598</v>
      </c>
      <c r="AD32" s="1695">
        <f t="shared" si="29"/>
        <v>4.5333939807444469E-2</v>
      </c>
      <c r="AE32" s="1688">
        <v>13060</v>
      </c>
      <c r="AF32" s="1689">
        <v>1049</v>
      </c>
      <c r="AG32" s="1695">
        <f t="shared" si="30"/>
        <v>8.0321592649310866E-2</v>
      </c>
      <c r="AH32" s="1688">
        <v>13591</v>
      </c>
      <c r="AI32" s="1689">
        <v>1230</v>
      </c>
      <c r="AJ32" s="1695">
        <f t="shared" si="31"/>
        <v>9.0501066882495776E-2</v>
      </c>
      <c r="AK32" s="1684">
        <v>13622</v>
      </c>
      <c r="AL32" s="1685">
        <v>1084</v>
      </c>
      <c r="AM32" s="1695">
        <f t="shared" si="32"/>
        <v>7.9577154602848338E-2</v>
      </c>
      <c r="AN32" s="1705">
        <v>13612</v>
      </c>
      <c r="AO32" s="1706">
        <v>1012</v>
      </c>
      <c r="AP32" s="1667">
        <f t="shared" si="33"/>
        <v>7.4346165148398466E-2</v>
      </c>
      <c r="AQ32" s="1705">
        <v>13538</v>
      </c>
      <c r="AR32" s="859">
        <v>973</v>
      </c>
      <c r="AS32" s="1667">
        <f t="shared" si="34"/>
        <v>7.1871768355739399E-2</v>
      </c>
      <c r="AT32" s="1711">
        <v>13505</v>
      </c>
      <c r="AU32" s="1712">
        <v>855</v>
      </c>
      <c r="AV32" s="1695">
        <f t="shared" si="35"/>
        <v>6.3309885227693444E-2</v>
      </c>
      <c r="AW32" s="1705">
        <v>13362</v>
      </c>
      <c r="AX32" s="1715">
        <v>714</v>
      </c>
      <c r="AY32" s="1695">
        <f t="shared" si="36"/>
        <v>5.3435114503816793E-2</v>
      </c>
      <c r="AZ32" s="1705">
        <v>13461</v>
      </c>
      <c r="BA32" s="1715">
        <v>646</v>
      </c>
      <c r="BB32" s="1695">
        <f t="shared" si="37"/>
        <v>4.799049104821336E-2</v>
      </c>
      <c r="BC32" s="1699">
        <v>13491</v>
      </c>
      <c r="BD32" s="984">
        <v>599</v>
      </c>
      <c r="BE32" s="980">
        <f t="shared" si="38"/>
        <v>4.4399970350604105E-2</v>
      </c>
      <c r="BF32" s="1699">
        <v>13611</v>
      </c>
      <c r="BG32" s="984">
        <v>470</v>
      </c>
      <c r="BH32" s="980">
        <f t="shared" si="39"/>
        <v>3.4530894129747997E-2</v>
      </c>
      <c r="BI32" s="1699">
        <v>13724</v>
      </c>
      <c r="BJ32" s="984">
        <v>432</v>
      </c>
      <c r="BK32" s="980">
        <f t="shared" si="19"/>
        <v>3.1477703293500435E-2</v>
      </c>
      <c r="BL32" s="1699">
        <v>13439</v>
      </c>
      <c r="BM32" s="984">
        <v>861</v>
      </c>
      <c r="BN32" s="980">
        <f t="shared" si="20"/>
        <v>6.4067266909740309E-2</v>
      </c>
    </row>
    <row r="33" spans="1:66" ht="12.75" customHeight="1" x14ac:dyDescent="0.3">
      <c r="A33" s="198" t="s">
        <v>71</v>
      </c>
      <c r="B33" s="200" t="s">
        <v>72</v>
      </c>
      <c r="C33" s="85" t="s">
        <v>253</v>
      </c>
      <c r="D33" s="1675">
        <v>5151</v>
      </c>
      <c r="E33" s="1676">
        <v>138</v>
      </c>
      <c r="F33" s="1677">
        <f t="shared" si="21"/>
        <v>2.6790914385556204E-2</v>
      </c>
      <c r="G33" s="1688">
        <v>5258</v>
      </c>
      <c r="H33" s="1689">
        <v>171</v>
      </c>
      <c r="I33" s="1664">
        <f t="shared" si="22"/>
        <v>3.2521871434005326E-2</v>
      </c>
      <c r="J33" s="1688">
        <v>5335</v>
      </c>
      <c r="K33" s="1689">
        <v>237</v>
      </c>
      <c r="L33" s="1695">
        <f t="shared" si="23"/>
        <v>4.4423617619493906E-2</v>
      </c>
      <c r="M33" s="1688">
        <v>5313</v>
      </c>
      <c r="N33" s="1689">
        <v>287</v>
      </c>
      <c r="O33" s="1695">
        <f t="shared" si="24"/>
        <v>5.4018445322793152E-2</v>
      </c>
      <c r="P33" s="1688">
        <v>5341</v>
      </c>
      <c r="Q33" s="1689">
        <v>232</v>
      </c>
      <c r="R33" s="1695">
        <f t="shared" si="25"/>
        <v>4.3437558509642392E-2</v>
      </c>
      <c r="S33" s="1688">
        <v>5388</v>
      </c>
      <c r="T33" s="1689">
        <v>253</v>
      </c>
      <c r="U33" s="1695">
        <f t="shared" si="26"/>
        <v>4.6956198960653305E-2</v>
      </c>
      <c r="V33" s="1688">
        <v>5432</v>
      </c>
      <c r="W33" s="1689">
        <v>215</v>
      </c>
      <c r="X33" s="1695">
        <f t="shared" si="27"/>
        <v>3.9580265095729011E-2</v>
      </c>
      <c r="Y33" s="1688">
        <v>5491</v>
      </c>
      <c r="Z33" s="1689">
        <v>201</v>
      </c>
      <c r="AA33" s="1695">
        <f t="shared" si="28"/>
        <v>3.6605354215989802E-2</v>
      </c>
      <c r="AB33" s="1688">
        <v>5650</v>
      </c>
      <c r="AC33" s="1689">
        <v>293</v>
      </c>
      <c r="AD33" s="1695">
        <f t="shared" si="29"/>
        <v>5.1858407079646021E-2</v>
      </c>
      <c r="AE33" s="1688">
        <v>5821</v>
      </c>
      <c r="AF33" s="1689">
        <v>470</v>
      </c>
      <c r="AG33" s="1695">
        <f t="shared" si="30"/>
        <v>8.0742140525682876E-2</v>
      </c>
      <c r="AH33" s="1688">
        <v>5727</v>
      </c>
      <c r="AI33" s="1689">
        <v>533</v>
      </c>
      <c r="AJ33" s="1695">
        <f t="shared" si="31"/>
        <v>9.3067923869390612E-2</v>
      </c>
      <c r="AK33" s="1684">
        <v>5690</v>
      </c>
      <c r="AL33" s="1685">
        <v>471</v>
      </c>
      <c r="AM33" s="1695">
        <f t="shared" si="32"/>
        <v>8.2776801405975389E-2</v>
      </c>
      <c r="AN33" s="1705">
        <v>5733</v>
      </c>
      <c r="AO33" s="1706">
        <v>413</v>
      </c>
      <c r="AP33" s="1667">
        <f t="shared" si="33"/>
        <v>7.2039072039072033E-2</v>
      </c>
      <c r="AQ33" s="1705">
        <v>5686</v>
      </c>
      <c r="AR33" s="859">
        <v>370</v>
      </c>
      <c r="AS33" s="1667">
        <f t="shared" si="34"/>
        <v>6.507210692930003E-2</v>
      </c>
      <c r="AT33" s="1711">
        <v>5700</v>
      </c>
      <c r="AU33" s="1712">
        <v>356</v>
      </c>
      <c r="AV33" s="1695">
        <f t="shared" si="35"/>
        <v>6.2456140350877196E-2</v>
      </c>
      <c r="AW33" s="1705">
        <v>5531</v>
      </c>
      <c r="AX33" s="1715">
        <v>293</v>
      </c>
      <c r="AY33" s="1695">
        <f t="shared" si="36"/>
        <v>5.2974145724100523E-2</v>
      </c>
      <c r="AZ33" s="1705">
        <v>5529</v>
      </c>
      <c r="BA33" s="1715">
        <v>262</v>
      </c>
      <c r="BB33" s="1695">
        <f t="shared" si="37"/>
        <v>4.7386507505878098E-2</v>
      </c>
      <c r="BC33" s="1699">
        <v>5617</v>
      </c>
      <c r="BD33" s="984">
        <v>268</v>
      </c>
      <c r="BE33" s="980">
        <f t="shared" si="38"/>
        <v>4.7712301940537653E-2</v>
      </c>
      <c r="BF33" s="1699">
        <v>5530</v>
      </c>
      <c r="BG33" s="984">
        <v>208</v>
      </c>
      <c r="BH33" s="980">
        <f t="shared" si="39"/>
        <v>3.7613019891500905E-2</v>
      </c>
      <c r="BI33" s="1699">
        <v>5539</v>
      </c>
      <c r="BJ33" s="984">
        <v>189</v>
      </c>
      <c r="BK33" s="980">
        <f t="shared" si="19"/>
        <v>3.4121682614190289E-2</v>
      </c>
      <c r="BL33" s="1699">
        <v>5488</v>
      </c>
      <c r="BM33" s="984">
        <v>382</v>
      </c>
      <c r="BN33" s="980">
        <f t="shared" si="20"/>
        <v>6.96064139941691E-2</v>
      </c>
    </row>
    <row r="34" spans="1:66" ht="12.75" customHeight="1" x14ac:dyDescent="0.3">
      <c r="A34" s="198" t="s">
        <v>73</v>
      </c>
      <c r="B34" s="200" t="s">
        <v>430</v>
      </c>
      <c r="C34" s="85" t="s">
        <v>254</v>
      </c>
      <c r="D34" s="1678">
        <v>569376</v>
      </c>
      <c r="E34" s="1679">
        <v>9306</v>
      </c>
      <c r="F34" s="1677">
        <f t="shared" si="21"/>
        <v>1.6344208396560447E-2</v>
      </c>
      <c r="G34" s="1690">
        <v>574850</v>
      </c>
      <c r="H34" s="1691">
        <v>14482</v>
      </c>
      <c r="I34" s="1664">
        <f t="shared" si="22"/>
        <v>2.5192658954509874E-2</v>
      </c>
      <c r="J34" s="1690">
        <v>571386</v>
      </c>
      <c r="K34" s="1691">
        <v>19249</v>
      </c>
      <c r="L34" s="1695">
        <f t="shared" si="23"/>
        <v>3.3688259775353266E-2</v>
      </c>
      <c r="M34" s="1690">
        <v>566222</v>
      </c>
      <c r="N34" s="1691">
        <v>17450</v>
      </c>
      <c r="O34" s="1695">
        <f t="shared" si="24"/>
        <v>3.0818300949097703E-2</v>
      </c>
      <c r="P34" s="1690">
        <v>572996</v>
      </c>
      <c r="Q34" s="1691">
        <v>15975</v>
      </c>
      <c r="R34" s="1695">
        <f t="shared" si="25"/>
        <v>2.7879775775049041E-2</v>
      </c>
      <c r="S34" s="1690">
        <v>587392</v>
      </c>
      <c r="T34" s="1691">
        <v>15218</v>
      </c>
      <c r="U34" s="1695">
        <f t="shared" si="26"/>
        <v>2.590774133798213E-2</v>
      </c>
      <c r="V34" s="1690">
        <v>597228</v>
      </c>
      <c r="W34" s="1691">
        <v>13418</v>
      </c>
      <c r="X34" s="1695">
        <f t="shared" si="27"/>
        <v>2.2467131480774512E-2</v>
      </c>
      <c r="Y34" s="1690">
        <v>601940</v>
      </c>
      <c r="Z34" s="1691">
        <v>13202</v>
      </c>
      <c r="AA34" s="1695">
        <f t="shared" si="28"/>
        <v>2.1932418513473103E-2</v>
      </c>
      <c r="AB34" s="1690">
        <v>614229</v>
      </c>
      <c r="AC34" s="1691">
        <v>17582</v>
      </c>
      <c r="AD34" s="1695">
        <f t="shared" si="29"/>
        <v>2.8624503239019973E-2</v>
      </c>
      <c r="AE34" s="1690">
        <v>609368</v>
      </c>
      <c r="AF34" s="1691">
        <v>29244</v>
      </c>
      <c r="AG34" s="1695">
        <f t="shared" si="30"/>
        <v>4.7990705123997321E-2</v>
      </c>
      <c r="AH34" s="1690">
        <v>631117</v>
      </c>
      <c r="AI34" s="1691">
        <v>32923</v>
      </c>
      <c r="AJ34" s="1695">
        <f t="shared" si="31"/>
        <v>5.2166238589675132E-2</v>
      </c>
      <c r="AK34" s="1684">
        <v>639457</v>
      </c>
      <c r="AL34" s="1685">
        <v>30311</v>
      </c>
      <c r="AM34" s="1695">
        <f t="shared" si="32"/>
        <v>4.7401154416950635E-2</v>
      </c>
      <c r="AN34" s="1705">
        <v>643751</v>
      </c>
      <c r="AO34" s="1706">
        <v>28399</v>
      </c>
      <c r="AP34" s="1667">
        <f t="shared" si="33"/>
        <v>4.41148829283372E-2</v>
      </c>
      <c r="AQ34" s="1705">
        <v>645607</v>
      </c>
      <c r="AR34" s="859">
        <v>27762</v>
      </c>
      <c r="AS34" s="1667">
        <f t="shared" si="34"/>
        <v>4.3001392487999668E-2</v>
      </c>
      <c r="AT34" s="1711">
        <v>643226</v>
      </c>
      <c r="AU34" s="1712">
        <v>26305</v>
      </c>
      <c r="AV34" s="1695">
        <f t="shared" si="35"/>
        <v>4.0895424003382946E-2</v>
      </c>
      <c r="AW34" s="1705">
        <v>636916</v>
      </c>
      <c r="AX34" s="1715">
        <v>22367</v>
      </c>
      <c r="AY34" s="1695">
        <f t="shared" si="36"/>
        <v>3.5117660727631277E-2</v>
      </c>
      <c r="AZ34" s="1705">
        <v>638679</v>
      </c>
      <c r="BA34" s="1715">
        <v>20206</v>
      </c>
      <c r="BB34" s="1695">
        <f t="shared" si="37"/>
        <v>3.1637176108812094E-2</v>
      </c>
      <c r="BC34" s="1699">
        <v>647648</v>
      </c>
      <c r="BD34" s="984">
        <v>19479</v>
      </c>
      <c r="BE34" s="980">
        <f t="shared" si="38"/>
        <v>3.0076523049557786E-2</v>
      </c>
      <c r="BF34" s="1699">
        <v>651791</v>
      </c>
      <c r="BG34" s="984">
        <v>15746</v>
      </c>
      <c r="BH34" s="980">
        <f t="shared" si="39"/>
        <v>2.4158050663479549E-2</v>
      </c>
      <c r="BI34" s="1699">
        <v>660889</v>
      </c>
      <c r="BJ34" s="984">
        <v>14526</v>
      </c>
      <c r="BK34" s="980">
        <f t="shared" si="19"/>
        <v>2.1979485208559985E-2</v>
      </c>
      <c r="BL34" s="1699">
        <v>649719</v>
      </c>
      <c r="BM34" s="984">
        <v>37563</v>
      </c>
      <c r="BN34" s="980">
        <f t="shared" si="20"/>
        <v>5.781422430312181E-2</v>
      </c>
    </row>
    <row r="35" spans="1:66" ht="12.75" customHeight="1" x14ac:dyDescent="0.3">
      <c r="A35" s="198" t="s">
        <v>75</v>
      </c>
      <c r="B35" s="200" t="s">
        <v>76</v>
      </c>
      <c r="C35" s="85" t="s">
        <v>254</v>
      </c>
      <c r="D35" s="1675">
        <v>30217</v>
      </c>
      <c r="E35" s="1676">
        <v>470</v>
      </c>
      <c r="F35" s="1677">
        <f t="shared" si="21"/>
        <v>1.5554158255286759E-2</v>
      </c>
      <c r="G35" s="1688">
        <v>31078</v>
      </c>
      <c r="H35" s="1689">
        <v>669</v>
      </c>
      <c r="I35" s="1664">
        <f t="shared" si="22"/>
        <v>2.1526481755582728E-2</v>
      </c>
      <c r="J35" s="1688">
        <v>31829</v>
      </c>
      <c r="K35" s="1689">
        <v>985</v>
      </c>
      <c r="L35" s="1695">
        <f t="shared" si="23"/>
        <v>3.0946621006000818E-2</v>
      </c>
      <c r="M35" s="1688">
        <v>32377</v>
      </c>
      <c r="N35" s="1689">
        <v>1010</v>
      </c>
      <c r="O35" s="1695">
        <f t="shared" si="24"/>
        <v>3.1194984093646724E-2</v>
      </c>
      <c r="P35" s="1688">
        <v>33627</v>
      </c>
      <c r="Q35" s="1689">
        <v>953</v>
      </c>
      <c r="R35" s="1695">
        <f t="shared" si="25"/>
        <v>2.8340321765248165E-2</v>
      </c>
      <c r="S35" s="1688">
        <v>35413</v>
      </c>
      <c r="T35" s="1689">
        <v>950</v>
      </c>
      <c r="U35" s="1695">
        <f t="shared" si="26"/>
        <v>2.682630672351961E-2</v>
      </c>
      <c r="V35" s="1688">
        <v>36551</v>
      </c>
      <c r="W35" s="1689">
        <v>900</v>
      </c>
      <c r="X35" s="1695">
        <f t="shared" si="27"/>
        <v>2.4623129326147027E-2</v>
      </c>
      <c r="Y35" s="1688">
        <v>36930</v>
      </c>
      <c r="Z35" s="1689">
        <v>925</v>
      </c>
      <c r="AA35" s="1695">
        <f t="shared" si="28"/>
        <v>2.5047386948280532E-2</v>
      </c>
      <c r="AB35" s="1688">
        <v>37829</v>
      </c>
      <c r="AC35" s="1689">
        <v>1263</v>
      </c>
      <c r="AD35" s="1695">
        <f t="shared" si="29"/>
        <v>3.3387083983187502E-2</v>
      </c>
      <c r="AE35" s="1688">
        <v>37407</v>
      </c>
      <c r="AF35" s="1689">
        <v>2048</v>
      </c>
      <c r="AG35" s="1695">
        <f t="shared" si="30"/>
        <v>5.474911112893309E-2</v>
      </c>
      <c r="AH35" s="1688">
        <v>35805</v>
      </c>
      <c r="AI35" s="1689">
        <v>2269</v>
      </c>
      <c r="AJ35" s="1695">
        <f t="shared" si="31"/>
        <v>6.3371037564585952E-2</v>
      </c>
      <c r="AK35" s="1684">
        <v>36073</v>
      </c>
      <c r="AL35" s="1685">
        <v>1981</v>
      </c>
      <c r="AM35" s="1695">
        <f t="shared" si="32"/>
        <v>5.4916419482715605E-2</v>
      </c>
      <c r="AN35" s="1705">
        <v>35975</v>
      </c>
      <c r="AO35" s="1706">
        <v>1813</v>
      </c>
      <c r="AP35" s="1667">
        <f t="shared" si="33"/>
        <v>5.0396108408617094E-2</v>
      </c>
      <c r="AQ35" s="1705">
        <v>35928</v>
      </c>
      <c r="AR35" s="859">
        <v>1730</v>
      </c>
      <c r="AS35" s="1667">
        <f t="shared" si="34"/>
        <v>4.8151859274103766E-2</v>
      </c>
      <c r="AT35" s="1711">
        <v>36049</v>
      </c>
      <c r="AU35" s="1712">
        <v>1622</v>
      </c>
      <c r="AV35" s="1695">
        <f t="shared" si="35"/>
        <v>4.4994313295791837E-2</v>
      </c>
      <c r="AW35" s="1705">
        <v>35873</v>
      </c>
      <c r="AX35" s="1715">
        <v>1396</v>
      </c>
      <c r="AY35" s="1695">
        <f t="shared" si="36"/>
        <v>3.8915061466841358E-2</v>
      </c>
      <c r="AZ35" s="1705">
        <v>35977</v>
      </c>
      <c r="BA35" s="1715">
        <v>1232</v>
      </c>
      <c r="BB35" s="1695">
        <f t="shared" si="37"/>
        <v>3.4244100397476163E-2</v>
      </c>
      <c r="BC35" s="1699">
        <v>36107</v>
      </c>
      <c r="BD35" s="984">
        <v>1173</v>
      </c>
      <c r="BE35" s="980">
        <f t="shared" si="38"/>
        <v>3.2486775417509071E-2</v>
      </c>
      <c r="BF35" s="1699">
        <v>36857</v>
      </c>
      <c r="BG35" s="984">
        <v>950</v>
      </c>
      <c r="BH35" s="980">
        <f t="shared" si="39"/>
        <v>2.5775293702688769E-2</v>
      </c>
      <c r="BI35" s="1699">
        <v>37846</v>
      </c>
      <c r="BJ35" s="984">
        <v>884</v>
      </c>
      <c r="BK35" s="980">
        <f t="shared" si="19"/>
        <v>2.3357818527717591E-2</v>
      </c>
      <c r="BL35" s="1699">
        <v>36812</v>
      </c>
      <c r="BM35" s="984">
        <v>1721</v>
      </c>
      <c r="BN35" s="980">
        <f t="shared" si="20"/>
        <v>4.6751059437140065E-2</v>
      </c>
    </row>
    <row r="36" spans="1:66" ht="12.75" customHeight="1" x14ac:dyDescent="0.3">
      <c r="A36" s="198" t="s">
        <v>77</v>
      </c>
      <c r="B36" s="200" t="s">
        <v>78</v>
      </c>
      <c r="C36" s="85" t="s">
        <v>255</v>
      </c>
      <c r="D36" s="1675">
        <v>6977</v>
      </c>
      <c r="E36" s="1676">
        <v>260</v>
      </c>
      <c r="F36" s="1677">
        <f t="shared" si="21"/>
        <v>3.7265300272323346E-2</v>
      </c>
      <c r="G36" s="1688">
        <v>6855</v>
      </c>
      <c r="H36" s="1689">
        <v>295</v>
      </c>
      <c r="I36" s="1664">
        <f t="shared" si="22"/>
        <v>4.3034281546316555E-2</v>
      </c>
      <c r="J36" s="1688">
        <v>6765</v>
      </c>
      <c r="K36" s="1689">
        <v>298</v>
      </c>
      <c r="L36" s="1695">
        <f t="shared" si="23"/>
        <v>4.4050258684405028E-2</v>
      </c>
      <c r="M36" s="1688">
        <v>7269</v>
      </c>
      <c r="N36" s="1689">
        <v>294</v>
      </c>
      <c r="O36" s="1695">
        <f t="shared" si="24"/>
        <v>4.0445728435823357E-2</v>
      </c>
      <c r="P36" s="1688">
        <v>6884</v>
      </c>
      <c r="Q36" s="1689">
        <v>285</v>
      </c>
      <c r="R36" s="1695">
        <f t="shared" si="25"/>
        <v>4.1400348634514819E-2</v>
      </c>
      <c r="S36" s="1688">
        <v>7094</v>
      </c>
      <c r="T36" s="1689">
        <v>264</v>
      </c>
      <c r="U36" s="1695">
        <f t="shared" si="26"/>
        <v>3.7214547504933748E-2</v>
      </c>
      <c r="V36" s="1688">
        <v>6998</v>
      </c>
      <c r="W36" s="1689">
        <v>230</v>
      </c>
      <c r="X36" s="1695">
        <f t="shared" si="27"/>
        <v>3.2866533295227207E-2</v>
      </c>
      <c r="Y36" s="1688">
        <v>7107</v>
      </c>
      <c r="Z36" s="1689">
        <v>248</v>
      </c>
      <c r="AA36" s="1695">
        <f t="shared" si="28"/>
        <v>3.4895173772337133E-2</v>
      </c>
      <c r="AB36" s="1688">
        <v>7162</v>
      </c>
      <c r="AC36" s="1689">
        <v>316</v>
      </c>
      <c r="AD36" s="1695">
        <f t="shared" si="29"/>
        <v>4.4121753700083775E-2</v>
      </c>
      <c r="AE36" s="1688">
        <v>7336</v>
      </c>
      <c r="AF36" s="1689">
        <v>560</v>
      </c>
      <c r="AG36" s="1695">
        <f t="shared" si="30"/>
        <v>7.6335877862595422E-2</v>
      </c>
      <c r="AH36" s="1688">
        <v>8143</v>
      </c>
      <c r="AI36" s="1689">
        <v>580</v>
      </c>
      <c r="AJ36" s="1695">
        <f t="shared" si="31"/>
        <v>7.1226820582095049E-2</v>
      </c>
      <c r="AK36" s="1684">
        <v>8321</v>
      </c>
      <c r="AL36" s="1685">
        <v>525</v>
      </c>
      <c r="AM36" s="1695">
        <f t="shared" si="32"/>
        <v>6.3093378199735609E-2</v>
      </c>
      <c r="AN36" s="1705">
        <v>8366</v>
      </c>
      <c r="AO36" s="1706">
        <v>465</v>
      </c>
      <c r="AP36" s="1667">
        <f t="shared" si="33"/>
        <v>5.5582118097059527E-2</v>
      </c>
      <c r="AQ36" s="1705">
        <v>8389</v>
      </c>
      <c r="AR36" s="859">
        <v>443</v>
      </c>
      <c r="AS36" s="1667">
        <f t="shared" si="34"/>
        <v>5.2807247586124685E-2</v>
      </c>
      <c r="AT36" s="1711">
        <v>8332</v>
      </c>
      <c r="AU36" s="1712">
        <v>380</v>
      </c>
      <c r="AV36" s="1695">
        <f t="shared" si="35"/>
        <v>4.5607297167546808E-2</v>
      </c>
      <c r="AW36" s="1705">
        <v>8326</v>
      </c>
      <c r="AX36" s="1715">
        <v>327</v>
      </c>
      <c r="AY36" s="1695">
        <f t="shared" si="36"/>
        <v>3.9274561614220514E-2</v>
      </c>
      <c r="AZ36" s="1705">
        <v>8201</v>
      </c>
      <c r="BA36" s="1715">
        <v>328</v>
      </c>
      <c r="BB36" s="1695">
        <f t="shared" si="37"/>
        <v>3.9995122546030971E-2</v>
      </c>
      <c r="BC36" s="1699">
        <v>8118</v>
      </c>
      <c r="BD36" s="984">
        <v>295</v>
      </c>
      <c r="BE36" s="980">
        <f t="shared" si="38"/>
        <v>3.6338999753633902E-2</v>
      </c>
      <c r="BF36" s="1699">
        <v>8147</v>
      </c>
      <c r="BG36" s="984">
        <v>219</v>
      </c>
      <c r="BH36" s="980">
        <f t="shared" si="39"/>
        <v>2.6881060513072298E-2</v>
      </c>
      <c r="BI36" s="1699">
        <v>8293</v>
      </c>
      <c r="BJ36" s="984">
        <v>204</v>
      </c>
      <c r="BK36" s="980">
        <f t="shared" si="19"/>
        <v>2.4599059447726997E-2</v>
      </c>
      <c r="BL36" s="1699">
        <v>8054</v>
      </c>
      <c r="BM36" s="984">
        <v>409</v>
      </c>
      <c r="BN36" s="980">
        <f t="shared" si="20"/>
        <v>5.0782220014899432E-2</v>
      </c>
    </row>
    <row r="37" spans="1:66" ht="12.75" customHeight="1" x14ac:dyDescent="0.3">
      <c r="A37" s="198" t="s">
        <v>79</v>
      </c>
      <c r="B37" s="200" t="s">
        <v>80</v>
      </c>
      <c r="C37" s="85" t="s">
        <v>253</v>
      </c>
      <c r="D37" s="1675">
        <v>10227</v>
      </c>
      <c r="E37" s="1676">
        <v>203</v>
      </c>
      <c r="F37" s="1677">
        <f t="shared" si="21"/>
        <v>1.9849418206707735E-2</v>
      </c>
      <c r="G37" s="1688">
        <v>10639</v>
      </c>
      <c r="H37" s="1689">
        <v>265</v>
      </c>
      <c r="I37" s="1664">
        <f t="shared" si="22"/>
        <v>2.49083560485008E-2</v>
      </c>
      <c r="J37" s="1688">
        <v>11234</v>
      </c>
      <c r="K37" s="1689">
        <v>362</v>
      </c>
      <c r="L37" s="1695">
        <f t="shared" si="23"/>
        <v>3.2223606907601926E-2</v>
      </c>
      <c r="M37" s="1688">
        <v>11664</v>
      </c>
      <c r="N37" s="1689">
        <v>401</v>
      </c>
      <c r="O37" s="1695">
        <f t="shared" si="24"/>
        <v>3.4379286694101507E-2</v>
      </c>
      <c r="P37" s="1688">
        <v>12041</v>
      </c>
      <c r="Q37" s="1689">
        <v>378</v>
      </c>
      <c r="R37" s="1695">
        <f t="shared" si="25"/>
        <v>3.1392741466655591E-2</v>
      </c>
      <c r="S37" s="1688">
        <v>12793</v>
      </c>
      <c r="T37" s="1689">
        <v>393</v>
      </c>
      <c r="U37" s="1695">
        <f t="shared" si="26"/>
        <v>3.0719924958961933E-2</v>
      </c>
      <c r="V37" s="1688">
        <v>13385</v>
      </c>
      <c r="W37" s="1689">
        <v>320</v>
      </c>
      <c r="X37" s="1695">
        <f t="shared" si="27"/>
        <v>2.3907358983937244E-2</v>
      </c>
      <c r="Y37" s="1688">
        <v>13799</v>
      </c>
      <c r="Z37" s="1689">
        <v>326</v>
      </c>
      <c r="AA37" s="1695">
        <f t="shared" si="28"/>
        <v>2.3624900355098195E-2</v>
      </c>
      <c r="AB37" s="1688">
        <v>14162</v>
      </c>
      <c r="AC37" s="1689">
        <v>467</v>
      </c>
      <c r="AD37" s="1695">
        <f t="shared" si="29"/>
        <v>3.2975568422539188E-2</v>
      </c>
      <c r="AE37" s="1688">
        <v>13992</v>
      </c>
      <c r="AF37" s="1689">
        <v>802</v>
      </c>
      <c r="AG37" s="1695">
        <f t="shared" si="30"/>
        <v>5.7318467695826186E-2</v>
      </c>
      <c r="AH37" s="1688">
        <v>13093</v>
      </c>
      <c r="AI37" s="1689">
        <v>847</v>
      </c>
      <c r="AJ37" s="1695">
        <f t="shared" si="31"/>
        <v>6.4691056289620408E-2</v>
      </c>
      <c r="AK37" s="1684">
        <v>13245</v>
      </c>
      <c r="AL37" s="1685">
        <v>768</v>
      </c>
      <c r="AM37" s="1695">
        <f t="shared" si="32"/>
        <v>5.7984144960362402E-2</v>
      </c>
      <c r="AN37" s="1705">
        <v>13160</v>
      </c>
      <c r="AO37" s="1706">
        <v>677</v>
      </c>
      <c r="AP37" s="1667">
        <f t="shared" si="33"/>
        <v>5.1443768996960487E-2</v>
      </c>
      <c r="AQ37" s="1705">
        <v>13038</v>
      </c>
      <c r="AR37" s="859">
        <v>607</v>
      </c>
      <c r="AS37" s="1667">
        <f t="shared" si="34"/>
        <v>4.6556220279183921E-2</v>
      </c>
      <c r="AT37" s="1711">
        <v>13215</v>
      </c>
      <c r="AU37" s="1712">
        <v>567</v>
      </c>
      <c r="AV37" s="1695">
        <f t="shared" si="35"/>
        <v>4.2905788876276961E-2</v>
      </c>
      <c r="AW37" s="1705">
        <v>13214</v>
      </c>
      <c r="AX37" s="1715">
        <v>490</v>
      </c>
      <c r="AY37" s="1695">
        <f t="shared" si="36"/>
        <v>3.7081882851521114E-2</v>
      </c>
      <c r="AZ37" s="1705">
        <v>13201</v>
      </c>
      <c r="BA37" s="1715">
        <v>437</v>
      </c>
      <c r="BB37" s="1695">
        <f t="shared" si="37"/>
        <v>3.310355276115446E-2</v>
      </c>
      <c r="BC37" s="1699">
        <v>13479</v>
      </c>
      <c r="BD37" s="984">
        <v>407</v>
      </c>
      <c r="BE37" s="980">
        <f t="shared" si="38"/>
        <v>3.0195118332220491E-2</v>
      </c>
      <c r="BF37" s="1699">
        <v>13733</v>
      </c>
      <c r="BG37" s="984">
        <v>340</v>
      </c>
      <c r="BH37" s="980">
        <f t="shared" si="39"/>
        <v>2.4757882472875557E-2</v>
      </c>
      <c r="BI37" s="1699">
        <v>14354</v>
      </c>
      <c r="BJ37" s="984">
        <v>316</v>
      </c>
      <c r="BK37" s="980">
        <f t="shared" si="19"/>
        <v>2.201476940225721E-2</v>
      </c>
      <c r="BL37" s="1699">
        <v>13723</v>
      </c>
      <c r="BM37" s="984">
        <v>722</v>
      </c>
      <c r="BN37" s="980">
        <f t="shared" si="20"/>
        <v>5.2612402535888655E-2</v>
      </c>
    </row>
    <row r="38" spans="1:66" ht="12.75" customHeight="1" x14ac:dyDescent="0.3">
      <c r="A38" s="198" t="s">
        <v>83</v>
      </c>
      <c r="B38" s="200" t="s">
        <v>281</v>
      </c>
      <c r="C38" s="85" t="s">
        <v>252</v>
      </c>
      <c r="D38" s="1675">
        <v>24379</v>
      </c>
      <c r="E38" s="1676">
        <v>734</v>
      </c>
      <c r="F38" s="1677">
        <f t="shared" ref="F38:F69" si="40">E38/D38</f>
        <v>3.010787973255671E-2</v>
      </c>
      <c r="G38" s="1688">
        <v>24933</v>
      </c>
      <c r="H38" s="1689">
        <v>1008</v>
      </c>
      <c r="I38" s="1664">
        <f t="shared" ref="I38:I69" si="41">H38/G38</f>
        <v>4.0428347972566475E-2</v>
      </c>
      <c r="J38" s="1688">
        <v>25501</v>
      </c>
      <c r="K38" s="1689">
        <v>1332</v>
      </c>
      <c r="L38" s="1695">
        <f t="shared" ref="L38:L69" si="42">K38/J38</f>
        <v>5.2233245755068429E-2</v>
      </c>
      <c r="M38" s="1688">
        <v>24840</v>
      </c>
      <c r="N38" s="1689">
        <v>1108</v>
      </c>
      <c r="O38" s="1695">
        <f t="shared" ref="O38:O69" si="43">N38/M38</f>
        <v>4.460547504025765E-2</v>
      </c>
      <c r="P38" s="1688">
        <v>24682</v>
      </c>
      <c r="Q38" s="1689">
        <v>982</v>
      </c>
      <c r="R38" s="1695">
        <f t="shared" ref="R38:R69" si="44">Q38/P38</f>
        <v>3.9786078923912165E-2</v>
      </c>
      <c r="S38" s="1688">
        <v>25337</v>
      </c>
      <c r="T38" s="1689">
        <v>928</v>
      </c>
      <c r="U38" s="1695">
        <f t="shared" ref="U38:U69" si="45">T38/S38</f>
        <v>3.6626277775585116E-2</v>
      </c>
      <c r="V38" s="1688">
        <v>26011</v>
      </c>
      <c r="W38" s="1689">
        <v>833</v>
      </c>
      <c r="X38" s="1695">
        <f t="shared" ref="X38:X69" si="46">W38/V38</f>
        <v>3.2024912537003576E-2</v>
      </c>
      <c r="Y38" s="1688">
        <v>26388</v>
      </c>
      <c r="Z38" s="1689">
        <v>879</v>
      </c>
      <c r="AA38" s="1695">
        <f t="shared" ref="AA38:AA69" si="47">Z38/Y38</f>
        <v>3.3310595725329697E-2</v>
      </c>
      <c r="AB38" s="1688">
        <v>27094</v>
      </c>
      <c r="AC38" s="1689">
        <v>1291</v>
      </c>
      <c r="AD38" s="1695">
        <f t="shared" ref="AD38:AD69" si="48">AC38/AB38</f>
        <v>4.7648925961467484E-2</v>
      </c>
      <c r="AE38" s="1688">
        <v>26808</v>
      </c>
      <c r="AF38" s="1689">
        <v>2198</v>
      </c>
      <c r="AG38" s="1695">
        <f t="shared" ref="AG38:AG69" si="49">AF38/AE38</f>
        <v>8.1990450611757679E-2</v>
      </c>
      <c r="AH38" s="1688">
        <v>27664</v>
      </c>
      <c r="AI38" s="1689">
        <v>2460</v>
      </c>
      <c r="AJ38" s="1695">
        <f t="shared" ref="AJ38:AJ69" si="50">AI38/AH38</f>
        <v>8.8924233661075769E-2</v>
      </c>
      <c r="AK38" s="1684">
        <v>27639</v>
      </c>
      <c r="AL38" s="1685">
        <v>2066</v>
      </c>
      <c r="AM38" s="1695">
        <f t="shared" ref="AM38:AM69" si="51">AL38/AK38</f>
        <v>7.4749448243424152E-2</v>
      </c>
      <c r="AN38" s="1705">
        <v>27384</v>
      </c>
      <c r="AO38" s="1706">
        <v>1766</v>
      </c>
      <c r="AP38" s="1667">
        <f t="shared" ref="AP38:AP69" si="52">AO38/AN38</f>
        <v>6.4490213263219395E-2</v>
      </c>
      <c r="AQ38" s="1705">
        <v>27216</v>
      </c>
      <c r="AR38" s="859">
        <v>1568</v>
      </c>
      <c r="AS38" s="1667">
        <f t="shared" ref="AS38:AS69" si="53">AR38/AQ38</f>
        <v>5.7613168724279837E-2</v>
      </c>
      <c r="AT38" s="1711">
        <v>27256</v>
      </c>
      <c r="AU38" s="1712">
        <v>1432</v>
      </c>
      <c r="AV38" s="1695">
        <f t="shared" ref="AV38:AV69" si="54">AU38/AT38</f>
        <v>5.2538890519518641E-2</v>
      </c>
      <c r="AW38" s="1705">
        <v>26550</v>
      </c>
      <c r="AX38" s="1715">
        <v>1222</v>
      </c>
      <c r="AY38" s="1695">
        <f t="shared" ref="AY38:AY69" si="55">AX38/AW38</f>
        <v>4.6026365348399247E-2</v>
      </c>
      <c r="AZ38" s="1705">
        <v>26402</v>
      </c>
      <c r="BA38" s="1715">
        <v>1114</v>
      </c>
      <c r="BB38" s="1695">
        <f t="shared" ref="BB38:BB69" si="56">BA38/AZ38</f>
        <v>4.2193773199000077E-2</v>
      </c>
      <c r="BC38" s="1699">
        <v>26443</v>
      </c>
      <c r="BD38" s="984">
        <v>1023</v>
      </c>
      <c r="BE38" s="980">
        <f t="shared" ref="BE38:BE69" si="57">BD38/BC38</f>
        <v>3.8686987104337635E-2</v>
      </c>
      <c r="BF38" s="1699">
        <v>26302</v>
      </c>
      <c r="BG38" s="984">
        <v>799</v>
      </c>
      <c r="BH38" s="980">
        <f t="shared" ref="BH38:BH69" si="58">BG38/BF38</f>
        <v>3.037791802904722E-2</v>
      </c>
      <c r="BI38" s="1699">
        <v>26617</v>
      </c>
      <c r="BJ38" s="984">
        <v>749</v>
      </c>
      <c r="BK38" s="980">
        <f t="shared" si="19"/>
        <v>2.8139910583461696E-2</v>
      </c>
      <c r="BL38" s="1699">
        <v>25985</v>
      </c>
      <c r="BM38" s="984">
        <v>1422</v>
      </c>
      <c r="BN38" s="980">
        <f t="shared" si="20"/>
        <v>5.4723879161054458E-2</v>
      </c>
    </row>
    <row r="39" spans="1:66" ht="12.75" customHeight="1" x14ac:dyDescent="0.3">
      <c r="A39" s="198" t="s">
        <v>85</v>
      </c>
      <c r="B39" s="200" t="s">
        <v>86</v>
      </c>
      <c r="C39" s="85" t="s">
        <v>254</v>
      </c>
      <c r="D39" s="1675">
        <v>32922</v>
      </c>
      <c r="E39" s="1676">
        <v>675</v>
      </c>
      <c r="F39" s="1677">
        <f t="shared" si="40"/>
        <v>2.050300710770913E-2</v>
      </c>
      <c r="G39" s="1688">
        <v>33608</v>
      </c>
      <c r="H39" s="1689">
        <v>944</v>
      </c>
      <c r="I39" s="1664">
        <f t="shared" si="41"/>
        <v>2.8088550345155915E-2</v>
      </c>
      <c r="J39" s="1688">
        <v>34573</v>
      </c>
      <c r="K39" s="1689">
        <v>1202</v>
      </c>
      <c r="L39" s="1695">
        <f t="shared" si="42"/>
        <v>3.476701472247129E-2</v>
      </c>
      <c r="M39" s="1688">
        <v>36026</v>
      </c>
      <c r="N39" s="1689">
        <v>1311</v>
      </c>
      <c r="O39" s="1695">
        <f t="shared" si="43"/>
        <v>3.6390384722145119E-2</v>
      </c>
      <c r="P39" s="1688">
        <v>36941</v>
      </c>
      <c r="Q39" s="1689">
        <v>1138</v>
      </c>
      <c r="R39" s="1695">
        <f t="shared" si="44"/>
        <v>3.0805879645921876E-2</v>
      </c>
      <c r="S39" s="1688">
        <v>38283</v>
      </c>
      <c r="T39" s="1689">
        <v>1085</v>
      </c>
      <c r="U39" s="1695">
        <f t="shared" si="45"/>
        <v>2.8341561528615836E-2</v>
      </c>
      <c r="V39" s="1688">
        <v>40563</v>
      </c>
      <c r="W39" s="1689">
        <v>1083</v>
      </c>
      <c r="X39" s="1695">
        <f t="shared" si="46"/>
        <v>2.669920863841432E-2</v>
      </c>
      <c r="Y39" s="1688">
        <v>41122</v>
      </c>
      <c r="Z39" s="1689">
        <v>1217</v>
      </c>
      <c r="AA39" s="1695">
        <f t="shared" si="47"/>
        <v>2.9594864063031953E-2</v>
      </c>
      <c r="AB39" s="1688">
        <v>41455</v>
      </c>
      <c r="AC39" s="1689">
        <v>1734</v>
      </c>
      <c r="AD39" s="1695">
        <f t="shared" si="48"/>
        <v>4.1828488722711374E-2</v>
      </c>
      <c r="AE39" s="1688">
        <v>40902</v>
      </c>
      <c r="AF39" s="1689">
        <v>3084</v>
      </c>
      <c r="AG39" s="1695">
        <f t="shared" si="49"/>
        <v>7.5399735954232064E-2</v>
      </c>
      <c r="AH39" s="1688">
        <v>42027</v>
      </c>
      <c r="AI39" s="1689">
        <v>3215</v>
      </c>
      <c r="AJ39" s="1695">
        <f t="shared" si="50"/>
        <v>7.6498441478097409E-2</v>
      </c>
      <c r="AK39" s="1684">
        <v>43128</v>
      </c>
      <c r="AL39" s="1685">
        <v>2785</v>
      </c>
      <c r="AM39" s="1695">
        <f t="shared" si="51"/>
        <v>6.4575217955852346E-2</v>
      </c>
      <c r="AN39" s="1705">
        <v>43416</v>
      </c>
      <c r="AO39" s="1706">
        <v>2457</v>
      </c>
      <c r="AP39" s="1667">
        <f t="shared" si="52"/>
        <v>5.6592039800995024E-2</v>
      </c>
      <c r="AQ39" s="1705">
        <v>44153</v>
      </c>
      <c r="AR39" s="859">
        <v>2282</v>
      </c>
      <c r="AS39" s="1667">
        <f t="shared" si="53"/>
        <v>5.1683917287613526E-2</v>
      </c>
      <c r="AT39" s="1711">
        <v>44636</v>
      </c>
      <c r="AU39" s="1712">
        <v>2058</v>
      </c>
      <c r="AV39" s="1695">
        <f t="shared" si="54"/>
        <v>4.6106281924903667E-2</v>
      </c>
      <c r="AW39" s="1705">
        <v>44796</v>
      </c>
      <c r="AX39" s="1715">
        <v>1753</v>
      </c>
      <c r="AY39" s="1695">
        <f t="shared" si="55"/>
        <v>3.9132958299848197E-2</v>
      </c>
      <c r="AZ39" s="1705">
        <v>45404</v>
      </c>
      <c r="BA39" s="1715">
        <v>1562</v>
      </c>
      <c r="BB39" s="1695">
        <f t="shared" si="56"/>
        <v>3.4402255307902391E-2</v>
      </c>
      <c r="BC39" s="1699">
        <v>46614</v>
      </c>
      <c r="BD39" s="984">
        <v>1472</v>
      </c>
      <c r="BE39" s="980">
        <f t="shared" si="57"/>
        <v>3.15784957308963E-2</v>
      </c>
      <c r="BF39" s="1699">
        <v>47578</v>
      </c>
      <c r="BG39" s="984">
        <v>1225</v>
      </c>
      <c r="BH39" s="980">
        <f t="shared" si="58"/>
        <v>2.574719408129808E-2</v>
      </c>
      <c r="BI39" s="1699">
        <v>48919</v>
      </c>
      <c r="BJ39" s="984">
        <v>1137</v>
      </c>
      <c r="BK39" s="980">
        <f t="shared" si="19"/>
        <v>2.3242502912978597E-2</v>
      </c>
      <c r="BL39" s="1699">
        <v>48636</v>
      </c>
      <c r="BM39" s="984">
        <v>2260</v>
      </c>
      <c r="BN39" s="980">
        <f t="shared" si="20"/>
        <v>4.646763714121227E-2</v>
      </c>
    </row>
    <row r="40" spans="1:66" ht="12.75" customHeight="1" x14ac:dyDescent="0.3">
      <c r="A40" s="198" t="s">
        <v>91</v>
      </c>
      <c r="B40" s="200" t="s">
        <v>92</v>
      </c>
      <c r="C40" s="85" t="s">
        <v>255</v>
      </c>
      <c r="D40" s="1675">
        <v>7800</v>
      </c>
      <c r="E40" s="1676">
        <v>333</v>
      </c>
      <c r="F40" s="1677">
        <f t="shared" si="40"/>
        <v>4.2692307692307689E-2</v>
      </c>
      <c r="G40" s="1688">
        <v>7916</v>
      </c>
      <c r="H40" s="1689">
        <v>451</v>
      </c>
      <c r="I40" s="1664">
        <f t="shared" si="41"/>
        <v>5.697321879737241E-2</v>
      </c>
      <c r="J40" s="1688">
        <v>8016</v>
      </c>
      <c r="K40" s="1689">
        <v>485</v>
      </c>
      <c r="L40" s="1695">
        <f t="shared" si="42"/>
        <v>6.0503992015968067E-2</v>
      </c>
      <c r="M40" s="1688">
        <v>8188</v>
      </c>
      <c r="N40" s="1689">
        <v>443</v>
      </c>
      <c r="O40" s="1695">
        <f t="shared" si="43"/>
        <v>5.4103566194430873E-2</v>
      </c>
      <c r="P40" s="1688">
        <v>8154</v>
      </c>
      <c r="Q40" s="1689">
        <v>420</v>
      </c>
      <c r="R40" s="1695">
        <f t="shared" si="44"/>
        <v>5.1508462104488596E-2</v>
      </c>
      <c r="S40" s="1688">
        <v>8352</v>
      </c>
      <c r="T40" s="1689">
        <v>431</v>
      </c>
      <c r="U40" s="1695">
        <f t="shared" si="45"/>
        <v>5.1604406130268198E-2</v>
      </c>
      <c r="V40" s="1688">
        <v>8481</v>
      </c>
      <c r="W40" s="1689">
        <v>319</v>
      </c>
      <c r="X40" s="1695">
        <f t="shared" si="46"/>
        <v>3.7613488975356678E-2</v>
      </c>
      <c r="Y40" s="1688">
        <v>8144</v>
      </c>
      <c r="Z40" s="1689">
        <v>366</v>
      </c>
      <c r="AA40" s="1695">
        <f t="shared" si="47"/>
        <v>4.4941060903732809E-2</v>
      </c>
      <c r="AB40" s="1688">
        <v>8373</v>
      </c>
      <c r="AC40" s="1689">
        <v>450</v>
      </c>
      <c r="AD40" s="1695">
        <f t="shared" si="48"/>
        <v>5.3744177714080972E-2</v>
      </c>
      <c r="AE40" s="1688">
        <v>8334</v>
      </c>
      <c r="AF40" s="1689">
        <v>762</v>
      </c>
      <c r="AG40" s="1695">
        <f t="shared" si="49"/>
        <v>9.1432685385169188E-2</v>
      </c>
      <c r="AH40" s="1688">
        <v>8317</v>
      </c>
      <c r="AI40" s="1689">
        <v>813</v>
      </c>
      <c r="AJ40" s="1695">
        <f t="shared" si="50"/>
        <v>9.7751593122520145E-2</v>
      </c>
      <c r="AK40" s="1684">
        <v>8259</v>
      </c>
      <c r="AL40" s="1685">
        <v>656</v>
      </c>
      <c r="AM40" s="1695">
        <f t="shared" si="51"/>
        <v>7.9428502239980631E-2</v>
      </c>
      <c r="AN40" s="1705">
        <v>8227</v>
      </c>
      <c r="AO40" s="1706">
        <v>586</v>
      </c>
      <c r="AP40" s="1667">
        <f t="shared" si="52"/>
        <v>7.1228880515376194E-2</v>
      </c>
      <c r="AQ40" s="1705">
        <v>8217</v>
      </c>
      <c r="AR40" s="859">
        <v>561</v>
      </c>
      <c r="AS40" s="1667">
        <f t="shared" si="53"/>
        <v>6.8273092369477914E-2</v>
      </c>
      <c r="AT40" s="1711">
        <v>8092</v>
      </c>
      <c r="AU40" s="1712">
        <v>491</v>
      </c>
      <c r="AV40" s="1695">
        <f t="shared" si="54"/>
        <v>6.0677212061295109E-2</v>
      </c>
      <c r="AW40" s="1705">
        <v>7974</v>
      </c>
      <c r="AX40" s="1715">
        <v>407</v>
      </c>
      <c r="AY40" s="1695">
        <f t="shared" si="55"/>
        <v>5.1040882869325309E-2</v>
      </c>
      <c r="AZ40" s="1705">
        <v>7950</v>
      </c>
      <c r="BA40" s="1715">
        <v>420</v>
      </c>
      <c r="BB40" s="1695">
        <f t="shared" si="56"/>
        <v>5.2830188679245285E-2</v>
      </c>
      <c r="BC40" s="1699">
        <v>7907</v>
      </c>
      <c r="BD40" s="984">
        <v>367</v>
      </c>
      <c r="BE40" s="980">
        <f t="shared" si="57"/>
        <v>4.6414569368913618E-2</v>
      </c>
      <c r="BF40" s="1699">
        <v>7870</v>
      </c>
      <c r="BG40" s="984">
        <v>259</v>
      </c>
      <c r="BH40" s="980">
        <f t="shared" si="58"/>
        <v>3.2909783989834816E-2</v>
      </c>
      <c r="BI40" s="1699">
        <v>7960</v>
      </c>
      <c r="BJ40" s="984">
        <v>248</v>
      </c>
      <c r="BK40" s="980">
        <f t="shared" si="19"/>
        <v>3.1155778894472363E-2</v>
      </c>
      <c r="BL40" s="1699">
        <v>7739</v>
      </c>
      <c r="BM40" s="984">
        <v>484</v>
      </c>
      <c r="BN40" s="980">
        <f t="shared" si="20"/>
        <v>6.2540379894043152E-2</v>
      </c>
    </row>
    <row r="41" spans="1:66" ht="12.75" customHeight="1" x14ac:dyDescent="0.3">
      <c r="A41" s="198" t="s">
        <v>93</v>
      </c>
      <c r="B41" s="200" t="s">
        <v>94</v>
      </c>
      <c r="C41" s="85" t="s">
        <v>251</v>
      </c>
      <c r="D41" s="1675">
        <v>17594</v>
      </c>
      <c r="E41" s="1676">
        <v>342</v>
      </c>
      <c r="F41" s="1677">
        <f t="shared" si="40"/>
        <v>1.9438444924406047E-2</v>
      </c>
      <c r="G41" s="1688">
        <v>18121</v>
      </c>
      <c r="H41" s="1689">
        <v>446</v>
      </c>
      <c r="I41" s="1664">
        <f t="shared" si="41"/>
        <v>2.4612328237955963E-2</v>
      </c>
      <c r="J41" s="1688">
        <v>18590</v>
      </c>
      <c r="K41" s="1689">
        <v>590</v>
      </c>
      <c r="L41" s="1695">
        <f t="shared" si="42"/>
        <v>3.1737493275954813E-2</v>
      </c>
      <c r="M41" s="1688">
        <v>18849</v>
      </c>
      <c r="N41" s="1689">
        <v>601</v>
      </c>
      <c r="O41" s="1695">
        <f t="shared" si="43"/>
        <v>3.1884980635577487E-2</v>
      </c>
      <c r="P41" s="1688">
        <v>19083</v>
      </c>
      <c r="Q41" s="1689">
        <v>598</v>
      </c>
      <c r="R41" s="1695">
        <f t="shared" si="44"/>
        <v>3.133679190902898E-2</v>
      </c>
      <c r="S41" s="1688">
        <v>19798</v>
      </c>
      <c r="T41" s="1689">
        <v>615</v>
      </c>
      <c r="U41" s="1695">
        <f t="shared" si="45"/>
        <v>3.1063743812506314E-2</v>
      </c>
      <c r="V41" s="1688">
        <v>20348</v>
      </c>
      <c r="W41" s="1689">
        <v>541</v>
      </c>
      <c r="X41" s="1695">
        <f t="shared" si="46"/>
        <v>2.6587379595046198E-2</v>
      </c>
      <c r="Y41" s="1688">
        <v>20549</v>
      </c>
      <c r="Z41" s="1689">
        <v>510</v>
      </c>
      <c r="AA41" s="1695">
        <f t="shared" si="47"/>
        <v>2.4818725972066767E-2</v>
      </c>
      <c r="AB41" s="1688">
        <v>21066</v>
      </c>
      <c r="AC41" s="1689">
        <v>731</v>
      </c>
      <c r="AD41" s="1695">
        <f t="shared" si="48"/>
        <v>3.4700465204595084E-2</v>
      </c>
      <c r="AE41" s="1688">
        <v>20830</v>
      </c>
      <c r="AF41" s="1689">
        <v>1252</v>
      </c>
      <c r="AG41" s="1695">
        <f t="shared" si="49"/>
        <v>6.0105616898703793E-2</v>
      </c>
      <c r="AH41" s="1688">
        <v>19578</v>
      </c>
      <c r="AI41" s="1689">
        <v>1368</v>
      </c>
      <c r="AJ41" s="1695">
        <f t="shared" si="50"/>
        <v>6.9874348758810906E-2</v>
      </c>
      <c r="AK41" s="1684">
        <v>19521</v>
      </c>
      <c r="AL41" s="1685">
        <v>1223</v>
      </c>
      <c r="AM41" s="1695">
        <f t="shared" si="51"/>
        <v>6.2650478971364165E-2</v>
      </c>
      <c r="AN41" s="1705">
        <v>19348</v>
      </c>
      <c r="AO41" s="1706">
        <v>1070</v>
      </c>
      <c r="AP41" s="1667">
        <f t="shared" si="52"/>
        <v>5.530287368203432E-2</v>
      </c>
      <c r="AQ41" s="1705">
        <v>19327</v>
      </c>
      <c r="AR41" s="859">
        <v>983</v>
      </c>
      <c r="AS41" s="1667">
        <f t="shared" si="53"/>
        <v>5.0861489108501058E-2</v>
      </c>
      <c r="AT41" s="1711">
        <v>19504</v>
      </c>
      <c r="AU41" s="1712">
        <v>923</v>
      </c>
      <c r="AV41" s="1695">
        <f t="shared" si="54"/>
        <v>4.7323625922887615E-2</v>
      </c>
      <c r="AW41" s="1705">
        <v>19169</v>
      </c>
      <c r="AX41" s="1715">
        <v>770</v>
      </c>
      <c r="AY41" s="1695">
        <f t="shared" si="55"/>
        <v>4.0169022901559812E-2</v>
      </c>
      <c r="AZ41" s="1705">
        <v>19118</v>
      </c>
      <c r="BA41" s="1715">
        <v>688</v>
      </c>
      <c r="BB41" s="1695">
        <f t="shared" si="56"/>
        <v>3.598702793179203E-2</v>
      </c>
      <c r="BC41" s="1699">
        <v>19451</v>
      </c>
      <c r="BD41" s="984">
        <v>637</v>
      </c>
      <c r="BE41" s="980">
        <f t="shared" si="57"/>
        <v>3.274895892242044E-2</v>
      </c>
      <c r="BF41" s="1699">
        <v>19573</v>
      </c>
      <c r="BG41" s="984">
        <v>520</v>
      </c>
      <c r="BH41" s="980">
        <f t="shared" si="58"/>
        <v>2.6567209932049252E-2</v>
      </c>
      <c r="BI41" s="1699">
        <v>19767</v>
      </c>
      <c r="BJ41" s="984">
        <v>486</v>
      </c>
      <c r="BK41" s="980">
        <f t="shared" si="19"/>
        <v>2.4586431932007893E-2</v>
      </c>
      <c r="BL41" s="1699">
        <v>19249</v>
      </c>
      <c r="BM41" s="984">
        <v>1045</v>
      </c>
      <c r="BN41" s="980">
        <f t="shared" si="20"/>
        <v>5.428853446932308E-2</v>
      </c>
    </row>
    <row r="42" spans="1:66" ht="12.75" customHeight="1" x14ac:dyDescent="0.3">
      <c r="A42" s="198" t="s">
        <v>95</v>
      </c>
      <c r="B42" s="200" t="s">
        <v>96</v>
      </c>
      <c r="C42" s="85" t="s">
        <v>253</v>
      </c>
      <c r="D42" s="1675">
        <v>8916</v>
      </c>
      <c r="E42" s="1676">
        <v>157</v>
      </c>
      <c r="F42" s="1677">
        <f t="shared" si="40"/>
        <v>1.7608793180798565E-2</v>
      </c>
      <c r="G42" s="1688">
        <v>9128</v>
      </c>
      <c r="H42" s="1689">
        <v>229</v>
      </c>
      <c r="I42" s="1664">
        <f t="shared" si="41"/>
        <v>2.5087642418930762E-2</v>
      </c>
      <c r="J42" s="1688">
        <v>9334</v>
      </c>
      <c r="K42" s="1689">
        <v>315</v>
      </c>
      <c r="L42" s="1695">
        <f t="shared" si="42"/>
        <v>3.3747589457895862E-2</v>
      </c>
      <c r="M42" s="1688">
        <v>9523</v>
      </c>
      <c r="N42" s="1689">
        <v>320</v>
      </c>
      <c r="O42" s="1695">
        <f t="shared" si="43"/>
        <v>3.3602856242780636E-2</v>
      </c>
      <c r="P42" s="1688">
        <v>9876</v>
      </c>
      <c r="Q42" s="1689">
        <v>333</v>
      </c>
      <c r="R42" s="1695">
        <f t="shared" si="44"/>
        <v>3.3718104495747268E-2</v>
      </c>
      <c r="S42" s="1688">
        <v>10343</v>
      </c>
      <c r="T42" s="1689">
        <v>311</v>
      </c>
      <c r="U42" s="1695">
        <f t="shared" si="45"/>
        <v>3.0068645460698058E-2</v>
      </c>
      <c r="V42" s="1688">
        <v>10821</v>
      </c>
      <c r="W42" s="1689">
        <v>269</v>
      </c>
      <c r="X42" s="1695">
        <f t="shared" si="46"/>
        <v>2.485907032621754E-2</v>
      </c>
      <c r="Y42" s="1688">
        <v>11126</v>
      </c>
      <c r="Z42" s="1689">
        <v>266</v>
      </c>
      <c r="AA42" s="1695">
        <f t="shared" si="47"/>
        <v>2.3907963329138953E-2</v>
      </c>
      <c r="AB42" s="1688">
        <v>11453</v>
      </c>
      <c r="AC42" s="1689">
        <v>379</v>
      </c>
      <c r="AD42" s="1695">
        <f t="shared" si="48"/>
        <v>3.3091766349428099E-2</v>
      </c>
      <c r="AE42" s="1688">
        <v>11384</v>
      </c>
      <c r="AF42" s="1689">
        <v>740</v>
      </c>
      <c r="AG42" s="1695">
        <f t="shared" si="49"/>
        <v>6.5003513703443427E-2</v>
      </c>
      <c r="AH42" s="1688">
        <v>10499</v>
      </c>
      <c r="AI42" s="1689">
        <v>771</v>
      </c>
      <c r="AJ42" s="1695">
        <f t="shared" si="50"/>
        <v>7.343556529193257E-2</v>
      </c>
      <c r="AK42" s="1684">
        <v>10360</v>
      </c>
      <c r="AL42" s="1685">
        <v>657</v>
      </c>
      <c r="AM42" s="1695">
        <f t="shared" si="51"/>
        <v>6.3416988416988423E-2</v>
      </c>
      <c r="AN42" s="1705">
        <v>10267</v>
      </c>
      <c r="AO42" s="1706">
        <v>562</v>
      </c>
      <c r="AP42" s="1667">
        <f t="shared" si="52"/>
        <v>5.4738482516801405E-2</v>
      </c>
      <c r="AQ42" s="1705">
        <v>10376</v>
      </c>
      <c r="AR42" s="859">
        <v>522</v>
      </c>
      <c r="AS42" s="1667">
        <f t="shared" si="53"/>
        <v>5.0308404009252121E-2</v>
      </c>
      <c r="AT42" s="1711">
        <v>10577</v>
      </c>
      <c r="AU42" s="1712">
        <v>497</v>
      </c>
      <c r="AV42" s="1695">
        <f t="shared" si="54"/>
        <v>4.6988749172733289E-2</v>
      </c>
      <c r="AW42" s="1705">
        <v>10659</v>
      </c>
      <c r="AX42" s="1715">
        <v>439</v>
      </c>
      <c r="AY42" s="1695">
        <f t="shared" si="55"/>
        <v>4.1185852331363168E-2</v>
      </c>
      <c r="AZ42" s="1705">
        <v>10845</v>
      </c>
      <c r="BA42" s="1715">
        <v>402</v>
      </c>
      <c r="BB42" s="1695">
        <f t="shared" si="56"/>
        <v>3.706777316735823E-2</v>
      </c>
      <c r="BC42" s="1699">
        <v>10877</v>
      </c>
      <c r="BD42" s="984">
        <v>377</v>
      </c>
      <c r="BE42" s="980">
        <f t="shared" si="57"/>
        <v>3.4660292360025741E-2</v>
      </c>
      <c r="BF42" s="1699">
        <v>11176</v>
      </c>
      <c r="BG42" s="984">
        <v>328</v>
      </c>
      <c r="BH42" s="980">
        <f t="shared" si="58"/>
        <v>2.9348604151753759E-2</v>
      </c>
      <c r="BI42" s="1699">
        <v>11508</v>
      </c>
      <c r="BJ42" s="984">
        <v>304</v>
      </c>
      <c r="BK42" s="980">
        <f t="shared" si="19"/>
        <v>2.6416405978449773E-2</v>
      </c>
      <c r="BL42" s="1699">
        <v>11142</v>
      </c>
      <c r="BM42" s="984">
        <v>542</v>
      </c>
      <c r="BN42" s="980">
        <f t="shared" si="20"/>
        <v>4.8644767546221504E-2</v>
      </c>
    </row>
    <row r="43" spans="1:66" ht="12.75" customHeight="1" x14ac:dyDescent="0.3">
      <c r="A43" s="198" t="s">
        <v>97</v>
      </c>
      <c r="B43" s="200" t="s">
        <v>98</v>
      </c>
      <c r="C43" s="85" t="s">
        <v>255</v>
      </c>
      <c r="D43" s="1675">
        <v>8090</v>
      </c>
      <c r="E43" s="1676">
        <v>412</v>
      </c>
      <c r="F43" s="1677">
        <f t="shared" si="40"/>
        <v>5.0927070457354756E-2</v>
      </c>
      <c r="G43" s="1688">
        <v>7940</v>
      </c>
      <c r="H43" s="1689">
        <v>604</v>
      </c>
      <c r="I43" s="1664">
        <f t="shared" si="41"/>
        <v>7.6070528967254414E-2</v>
      </c>
      <c r="J43" s="1688">
        <v>8005</v>
      </c>
      <c r="K43" s="1689">
        <v>641</v>
      </c>
      <c r="L43" s="1695">
        <f t="shared" si="42"/>
        <v>8.007495315427858E-2</v>
      </c>
      <c r="M43" s="1688">
        <v>7910</v>
      </c>
      <c r="N43" s="1689">
        <v>499</v>
      </c>
      <c r="O43" s="1695">
        <f t="shared" si="43"/>
        <v>6.3084702907711759E-2</v>
      </c>
      <c r="P43" s="1688">
        <v>7536</v>
      </c>
      <c r="Q43" s="1689">
        <v>371</v>
      </c>
      <c r="R43" s="1695">
        <f t="shared" si="44"/>
        <v>4.9230360934182593E-2</v>
      </c>
      <c r="S43" s="1688">
        <v>7401</v>
      </c>
      <c r="T43" s="1689">
        <v>349</v>
      </c>
      <c r="U43" s="1695">
        <f t="shared" si="45"/>
        <v>4.715578975814079E-2</v>
      </c>
      <c r="V43" s="1688">
        <v>7104</v>
      </c>
      <c r="W43" s="1689">
        <v>393</v>
      </c>
      <c r="X43" s="1695">
        <f t="shared" si="46"/>
        <v>5.5320945945945943E-2</v>
      </c>
      <c r="Y43" s="1688">
        <v>7121</v>
      </c>
      <c r="Z43" s="1689">
        <v>364</v>
      </c>
      <c r="AA43" s="1695">
        <f t="shared" si="47"/>
        <v>5.1116416233675042E-2</v>
      </c>
      <c r="AB43" s="1688">
        <v>7170</v>
      </c>
      <c r="AC43" s="1689">
        <v>463</v>
      </c>
      <c r="AD43" s="1695">
        <f t="shared" si="48"/>
        <v>6.4574616457461639E-2</v>
      </c>
      <c r="AE43" s="1688">
        <v>7295</v>
      </c>
      <c r="AF43" s="1689">
        <v>780</v>
      </c>
      <c r="AG43" s="1695">
        <f t="shared" si="49"/>
        <v>0.10692254969156957</v>
      </c>
      <c r="AH43" s="1688">
        <v>7388</v>
      </c>
      <c r="AI43" s="1689">
        <v>936</v>
      </c>
      <c r="AJ43" s="1695">
        <f t="shared" si="50"/>
        <v>0.12669193286410396</v>
      </c>
      <c r="AK43" s="1684">
        <v>7191</v>
      </c>
      <c r="AL43" s="1685">
        <v>776</v>
      </c>
      <c r="AM43" s="1695">
        <f t="shared" si="51"/>
        <v>0.1079126686135447</v>
      </c>
      <c r="AN43" s="1705">
        <v>6984</v>
      </c>
      <c r="AO43" s="1706">
        <v>655</v>
      </c>
      <c r="AP43" s="1667">
        <f t="shared" si="52"/>
        <v>9.3785796105383734E-2</v>
      </c>
      <c r="AQ43" s="1705">
        <v>7006</v>
      </c>
      <c r="AR43" s="859">
        <v>661</v>
      </c>
      <c r="AS43" s="1667">
        <f t="shared" si="53"/>
        <v>9.4347701969740225E-2</v>
      </c>
      <c r="AT43" s="1711">
        <v>7091</v>
      </c>
      <c r="AU43" s="1712">
        <v>539</v>
      </c>
      <c r="AV43" s="1695">
        <f t="shared" si="54"/>
        <v>7.6011846001974331E-2</v>
      </c>
      <c r="AW43" s="1705">
        <v>7071</v>
      </c>
      <c r="AX43" s="1715">
        <v>412</v>
      </c>
      <c r="AY43" s="1695">
        <f t="shared" si="55"/>
        <v>5.8266157544901713E-2</v>
      </c>
      <c r="AZ43" s="1705">
        <v>7031</v>
      </c>
      <c r="BA43" s="1715">
        <v>354</v>
      </c>
      <c r="BB43" s="1695">
        <f t="shared" si="56"/>
        <v>5.0348456834020762E-2</v>
      </c>
      <c r="BC43" s="1699">
        <v>7710</v>
      </c>
      <c r="BD43" s="984">
        <v>302</v>
      </c>
      <c r="BE43" s="980">
        <f t="shared" si="57"/>
        <v>3.9169909208819714E-2</v>
      </c>
      <c r="BF43" s="1699">
        <v>7703</v>
      </c>
      <c r="BG43" s="984">
        <v>231</v>
      </c>
      <c r="BH43" s="980">
        <f t="shared" si="58"/>
        <v>2.9988316240425809E-2</v>
      </c>
      <c r="BI43" s="1699">
        <v>8121</v>
      </c>
      <c r="BJ43" s="984">
        <v>224</v>
      </c>
      <c r="BK43" s="980">
        <f t="shared" si="19"/>
        <v>2.7582809998768623E-2</v>
      </c>
      <c r="BL43" s="1699">
        <v>8104</v>
      </c>
      <c r="BM43" s="984">
        <v>460</v>
      </c>
      <c r="BN43" s="980">
        <f t="shared" si="20"/>
        <v>5.6762092793682134E-2</v>
      </c>
    </row>
    <row r="44" spans="1:66" ht="12.75" customHeight="1" x14ac:dyDescent="0.3">
      <c r="A44" s="198" t="s">
        <v>99</v>
      </c>
      <c r="B44" s="200" t="s">
        <v>100</v>
      </c>
      <c r="C44" s="85" t="s">
        <v>254</v>
      </c>
      <c r="D44" s="1675">
        <v>8400</v>
      </c>
      <c r="E44" s="1676">
        <v>155</v>
      </c>
      <c r="F44" s="1677">
        <f t="shared" si="40"/>
        <v>1.8452380952380953E-2</v>
      </c>
      <c r="G44" s="1688">
        <v>8618</v>
      </c>
      <c r="H44" s="1689">
        <v>198</v>
      </c>
      <c r="I44" s="1664">
        <f t="shared" si="41"/>
        <v>2.2975168252494779E-2</v>
      </c>
      <c r="J44" s="1688">
        <v>8896</v>
      </c>
      <c r="K44" s="1689">
        <v>315</v>
      </c>
      <c r="L44" s="1695">
        <f t="shared" si="42"/>
        <v>3.5409172661870505E-2</v>
      </c>
      <c r="M44" s="1688">
        <v>9110</v>
      </c>
      <c r="N44" s="1689">
        <v>371</v>
      </c>
      <c r="O44" s="1695">
        <f t="shared" si="43"/>
        <v>4.0724478594950604E-2</v>
      </c>
      <c r="P44" s="1688">
        <v>9246</v>
      </c>
      <c r="Q44" s="1689">
        <v>293</v>
      </c>
      <c r="R44" s="1695">
        <f t="shared" si="44"/>
        <v>3.1689379191001517E-2</v>
      </c>
      <c r="S44" s="1688">
        <v>9658</v>
      </c>
      <c r="T44" s="1689">
        <v>284</v>
      </c>
      <c r="U44" s="1695">
        <f t="shared" si="45"/>
        <v>2.9405674052598883E-2</v>
      </c>
      <c r="V44" s="1688">
        <v>10152</v>
      </c>
      <c r="W44" s="1689">
        <v>237</v>
      </c>
      <c r="X44" s="1695">
        <f t="shared" si="46"/>
        <v>2.3345153664302599E-2</v>
      </c>
      <c r="Y44" s="1688">
        <v>10420</v>
      </c>
      <c r="Z44" s="1689">
        <v>222</v>
      </c>
      <c r="AA44" s="1695">
        <f t="shared" si="47"/>
        <v>2.1305182341650672E-2</v>
      </c>
      <c r="AB44" s="1688">
        <v>10686</v>
      </c>
      <c r="AC44" s="1689">
        <v>350</v>
      </c>
      <c r="AD44" s="1695">
        <f t="shared" si="48"/>
        <v>3.2753134942915964E-2</v>
      </c>
      <c r="AE44" s="1688">
        <v>10754</v>
      </c>
      <c r="AF44" s="1689">
        <v>622</v>
      </c>
      <c r="AG44" s="1695">
        <f t="shared" si="49"/>
        <v>5.783894364887484E-2</v>
      </c>
      <c r="AH44" s="1688">
        <v>9667</v>
      </c>
      <c r="AI44" s="1689">
        <v>665</v>
      </c>
      <c r="AJ44" s="1695">
        <f t="shared" si="50"/>
        <v>6.8790731354091236E-2</v>
      </c>
      <c r="AK44" s="1684">
        <v>9778</v>
      </c>
      <c r="AL44" s="1685">
        <v>589</v>
      </c>
      <c r="AM44" s="1695">
        <f t="shared" si="51"/>
        <v>6.0237267334833297E-2</v>
      </c>
      <c r="AN44" s="1705">
        <v>9786</v>
      </c>
      <c r="AO44" s="1706">
        <v>532</v>
      </c>
      <c r="AP44" s="1667">
        <f t="shared" si="52"/>
        <v>5.4363376251788269E-2</v>
      </c>
      <c r="AQ44" s="1705">
        <v>9690</v>
      </c>
      <c r="AR44" s="859">
        <v>456</v>
      </c>
      <c r="AS44" s="1667">
        <f t="shared" si="53"/>
        <v>4.7058823529411764E-2</v>
      </c>
      <c r="AT44" s="1711">
        <v>9887</v>
      </c>
      <c r="AU44" s="1712">
        <v>427</v>
      </c>
      <c r="AV44" s="1695">
        <f t="shared" si="54"/>
        <v>4.3188024678871242E-2</v>
      </c>
      <c r="AW44" s="1705">
        <v>9888</v>
      </c>
      <c r="AX44" s="1715">
        <v>363</v>
      </c>
      <c r="AY44" s="1695">
        <f t="shared" si="55"/>
        <v>3.6711165048543687E-2</v>
      </c>
      <c r="AZ44" s="1705">
        <v>9946</v>
      </c>
      <c r="BA44" s="1715">
        <v>320</v>
      </c>
      <c r="BB44" s="1695">
        <f t="shared" si="56"/>
        <v>3.217373818620551E-2</v>
      </c>
      <c r="BC44" s="1699">
        <v>10195</v>
      </c>
      <c r="BD44" s="984">
        <v>307</v>
      </c>
      <c r="BE44" s="980">
        <f t="shared" si="57"/>
        <v>3.011280039234919E-2</v>
      </c>
      <c r="BF44" s="1699">
        <v>10355</v>
      </c>
      <c r="BG44" s="984">
        <v>258</v>
      </c>
      <c r="BH44" s="980">
        <f t="shared" si="58"/>
        <v>2.4915499758570738E-2</v>
      </c>
      <c r="BI44" s="1699">
        <v>10658</v>
      </c>
      <c r="BJ44" s="984">
        <v>239</v>
      </c>
      <c r="BK44" s="980">
        <f t="shared" si="19"/>
        <v>2.2424469881778944E-2</v>
      </c>
      <c r="BL44" s="1699">
        <v>10198</v>
      </c>
      <c r="BM44" s="984">
        <v>534</v>
      </c>
      <c r="BN44" s="980">
        <f t="shared" si="20"/>
        <v>5.2363208472249463E-2</v>
      </c>
    </row>
    <row r="45" spans="1:66" ht="12.75" customHeight="1" x14ac:dyDescent="0.3">
      <c r="A45" s="198" t="s">
        <v>101</v>
      </c>
      <c r="B45" s="200" t="s">
        <v>102</v>
      </c>
      <c r="C45" s="85" t="s">
        <v>251</v>
      </c>
      <c r="D45" s="1678">
        <v>6378</v>
      </c>
      <c r="E45" s="1679">
        <v>210</v>
      </c>
      <c r="F45" s="1677">
        <f t="shared" si="40"/>
        <v>3.2925682031984947E-2</v>
      </c>
      <c r="G45" s="1690">
        <v>6504</v>
      </c>
      <c r="H45" s="1691">
        <v>292</v>
      </c>
      <c r="I45" s="1664">
        <f t="shared" si="41"/>
        <v>4.4895448954489547E-2</v>
      </c>
      <c r="J45" s="1690">
        <v>6413</v>
      </c>
      <c r="K45" s="1691">
        <v>309</v>
      </c>
      <c r="L45" s="1695">
        <f t="shared" si="42"/>
        <v>4.8183377514423829E-2</v>
      </c>
      <c r="M45" s="1690">
        <v>6796</v>
      </c>
      <c r="N45" s="1691">
        <v>401</v>
      </c>
      <c r="O45" s="1695">
        <f t="shared" si="43"/>
        <v>5.9005297233666862E-2</v>
      </c>
      <c r="P45" s="1690">
        <v>6396</v>
      </c>
      <c r="Q45" s="1691">
        <v>437</v>
      </c>
      <c r="R45" s="1695">
        <f t="shared" si="44"/>
        <v>6.8323952470293936E-2</v>
      </c>
      <c r="S45" s="1690">
        <v>6364</v>
      </c>
      <c r="T45" s="1691">
        <v>353</v>
      </c>
      <c r="U45" s="1695">
        <f t="shared" si="45"/>
        <v>5.5468258956631052E-2</v>
      </c>
      <c r="V45" s="1690">
        <v>6436</v>
      </c>
      <c r="W45" s="1691">
        <v>307</v>
      </c>
      <c r="X45" s="1695">
        <f t="shared" si="46"/>
        <v>4.7700435052827846E-2</v>
      </c>
      <c r="Y45" s="1690">
        <v>6744</v>
      </c>
      <c r="Z45" s="1691">
        <v>344</v>
      </c>
      <c r="AA45" s="1695">
        <f t="shared" si="47"/>
        <v>5.1008303677342826E-2</v>
      </c>
      <c r="AB45" s="1690">
        <v>6908</v>
      </c>
      <c r="AC45" s="1691">
        <v>428</v>
      </c>
      <c r="AD45" s="1695">
        <f t="shared" si="48"/>
        <v>6.195715112912565E-2</v>
      </c>
      <c r="AE45" s="1690">
        <v>6936</v>
      </c>
      <c r="AF45" s="1691">
        <v>701</v>
      </c>
      <c r="AG45" s="1695">
        <f t="shared" si="49"/>
        <v>0.10106689734717417</v>
      </c>
      <c r="AH45" s="1690">
        <v>7145</v>
      </c>
      <c r="AI45" s="1691">
        <v>773</v>
      </c>
      <c r="AJ45" s="1695">
        <f t="shared" si="50"/>
        <v>0.10818754373687893</v>
      </c>
      <c r="AK45" s="1684">
        <v>7125</v>
      </c>
      <c r="AL45" s="1685">
        <v>675</v>
      </c>
      <c r="AM45" s="1695">
        <f t="shared" si="51"/>
        <v>9.4736842105263161E-2</v>
      </c>
      <c r="AN45" s="1705">
        <v>6923</v>
      </c>
      <c r="AO45" s="1706">
        <v>632</v>
      </c>
      <c r="AP45" s="1667">
        <f t="shared" si="52"/>
        <v>9.1289903221146898E-2</v>
      </c>
      <c r="AQ45" s="1705">
        <v>6734</v>
      </c>
      <c r="AR45" s="859">
        <v>558</v>
      </c>
      <c r="AS45" s="1667">
        <f t="shared" si="53"/>
        <v>8.286308286308286E-2</v>
      </c>
      <c r="AT45" s="1711">
        <v>6576</v>
      </c>
      <c r="AU45" s="1712">
        <v>456</v>
      </c>
      <c r="AV45" s="1695">
        <f t="shared" si="54"/>
        <v>6.9343065693430656E-2</v>
      </c>
      <c r="AW45" s="1705">
        <v>6440</v>
      </c>
      <c r="AX45" s="1715">
        <v>376</v>
      </c>
      <c r="AY45" s="1695">
        <f t="shared" si="55"/>
        <v>5.8385093167701865E-2</v>
      </c>
      <c r="AZ45" s="1705">
        <v>6458</v>
      </c>
      <c r="BA45" s="1715">
        <v>352</v>
      </c>
      <c r="BB45" s="1695">
        <f t="shared" si="56"/>
        <v>5.4506039021368843E-2</v>
      </c>
      <c r="BC45" s="1699">
        <v>6820</v>
      </c>
      <c r="BD45" s="984">
        <v>315</v>
      </c>
      <c r="BE45" s="980">
        <f t="shared" si="57"/>
        <v>4.6187683284457479E-2</v>
      </c>
      <c r="BF45" s="1699">
        <v>6734</v>
      </c>
      <c r="BG45" s="984">
        <v>268</v>
      </c>
      <c r="BH45" s="980">
        <f t="shared" si="58"/>
        <v>3.9798039798039801E-2</v>
      </c>
      <c r="BI45" s="1699">
        <v>6625</v>
      </c>
      <c r="BJ45" s="984">
        <v>251</v>
      </c>
      <c r="BK45" s="980">
        <f t="shared" si="19"/>
        <v>3.7886792452830186E-2</v>
      </c>
      <c r="BL45" s="1699">
        <v>6583</v>
      </c>
      <c r="BM45" s="984">
        <v>548</v>
      </c>
      <c r="BN45" s="980">
        <f t="shared" si="20"/>
        <v>8.3244721251708953E-2</v>
      </c>
    </row>
    <row r="46" spans="1:66" ht="12.75" customHeight="1" x14ac:dyDescent="0.3">
      <c r="A46" s="198" t="s">
        <v>103</v>
      </c>
      <c r="B46" s="200" t="s">
        <v>431</v>
      </c>
      <c r="C46" s="85" t="s">
        <v>252</v>
      </c>
      <c r="D46" s="1675">
        <v>16209</v>
      </c>
      <c r="E46" s="1676">
        <v>817</v>
      </c>
      <c r="F46" s="1677">
        <f t="shared" si="40"/>
        <v>5.040409648960454E-2</v>
      </c>
      <c r="G46" s="1688">
        <v>16725</v>
      </c>
      <c r="H46" s="1689">
        <v>1225</v>
      </c>
      <c r="I46" s="1664">
        <f t="shared" si="41"/>
        <v>7.3243647234678619E-2</v>
      </c>
      <c r="J46" s="1688">
        <v>16758</v>
      </c>
      <c r="K46" s="1689">
        <v>1723</v>
      </c>
      <c r="L46" s="1695">
        <f t="shared" si="42"/>
        <v>0.10281656522258026</v>
      </c>
      <c r="M46" s="1688">
        <v>16239</v>
      </c>
      <c r="N46" s="1689">
        <v>1656</v>
      </c>
      <c r="O46" s="1695">
        <f t="shared" si="43"/>
        <v>0.10197672270460004</v>
      </c>
      <c r="P46" s="1688">
        <v>15502</v>
      </c>
      <c r="Q46" s="1689">
        <v>1213</v>
      </c>
      <c r="R46" s="1695">
        <f t="shared" si="44"/>
        <v>7.8247968004128504E-2</v>
      </c>
      <c r="S46" s="1688">
        <v>15792</v>
      </c>
      <c r="T46" s="1689">
        <v>974</v>
      </c>
      <c r="U46" s="1695">
        <f t="shared" si="45"/>
        <v>6.1676798378926041E-2</v>
      </c>
      <c r="V46" s="1688">
        <v>15763</v>
      </c>
      <c r="W46" s="1689">
        <v>929</v>
      </c>
      <c r="X46" s="1695">
        <f t="shared" si="46"/>
        <v>5.8935481824525786E-2</v>
      </c>
      <c r="Y46" s="1688">
        <v>15403</v>
      </c>
      <c r="Z46" s="1689">
        <v>981</v>
      </c>
      <c r="AA46" s="1695">
        <f t="shared" si="47"/>
        <v>6.3688891774329681E-2</v>
      </c>
      <c r="AB46" s="1688">
        <v>15745</v>
      </c>
      <c r="AC46" s="1689">
        <v>1078</v>
      </c>
      <c r="AD46" s="1695">
        <f t="shared" si="48"/>
        <v>6.8466179739599869E-2</v>
      </c>
      <c r="AE46" s="1688">
        <v>16531</v>
      </c>
      <c r="AF46" s="1689">
        <v>1863</v>
      </c>
      <c r="AG46" s="1695">
        <f t="shared" si="49"/>
        <v>0.11269735648176155</v>
      </c>
      <c r="AH46" s="1688">
        <v>16727</v>
      </c>
      <c r="AI46" s="1689">
        <v>2083</v>
      </c>
      <c r="AJ46" s="1695">
        <f t="shared" si="50"/>
        <v>0.12452920428050457</v>
      </c>
      <c r="AK46" s="1684">
        <v>16332</v>
      </c>
      <c r="AL46" s="1685">
        <v>1788</v>
      </c>
      <c r="AM46" s="1695">
        <f t="shared" si="51"/>
        <v>0.10947832476120499</v>
      </c>
      <c r="AN46" s="1705">
        <v>16016</v>
      </c>
      <c r="AO46" s="1706">
        <v>1491</v>
      </c>
      <c r="AP46" s="1667">
        <f t="shared" si="52"/>
        <v>9.3094405594405599E-2</v>
      </c>
      <c r="AQ46" s="1705">
        <v>15852</v>
      </c>
      <c r="AR46" s="859">
        <v>1418</v>
      </c>
      <c r="AS46" s="1667">
        <f t="shared" si="53"/>
        <v>8.9452435023971738E-2</v>
      </c>
      <c r="AT46" s="1711">
        <v>15598</v>
      </c>
      <c r="AU46" s="1712">
        <v>1194</v>
      </c>
      <c r="AV46" s="1695">
        <f t="shared" si="54"/>
        <v>7.6548275419925635E-2</v>
      </c>
      <c r="AW46" s="1705">
        <v>15255</v>
      </c>
      <c r="AX46" s="1715">
        <v>956</v>
      </c>
      <c r="AY46" s="1695">
        <f t="shared" si="55"/>
        <v>6.2667977712225501E-2</v>
      </c>
      <c r="AZ46" s="1705">
        <v>14880</v>
      </c>
      <c r="BA46" s="1715">
        <v>854</v>
      </c>
      <c r="BB46" s="1695">
        <f t="shared" si="56"/>
        <v>5.7392473118279573E-2</v>
      </c>
      <c r="BC46" s="1699">
        <v>15623</v>
      </c>
      <c r="BD46" s="984">
        <v>757</v>
      </c>
      <c r="BE46" s="980">
        <f t="shared" si="57"/>
        <v>4.8454202137873645E-2</v>
      </c>
      <c r="BF46" s="1699">
        <v>15219</v>
      </c>
      <c r="BG46" s="984">
        <v>614</v>
      </c>
      <c r="BH46" s="980">
        <f t="shared" si="58"/>
        <v>4.0344306459031476E-2</v>
      </c>
      <c r="BI46" s="1699">
        <v>15651</v>
      </c>
      <c r="BJ46" s="984">
        <v>589</v>
      </c>
      <c r="BK46" s="980">
        <f t="shared" si="19"/>
        <v>3.7633378058909976E-2</v>
      </c>
      <c r="BL46" s="1699">
        <v>15176</v>
      </c>
      <c r="BM46" s="984">
        <v>1067</v>
      </c>
      <c r="BN46" s="980">
        <f t="shared" si="20"/>
        <v>7.0308381655245125E-2</v>
      </c>
    </row>
    <row r="47" spans="1:66" ht="12.75" customHeight="1" x14ac:dyDescent="0.3">
      <c r="A47" s="198" t="s">
        <v>107</v>
      </c>
      <c r="B47" s="200" t="s">
        <v>108</v>
      </c>
      <c r="C47" s="85" t="s">
        <v>253</v>
      </c>
      <c r="D47" s="1675">
        <v>47485</v>
      </c>
      <c r="E47" s="1676">
        <v>790</v>
      </c>
      <c r="F47" s="1677">
        <f t="shared" si="40"/>
        <v>1.6636832684005474E-2</v>
      </c>
      <c r="G47" s="1688">
        <v>48679</v>
      </c>
      <c r="H47" s="1689">
        <v>1224</v>
      </c>
      <c r="I47" s="1664">
        <f t="shared" si="41"/>
        <v>2.5144312742661105E-2</v>
      </c>
      <c r="J47" s="1688">
        <v>50099</v>
      </c>
      <c r="K47" s="1689">
        <v>1651</v>
      </c>
      <c r="L47" s="1695">
        <f t="shared" si="42"/>
        <v>3.2954749595800317E-2</v>
      </c>
      <c r="M47" s="1688">
        <v>50886</v>
      </c>
      <c r="N47" s="1689">
        <v>1654</v>
      </c>
      <c r="O47" s="1695">
        <f t="shared" si="43"/>
        <v>3.2504028612978027E-2</v>
      </c>
      <c r="P47" s="1688">
        <v>52220</v>
      </c>
      <c r="Q47" s="1689">
        <v>1638</v>
      </c>
      <c r="R47" s="1695">
        <f t="shared" si="44"/>
        <v>3.1367292225201071E-2</v>
      </c>
      <c r="S47" s="1688">
        <v>53511</v>
      </c>
      <c r="T47" s="1689">
        <v>1594</v>
      </c>
      <c r="U47" s="1695">
        <f t="shared" si="45"/>
        <v>2.9788267832782045E-2</v>
      </c>
      <c r="V47" s="1688">
        <v>54752</v>
      </c>
      <c r="W47" s="1689">
        <v>1395</v>
      </c>
      <c r="X47" s="1695">
        <f t="shared" si="46"/>
        <v>2.5478521332554061E-2</v>
      </c>
      <c r="Y47" s="1688">
        <v>54737</v>
      </c>
      <c r="Z47" s="1689">
        <v>1350</v>
      </c>
      <c r="AA47" s="1695">
        <f t="shared" si="47"/>
        <v>2.4663390394066172E-2</v>
      </c>
      <c r="AB47" s="1688">
        <v>55834</v>
      </c>
      <c r="AC47" s="1689">
        <v>1916</v>
      </c>
      <c r="AD47" s="1695">
        <f t="shared" si="48"/>
        <v>3.4316008167066661E-2</v>
      </c>
      <c r="AE47" s="1688">
        <v>54576</v>
      </c>
      <c r="AF47" s="1689">
        <v>3561</v>
      </c>
      <c r="AG47" s="1695">
        <f t="shared" si="49"/>
        <v>6.5248460861917323E-2</v>
      </c>
      <c r="AH47" s="1688">
        <v>54500</v>
      </c>
      <c r="AI47" s="1689">
        <v>3670</v>
      </c>
      <c r="AJ47" s="1695">
        <f t="shared" si="50"/>
        <v>6.7339449541284402E-2</v>
      </c>
      <c r="AK47" s="1684">
        <v>54872</v>
      </c>
      <c r="AL47" s="1685">
        <v>3267</v>
      </c>
      <c r="AM47" s="1695">
        <f t="shared" si="51"/>
        <v>5.9538562472663654E-2</v>
      </c>
      <c r="AN47" s="1705">
        <v>55076</v>
      </c>
      <c r="AO47" s="1706">
        <v>2976</v>
      </c>
      <c r="AP47" s="1667">
        <f t="shared" si="52"/>
        <v>5.4034425157963542E-2</v>
      </c>
      <c r="AQ47" s="1705">
        <v>55429</v>
      </c>
      <c r="AR47" s="859">
        <v>2736</v>
      </c>
      <c r="AS47" s="1667">
        <f t="shared" si="53"/>
        <v>4.936044308935756E-2</v>
      </c>
      <c r="AT47" s="1711">
        <v>55997</v>
      </c>
      <c r="AU47" s="1712">
        <v>2505</v>
      </c>
      <c r="AV47" s="1695">
        <f t="shared" si="54"/>
        <v>4.4734539350322337E-2</v>
      </c>
      <c r="AW47" s="1705">
        <v>56465</v>
      </c>
      <c r="AX47" s="1715">
        <v>2158</v>
      </c>
      <c r="AY47" s="1695">
        <f t="shared" si="55"/>
        <v>3.8218365359071992E-2</v>
      </c>
      <c r="AZ47" s="1705">
        <v>57255</v>
      </c>
      <c r="BA47" s="1715">
        <v>1975</v>
      </c>
      <c r="BB47" s="1695">
        <f t="shared" si="56"/>
        <v>3.4494803947253516E-2</v>
      </c>
      <c r="BC47" s="1699">
        <v>58416</v>
      </c>
      <c r="BD47" s="984">
        <v>1921</v>
      </c>
      <c r="BE47" s="980">
        <f t="shared" si="57"/>
        <v>3.2884826075047932E-2</v>
      </c>
      <c r="BF47" s="1699">
        <v>59058</v>
      </c>
      <c r="BG47" s="984">
        <v>1523</v>
      </c>
      <c r="BH47" s="980">
        <f t="shared" si="58"/>
        <v>2.5788208202106404E-2</v>
      </c>
      <c r="BI47" s="1699">
        <v>59775</v>
      </c>
      <c r="BJ47" s="984">
        <v>1388</v>
      </c>
      <c r="BK47" s="980">
        <f t="shared" si="19"/>
        <v>2.3220409870347136E-2</v>
      </c>
      <c r="BL47" s="1699">
        <v>57934</v>
      </c>
      <c r="BM47" s="984">
        <v>2798</v>
      </c>
      <c r="BN47" s="980">
        <f t="shared" si="20"/>
        <v>4.8296337211309423E-2</v>
      </c>
    </row>
    <row r="48" spans="1:66" ht="12.75" customHeight="1" x14ac:dyDescent="0.3">
      <c r="A48" s="198" t="s">
        <v>109</v>
      </c>
      <c r="B48" s="200" t="s">
        <v>110</v>
      </c>
      <c r="C48" s="85" t="s">
        <v>253</v>
      </c>
      <c r="D48" s="1675">
        <v>145559</v>
      </c>
      <c r="E48" s="1676">
        <v>2657</v>
      </c>
      <c r="F48" s="1677">
        <f t="shared" si="40"/>
        <v>1.8253766513922191E-2</v>
      </c>
      <c r="G48" s="1688">
        <v>147695</v>
      </c>
      <c r="H48" s="1689">
        <v>4353</v>
      </c>
      <c r="I48" s="1664">
        <f t="shared" si="41"/>
        <v>2.9472900233589491E-2</v>
      </c>
      <c r="J48" s="1688">
        <v>148325</v>
      </c>
      <c r="K48" s="1689">
        <v>5472</v>
      </c>
      <c r="L48" s="1695">
        <f t="shared" si="42"/>
        <v>3.6891960222484407E-2</v>
      </c>
      <c r="M48" s="1688">
        <v>149235</v>
      </c>
      <c r="N48" s="1689">
        <v>5555</v>
      </c>
      <c r="O48" s="1695">
        <f t="shared" si="43"/>
        <v>3.7223171508024254E-2</v>
      </c>
      <c r="P48" s="1688">
        <v>152373</v>
      </c>
      <c r="Q48" s="1689">
        <v>5418</v>
      </c>
      <c r="R48" s="1695">
        <f t="shared" si="44"/>
        <v>3.5557480656021739E-2</v>
      </c>
      <c r="S48" s="1688">
        <v>156494</v>
      </c>
      <c r="T48" s="1689">
        <v>5340</v>
      </c>
      <c r="U48" s="1695">
        <f t="shared" si="45"/>
        <v>3.412271396986466E-2</v>
      </c>
      <c r="V48" s="1688">
        <v>159613</v>
      </c>
      <c r="W48" s="1689">
        <v>4628</v>
      </c>
      <c r="X48" s="1695">
        <f t="shared" si="46"/>
        <v>2.8995131975465657E-2</v>
      </c>
      <c r="Y48" s="1688">
        <v>162619</v>
      </c>
      <c r="Z48" s="1689">
        <v>4494</v>
      </c>
      <c r="AA48" s="1695">
        <f t="shared" si="47"/>
        <v>2.7635147184523333E-2</v>
      </c>
      <c r="AB48" s="1688">
        <v>166024</v>
      </c>
      <c r="AC48" s="1689">
        <v>6031</v>
      </c>
      <c r="AD48" s="1695">
        <f t="shared" si="48"/>
        <v>3.6326073338794389E-2</v>
      </c>
      <c r="AE48" s="1688">
        <v>164333</v>
      </c>
      <c r="AF48" s="1689">
        <v>11291</v>
      </c>
      <c r="AG48" s="1695">
        <f t="shared" si="49"/>
        <v>6.870805011774872E-2</v>
      </c>
      <c r="AH48" s="1688">
        <v>167948</v>
      </c>
      <c r="AI48" s="1689">
        <v>12572</v>
      </c>
      <c r="AJ48" s="1695">
        <f t="shared" si="50"/>
        <v>7.4856503203372476E-2</v>
      </c>
      <c r="AK48" s="1684">
        <v>170265</v>
      </c>
      <c r="AL48" s="1685">
        <v>11444</v>
      </c>
      <c r="AM48" s="1695">
        <f t="shared" si="51"/>
        <v>6.7212874049276131E-2</v>
      </c>
      <c r="AN48" s="1705">
        <v>172338</v>
      </c>
      <c r="AO48" s="1706">
        <v>10214</v>
      </c>
      <c r="AP48" s="1667">
        <f t="shared" si="52"/>
        <v>5.9267253884807761E-2</v>
      </c>
      <c r="AQ48" s="1705">
        <v>174131</v>
      </c>
      <c r="AR48" s="859">
        <v>9480</v>
      </c>
      <c r="AS48" s="1667">
        <f t="shared" si="53"/>
        <v>5.4441770850681387E-2</v>
      </c>
      <c r="AT48" s="1711">
        <v>176852</v>
      </c>
      <c r="AU48" s="1712">
        <v>8848</v>
      </c>
      <c r="AV48" s="1695">
        <f t="shared" si="54"/>
        <v>5.0030534005835389E-2</v>
      </c>
      <c r="AW48" s="1705">
        <v>177634</v>
      </c>
      <c r="AX48" s="1715">
        <v>7522</v>
      </c>
      <c r="AY48" s="1695">
        <f t="shared" si="55"/>
        <v>4.2345496920634565E-2</v>
      </c>
      <c r="AZ48" s="1705">
        <v>179085</v>
      </c>
      <c r="BA48" s="1715">
        <v>6864</v>
      </c>
      <c r="BB48" s="1695">
        <f t="shared" si="56"/>
        <v>3.8328168188290476E-2</v>
      </c>
      <c r="BC48" s="1699">
        <v>181093</v>
      </c>
      <c r="BD48" s="984">
        <v>6559</v>
      </c>
      <c r="BE48" s="980">
        <f t="shared" si="57"/>
        <v>3.6218959319244806E-2</v>
      </c>
      <c r="BF48" s="1699">
        <v>181605</v>
      </c>
      <c r="BG48" s="984">
        <v>5377</v>
      </c>
      <c r="BH48" s="980">
        <f t="shared" si="58"/>
        <v>2.9608215632829494E-2</v>
      </c>
      <c r="BI48" s="1699">
        <v>183651</v>
      </c>
      <c r="BJ48" s="984">
        <v>4949</v>
      </c>
      <c r="BK48" s="980">
        <f t="shared" si="19"/>
        <v>2.6947852176138435E-2</v>
      </c>
      <c r="BL48" s="1699">
        <v>180321</v>
      </c>
      <c r="BM48" s="984">
        <v>11704</v>
      </c>
      <c r="BN48" s="980">
        <f t="shared" si="20"/>
        <v>6.4906472346537569E-2</v>
      </c>
    </row>
    <row r="49" spans="1:66" ht="12.75" customHeight="1" x14ac:dyDescent="0.3">
      <c r="A49" s="198" t="s">
        <v>111</v>
      </c>
      <c r="B49" s="200" t="s">
        <v>112</v>
      </c>
      <c r="C49" s="85" t="s">
        <v>252</v>
      </c>
      <c r="D49" s="1678">
        <v>35613</v>
      </c>
      <c r="E49" s="1679">
        <v>1955</v>
      </c>
      <c r="F49" s="1677">
        <f t="shared" si="40"/>
        <v>5.4895684160278548E-2</v>
      </c>
      <c r="G49" s="1690">
        <v>35163</v>
      </c>
      <c r="H49" s="1691">
        <v>2217</v>
      </c>
      <c r="I49" s="1664">
        <f t="shared" si="41"/>
        <v>6.3049227881580072E-2</v>
      </c>
      <c r="J49" s="1690">
        <v>34750</v>
      </c>
      <c r="K49" s="1691">
        <v>3682</v>
      </c>
      <c r="L49" s="1695">
        <f t="shared" si="42"/>
        <v>0.1059568345323741</v>
      </c>
      <c r="M49" s="1690">
        <v>34314</v>
      </c>
      <c r="N49" s="1691">
        <v>3475</v>
      </c>
      <c r="O49" s="1695">
        <f t="shared" si="43"/>
        <v>0.10127061840648131</v>
      </c>
      <c r="P49" s="1690">
        <v>32163</v>
      </c>
      <c r="Q49" s="1691">
        <v>3225</v>
      </c>
      <c r="R49" s="1695">
        <f t="shared" si="44"/>
        <v>0.10027049715511613</v>
      </c>
      <c r="S49" s="1690">
        <v>31419</v>
      </c>
      <c r="T49" s="1691">
        <v>2302</v>
      </c>
      <c r="U49" s="1695">
        <f t="shared" si="45"/>
        <v>7.3267767911136567E-2</v>
      </c>
      <c r="V49" s="1690">
        <v>30945</v>
      </c>
      <c r="W49" s="1691">
        <v>1632</v>
      </c>
      <c r="X49" s="1695">
        <f t="shared" si="46"/>
        <v>5.2738730004847308E-2</v>
      </c>
      <c r="Y49" s="1690">
        <v>31671</v>
      </c>
      <c r="Z49" s="1691">
        <v>1903</v>
      </c>
      <c r="AA49" s="1695">
        <f t="shared" si="47"/>
        <v>6.0086514476966307E-2</v>
      </c>
      <c r="AB49" s="1690">
        <v>31326</v>
      </c>
      <c r="AC49" s="1691">
        <v>2746</v>
      </c>
      <c r="AD49" s="1695">
        <f t="shared" si="48"/>
        <v>8.765881376492371E-2</v>
      </c>
      <c r="AE49" s="1690">
        <v>31800</v>
      </c>
      <c r="AF49" s="1691">
        <v>4697</v>
      </c>
      <c r="AG49" s="1695">
        <f t="shared" si="49"/>
        <v>0.14770440251572328</v>
      </c>
      <c r="AH49" s="1690">
        <v>30252</v>
      </c>
      <c r="AI49" s="1691">
        <v>4732</v>
      </c>
      <c r="AJ49" s="1695">
        <f t="shared" si="50"/>
        <v>0.15641941028692319</v>
      </c>
      <c r="AK49" s="1684">
        <v>28673</v>
      </c>
      <c r="AL49" s="1685">
        <v>3754</v>
      </c>
      <c r="AM49" s="1695">
        <f t="shared" si="51"/>
        <v>0.13092456317790255</v>
      </c>
      <c r="AN49" s="1705">
        <v>28427</v>
      </c>
      <c r="AO49" s="1706">
        <v>3071</v>
      </c>
      <c r="AP49" s="1667">
        <f t="shared" si="52"/>
        <v>0.10803109719632743</v>
      </c>
      <c r="AQ49" s="1705">
        <v>29085</v>
      </c>
      <c r="AR49" s="859">
        <v>2707</v>
      </c>
      <c r="AS49" s="1667">
        <f t="shared" si="53"/>
        <v>9.3072030256145785E-2</v>
      </c>
      <c r="AT49" s="1711">
        <v>28548</v>
      </c>
      <c r="AU49" s="1712">
        <v>2274</v>
      </c>
      <c r="AV49" s="1695">
        <f t="shared" si="54"/>
        <v>7.9655317360235386E-2</v>
      </c>
      <c r="AW49" s="1705">
        <v>27812</v>
      </c>
      <c r="AX49" s="1715">
        <v>1884</v>
      </c>
      <c r="AY49" s="1695">
        <f t="shared" si="55"/>
        <v>6.7740543650222931E-2</v>
      </c>
      <c r="AZ49" s="1705">
        <v>27332</v>
      </c>
      <c r="BA49" s="1715">
        <v>1579</v>
      </c>
      <c r="BB49" s="1695">
        <f t="shared" si="56"/>
        <v>5.7771110785891998E-2</v>
      </c>
      <c r="BC49" s="1699">
        <v>29407</v>
      </c>
      <c r="BD49" s="984">
        <v>1443</v>
      </c>
      <c r="BE49" s="980">
        <f t="shared" si="57"/>
        <v>4.9069949331791748E-2</v>
      </c>
      <c r="BF49" s="1699">
        <v>29270</v>
      </c>
      <c r="BG49" s="984">
        <v>1119</v>
      </c>
      <c r="BH49" s="980">
        <f t="shared" si="58"/>
        <v>3.8230269900922445E-2</v>
      </c>
      <c r="BI49" s="1699">
        <v>29409</v>
      </c>
      <c r="BJ49" s="984">
        <v>982</v>
      </c>
      <c r="BK49" s="980">
        <f t="shared" si="19"/>
        <v>3.3391138767044103E-2</v>
      </c>
      <c r="BL49" s="1699">
        <v>29480</v>
      </c>
      <c r="BM49" s="984">
        <v>2435</v>
      </c>
      <c r="BN49" s="980">
        <f t="shared" si="20"/>
        <v>8.2598371777476254E-2</v>
      </c>
    </row>
    <row r="50" spans="1:66" ht="12.75" customHeight="1" x14ac:dyDescent="0.3">
      <c r="A50" s="198" t="s">
        <v>113</v>
      </c>
      <c r="B50" s="200" t="s">
        <v>114</v>
      </c>
      <c r="C50" s="85" t="s">
        <v>252</v>
      </c>
      <c r="D50" s="1675">
        <v>1172</v>
      </c>
      <c r="E50" s="1676">
        <v>34</v>
      </c>
      <c r="F50" s="1677">
        <f t="shared" si="40"/>
        <v>2.9010238907849831E-2</v>
      </c>
      <c r="G50" s="1688">
        <v>1137</v>
      </c>
      <c r="H50" s="1689">
        <v>36</v>
      </c>
      <c r="I50" s="1664">
        <f t="shared" si="41"/>
        <v>3.1662269129287601E-2</v>
      </c>
      <c r="J50" s="1688">
        <v>1122</v>
      </c>
      <c r="K50" s="1689">
        <v>44</v>
      </c>
      <c r="L50" s="1695">
        <f t="shared" si="42"/>
        <v>3.9215686274509803E-2</v>
      </c>
      <c r="M50" s="1688">
        <v>1182</v>
      </c>
      <c r="N50" s="1689">
        <v>50</v>
      </c>
      <c r="O50" s="1695">
        <f t="shared" si="43"/>
        <v>4.2301184433164128E-2</v>
      </c>
      <c r="P50" s="1688">
        <v>1189</v>
      </c>
      <c r="Q50" s="1689">
        <v>42</v>
      </c>
      <c r="R50" s="1695">
        <f t="shared" si="44"/>
        <v>3.5323801513877207E-2</v>
      </c>
      <c r="S50" s="1688">
        <v>1184</v>
      </c>
      <c r="T50" s="1689">
        <v>42</v>
      </c>
      <c r="U50" s="1695">
        <f t="shared" si="45"/>
        <v>3.5472972972972971E-2</v>
      </c>
      <c r="V50" s="1688">
        <v>1130</v>
      </c>
      <c r="W50" s="1689">
        <v>36</v>
      </c>
      <c r="X50" s="1695">
        <f t="shared" si="46"/>
        <v>3.1858407079646017E-2</v>
      </c>
      <c r="Y50" s="1688">
        <v>1127</v>
      </c>
      <c r="Z50" s="1689">
        <v>38</v>
      </c>
      <c r="AA50" s="1695">
        <f t="shared" si="47"/>
        <v>3.3717834960070983E-2</v>
      </c>
      <c r="AB50" s="1688">
        <v>1143</v>
      </c>
      <c r="AC50" s="1689">
        <v>58</v>
      </c>
      <c r="AD50" s="1695">
        <f t="shared" si="48"/>
        <v>5.0743657042869643E-2</v>
      </c>
      <c r="AE50" s="1688">
        <v>1161</v>
      </c>
      <c r="AF50" s="1689">
        <v>87</v>
      </c>
      <c r="AG50" s="1695">
        <f t="shared" si="49"/>
        <v>7.4935400516795869E-2</v>
      </c>
      <c r="AH50" s="1688">
        <v>1447</v>
      </c>
      <c r="AI50" s="1689">
        <v>92</v>
      </c>
      <c r="AJ50" s="1695">
        <f t="shared" si="50"/>
        <v>6.3579820317899105E-2</v>
      </c>
      <c r="AK50" s="1684">
        <v>1457</v>
      </c>
      <c r="AL50" s="1685">
        <v>81</v>
      </c>
      <c r="AM50" s="1695">
        <f t="shared" si="51"/>
        <v>5.5593685655456415E-2</v>
      </c>
      <c r="AN50" s="1705">
        <v>1460</v>
      </c>
      <c r="AO50" s="1706">
        <v>70</v>
      </c>
      <c r="AP50" s="1667">
        <f t="shared" si="52"/>
        <v>4.7945205479452052E-2</v>
      </c>
      <c r="AQ50" s="1705">
        <v>1419</v>
      </c>
      <c r="AR50" s="859">
        <v>59</v>
      </c>
      <c r="AS50" s="1667">
        <f t="shared" si="53"/>
        <v>4.1578576462297394E-2</v>
      </c>
      <c r="AT50" s="1711">
        <v>1425</v>
      </c>
      <c r="AU50" s="1712">
        <v>54</v>
      </c>
      <c r="AV50" s="1695">
        <f t="shared" si="54"/>
        <v>3.7894736842105266E-2</v>
      </c>
      <c r="AW50" s="1705">
        <v>1345</v>
      </c>
      <c r="AX50" s="1715">
        <v>47</v>
      </c>
      <c r="AY50" s="1695">
        <f t="shared" si="55"/>
        <v>3.4944237918215611E-2</v>
      </c>
      <c r="AZ50" s="1705">
        <v>1308</v>
      </c>
      <c r="BA50" s="1715">
        <v>40</v>
      </c>
      <c r="BB50" s="1695">
        <f t="shared" si="56"/>
        <v>3.0581039755351681E-2</v>
      </c>
      <c r="BC50" s="1699">
        <v>1299</v>
      </c>
      <c r="BD50" s="984">
        <v>42</v>
      </c>
      <c r="BE50" s="980">
        <f t="shared" si="57"/>
        <v>3.2332563510392612E-2</v>
      </c>
      <c r="BF50" s="1699">
        <v>1261</v>
      </c>
      <c r="BG50" s="984">
        <v>34</v>
      </c>
      <c r="BH50" s="980">
        <f t="shared" si="58"/>
        <v>2.696272799365583E-2</v>
      </c>
      <c r="BI50" s="1699">
        <v>1258</v>
      </c>
      <c r="BJ50" s="984">
        <v>32</v>
      </c>
      <c r="BK50" s="980">
        <f t="shared" si="19"/>
        <v>2.5437201907790145E-2</v>
      </c>
      <c r="BL50" s="1699">
        <v>1239</v>
      </c>
      <c r="BM50" s="984">
        <v>46</v>
      </c>
      <c r="BN50" s="980">
        <f t="shared" si="20"/>
        <v>3.7126715092816787E-2</v>
      </c>
    </row>
    <row r="51" spans="1:66" ht="12.75" customHeight="1" x14ac:dyDescent="0.3">
      <c r="A51" s="198" t="s">
        <v>117</v>
      </c>
      <c r="B51" s="200" t="s">
        <v>118</v>
      </c>
      <c r="C51" s="85" t="s">
        <v>251</v>
      </c>
      <c r="D51" s="1675">
        <v>14908</v>
      </c>
      <c r="E51" s="1676">
        <v>325</v>
      </c>
      <c r="F51" s="1677">
        <f t="shared" si="40"/>
        <v>2.1800375637241749E-2</v>
      </c>
      <c r="G51" s="1688">
        <v>15397</v>
      </c>
      <c r="H51" s="1689">
        <v>412</v>
      </c>
      <c r="I51" s="1664">
        <f t="shared" si="41"/>
        <v>2.6758459440150678E-2</v>
      </c>
      <c r="J51" s="1688">
        <v>15846</v>
      </c>
      <c r="K51" s="1689">
        <v>554</v>
      </c>
      <c r="L51" s="1695">
        <f t="shared" si="42"/>
        <v>3.4961504480626023E-2</v>
      </c>
      <c r="M51" s="1688">
        <v>16250</v>
      </c>
      <c r="N51" s="1689">
        <v>582</v>
      </c>
      <c r="O51" s="1695">
        <f t="shared" si="43"/>
        <v>3.5815384615384617E-2</v>
      </c>
      <c r="P51" s="1688">
        <v>16608</v>
      </c>
      <c r="Q51" s="1689">
        <v>583</v>
      </c>
      <c r="R51" s="1695">
        <f t="shared" si="44"/>
        <v>3.5103564547206166E-2</v>
      </c>
      <c r="S51" s="1688">
        <v>17369</v>
      </c>
      <c r="T51" s="1689">
        <v>644</v>
      </c>
      <c r="U51" s="1695">
        <f t="shared" si="45"/>
        <v>3.7077551960389199E-2</v>
      </c>
      <c r="V51" s="1688">
        <v>18275</v>
      </c>
      <c r="W51" s="1689">
        <v>567</v>
      </c>
      <c r="X51" s="1695">
        <f t="shared" si="46"/>
        <v>3.1025991792065662E-2</v>
      </c>
      <c r="Y51" s="1688">
        <v>18589</v>
      </c>
      <c r="Z51" s="1689">
        <v>532</v>
      </c>
      <c r="AA51" s="1695">
        <f t="shared" si="47"/>
        <v>2.8619075797514659E-2</v>
      </c>
      <c r="AB51" s="1688">
        <v>19098</v>
      </c>
      <c r="AC51" s="1689">
        <v>701</v>
      </c>
      <c r="AD51" s="1695">
        <f t="shared" si="48"/>
        <v>3.6705414179495237E-2</v>
      </c>
      <c r="AE51" s="1688">
        <v>18840</v>
      </c>
      <c r="AF51" s="1689">
        <v>1169</v>
      </c>
      <c r="AG51" s="1695">
        <f t="shared" si="49"/>
        <v>6.2048832271762208E-2</v>
      </c>
      <c r="AH51" s="1688">
        <v>18826</v>
      </c>
      <c r="AI51" s="1689">
        <v>1377</v>
      </c>
      <c r="AJ51" s="1695">
        <f t="shared" si="50"/>
        <v>7.3143524912355248E-2</v>
      </c>
      <c r="AK51" s="1684">
        <v>18850</v>
      </c>
      <c r="AL51" s="1685">
        <v>1304</v>
      </c>
      <c r="AM51" s="1695">
        <f t="shared" si="51"/>
        <v>6.9177718832891241E-2</v>
      </c>
      <c r="AN51" s="1705">
        <v>18738</v>
      </c>
      <c r="AO51" s="1706">
        <v>1163</v>
      </c>
      <c r="AP51" s="1667">
        <f t="shared" si="52"/>
        <v>6.2066389155726334E-2</v>
      </c>
      <c r="AQ51" s="1705">
        <v>18861</v>
      </c>
      <c r="AR51" s="859">
        <v>1058</v>
      </c>
      <c r="AS51" s="1667">
        <f t="shared" si="53"/>
        <v>5.6094586713323791E-2</v>
      </c>
      <c r="AT51" s="1711">
        <v>19038</v>
      </c>
      <c r="AU51" s="1712">
        <v>980</v>
      </c>
      <c r="AV51" s="1695">
        <f t="shared" si="54"/>
        <v>5.1475995377665722E-2</v>
      </c>
      <c r="AW51" s="1705">
        <v>18876</v>
      </c>
      <c r="AX51" s="1715">
        <v>850</v>
      </c>
      <c r="AY51" s="1695">
        <f t="shared" si="55"/>
        <v>4.5030726848908666E-2</v>
      </c>
      <c r="AZ51" s="1705">
        <v>18955</v>
      </c>
      <c r="BA51" s="1715">
        <v>804</v>
      </c>
      <c r="BB51" s="1695">
        <f t="shared" si="56"/>
        <v>4.2416249010815088E-2</v>
      </c>
      <c r="BC51" s="1699">
        <v>19182</v>
      </c>
      <c r="BD51" s="984">
        <v>729</v>
      </c>
      <c r="BE51" s="980">
        <f t="shared" si="57"/>
        <v>3.8004379105411323E-2</v>
      </c>
      <c r="BF51" s="1699">
        <v>19438</v>
      </c>
      <c r="BG51" s="984">
        <v>568</v>
      </c>
      <c r="BH51" s="980">
        <f t="shared" si="58"/>
        <v>2.9221113283259596E-2</v>
      </c>
      <c r="BI51" s="1699">
        <v>19710</v>
      </c>
      <c r="BJ51" s="984">
        <v>530</v>
      </c>
      <c r="BK51" s="980">
        <f t="shared" si="19"/>
        <v>2.6889903602232368E-2</v>
      </c>
      <c r="BL51" s="1699">
        <v>19092</v>
      </c>
      <c r="BM51" s="984">
        <v>977</v>
      </c>
      <c r="BN51" s="980">
        <f t="shared" si="20"/>
        <v>5.1173266289545362E-2</v>
      </c>
    </row>
    <row r="52" spans="1:66" ht="12.75" customHeight="1" x14ac:dyDescent="0.3">
      <c r="A52" s="198" t="s">
        <v>119</v>
      </c>
      <c r="B52" s="200" t="s">
        <v>120</v>
      </c>
      <c r="C52" s="85" t="s">
        <v>251</v>
      </c>
      <c r="D52" s="1675">
        <v>23292</v>
      </c>
      <c r="E52" s="1676">
        <v>461</v>
      </c>
      <c r="F52" s="1677">
        <f t="shared" si="40"/>
        <v>1.9792203331616007E-2</v>
      </c>
      <c r="G52" s="1688">
        <v>24268</v>
      </c>
      <c r="H52" s="1689">
        <v>617</v>
      </c>
      <c r="I52" s="1664">
        <f t="shared" si="41"/>
        <v>2.5424427229273117E-2</v>
      </c>
      <c r="J52" s="1688">
        <v>25386</v>
      </c>
      <c r="K52" s="1689">
        <v>840</v>
      </c>
      <c r="L52" s="1695">
        <f t="shared" si="42"/>
        <v>3.3089104230678325E-2</v>
      </c>
      <c r="M52" s="1688">
        <v>26182</v>
      </c>
      <c r="N52" s="1689">
        <v>873</v>
      </c>
      <c r="O52" s="1695">
        <f t="shared" si="43"/>
        <v>3.3343518447788559E-2</v>
      </c>
      <c r="P52" s="1688">
        <v>27307</v>
      </c>
      <c r="Q52" s="1689">
        <v>935</v>
      </c>
      <c r="R52" s="1695">
        <f t="shared" si="44"/>
        <v>3.4240304683780719E-2</v>
      </c>
      <c r="S52" s="1688">
        <v>28790</v>
      </c>
      <c r="T52" s="1689">
        <v>912</v>
      </c>
      <c r="U52" s="1695">
        <f t="shared" si="45"/>
        <v>3.167766585620007E-2</v>
      </c>
      <c r="V52" s="1688">
        <v>30328</v>
      </c>
      <c r="W52" s="1689">
        <v>813</v>
      </c>
      <c r="X52" s="1695">
        <f t="shared" si="46"/>
        <v>2.6806911105249274E-2</v>
      </c>
      <c r="Y52" s="1688">
        <v>31343</v>
      </c>
      <c r="Z52" s="1689">
        <v>772</v>
      </c>
      <c r="AA52" s="1695">
        <f t="shared" si="47"/>
        <v>2.4630699039657977E-2</v>
      </c>
      <c r="AB52" s="1688">
        <v>32414</v>
      </c>
      <c r="AC52" s="1689">
        <v>1028</v>
      </c>
      <c r="AD52" s="1695">
        <f t="shared" si="48"/>
        <v>3.171469118282224E-2</v>
      </c>
      <c r="AE52" s="1688">
        <v>32172</v>
      </c>
      <c r="AF52" s="1689">
        <v>1725</v>
      </c>
      <c r="AG52" s="1695">
        <f t="shared" si="49"/>
        <v>5.3618052965311448E-2</v>
      </c>
      <c r="AH52" s="1688">
        <v>32282</v>
      </c>
      <c r="AI52" s="1689">
        <v>2092</v>
      </c>
      <c r="AJ52" s="1695">
        <f t="shared" si="50"/>
        <v>6.4803915494702935E-2</v>
      </c>
      <c r="AK52" s="1684">
        <v>32554</v>
      </c>
      <c r="AL52" s="1685">
        <v>1977</v>
      </c>
      <c r="AM52" s="1695">
        <f t="shared" si="51"/>
        <v>6.0729864225594399E-2</v>
      </c>
      <c r="AN52" s="1705">
        <v>32942</v>
      </c>
      <c r="AO52" s="1706">
        <v>1847</v>
      </c>
      <c r="AP52" s="1667">
        <f t="shared" si="52"/>
        <v>5.6068241151114077E-2</v>
      </c>
      <c r="AQ52" s="1705">
        <v>33708</v>
      </c>
      <c r="AR52" s="859">
        <v>1757</v>
      </c>
      <c r="AS52" s="1667">
        <f t="shared" si="53"/>
        <v>5.2124124836833985E-2</v>
      </c>
      <c r="AT52" s="1711">
        <v>34735</v>
      </c>
      <c r="AU52" s="1712">
        <v>1675</v>
      </c>
      <c r="AV52" s="1695">
        <f t="shared" si="54"/>
        <v>4.8222254210450552E-2</v>
      </c>
      <c r="AW52" s="1705">
        <v>34430</v>
      </c>
      <c r="AX52" s="1715">
        <v>1470</v>
      </c>
      <c r="AY52" s="1695">
        <f t="shared" si="55"/>
        <v>4.2695323845483593E-2</v>
      </c>
      <c r="AZ52" s="1705">
        <v>34910</v>
      </c>
      <c r="BA52" s="1715">
        <v>1330</v>
      </c>
      <c r="BB52" s="1695">
        <f t="shared" si="56"/>
        <v>3.8097966198796906E-2</v>
      </c>
      <c r="BC52" s="1699">
        <v>36074</v>
      </c>
      <c r="BD52" s="984">
        <v>1255</v>
      </c>
      <c r="BE52" s="980">
        <f t="shared" si="57"/>
        <v>3.4789599157287798E-2</v>
      </c>
      <c r="BF52" s="1699">
        <v>36666</v>
      </c>
      <c r="BG52" s="984">
        <v>1048</v>
      </c>
      <c r="BH52" s="980">
        <f t="shared" si="58"/>
        <v>2.8582337860688378E-2</v>
      </c>
      <c r="BI52" s="1699">
        <v>37020</v>
      </c>
      <c r="BJ52" s="984">
        <v>944</v>
      </c>
      <c r="BK52" s="980">
        <f t="shared" si="19"/>
        <v>2.5499729875742842E-2</v>
      </c>
      <c r="BL52" s="1699">
        <v>36558</v>
      </c>
      <c r="BM52" s="984">
        <v>2527</v>
      </c>
      <c r="BN52" s="980">
        <f t="shared" si="20"/>
        <v>6.9123037365282566E-2</v>
      </c>
    </row>
    <row r="53" spans="1:66" ht="12.75" customHeight="1" x14ac:dyDescent="0.3">
      <c r="A53" s="198" t="s">
        <v>121</v>
      </c>
      <c r="B53" s="200" t="s">
        <v>258</v>
      </c>
      <c r="C53" s="85" t="s">
        <v>253</v>
      </c>
      <c r="D53" s="1675">
        <v>3161</v>
      </c>
      <c r="E53" s="1676">
        <v>82</v>
      </c>
      <c r="F53" s="1677">
        <f t="shared" si="40"/>
        <v>2.5941157861436255E-2</v>
      </c>
      <c r="G53" s="1688">
        <v>3156</v>
      </c>
      <c r="H53" s="1689">
        <v>104</v>
      </c>
      <c r="I53" s="1664">
        <f t="shared" si="41"/>
        <v>3.2953105196451206E-2</v>
      </c>
      <c r="J53" s="1688">
        <v>3143</v>
      </c>
      <c r="K53" s="1689">
        <v>139</v>
      </c>
      <c r="L53" s="1695">
        <f t="shared" si="42"/>
        <v>4.4225262488068726E-2</v>
      </c>
      <c r="M53" s="1688">
        <v>3125</v>
      </c>
      <c r="N53" s="1689">
        <v>142</v>
      </c>
      <c r="O53" s="1695">
        <f t="shared" si="43"/>
        <v>4.5440000000000001E-2</v>
      </c>
      <c r="P53" s="1688">
        <v>3206</v>
      </c>
      <c r="Q53" s="1689">
        <v>124</v>
      </c>
      <c r="R53" s="1695">
        <f t="shared" si="44"/>
        <v>3.8677479725514663E-2</v>
      </c>
      <c r="S53" s="1688">
        <v>3263</v>
      </c>
      <c r="T53" s="1689">
        <v>129</v>
      </c>
      <c r="U53" s="1695">
        <f t="shared" si="45"/>
        <v>3.9534171008274596E-2</v>
      </c>
      <c r="V53" s="1688">
        <v>3334</v>
      </c>
      <c r="W53" s="1689">
        <v>113</v>
      </c>
      <c r="X53" s="1695">
        <f t="shared" si="46"/>
        <v>3.3893221355728857E-2</v>
      </c>
      <c r="Y53" s="1688">
        <v>3330</v>
      </c>
      <c r="Z53" s="1689">
        <v>116</v>
      </c>
      <c r="AA53" s="1695">
        <f t="shared" si="47"/>
        <v>3.4834834834834835E-2</v>
      </c>
      <c r="AB53" s="1688">
        <v>3349</v>
      </c>
      <c r="AC53" s="1689">
        <v>153</v>
      </c>
      <c r="AD53" s="1695">
        <f t="shared" si="48"/>
        <v>4.5685279187817257E-2</v>
      </c>
      <c r="AE53" s="1688">
        <v>3263</v>
      </c>
      <c r="AF53" s="1689">
        <v>261</v>
      </c>
      <c r="AG53" s="1695">
        <f t="shared" si="49"/>
        <v>7.9987741342323018E-2</v>
      </c>
      <c r="AH53" s="1688">
        <v>3597</v>
      </c>
      <c r="AI53" s="1689">
        <v>296</v>
      </c>
      <c r="AJ53" s="1695">
        <f t="shared" si="50"/>
        <v>8.2290797887128161E-2</v>
      </c>
      <c r="AK53" s="1684">
        <v>3657</v>
      </c>
      <c r="AL53" s="1685">
        <v>268</v>
      </c>
      <c r="AM53" s="1695">
        <f t="shared" si="51"/>
        <v>7.328411266065081E-2</v>
      </c>
      <c r="AN53" s="1705">
        <v>3668</v>
      </c>
      <c r="AO53" s="1706">
        <v>238</v>
      </c>
      <c r="AP53" s="1667">
        <f t="shared" si="52"/>
        <v>6.4885496183206104E-2</v>
      </c>
      <c r="AQ53" s="1705">
        <v>3639</v>
      </c>
      <c r="AR53" s="859">
        <v>217</v>
      </c>
      <c r="AS53" s="1667">
        <f t="shared" si="53"/>
        <v>5.9631766968947515E-2</v>
      </c>
      <c r="AT53" s="1711">
        <v>3656</v>
      </c>
      <c r="AU53" s="1712">
        <v>207</v>
      </c>
      <c r="AV53" s="1695">
        <f t="shared" si="54"/>
        <v>5.6619256017505469E-2</v>
      </c>
      <c r="AW53" s="1705">
        <v>3645</v>
      </c>
      <c r="AX53" s="1715">
        <v>173</v>
      </c>
      <c r="AY53" s="1695">
        <f t="shared" si="55"/>
        <v>4.7462277091906722E-2</v>
      </c>
      <c r="AZ53" s="1705">
        <v>3665</v>
      </c>
      <c r="BA53" s="1715">
        <v>150</v>
      </c>
      <c r="BB53" s="1695">
        <f t="shared" si="56"/>
        <v>4.0927694406548434E-2</v>
      </c>
      <c r="BC53" s="1699">
        <v>3818</v>
      </c>
      <c r="BD53" s="984">
        <v>132</v>
      </c>
      <c r="BE53" s="980">
        <f t="shared" si="57"/>
        <v>3.457307490832897E-2</v>
      </c>
      <c r="BF53" s="1699">
        <v>3868</v>
      </c>
      <c r="BG53" s="984">
        <v>116</v>
      </c>
      <c r="BH53" s="980">
        <f t="shared" si="58"/>
        <v>2.9989658738366079E-2</v>
      </c>
      <c r="BI53" s="1699">
        <v>3892</v>
      </c>
      <c r="BJ53" s="984">
        <v>104</v>
      </c>
      <c r="BK53" s="980">
        <f t="shared" si="19"/>
        <v>2.6721479958890029E-2</v>
      </c>
      <c r="BL53" s="1699">
        <v>3867</v>
      </c>
      <c r="BM53" s="984">
        <v>198</v>
      </c>
      <c r="BN53" s="980">
        <f t="shared" si="20"/>
        <v>5.120248254460822E-2</v>
      </c>
    </row>
    <row r="54" spans="1:66" ht="12.75" customHeight="1" x14ac:dyDescent="0.3">
      <c r="A54" s="198" t="s">
        <v>123</v>
      </c>
      <c r="B54" s="200" t="s">
        <v>124</v>
      </c>
      <c r="C54" s="85" t="s">
        <v>254</v>
      </c>
      <c r="D54" s="1675">
        <v>8407</v>
      </c>
      <c r="E54" s="1676">
        <v>164</v>
      </c>
      <c r="F54" s="1677">
        <f t="shared" si="40"/>
        <v>1.9507553229451649E-2</v>
      </c>
      <c r="G54" s="1688">
        <v>8722</v>
      </c>
      <c r="H54" s="1689">
        <v>214</v>
      </c>
      <c r="I54" s="1664">
        <f t="shared" si="41"/>
        <v>2.4535656959412979E-2</v>
      </c>
      <c r="J54" s="1688">
        <v>8813</v>
      </c>
      <c r="K54" s="1689">
        <v>277</v>
      </c>
      <c r="L54" s="1695">
        <f t="shared" si="42"/>
        <v>3.1430840803358673E-2</v>
      </c>
      <c r="M54" s="1688">
        <v>9016</v>
      </c>
      <c r="N54" s="1689">
        <v>293</v>
      </c>
      <c r="O54" s="1695">
        <f t="shared" si="43"/>
        <v>3.2497781721384206E-2</v>
      </c>
      <c r="P54" s="1688">
        <v>9151</v>
      </c>
      <c r="Q54" s="1689">
        <v>291</v>
      </c>
      <c r="R54" s="1695">
        <f t="shared" si="44"/>
        <v>3.1799803300185774E-2</v>
      </c>
      <c r="S54" s="1688">
        <v>9461</v>
      </c>
      <c r="T54" s="1689">
        <v>321</v>
      </c>
      <c r="U54" s="1695">
        <f t="shared" si="45"/>
        <v>3.3928760173343196E-2</v>
      </c>
      <c r="V54" s="1688">
        <v>9484</v>
      </c>
      <c r="W54" s="1689">
        <v>322</v>
      </c>
      <c r="X54" s="1695">
        <f t="shared" si="46"/>
        <v>3.3951919021509909E-2</v>
      </c>
      <c r="Y54" s="1688">
        <v>9352</v>
      </c>
      <c r="Z54" s="1689">
        <v>329</v>
      </c>
      <c r="AA54" s="1695">
        <f t="shared" si="47"/>
        <v>3.5179640718562874E-2</v>
      </c>
      <c r="AB54" s="1688">
        <v>9650</v>
      </c>
      <c r="AC54" s="1689">
        <v>490</v>
      </c>
      <c r="AD54" s="1695">
        <f t="shared" si="48"/>
        <v>5.0777202072538857E-2</v>
      </c>
      <c r="AE54" s="1688">
        <v>10252</v>
      </c>
      <c r="AF54" s="1689">
        <v>776</v>
      </c>
      <c r="AG54" s="1695">
        <f t="shared" si="49"/>
        <v>7.5692547795552081E-2</v>
      </c>
      <c r="AH54" s="1688">
        <v>11429</v>
      </c>
      <c r="AI54" s="1689">
        <v>861</v>
      </c>
      <c r="AJ54" s="1695">
        <f t="shared" si="50"/>
        <v>7.5334674949689387E-2</v>
      </c>
      <c r="AK54" s="1684">
        <v>11704</v>
      </c>
      <c r="AL54" s="1685">
        <v>814</v>
      </c>
      <c r="AM54" s="1695">
        <f t="shared" si="51"/>
        <v>6.9548872180451124E-2</v>
      </c>
      <c r="AN54" s="1705">
        <v>11715</v>
      </c>
      <c r="AO54" s="1706">
        <v>744</v>
      </c>
      <c r="AP54" s="1667">
        <f t="shared" si="52"/>
        <v>6.3508322663252237E-2</v>
      </c>
      <c r="AQ54" s="1705">
        <v>11979</v>
      </c>
      <c r="AR54" s="859">
        <v>678</v>
      </c>
      <c r="AS54" s="1667">
        <f t="shared" si="53"/>
        <v>5.6599048334585525E-2</v>
      </c>
      <c r="AT54" s="1711">
        <v>12123</v>
      </c>
      <c r="AU54" s="1712">
        <v>641</v>
      </c>
      <c r="AV54" s="1695">
        <f t="shared" si="54"/>
        <v>5.287470098160521E-2</v>
      </c>
      <c r="AW54" s="1705">
        <v>12101</v>
      </c>
      <c r="AX54" s="1715">
        <v>568</v>
      </c>
      <c r="AY54" s="1695">
        <f t="shared" si="55"/>
        <v>4.69382695644988E-2</v>
      </c>
      <c r="AZ54" s="1705">
        <v>12336</v>
      </c>
      <c r="BA54" s="1715">
        <v>519</v>
      </c>
      <c r="BB54" s="1695">
        <f t="shared" si="56"/>
        <v>4.2071984435797669E-2</v>
      </c>
      <c r="BC54" s="1699">
        <v>13001</v>
      </c>
      <c r="BD54" s="984">
        <v>483</v>
      </c>
      <c r="BE54" s="980">
        <f t="shared" si="57"/>
        <v>3.7150988385508808E-2</v>
      </c>
      <c r="BF54" s="1699">
        <v>13256</v>
      </c>
      <c r="BG54" s="984">
        <v>386</v>
      </c>
      <c r="BH54" s="980">
        <f t="shared" si="58"/>
        <v>2.9118889559444781E-2</v>
      </c>
      <c r="BI54" s="1699">
        <v>13549</v>
      </c>
      <c r="BJ54" s="984">
        <v>347</v>
      </c>
      <c r="BK54" s="980">
        <f t="shared" si="19"/>
        <v>2.5610746180529928E-2</v>
      </c>
      <c r="BL54" s="1699">
        <v>13819</v>
      </c>
      <c r="BM54" s="984">
        <v>617</v>
      </c>
      <c r="BN54" s="980">
        <f t="shared" si="20"/>
        <v>4.4648672118098268E-2</v>
      </c>
    </row>
    <row r="55" spans="1:66" ht="12.75" customHeight="1" x14ac:dyDescent="0.3">
      <c r="A55" s="198" t="s">
        <v>125</v>
      </c>
      <c r="B55" s="200" t="s">
        <v>126</v>
      </c>
      <c r="C55" s="85" t="s">
        <v>253</v>
      </c>
      <c r="D55" s="1678">
        <v>7029</v>
      </c>
      <c r="E55" s="1679">
        <v>133</v>
      </c>
      <c r="F55" s="1677">
        <f t="shared" si="40"/>
        <v>1.8921610470906246E-2</v>
      </c>
      <c r="G55" s="1688">
        <v>7214</v>
      </c>
      <c r="H55" s="1689">
        <v>212</v>
      </c>
      <c r="I55" s="1664">
        <f t="shared" si="41"/>
        <v>2.9387302467424454E-2</v>
      </c>
      <c r="J55" s="1688">
        <v>7343</v>
      </c>
      <c r="K55" s="1689">
        <v>268</v>
      </c>
      <c r="L55" s="1695">
        <f t="shared" si="42"/>
        <v>3.6497344409641835E-2</v>
      </c>
      <c r="M55" s="1688">
        <v>7462</v>
      </c>
      <c r="N55" s="1689">
        <v>271</v>
      </c>
      <c r="O55" s="1695">
        <f t="shared" si="43"/>
        <v>3.6317341195389978E-2</v>
      </c>
      <c r="P55" s="1684">
        <v>7604</v>
      </c>
      <c r="Q55" s="1685">
        <v>263</v>
      </c>
      <c r="R55" s="1695">
        <f t="shared" si="44"/>
        <v>3.4587059442398739E-2</v>
      </c>
      <c r="S55" s="1684">
        <v>7911</v>
      </c>
      <c r="T55" s="1685">
        <v>278</v>
      </c>
      <c r="U55" s="1695">
        <f t="shared" si="45"/>
        <v>3.5140942990772341E-2</v>
      </c>
      <c r="V55" s="1684">
        <v>8290</v>
      </c>
      <c r="W55" s="1685">
        <v>228</v>
      </c>
      <c r="X55" s="1695">
        <f t="shared" si="46"/>
        <v>2.7503015681544028E-2</v>
      </c>
      <c r="Y55" s="1684">
        <v>8461</v>
      </c>
      <c r="Z55" s="1685">
        <v>229</v>
      </c>
      <c r="AA55" s="1695">
        <f t="shared" si="47"/>
        <v>2.706535870464484E-2</v>
      </c>
      <c r="AB55" s="1684">
        <v>8761</v>
      </c>
      <c r="AC55" s="1685">
        <v>327</v>
      </c>
      <c r="AD55" s="1695">
        <f t="shared" si="48"/>
        <v>3.732450633489328E-2</v>
      </c>
      <c r="AE55" s="1684">
        <v>8662</v>
      </c>
      <c r="AF55" s="1685">
        <v>607</v>
      </c>
      <c r="AG55" s="1695">
        <f t="shared" si="49"/>
        <v>7.0076194874163014E-2</v>
      </c>
      <c r="AH55" s="1688">
        <v>8669</v>
      </c>
      <c r="AI55" s="1689">
        <v>662</v>
      </c>
      <c r="AJ55" s="1695">
        <f t="shared" si="50"/>
        <v>7.6364055831122393E-2</v>
      </c>
      <c r="AK55" s="1684">
        <v>8689</v>
      </c>
      <c r="AL55" s="1685">
        <v>596</v>
      </c>
      <c r="AM55" s="1695">
        <f t="shared" si="51"/>
        <v>6.8592473242030147E-2</v>
      </c>
      <c r="AN55" s="1705">
        <v>8673</v>
      </c>
      <c r="AO55" s="1706">
        <v>538</v>
      </c>
      <c r="AP55" s="1667">
        <f t="shared" si="52"/>
        <v>6.2031592297936124E-2</v>
      </c>
      <c r="AQ55" s="1705">
        <v>8701</v>
      </c>
      <c r="AR55" s="859">
        <v>479</v>
      </c>
      <c r="AS55" s="1667">
        <f t="shared" si="53"/>
        <v>5.5051143546718771E-2</v>
      </c>
      <c r="AT55" s="1711">
        <v>8783</v>
      </c>
      <c r="AU55" s="1712">
        <v>445</v>
      </c>
      <c r="AV55" s="1695">
        <f t="shared" si="54"/>
        <v>5.0666059432995562E-2</v>
      </c>
      <c r="AW55" s="1705">
        <v>8739</v>
      </c>
      <c r="AX55" s="1715">
        <v>364</v>
      </c>
      <c r="AY55" s="1695">
        <f t="shared" si="55"/>
        <v>4.1652362970591598E-2</v>
      </c>
      <c r="AZ55" s="1705">
        <v>8762</v>
      </c>
      <c r="BA55" s="1715">
        <v>327</v>
      </c>
      <c r="BB55" s="1695">
        <f t="shared" si="56"/>
        <v>3.7320246519059574E-2</v>
      </c>
      <c r="BC55" s="1699">
        <v>8973</v>
      </c>
      <c r="BD55" s="984">
        <v>305</v>
      </c>
      <c r="BE55" s="980">
        <f t="shared" si="57"/>
        <v>3.3990861473308813E-2</v>
      </c>
      <c r="BF55" s="1699">
        <v>9124</v>
      </c>
      <c r="BG55" s="984">
        <v>265</v>
      </c>
      <c r="BH55" s="980">
        <f t="shared" si="58"/>
        <v>2.9044278825076722E-2</v>
      </c>
      <c r="BI55" s="1699">
        <v>9308</v>
      </c>
      <c r="BJ55" s="984">
        <v>244</v>
      </c>
      <c r="BK55" s="980">
        <f t="shared" si="19"/>
        <v>2.6214009454232919E-2</v>
      </c>
      <c r="BL55" s="1699">
        <v>9067</v>
      </c>
      <c r="BM55" s="984">
        <v>491</v>
      </c>
      <c r="BN55" s="980">
        <f t="shared" si="20"/>
        <v>5.4152420866879894E-2</v>
      </c>
    </row>
    <row r="56" spans="1:66" ht="12.75" customHeight="1" x14ac:dyDescent="0.3">
      <c r="A56" s="198" t="s">
        <v>127</v>
      </c>
      <c r="B56" s="200" t="s">
        <v>128</v>
      </c>
      <c r="C56" s="85" t="s">
        <v>253</v>
      </c>
      <c r="D56" s="1675">
        <v>4851</v>
      </c>
      <c r="E56" s="1676">
        <v>285</v>
      </c>
      <c r="F56" s="1677">
        <f t="shared" si="40"/>
        <v>5.8750773036487319E-2</v>
      </c>
      <c r="G56" s="1688">
        <v>4938</v>
      </c>
      <c r="H56" s="1689">
        <v>305</v>
      </c>
      <c r="I56" s="1664">
        <f t="shared" si="41"/>
        <v>6.1765897124341836E-2</v>
      </c>
      <c r="J56" s="1688">
        <v>5168</v>
      </c>
      <c r="K56" s="1689">
        <v>332</v>
      </c>
      <c r="L56" s="1695">
        <f t="shared" si="42"/>
        <v>6.4241486068111461E-2</v>
      </c>
      <c r="M56" s="1688">
        <v>5232</v>
      </c>
      <c r="N56" s="1689">
        <v>290</v>
      </c>
      <c r="O56" s="1695">
        <f t="shared" si="43"/>
        <v>5.5428134556574922E-2</v>
      </c>
      <c r="P56" s="1688">
        <v>5102</v>
      </c>
      <c r="Q56" s="1689">
        <v>293</v>
      </c>
      <c r="R56" s="1695">
        <f t="shared" si="44"/>
        <v>5.7428459427675424E-2</v>
      </c>
      <c r="S56" s="1688">
        <v>5210</v>
      </c>
      <c r="T56" s="1689">
        <v>295</v>
      </c>
      <c r="U56" s="1695">
        <f t="shared" si="45"/>
        <v>5.6621880998080618E-2</v>
      </c>
      <c r="V56" s="1688">
        <v>5184</v>
      </c>
      <c r="W56" s="1689">
        <v>230</v>
      </c>
      <c r="X56" s="1695">
        <f t="shared" si="46"/>
        <v>4.4367283950617287E-2</v>
      </c>
      <c r="Y56" s="1688">
        <v>5318</v>
      </c>
      <c r="Z56" s="1689">
        <v>232</v>
      </c>
      <c r="AA56" s="1695">
        <f t="shared" si="47"/>
        <v>4.3625423091387741E-2</v>
      </c>
      <c r="AB56" s="1688">
        <v>5542</v>
      </c>
      <c r="AC56" s="1689">
        <v>316</v>
      </c>
      <c r="AD56" s="1695">
        <f t="shared" si="48"/>
        <v>5.7019126669072537E-2</v>
      </c>
      <c r="AE56" s="1688">
        <v>5654</v>
      </c>
      <c r="AF56" s="1689">
        <v>524</v>
      </c>
      <c r="AG56" s="1695">
        <f t="shared" si="49"/>
        <v>9.2677750265298897E-2</v>
      </c>
      <c r="AH56" s="1688">
        <v>5579</v>
      </c>
      <c r="AI56" s="1689">
        <v>558</v>
      </c>
      <c r="AJ56" s="1695">
        <f t="shared" si="50"/>
        <v>0.10001792435920416</v>
      </c>
      <c r="AK56" s="1684">
        <v>5581</v>
      </c>
      <c r="AL56" s="1685">
        <v>516</v>
      </c>
      <c r="AM56" s="1695">
        <f t="shared" si="51"/>
        <v>9.2456549005554556E-2</v>
      </c>
      <c r="AN56" s="1705">
        <v>5512</v>
      </c>
      <c r="AO56" s="1706">
        <v>431</v>
      </c>
      <c r="AP56" s="1667">
        <f t="shared" si="52"/>
        <v>7.8193033381712629E-2</v>
      </c>
      <c r="AQ56" s="1705">
        <v>5399</v>
      </c>
      <c r="AR56" s="859">
        <v>396</v>
      </c>
      <c r="AS56" s="1667">
        <f t="shared" si="53"/>
        <v>7.3346916095573256E-2</v>
      </c>
      <c r="AT56" s="1711">
        <v>5364</v>
      </c>
      <c r="AU56" s="1712">
        <v>403</v>
      </c>
      <c r="AV56" s="1695">
        <f t="shared" si="54"/>
        <v>7.5130499627143923E-2</v>
      </c>
      <c r="AW56" s="1705">
        <v>5147</v>
      </c>
      <c r="AX56" s="1715">
        <v>334</v>
      </c>
      <c r="AY56" s="1695">
        <f t="shared" si="55"/>
        <v>6.4892170196230808E-2</v>
      </c>
      <c r="AZ56" s="1705">
        <v>5115</v>
      </c>
      <c r="BA56" s="1715">
        <v>283</v>
      </c>
      <c r="BB56" s="1695">
        <f t="shared" si="56"/>
        <v>5.5327468230694038E-2</v>
      </c>
      <c r="BC56" s="1699">
        <v>5359</v>
      </c>
      <c r="BD56" s="984">
        <v>277</v>
      </c>
      <c r="BE56" s="980">
        <f t="shared" si="57"/>
        <v>5.1688747900727749E-2</v>
      </c>
      <c r="BF56" s="1699">
        <v>5315</v>
      </c>
      <c r="BG56" s="984">
        <v>228</v>
      </c>
      <c r="BH56" s="980">
        <f t="shared" si="58"/>
        <v>4.2897460018814677E-2</v>
      </c>
      <c r="BI56" s="1699">
        <v>5434</v>
      </c>
      <c r="BJ56" s="984">
        <v>226</v>
      </c>
      <c r="BK56" s="980">
        <f t="shared" si="19"/>
        <v>4.1589988958410012E-2</v>
      </c>
      <c r="BL56" s="1699">
        <v>5370</v>
      </c>
      <c r="BM56" s="984">
        <v>389</v>
      </c>
      <c r="BN56" s="980">
        <f t="shared" si="20"/>
        <v>7.2439478584729988E-2</v>
      </c>
    </row>
    <row r="57" spans="1:66" ht="12.75" customHeight="1" x14ac:dyDescent="0.3">
      <c r="A57" s="198" t="s">
        <v>129</v>
      </c>
      <c r="B57" s="200" t="s">
        <v>130</v>
      </c>
      <c r="C57" s="85" t="s">
        <v>255</v>
      </c>
      <c r="D57" s="1675">
        <v>8830</v>
      </c>
      <c r="E57" s="1676">
        <v>374</v>
      </c>
      <c r="F57" s="1677">
        <f t="shared" si="40"/>
        <v>4.2355605889014721E-2</v>
      </c>
      <c r="G57" s="1688">
        <v>9056</v>
      </c>
      <c r="H57" s="1689">
        <v>451</v>
      </c>
      <c r="I57" s="1664">
        <f t="shared" si="41"/>
        <v>4.9801236749116608E-2</v>
      </c>
      <c r="J57" s="1688">
        <v>9504</v>
      </c>
      <c r="K57" s="1689">
        <v>546</v>
      </c>
      <c r="L57" s="1695">
        <f t="shared" si="42"/>
        <v>5.7449494949494952E-2</v>
      </c>
      <c r="M57" s="1688">
        <v>9627</v>
      </c>
      <c r="N57" s="1689">
        <v>579</v>
      </c>
      <c r="O57" s="1695">
        <f t="shared" si="43"/>
        <v>6.0143346837020877E-2</v>
      </c>
      <c r="P57" s="1688">
        <v>9299</v>
      </c>
      <c r="Q57" s="1689">
        <v>526</v>
      </c>
      <c r="R57" s="1695">
        <f t="shared" si="44"/>
        <v>5.6565222066888909E-2</v>
      </c>
      <c r="S57" s="1688">
        <v>9229</v>
      </c>
      <c r="T57" s="1689">
        <v>467</v>
      </c>
      <c r="U57" s="1695">
        <f t="shared" si="45"/>
        <v>5.0601365261675156E-2</v>
      </c>
      <c r="V57" s="1688">
        <v>9277</v>
      </c>
      <c r="W57" s="1689">
        <v>404</v>
      </c>
      <c r="X57" s="1695">
        <f t="shared" si="46"/>
        <v>4.3548560957205995E-2</v>
      </c>
      <c r="Y57" s="1688">
        <v>9585</v>
      </c>
      <c r="Z57" s="1689">
        <v>399</v>
      </c>
      <c r="AA57" s="1695">
        <f t="shared" si="47"/>
        <v>4.1627543035993739E-2</v>
      </c>
      <c r="AB57" s="1688">
        <v>9788</v>
      </c>
      <c r="AC57" s="1689">
        <v>520</v>
      </c>
      <c r="AD57" s="1695">
        <f t="shared" si="48"/>
        <v>5.3126277073968123E-2</v>
      </c>
      <c r="AE57" s="1688">
        <v>10125</v>
      </c>
      <c r="AF57" s="1689">
        <v>730</v>
      </c>
      <c r="AG57" s="1695">
        <f t="shared" si="49"/>
        <v>7.2098765432098769E-2</v>
      </c>
      <c r="AH57" s="1688">
        <v>10143</v>
      </c>
      <c r="AI57" s="1689">
        <v>823</v>
      </c>
      <c r="AJ57" s="1695">
        <f t="shared" si="50"/>
        <v>8.1139702257714677E-2</v>
      </c>
      <c r="AK57" s="1684">
        <v>10214</v>
      </c>
      <c r="AL57" s="1685">
        <v>775</v>
      </c>
      <c r="AM57" s="1695">
        <f t="shared" si="51"/>
        <v>7.5876248286665365E-2</v>
      </c>
      <c r="AN57" s="1705">
        <v>9774</v>
      </c>
      <c r="AO57" s="1706">
        <v>791</v>
      </c>
      <c r="AP57" s="1667">
        <f t="shared" si="52"/>
        <v>8.0928995293636175E-2</v>
      </c>
      <c r="AQ57" s="1705">
        <v>9298</v>
      </c>
      <c r="AR57" s="859">
        <v>796</v>
      </c>
      <c r="AS57" s="1667">
        <f t="shared" si="53"/>
        <v>8.5609808560980855E-2</v>
      </c>
      <c r="AT57" s="1711">
        <v>8864</v>
      </c>
      <c r="AU57" s="1712">
        <v>711</v>
      </c>
      <c r="AV57" s="1695">
        <f t="shared" si="54"/>
        <v>8.0212093862815886E-2</v>
      </c>
      <c r="AW57" s="1705">
        <v>8601</v>
      </c>
      <c r="AX57" s="1715">
        <v>612</v>
      </c>
      <c r="AY57" s="1695">
        <f t="shared" si="55"/>
        <v>7.11545169166376E-2</v>
      </c>
      <c r="AZ57" s="1705">
        <v>8451</v>
      </c>
      <c r="BA57" s="1715">
        <v>565</v>
      </c>
      <c r="BB57" s="1695">
        <f t="shared" si="56"/>
        <v>6.6855993373565265E-2</v>
      </c>
      <c r="BC57" s="1699">
        <v>8589</v>
      </c>
      <c r="BD57" s="984">
        <v>440</v>
      </c>
      <c r="BE57" s="980">
        <f t="shared" si="57"/>
        <v>5.1228315286994994E-2</v>
      </c>
      <c r="BF57" s="1699">
        <v>8344</v>
      </c>
      <c r="BG57" s="984">
        <v>339</v>
      </c>
      <c r="BH57" s="980">
        <f t="shared" si="58"/>
        <v>4.0627996164908919E-2</v>
      </c>
      <c r="BI57" s="1699">
        <v>8352</v>
      </c>
      <c r="BJ57" s="984">
        <v>324</v>
      </c>
      <c r="BK57" s="980">
        <f t="shared" si="19"/>
        <v>3.8793103448275863E-2</v>
      </c>
      <c r="BL57" s="1699">
        <v>8304</v>
      </c>
      <c r="BM57" s="984">
        <v>532</v>
      </c>
      <c r="BN57" s="980">
        <f t="shared" si="20"/>
        <v>6.4065510597302505E-2</v>
      </c>
    </row>
    <row r="58" spans="1:66" ht="12.75" customHeight="1" x14ac:dyDescent="0.3">
      <c r="A58" s="198" t="s">
        <v>131</v>
      </c>
      <c r="B58" s="200" t="s">
        <v>132</v>
      </c>
      <c r="C58" s="85" t="s">
        <v>254</v>
      </c>
      <c r="D58" s="1675">
        <v>100070</v>
      </c>
      <c r="E58" s="1676">
        <v>1428</v>
      </c>
      <c r="F58" s="1677">
        <f t="shared" si="40"/>
        <v>1.4270010992305387E-2</v>
      </c>
      <c r="G58" s="1688">
        <v>109398</v>
      </c>
      <c r="H58" s="1689">
        <v>2733</v>
      </c>
      <c r="I58" s="1664">
        <f t="shared" si="41"/>
        <v>2.4982175176877092E-2</v>
      </c>
      <c r="J58" s="1688">
        <v>116388</v>
      </c>
      <c r="K58" s="1689">
        <v>4358</v>
      </c>
      <c r="L58" s="1695">
        <f t="shared" si="42"/>
        <v>3.7443722720555385E-2</v>
      </c>
      <c r="M58" s="1688">
        <v>124224</v>
      </c>
      <c r="N58" s="1689">
        <v>3945</v>
      </c>
      <c r="O58" s="1695">
        <f t="shared" si="43"/>
        <v>3.1757148377125191E-2</v>
      </c>
      <c r="P58" s="1688">
        <v>135147</v>
      </c>
      <c r="Q58" s="1689">
        <v>3637</v>
      </c>
      <c r="R58" s="1695">
        <f t="shared" si="44"/>
        <v>2.6911437175815962E-2</v>
      </c>
      <c r="S58" s="1688">
        <v>147280</v>
      </c>
      <c r="T58" s="1689">
        <v>3604</v>
      </c>
      <c r="U58" s="1695">
        <f t="shared" si="45"/>
        <v>2.4470396523628462E-2</v>
      </c>
      <c r="V58" s="1688">
        <v>156992</v>
      </c>
      <c r="W58" s="1689">
        <v>3391</v>
      </c>
      <c r="X58" s="1695">
        <f t="shared" si="46"/>
        <v>2.1599826742763964E-2</v>
      </c>
      <c r="Y58" s="1688">
        <v>163971</v>
      </c>
      <c r="Z58" s="1689">
        <v>3439</v>
      </c>
      <c r="AA58" s="1695">
        <f t="shared" si="47"/>
        <v>2.0973220874422917E-2</v>
      </c>
      <c r="AB58" s="1688">
        <v>173148</v>
      </c>
      <c r="AC58" s="1689">
        <v>4849</v>
      </c>
      <c r="AD58" s="1695">
        <f t="shared" si="48"/>
        <v>2.8004943747545454E-2</v>
      </c>
      <c r="AE58" s="1688">
        <v>174290</v>
      </c>
      <c r="AF58" s="1689">
        <v>8178</v>
      </c>
      <c r="AG58" s="1695">
        <f t="shared" si="49"/>
        <v>4.6921797004991682E-2</v>
      </c>
      <c r="AH58" s="1688">
        <v>175593</v>
      </c>
      <c r="AI58" s="1689">
        <v>9190</v>
      </c>
      <c r="AJ58" s="1695">
        <f t="shared" si="50"/>
        <v>5.233693826063681E-2</v>
      </c>
      <c r="AK58" s="1684">
        <v>181241</v>
      </c>
      <c r="AL58" s="1685">
        <v>8433</v>
      </c>
      <c r="AM58" s="1695">
        <f t="shared" si="51"/>
        <v>4.6529206967518388E-2</v>
      </c>
      <c r="AN58" s="1705">
        <v>185858</v>
      </c>
      <c r="AO58" s="1706">
        <v>8097</v>
      </c>
      <c r="AP58" s="1667">
        <f t="shared" si="52"/>
        <v>4.3565517760871204E-2</v>
      </c>
      <c r="AQ58" s="1705">
        <v>191165</v>
      </c>
      <c r="AR58" s="859">
        <v>8171</v>
      </c>
      <c r="AS58" s="1667">
        <f t="shared" si="53"/>
        <v>4.2743179975413909E-2</v>
      </c>
      <c r="AT58" s="1711">
        <v>196697</v>
      </c>
      <c r="AU58" s="1712">
        <v>8198</v>
      </c>
      <c r="AV58" s="1695">
        <f t="shared" si="54"/>
        <v>4.1678317412060177E-2</v>
      </c>
      <c r="AW58" s="1705">
        <v>200891</v>
      </c>
      <c r="AX58" s="1715">
        <v>7061</v>
      </c>
      <c r="AY58" s="1695">
        <f t="shared" si="55"/>
        <v>3.5148413816447725E-2</v>
      </c>
      <c r="AZ58" s="1705">
        <v>207602</v>
      </c>
      <c r="BA58" s="1715">
        <v>6524</v>
      </c>
      <c r="BB58" s="1695">
        <f t="shared" si="56"/>
        <v>3.1425516131829173E-2</v>
      </c>
      <c r="BC58" s="1699">
        <v>215207</v>
      </c>
      <c r="BD58" s="984">
        <v>6468</v>
      </c>
      <c r="BE58" s="980">
        <f t="shared" si="57"/>
        <v>3.0054784463330653E-2</v>
      </c>
      <c r="BF58" s="1699">
        <v>220649</v>
      </c>
      <c r="BG58" s="984">
        <v>5398</v>
      </c>
      <c r="BH58" s="980">
        <f t="shared" si="58"/>
        <v>2.4464194263286939E-2</v>
      </c>
      <c r="BI58" s="1699">
        <v>228192</v>
      </c>
      <c r="BJ58" s="984">
        <v>5056</v>
      </c>
      <c r="BK58" s="980">
        <f t="shared" si="19"/>
        <v>2.2156780255223673E-2</v>
      </c>
      <c r="BL58" s="1699">
        <v>223194</v>
      </c>
      <c r="BM58" s="984">
        <v>11936</v>
      </c>
      <c r="BN58" s="980">
        <f t="shared" si="20"/>
        <v>5.3478140093371686E-2</v>
      </c>
    </row>
    <row r="59" spans="1:66" ht="12.75" customHeight="1" x14ac:dyDescent="0.3">
      <c r="A59" s="198" t="s">
        <v>133</v>
      </c>
      <c r="B59" s="200" t="s">
        <v>134</v>
      </c>
      <c r="C59" s="85" t="s">
        <v>254</v>
      </c>
      <c r="D59" s="1675">
        <v>12886</v>
      </c>
      <c r="E59" s="1676">
        <v>308</v>
      </c>
      <c r="F59" s="1677">
        <f t="shared" si="40"/>
        <v>2.3901909048579854E-2</v>
      </c>
      <c r="G59" s="1688">
        <v>13180</v>
      </c>
      <c r="H59" s="1689">
        <v>411</v>
      </c>
      <c r="I59" s="1664">
        <f t="shared" si="41"/>
        <v>3.118361153262519E-2</v>
      </c>
      <c r="J59" s="1688">
        <v>13603</v>
      </c>
      <c r="K59" s="1689">
        <v>596</v>
      </c>
      <c r="L59" s="1695">
        <f t="shared" si="42"/>
        <v>4.3813864588693671E-2</v>
      </c>
      <c r="M59" s="1688">
        <v>13935</v>
      </c>
      <c r="N59" s="1689">
        <v>592</v>
      </c>
      <c r="O59" s="1695">
        <f t="shared" si="43"/>
        <v>4.2482956584140655E-2</v>
      </c>
      <c r="P59" s="1688">
        <v>14350</v>
      </c>
      <c r="Q59" s="1689">
        <v>554</v>
      </c>
      <c r="R59" s="1695">
        <f t="shared" si="44"/>
        <v>3.8606271777003487E-2</v>
      </c>
      <c r="S59" s="1688">
        <v>15101</v>
      </c>
      <c r="T59" s="1689">
        <v>553</v>
      </c>
      <c r="U59" s="1695">
        <f t="shared" si="45"/>
        <v>3.6620091384676513E-2</v>
      </c>
      <c r="V59" s="1688">
        <v>15800</v>
      </c>
      <c r="W59" s="1689">
        <v>492</v>
      </c>
      <c r="X59" s="1695">
        <f t="shared" si="46"/>
        <v>3.1139240506329113E-2</v>
      </c>
      <c r="Y59" s="1688">
        <v>16152</v>
      </c>
      <c r="Z59" s="1689">
        <v>469</v>
      </c>
      <c r="AA59" s="1695">
        <f t="shared" si="47"/>
        <v>2.9036651807825657E-2</v>
      </c>
      <c r="AB59" s="1688">
        <v>16793</v>
      </c>
      <c r="AC59" s="1689">
        <v>705</v>
      </c>
      <c r="AD59" s="1695">
        <f t="shared" si="48"/>
        <v>4.1981778121836483E-2</v>
      </c>
      <c r="AE59" s="1688">
        <v>16665</v>
      </c>
      <c r="AF59" s="1689">
        <v>1307</v>
      </c>
      <c r="AG59" s="1695">
        <f t="shared" si="49"/>
        <v>7.8427842784278431E-2</v>
      </c>
      <c r="AH59" s="1688">
        <v>17879</v>
      </c>
      <c r="AI59" s="1689">
        <v>1374</v>
      </c>
      <c r="AJ59" s="1695">
        <f t="shared" si="50"/>
        <v>7.6849935678729234E-2</v>
      </c>
      <c r="AK59" s="1684">
        <v>17913</v>
      </c>
      <c r="AL59" s="1685">
        <v>1218</v>
      </c>
      <c r="AM59" s="1695">
        <f t="shared" si="51"/>
        <v>6.799531066822978E-2</v>
      </c>
      <c r="AN59" s="1705">
        <v>17936</v>
      </c>
      <c r="AO59" s="1706">
        <v>1094</v>
      </c>
      <c r="AP59" s="1667">
        <f t="shared" si="52"/>
        <v>6.0994647636039248E-2</v>
      </c>
      <c r="AQ59" s="1705">
        <v>18056</v>
      </c>
      <c r="AR59" s="859">
        <v>999</v>
      </c>
      <c r="AS59" s="1667">
        <f t="shared" si="53"/>
        <v>5.5327868852459015E-2</v>
      </c>
      <c r="AT59" s="1711">
        <v>18513</v>
      </c>
      <c r="AU59" s="1712">
        <v>922</v>
      </c>
      <c r="AV59" s="1695">
        <f t="shared" si="54"/>
        <v>4.9802841246691515E-2</v>
      </c>
      <c r="AW59" s="1705">
        <v>18866</v>
      </c>
      <c r="AX59" s="1715">
        <v>788</v>
      </c>
      <c r="AY59" s="1695">
        <f t="shared" si="55"/>
        <v>4.1768260362556979E-2</v>
      </c>
      <c r="AZ59" s="1705">
        <v>18595</v>
      </c>
      <c r="BA59" s="1715">
        <v>700</v>
      </c>
      <c r="BB59" s="1695">
        <f t="shared" si="56"/>
        <v>3.764452809895133E-2</v>
      </c>
      <c r="BC59" s="1699">
        <v>19676</v>
      </c>
      <c r="BD59" s="984">
        <v>664</v>
      </c>
      <c r="BE59" s="980">
        <f t="shared" si="57"/>
        <v>3.3746696483025009E-2</v>
      </c>
      <c r="BF59" s="1699">
        <v>19852</v>
      </c>
      <c r="BG59" s="984">
        <v>545</v>
      </c>
      <c r="BH59" s="980">
        <f t="shared" si="58"/>
        <v>2.7453153334676607E-2</v>
      </c>
      <c r="BI59" s="1699">
        <v>20220</v>
      </c>
      <c r="BJ59" s="984">
        <v>520</v>
      </c>
      <c r="BK59" s="980">
        <f t="shared" si="19"/>
        <v>2.5717111770524232E-2</v>
      </c>
      <c r="BL59" s="1699">
        <v>19944</v>
      </c>
      <c r="BM59" s="984">
        <v>1035</v>
      </c>
      <c r="BN59" s="980">
        <f t="shared" si="20"/>
        <v>5.1895306859205778E-2</v>
      </c>
    </row>
    <row r="60" spans="1:66" ht="12.75" customHeight="1" x14ac:dyDescent="0.3">
      <c r="A60" s="198" t="s">
        <v>135</v>
      </c>
      <c r="B60" s="200" t="s">
        <v>136</v>
      </c>
      <c r="C60" s="85" t="s">
        <v>253</v>
      </c>
      <c r="D60" s="1675">
        <v>5374</v>
      </c>
      <c r="E60" s="1676">
        <v>187</v>
      </c>
      <c r="F60" s="1677">
        <f t="shared" si="40"/>
        <v>3.4797171566803127E-2</v>
      </c>
      <c r="G60" s="1688">
        <v>5399</v>
      </c>
      <c r="H60" s="1689">
        <v>244</v>
      </c>
      <c r="I60" s="1664">
        <f t="shared" si="41"/>
        <v>4.5193554361918874E-2</v>
      </c>
      <c r="J60" s="1688">
        <v>5466</v>
      </c>
      <c r="K60" s="1689">
        <v>307</v>
      </c>
      <c r="L60" s="1695">
        <f t="shared" si="42"/>
        <v>5.6165386022685691E-2</v>
      </c>
      <c r="M60" s="1688">
        <v>5587</v>
      </c>
      <c r="N60" s="1689">
        <v>313</v>
      </c>
      <c r="O60" s="1695">
        <f t="shared" si="43"/>
        <v>5.602291032754609E-2</v>
      </c>
      <c r="P60" s="1688">
        <v>5419</v>
      </c>
      <c r="Q60" s="1689">
        <v>272</v>
      </c>
      <c r="R60" s="1695">
        <f t="shared" si="44"/>
        <v>5.0193762686842593E-2</v>
      </c>
      <c r="S60" s="1688">
        <v>5577</v>
      </c>
      <c r="T60" s="1689">
        <v>296</v>
      </c>
      <c r="U60" s="1695">
        <f t="shared" si="45"/>
        <v>5.3075129998206919E-2</v>
      </c>
      <c r="V60" s="1688">
        <v>5572</v>
      </c>
      <c r="W60" s="1689">
        <v>248</v>
      </c>
      <c r="X60" s="1695">
        <f t="shared" si="46"/>
        <v>4.4508255563531947E-2</v>
      </c>
      <c r="Y60" s="1688">
        <v>5508</v>
      </c>
      <c r="Z60" s="1689">
        <v>250</v>
      </c>
      <c r="AA60" s="1695">
        <f t="shared" si="47"/>
        <v>4.5388525780682643E-2</v>
      </c>
      <c r="AB60" s="1688">
        <v>5501</v>
      </c>
      <c r="AC60" s="1689">
        <v>326</v>
      </c>
      <c r="AD60" s="1695">
        <f t="shared" si="48"/>
        <v>5.9261952372295944E-2</v>
      </c>
      <c r="AE60" s="1688">
        <v>5616</v>
      </c>
      <c r="AF60" s="1689">
        <v>521</v>
      </c>
      <c r="AG60" s="1695">
        <f t="shared" si="49"/>
        <v>9.277065527065527E-2</v>
      </c>
      <c r="AH60" s="1688">
        <v>5558</v>
      </c>
      <c r="AI60" s="1689">
        <v>540</v>
      </c>
      <c r="AJ60" s="1695">
        <f t="shared" si="50"/>
        <v>9.7157250809643755E-2</v>
      </c>
      <c r="AK60" s="1684">
        <v>5500</v>
      </c>
      <c r="AL60" s="1685">
        <v>468</v>
      </c>
      <c r="AM60" s="1695">
        <f t="shared" si="51"/>
        <v>8.5090909090909092E-2</v>
      </c>
      <c r="AN60" s="1705">
        <v>5375</v>
      </c>
      <c r="AO60" s="1706">
        <v>398</v>
      </c>
      <c r="AP60" s="1667">
        <f t="shared" si="52"/>
        <v>7.4046511627906972E-2</v>
      </c>
      <c r="AQ60" s="1705">
        <v>5325</v>
      </c>
      <c r="AR60" s="859">
        <v>367</v>
      </c>
      <c r="AS60" s="1667">
        <f t="shared" si="53"/>
        <v>6.8920187793427234E-2</v>
      </c>
      <c r="AT60" s="1711">
        <v>5358</v>
      </c>
      <c r="AU60" s="1712">
        <v>310</v>
      </c>
      <c r="AV60" s="1695">
        <f t="shared" si="54"/>
        <v>5.7857409481149681E-2</v>
      </c>
      <c r="AW60" s="1705">
        <v>5305</v>
      </c>
      <c r="AX60" s="1715">
        <v>267</v>
      </c>
      <c r="AY60" s="1695">
        <f t="shared" si="55"/>
        <v>5.0329877474081054E-2</v>
      </c>
      <c r="AZ60" s="1705">
        <v>5260</v>
      </c>
      <c r="BA60" s="1715">
        <v>239</v>
      </c>
      <c r="BB60" s="1695">
        <f t="shared" si="56"/>
        <v>4.5437262357414451E-2</v>
      </c>
      <c r="BC60" s="1699">
        <v>5380</v>
      </c>
      <c r="BD60" s="984">
        <v>221</v>
      </c>
      <c r="BE60" s="980">
        <f t="shared" si="57"/>
        <v>4.107806691449814E-2</v>
      </c>
      <c r="BF60" s="1699">
        <v>5344</v>
      </c>
      <c r="BG60" s="984">
        <v>170</v>
      </c>
      <c r="BH60" s="980">
        <f t="shared" si="58"/>
        <v>3.1811377245508983E-2</v>
      </c>
      <c r="BI60" s="1699">
        <v>5353</v>
      </c>
      <c r="BJ60" s="984">
        <v>163</v>
      </c>
      <c r="BK60" s="980">
        <f t="shared" si="19"/>
        <v>3.0450214832804034E-2</v>
      </c>
      <c r="BL60" s="1699">
        <v>5266</v>
      </c>
      <c r="BM60" s="984">
        <v>278</v>
      </c>
      <c r="BN60" s="980">
        <f t="shared" si="20"/>
        <v>5.2791492593999241E-2</v>
      </c>
    </row>
    <row r="61" spans="1:66" ht="12.75" customHeight="1" x14ac:dyDescent="0.3">
      <c r="A61" s="198" t="s">
        <v>139</v>
      </c>
      <c r="B61" s="200" t="s">
        <v>140</v>
      </c>
      <c r="C61" s="85" t="s">
        <v>254</v>
      </c>
      <c r="D61" s="1675">
        <v>6560</v>
      </c>
      <c r="E61" s="1676">
        <v>117</v>
      </c>
      <c r="F61" s="1677">
        <f t="shared" si="40"/>
        <v>1.7835365853658535E-2</v>
      </c>
      <c r="G61" s="1688">
        <v>6791</v>
      </c>
      <c r="H61" s="1689">
        <v>151</v>
      </c>
      <c r="I61" s="1664">
        <f t="shared" si="41"/>
        <v>2.2235311441613902E-2</v>
      </c>
      <c r="J61" s="1688">
        <v>6987</v>
      </c>
      <c r="K61" s="1689">
        <v>301</v>
      </c>
      <c r="L61" s="1695">
        <f t="shared" si="42"/>
        <v>4.3080005724917707E-2</v>
      </c>
      <c r="M61" s="1688">
        <v>7131</v>
      </c>
      <c r="N61" s="1689">
        <v>276</v>
      </c>
      <c r="O61" s="1695">
        <f t="shared" si="43"/>
        <v>3.8704249053428695E-2</v>
      </c>
      <c r="P61" s="1688">
        <v>7004</v>
      </c>
      <c r="Q61" s="1689">
        <v>214</v>
      </c>
      <c r="R61" s="1695">
        <f t="shared" si="44"/>
        <v>3.0553969160479727E-2</v>
      </c>
      <c r="S61" s="1688">
        <v>7172</v>
      </c>
      <c r="T61" s="1689">
        <v>223</v>
      </c>
      <c r="U61" s="1695">
        <f t="shared" si="45"/>
        <v>3.1093139988845511E-2</v>
      </c>
      <c r="V61" s="1688">
        <v>7274</v>
      </c>
      <c r="W61" s="1689">
        <v>194</v>
      </c>
      <c r="X61" s="1695">
        <f t="shared" si="46"/>
        <v>2.6670332691778938E-2</v>
      </c>
      <c r="Y61" s="1688">
        <v>7352</v>
      </c>
      <c r="Z61" s="1689">
        <v>196</v>
      </c>
      <c r="AA61" s="1695">
        <f t="shared" si="47"/>
        <v>2.6659412404787811E-2</v>
      </c>
      <c r="AB61" s="1688">
        <v>7404</v>
      </c>
      <c r="AC61" s="1689">
        <v>277</v>
      </c>
      <c r="AD61" s="1695">
        <f t="shared" si="48"/>
        <v>3.7412209616423553E-2</v>
      </c>
      <c r="AE61" s="1688">
        <v>7429</v>
      </c>
      <c r="AF61" s="1689">
        <v>456</v>
      </c>
      <c r="AG61" s="1695">
        <f t="shared" si="49"/>
        <v>6.1381074168797956E-2</v>
      </c>
      <c r="AH61" s="1688">
        <v>7178</v>
      </c>
      <c r="AI61" s="1689">
        <v>464</v>
      </c>
      <c r="AJ61" s="1695">
        <f t="shared" si="50"/>
        <v>6.4641961549178048E-2</v>
      </c>
      <c r="AK61" s="1684">
        <v>7211</v>
      </c>
      <c r="AL61" s="1685">
        <v>377</v>
      </c>
      <c r="AM61" s="1695">
        <f t="shared" si="51"/>
        <v>5.2281236999029264E-2</v>
      </c>
      <c r="AN61" s="1705">
        <v>7252</v>
      </c>
      <c r="AO61" s="1706">
        <v>341</v>
      </c>
      <c r="AP61" s="1667">
        <f t="shared" si="52"/>
        <v>4.7021511307225594E-2</v>
      </c>
      <c r="AQ61" s="1705">
        <v>7229</v>
      </c>
      <c r="AR61" s="859">
        <v>315</v>
      </c>
      <c r="AS61" s="1667">
        <f t="shared" si="53"/>
        <v>4.3574491630930974E-2</v>
      </c>
      <c r="AT61" s="1711">
        <v>7272</v>
      </c>
      <c r="AU61" s="1712">
        <v>288</v>
      </c>
      <c r="AV61" s="1695">
        <f t="shared" si="54"/>
        <v>3.9603960396039604E-2</v>
      </c>
      <c r="AW61" s="1705">
        <v>7255</v>
      </c>
      <c r="AX61" s="1715">
        <v>244</v>
      </c>
      <c r="AY61" s="1695">
        <f t="shared" si="55"/>
        <v>3.3631977946243972E-2</v>
      </c>
      <c r="AZ61" s="1705">
        <v>7183</v>
      </c>
      <c r="BA61" s="1715">
        <v>221</v>
      </c>
      <c r="BB61" s="1695">
        <f t="shared" si="56"/>
        <v>3.0767088960044549E-2</v>
      </c>
      <c r="BC61" s="1699">
        <v>7300</v>
      </c>
      <c r="BD61" s="984">
        <v>212</v>
      </c>
      <c r="BE61" s="980">
        <f t="shared" si="57"/>
        <v>2.904109589041096E-2</v>
      </c>
      <c r="BF61" s="1699">
        <v>7307</v>
      </c>
      <c r="BG61" s="984">
        <v>176</v>
      </c>
      <c r="BH61" s="980">
        <f t="shared" si="58"/>
        <v>2.4086492404543587E-2</v>
      </c>
      <c r="BI61" s="1699">
        <v>7486</v>
      </c>
      <c r="BJ61" s="984">
        <v>159</v>
      </c>
      <c r="BK61" s="980">
        <f t="shared" si="19"/>
        <v>2.1239647341704516E-2</v>
      </c>
      <c r="BL61" s="1699">
        <v>7306</v>
      </c>
      <c r="BM61" s="984">
        <v>280</v>
      </c>
      <c r="BN61" s="980">
        <f t="shared" si="20"/>
        <v>3.8324664659184229E-2</v>
      </c>
    </row>
    <row r="62" spans="1:66" ht="12.75" customHeight="1" x14ac:dyDescent="0.3">
      <c r="A62" s="198" t="s">
        <v>145</v>
      </c>
      <c r="B62" s="200" t="s">
        <v>146</v>
      </c>
      <c r="C62" s="85" t="s">
        <v>251</v>
      </c>
      <c r="D62" s="1675">
        <v>4259</v>
      </c>
      <c r="E62" s="1676">
        <v>94</v>
      </c>
      <c r="F62" s="1677">
        <f t="shared" si="40"/>
        <v>2.2070908664005635E-2</v>
      </c>
      <c r="G62" s="1688">
        <v>4356</v>
      </c>
      <c r="H62" s="1689">
        <v>130</v>
      </c>
      <c r="I62" s="1664">
        <f t="shared" si="41"/>
        <v>2.9843893480257115E-2</v>
      </c>
      <c r="J62" s="1688">
        <v>4424</v>
      </c>
      <c r="K62" s="1689">
        <v>177</v>
      </c>
      <c r="L62" s="1695">
        <f t="shared" si="42"/>
        <v>4.0009041591320071E-2</v>
      </c>
      <c r="M62" s="1688">
        <v>4341</v>
      </c>
      <c r="N62" s="1689">
        <v>139</v>
      </c>
      <c r="O62" s="1695">
        <f t="shared" si="43"/>
        <v>3.2020271826768025E-2</v>
      </c>
      <c r="P62" s="1688">
        <v>4300</v>
      </c>
      <c r="Q62" s="1689">
        <v>133</v>
      </c>
      <c r="R62" s="1695">
        <f t="shared" si="44"/>
        <v>3.0930232558139537E-2</v>
      </c>
      <c r="S62" s="1688">
        <v>4396</v>
      </c>
      <c r="T62" s="1689">
        <v>133</v>
      </c>
      <c r="U62" s="1695">
        <f t="shared" si="45"/>
        <v>3.0254777070063694E-2</v>
      </c>
      <c r="V62" s="1688">
        <v>4454</v>
      </c>
      <c r="W62" s="1689">
        <v>117</v>
      </c>
      <c r="X62" s="1695">
        <f t="shared" si="46"/>
        <v>2.6268522676246072E-2</v>
      </c>
      <c r="Y62" s="1688">
        <v>4427</v>
      </c>
      <c r="Z62" s="1689">
        <v>113</v>
      </c>
      <c r="AA62" s="1695">
        <f t="shared" si="47"/>
        <v>2.5525186356449063E-2</v>
      </c>
      <c r="AB62" s="1688">
        <v>4500</v>
      </c>
      <c r="AC62" s="1689">
        <v>160</v>
      </c>
      <c r="AD62" s="1695">
        <f t="shared" si="48"/>
        <v>3.5555555555555556E-2</v>
      </c>
      <c r="AE62" s="1688">
        <v>4335</v>
      </c>
      <c r="AF62" s="1689">
        <v>239</v>
      </c>
      <c r="AG62" s="1695">
        <f t="shared" si="49"/>
        <v>5.5132641291810842E-2</v>
      </c>
      <c r="AH62" s="1688">
        <v>4229</v>
      </c>
      <c r="AI62" s="1689">
        <v>275</v>
      </c>
      <c r="AJ62" s="1695">
        <f t="shared" si="50"/>
        <v>6.5027193189879401E-2</v>
      </c>
      <c r="AK62" s="1684">
        <v>4238</v>
      </c>
      <c r="AL62" s="1685">
        <v>276</v>
      </c>
      <c r="AM62" s="1695">
        <f t="shared" si="51"/>
        <v>6.5125058990089663E-2</v>
      </c>
      <c r="AN62" s="1705">
        <v>4170</v>
      </c>
      <c r="AO62" s="1706">
        <v>233</v>
      </c>
      <c r="AP62" s="1667">
        <f t="shared" si="52"/>
        <v>5.5875299760191843E-2</v>
      </c>
      <c r="AQ62" s="1705">
        <v>4165</v>
      </c>
      <c r="AR62" s="859">
        <v>206</v>
      </c>
      <c r="AS62" s="1667">
        <f t="shared" si="53"/>
        <v>4.9459783913565425E-2</v>
      </c>
      <c r="AT62" s="1711">
        <v>4139</v>
      </c>
      <c r="AU62" s="1712">
        <v>188</v>
      </c>
      <c r="AV62" s="1695">
        <f t="shared" si="54"/>
        <v>4.5421599420149797E-2</v>
      </c>
      <c r="AW62" s="1705">
        <v>4090</v>
      </c>
      <c r="AX62" s="1715">
        <v>170</v>
      </c>
      <c r="AY62" s="1695">
        <f t="shared" si="55"/>
        <v>4.1564792176039117E-2</v>
      </c>
      <c r="AZ62" s="1705">
        <v>4045</v>
      </c>
      <c r="BA62" s="1715">
        <v>160</v>
      </c>
      <c r="BB62" s="1695">
        <f t="shared" si="56"/>
        <v>3.9555006180469712E-2</v>
      </c>
      <c r="BC62" s="1699">
        <v>4114</v>
      </c>
      <c r="BD62" s="984">
        <v>152</v>
      </c>
      <c r="BE62" s="980">
        <f t="shared" si="57"/>
        <v>3.6947010209042293E-2</v>
      </c>
      <c r="BF62" s="1699">
        <v>4141</v>
      </c>
      <c r="BG62" s="984">
        <v>122</v>
      </c>
      <c r="BH62" s="980">
        <f t="shared" si="58"/>
        <v>2.9461482733639216E-2</v>
      </c>
      <c r="BI62" s="1699">
        <v>4196</v>
      </c>
      <c r="BJ62" s="984">
        <v>116</v>
      </c>
      <c r="BK62" s="980">
        <f t="shared" si="19"/>
        <v>2.7645376549094377E-2</v>
      </c>
      <c r="BL62" s="1699">
        <v>4052</v>
      </c>
      <c r="BM62" s="984">
        <v>200</v>
      </c>
      <c r="BN62" s="980">
        <f t="shared" si="20"/>
        <v>4.9358341559723594E-2</v>
      </c>
    </row>
    <row r="63" spans="1:66" ht="12.75" customHeight="1" x14ac:dyDescent="0.3">
      <c r="A63" s="198" t="s">
        <v>147</v>
      </c>
      <c r="B63" s="200" t="s">
        <v>148</v>
      </c>
      <c r="C63" s="85" t="s">
        <v>252</v>
      </c>
      <c r="D63" s="1675">
        <v>14247</v>
      </c>
      <c r="E63" s="1676">
        <v>482</v>
      </c>
      <c r="F63" s="1677">
        <f t="shared" si="40"/>
        <v>3.3831683863269457E-2</v>
      </c>
      <c r="G63" s="1688">
        <v>14174</v>
      </c>
      <c r="H63" s="1689">
        <v>830</v>
      </c>
      <c r="I63" s="1664">
        <f t="shared" si="41"/>
        <v>5.8557922957527868E-2</v>
      </c>
      <c r="J63" s="1688">
        <v>14088</v>
      </c>
      <c r="K63" s="1689">
        <v>1442</v>
      </c>
      <c r="L63" s="1695">
        <f t="shared" si="42"/>
        <v>0.10235661555934128</v>
      </c>
      <c r="M63" s="1688">
        <v>13610</v>
      </c>
      <c r="N63" s="1689">
        <v>1276</v>
      </c>
      <c r="O63" s="1695">
        <f t="shared" si="43"/>
        <v>9.3754592211609117E-2</v>
      </c>
      <c r="P63" s="1688">
        <v>13015</v>
      </c>
      <c r="Q63" s="1689">
        <v>894</v>
      </c>
      <c r="R63" s="1695">
        <f t="shared" si="44"/>
        <v>6.8689973107952357E-2</v>
      </c>
      <c r="S63" s="1688">
        <v>13193</v>
      </c>
      <c r="T63" s="1689">
        <v>817</v>
      </c>
      <c r="U63" s="1695">
        <f t="shared" si="45"/>
        <v>6.1926779352687034E-2</v>
      </c>
      <c r="V63" s="1688">
        <v>13121</v>
      </c>
      <c r="W63" s="1689">
        <v>697</v>
      </c>
      <c r="X63" s="1695">
        <f t="shared" si="46"/>
        <v>5.3120951147016232E-2</v>
      </c>
      <c r="Y63" s="1688">
        <v>13192</v>
      </c>
      <c r="Z63" s="1689">
        <v>667</v>
      </c>
      <c r="AA63" s="1695">
        <f t="shared" si="47"/>
        <v>5.0560946027895695E-2</v>
      </c>
      <c r="AB63" s="1688">
        <v>13466</v>
      </c>
      <c r="AC63" s="1689">
        <v>881</v>
      </c>
      <c r="AD63" s="1695">
        <f t="shared" si="48"/>
        <v>6.5424030892618446E-2</v>
      </c>
      <c r="AE63" s="1688">
        <v>14067</v>
      </c>
      <c r="AF63" s="1689">
        <v>1534</v>
      </c>
      <c r="AG63" s="1695">
        <f t="shared" si="49"/>
        <v>0.109049548588896</v>
      </c>
      <c r="AH63" s="1688">
        <v>14183</v>
      </c>
      <c r="AI63" s="1689">
        <v>1637</v>
      </c>
      <c r="AJ63" s="1695">
        <f t="shared" si="50"/>
        <v>0.11541986885708243</v>
      </c>
      <c r="AK63" s="1684">
        <v>14031</v>
      </c>
      <c r="AL63" s="1685">
        <v>1449</v>
      </c>
      <c r="AM63" s="1695">
        <f t="shared" si="51"/>
        <v>0.10327132777421424</v>
      </c>
      <c r="AN63" s="1705">
        <v>13508</v>
      </c>
      <c r="AO63" s="1706">
        <v>1248</v>
      </c>
      <c r="AP63" s="1667">
        <f t="shared" si="52"/>
        <v>9.2389694995558186E-2</v>
      </c>
      <c r="AQ63" s="1705">
        <v>12771</v>
      </c>
      <c r="AR63" s="859">
        <v>1163</v>
      </c>
      <c r="AS63" s="1667">
        <f t="shared" si="53"/>
        <v>9.1065695716858505E-2</v>
      </c>
      <c r="AT63" s="1711">
        <v>12663</v>
      </c>
      <c r="AU63" s="1712">
        <v>958</v>
      </c>
      <c r="AV63" s="1695">
        <f t="shared" si="54"/>
        <v>7.5653478638553262E-2</v>
      </c>
      <c r="AW63" s="1705">
        <v>12561</v>
      </c>
      <c r="AX63" s="1715">
        <v>758</v>
      </c>
      <c r="AY63" s="1695">
        <f t="shared" si="55"/>
        <v>6.0345513892206035E-2</v>
      </c>
      <c r="AZ63" s="1705">
        <v>12473</v>
      </c>
      <c r="BA63" s="1715">
        <v>690</v>
      </c>
      <c r="BB63" s="1695">
        <f t="shared" si="56"/>
        <v>5.5319490098613006E-2</v>
      </c>
      <c r="BC63" s="1699">
        <v>12801</v>
      </c>
      <c r="BD63" s="984">
        <v>620</v>
      </c>
      <c r="BE63" s="980">
        <f t="shared" si="57"/>
        <v>4.8433716115928442E-2</v>
      </c>
      <c r="BF63" s="1699">
        <v>12723</v>
      </c>
      <c r="BG63" s="984">
        <v>510</v>
      </c>
      <c r="BH63" s="980">
        <f t="shared" si="58"/>
        <v>4.0084885640179202E-2</v>
      </c>
      <c r="BI63" s="1699">
        <v>12747</v>
      </c>
      <c r="BJ63" s="984">
        <v>489</v>
      </c>
      <c r="BK63" s="980">
        <f t="shared" si="19"/>
        <v>3.8361967521769826E-2</v>
      </c>
      <c r="BL63" s="1699">
        <v>12679</v>
      </c>
      <c r="BM63" s="984">
        <v>861</v>
      </c>
      <c r="BN63" s="980">
        <f t="shared" si="20"/>
        <v>6.7907563687988018E-2</v>
      </c>
    </row>
    <row r="64" spans="1:66" ht="12.75" customHeight="1" x14ac:dyDescent="0.3">
      <c r="A64" s="198" t="s">
        <v>149</v>
      </c>
      <c r="B64" s="200" t="s">
        <v>150</v>
      </c>
      <c r="C64" s="85" t="s">
        <v>253</v>
      </c>
      <c r="D64" s="1675">
        <v>4545</v>
      </c>
      <c r="E64" s="1676">
        <v>96</v>
      </c>
      <c r="F64" s="1677">
        <f t="shared" si="40"/>
        <v>2.1122112211221122E-2</v>
      </c>
      <c r="G64" s="1688">
        <v>4632</v>
      </c>
      <c r="H64" s="1689">
        <v>124</v>
      </c>
      <c r="I64" s="1664">
        <f t="shared" si="41"/>
        <v>2.6770293609671848E-2</v>
      </c>
      <c r="J64" s="1688">
        <v>4738</v>
      </c>
      <c r="K64" s="1689">
        <v>157</v>
      </c>
      <c r="L64" s="1695">
        <f t="shared" si="42"/>
        <v>3.3136344449134658E-2</v>
      </c>
      <c r="M64" s="1688">
        <v>4837</v>
      </c>
      <c r="N64" s="1689">
        <v>170</v>
      </c>
      <c r="O64" s="1695">
        <f t="shared" si="43"/>
        <v>3.5145751498862933E-2</v>
      </c>
      <c r="P64" s="1688">
        <v>4860</v>
      </c>
      <c r="Q64" s="1689">
        <v>168</v>
      </c>
      <c r="R64" s="1695">
        <f t="shared" si="44"/>
        <v>3.4567901234567898E-2</v>
      </c>
      <c r="S64" s="1688">
        <v>5031</v>
      </c>
      <c r="T64" s="1689">
        <v>179</v>
      </c>
      <c r="U64" s="1695">
        <f t="shared" si="45"/>
        <v>3.5579407672430931E-2</v>
      </c>
      <c r="V64" s="1688">
        <v>5059</v>
      </c>
      <c r="W64" s="1689">
        <v>162</v>
      </c>
      <c r="X64" s="1695">
        <f t="shared" si="46"/>
        <v>3.2022138762601307E-2</v>
      </c>
      <c r="Y64" s="1688">
        <v>5041</v>
      </c>
      <c r="Z64" s="1689">
        <v>151</v>
      </c>
      <c r="AA64" s="1695">
        <f t="shared" si="47"/>
        <v>2.9954374132116643E-2</v>
      </c>
      <c r="AB64" s="1688">
        <v>5132</v>
      </c>
      <c r="AC64" s="1689">
        <v>196</v>
      </c>
      <c r="AD64" s="1695">
        <f t="shared" si="48"/>
        <v>3.8191738113795788E-2</v>
      </c>
      <c r="AE64" s="1688">
        <v>5185</v>
      </c>
      <c r="AF64" s="1689">
        <v>345</v>
      </c>
      <c r="AG64" s="1695">
        <f t="shared" si="49"/>
        <v>6.6538090646094505E-2</v>
      </c>
      <c r="AH64" s="1688">
        <v>5167</v>
      </c>
      <c r="AI64" s="1689">
        <v>380</v>
      </c>
      <c r="AJ64" s="1695">
        <f t="shared" si="50"/>
        <v>7.3543642345655122E-2</v>
      </c>
      <c r="AK64" s="1684">
        <v>5131</v>
      </c>
      <c r="AL64" s="1685">
        <v>332</v>
      </c>
      <c r="AM64" s="1695">
        <f t="shared" si="51"/>
        <v>6.4704735918924186E-2</v>
      </c>
      <c r="AN64" s="1705">
        <v>5128</v>
      </c>
      <c r="AO64" s="1706">
        <v>305</v>
      </c>
      <c r="AP64" s="1667">
        <f t="shared" si="52"/>
        <v>5.9477379095163804E-2</v>
      </c>
      <c r="AQ64" s="1705">
        <v>5115</v>
      </c>
      <c r="AR64" s="859">
        <v>276</v>
      </c>
      <c r="AS64" s="1667">
        <f t="shared" si="53"/>
        <v>5.395894428152493E-2</v>
      </c>
      <c r="AT64" s="1711">
        <v>5045</v>
      </c>
      <c r="AU64" s="1712">
        <v>250</v>
      </c>
      <c r="AV64" s="1695">
        <f t="shared" si="54"/>
        <v>4.9554013875123884E-2</v>
      </c>
      <c r="AW64" s="1705">
        <v>5000</v>
      </c>
      <c r="AX64" s="1715">
        <v>209</v>
      </c>
      <c r="AY64" s="1695">
        <f t="shared" si="55"/>
        <v>4.1799999999999997E-2</v>
      </c>
      <c r="AZ64" s="1705">
        <v>5035</v>
      </c>
      <c r="BA64" s="1715">
        <v>190</v>
      </c>
      <c r="BB64" s="1695">
        <f t="shared" si="56"/>
        <v>3.7735849056603772E-2</v>
      </c>
      <c r="BC64" s="1699">
        <v>5342</v>
      </c>
      <c r="BD64" s="984">
        <v>172</v>
      </c>
      <c r="BE64" s="980">
        <f t="shared" si="57"/>
        <v>3.219767877199551E-2</v>
      </c>
      <c r="BF64" s="1699">
        <v>5255</v>
      </c>
      <c r="BG64" s="984">
        <v>140</v>
      </c>
      <c r="BH64" s="980">
        <f t="shared" si="58"/>
        <v>2.6641294005708849E-2</v>
      </c>
      <c r="BI64" s="1699">
        <v>5295</v>
      </c>
      <c r="BJ64" s="984">
        <v>130</v>
      </c>
      <c r="BK64" s="980">
        <f t="shared" si="19"/>
        <v>2.4551463644948063E-2</v>
      </c>
      <c r="BL64" s="1699">
        <v>5134</v>
      </c>
      <c r="BM64" s="984">
        <v>262</v>
      </c>
      <c r="BN64" s="980">
        <f t="shared" si="20"/>
        <v>5.1032333463186599E-2</v>
      </c>
    </row>
    <row r="65" spans="1:66" ht="12.75" customHeight="1" x14ac:dyDescent="0.3">
      <c r="A65" s="198" t="s">
        <v>151</v>
      </c>
      <c r="B65" s="200" t="s">
        <v>152</v>
      </c>
      <c r="C65" s="85" t="s">
        <v>255</v>
      </c>
      <c r="D65" s="1675">
        <v>40823</v>
      </c>
      <c r="E65" s="1676">
        <v>1039</v>
      </c>
      <c r="F65" s="1677">
        <f t="shared" si="40"/>
        <v>2.5451338706121551E-2</v>
      </c>
      <c r="G65" s="1688">
        <v>40953</v>
      </c>
      <c r="H65" s="1689">
        <v>1359</v>
      </c>
      <c r="I65" s="1664">
        <f t="shared" si="41"/>
        <v>3.3184382096549704E-2</v>
      </c>
      <c r="J65" s="1688">
        <v>41353</v>
      </c>
      <c r="K65" s="1689">
        <v>1658</v>
      </c>
      <c r="L65" s="1695">
        <f t="shared" si="42"/>
        <v>4.0093826324571376E-2</v>
      </c>
      <c r="M65" s="1688">
        <v>42529</v>
      </c>
      <c r="N65" s="1689">
        <v>1622</v>
      </c>
      <c r="O65" s="1695">
        <f t="shared" si="43"/>
        <v>3.8138681840626396E-2</v>
      </c>
      <c r="P65" s="1688">
        <v>42396</v>
      </c>
      <c r="Q65" s="1689">
        <v>1588</v>
      </c>
      <c r="R65" s="1695">
        <f t="shared" si="44"/>
        <v>3.7456363807906408E-2</v>
      </c>
      <c r="S65" s="1688">
        <v>43120</v>
      </c>
      <c r="T65" s="1689">
        <v>1554</v>
      </c>
      <c r="U65" s="1695">
        <f t="shared" si="45"/>
        <v>3.6038961038961037E-2</v>
      </c>
      <c r="V65" s="1688">
        <v>43558</v>
      </c>
      <c r="W65" s="1689">
        <v>1358</v>
      </c>
      <c r="X65" s="1695">
        <f t="shared" si="46"/>
        <v>3.1176821708985721E-2</v>
      </c>
      <c r="Y65" s="1688">
        <v>44293</v>
      </c>
      <c r="Z65" s="1689">
        <v>1419</v>
      </c>
      <c r="AA65" s="1695">
        <f t="shared" si="47"/>
        <v>3.2036664935768629E-2</v>
      </c>
      <c r="AB65" s="1688">
        <v>45879</v>
      </c>
      <c r="AC65" s="1689">
        <v>1870</v>
      </c>
      <c r="AD65" s="1695">
        <f t="shared" si="48"/>
        <v>4.0759388827132238E-2</v>
      </c>
      <c r="AE65" s="1688">
        <v>45447</v>
      </c>
      <c r="AF65" s="1689">
        <v>3162</v>
      </c>
      <c r="AG65" s="1695">
        <f t="shared" si="49"/>
        <v>6.9575549541223844E-2</v>
      </c>
      <c r="AH65" s="1688">
        <v>47555</v>
      </c>
      <c r="AI65" s="1689">
        <v>3438</v>
      </c>
      <c r="AJ65" s="1695">
        <f t="shared" si="50"/>
        <v>7.2295237093891282E-2</v>
      </c>
      <c r="AK65" s="1684">
        <v>48292</v>
      </c>
      <c r="AL65" s="1685">
        <v>3045</v>
      </c>
      <c r="AM65" s="1695">
        <f t="shared" si="51"/>
        <v>6.305392197465419E-2</v>
      </c>
      <c r="AN65" s="1705">
        <v>49090</v>
      </c>
      <c r="AO65" s="1706">
        <v>2859</v>
      </c>
      <c r="AP65" s="1667">
        <f t="shared" si="52"/>
        <v>5.823996740680383E-2</v>
      </c>
      <c r="AQ65" s="1705">
        <v>49678</v>
      </c>
      <c r="AR65" s="859">
        <v>2740</v>
      </c>
      <c r="AS65" s="1667">
        <f t="shared" si="53"/>
        <v>5.5155199484681346E-2</v>
      </c>
      <c r="AT65" s="1711">
        <v>49948</v>
      </c>
      <c r="AU65" s="1712">
        <v>2500</v>
      </c>
      <c r="AV65" s="1695">
        <f t="shared" si="54"/>
        <v>5.0052054136301753E-2</v>
      </c>
      <c r="AW65" s="1705">
        <v>49925</v>
      </c>
      <c r="AX65" s="1715">
        <v>2127</v>
      </c>
      <c r="AY65" s="1695">
        <f t="shared" si="55"/>
        <v>4.2603905858788184E-2</v>
      </c>
      <c r="AZ65" s="1705">
        <v>49796</v>
      </c>
      <c r="BA65" s="1715">
        <v>2027</v>
      </c>
      <c r="BB65" s="1695">
        <f t="shared" si="56"/>
        <v>4.0706080809703588E-2</v>
      </c>
      <c r="BC65" s="1699">
        <v>49922</v>
      </c>
      <c r="BD65" s="984">
        <v>1858</v>
      </c>
      <c r="BE65" s="980">
        <f t="shared" si="57"/>
        <v>3.7218060173871241E-2</v>
      </c>
      <c r="BF65" s="1699">
        <v>50092</v>
      </c>
      <c r="BG65" s="984">
        <v>1456</v>
      </c>
      <c r="BH65" s="980">
        <f t="shared" si="58"/>
        <v>2.9066517607602014E-2</v>
      </c>
      <c r="BI65" s="1699">
        <v>50741</v>
      </c>
      <c r="BJ65" s="984">
        <v>1366</v>
      </c>
      <c r="BK65" s="980">
        <f t="shared" si="19"/>
        <v>2.6921030330501961E-2</v>
      </c>
      <c r="BL65" s="1699">
        <v>48670</v>
      </c>
      <c r="BM65" s="984">
        <v>2330</v>
      </c>
      <c r="BN65" s="980">
        <f t="shared" si="20"/>
        <v>4.7873433326484485E-2</v>
      </c>
    </row>
    <row r="66" spans="1:66" ht="12.75" customHeight="1" x14ac:dyDescent="0.3">
      <c r="A66" s="198" t="s">
        <v>153</v>
      </c>
      <c r="B66" s="200" t="s">
        <v>154</v>
      </c>
      <c r="C66" s="85" t="s">
        <v>252</v>
      </c>
      <c r="D66" s="1675">
        <v>7033</v>
      </c>
      <c r="E66" s="1676">
        <v>164</v>
      </c>
      <c r="F66" s="1677">
        <f t="shared" si="40"/>
        <v>2.3318640693871746E-2</v>
      </c>
      <c r="G66" s="1688">
        <v>7120</v>
      </c>
      <c r="H66" s="1689">
        <v>235</v>
      </c>
      <c r="I66" s="1664">
        <f t="shared" si="41"/>
        <v>3.3005617977528087E-2</v>
      </c>
      <c r="J66" s="1688">
        <v>7102</v>
      </c>
      <c r="K66" s="1689">
        <v>259</v>
      </c>
      <c r="L66" s="1695">
        <f t="shared" si="42"/>
        <v>3.6468600394255139E-2</v>
      </c>
      <c r="M66" s="1688">
        <v>7144</v>
      </c>
      <c r="N66" s="1689">
        <v>261</v>
      </c>
      <c r="O66" s="1695">
        <f t="shared" si="43"/>
        <v>3.6534154535274359E-2</v>
      </c>
      <c r="P66" s="1688">
        <v>7221</v>
      </c>
      <c r="Q66" s="1689">
        <v>266</v>
      </c>
      <c r="R66" s="1695">
        <f t="shared" si="44"/>
        <v>3.6837003185154413E-2</v>
      </c>
      <c r="S66" s="1688">
        <v>7424</v>
      </c>
      <c r="T66" s="1689">
        <v>242</v>
      </c>
      <c r="U66" s="1695">
        <f t="shared" si="45"/>
        <v>3.2596982758620691E-2</v>
      </c>
      <c r="V66" s="1688">
        <v>7715</v>
      </c>
      <c r="W66" s="1689">
        <v>215</v>
      </c>
      <c r="X66" s="1695">
        <f t="shared" si="46"/>
        <v>2.7867790019442645E-2</v>
      </c>
      <c r="Y66" s="1688">
        <v>7904</v>
      </c>
      <c r="Z66" s="1689">
        <v>212</v>
      </c>
      <c r="AA66" s="1695">
        <f t="shared" si="47"/>
        <v>2.6821862348178137E-2</v>
      </c>
      <c r="AB66" s="1688">
        <v>8077</v>
      </c>
      <c r="AC66" s="1689">
        <v>289</v>
      </c>
      <c r="AD66" s="1695">
        <f t="shared" si="48"/>
        <v>3.5780611613222733E-2</v>
      </c>
      <c r="AE66" s="1688">
        <v>8040</v>
      </c>
      <c r="AF66" s="1689">
        <v>514</v>
      </c>
      <c r="AG66" s="1695">
        <f t="shared" si="49"/>
        <v>6.3930348258706471E-2</v>
      </c>
      <c r="AH66" s="1688">
        <v>7586</v>
      </c>
      <c r="AI66" s="1689">
        <v>555</v>
      </c>
      <c r="AJ66" s="1695">
        <f t="shared" si="50"/>
        <v>7.3161086211442128E-2</v>
      </c>
      <c r="AK66" s="1684">
        <v>7593</v>
      </c>
      <c r="AL66" s="1685">
        <v>480</v>
      </c>
      <c r="AM66" s="1695">
        <f t="shared" si="51"/>
        <v>6.3216120110628216E-2</v>
      </c>
      <c r="AN66" s="1705">
        <v>7453</v>
      </c>
      <c r="AO66" s="1706">
        <v>425</v>
      </c>
      <c r="AP66" s="1667">
        <f t="shared" si="52"/>
        <v>5.702401717429223E-2</v>
      </c>
      <c r="AQ66" s="1705">
        <v>7359</v>
      </c>
      <c r="AR66" s="859">
        <v>396</v>
      </c>
      <c r="AS66" s="1667">
        <f t="shared" si="53"/>
        <v>5.3811659192825115E-2</v>
      </c>
      <c r="AT66" s="1711">
        <v>7418</v>
      </c>
      <c r="AU66" s="1712">
        <v>358</v>
      </c>
      <c r="AV66" s="1695">
        <f t="shared" si="54"/>
        <v>4.8260986788891881E-2</v>
      </c>
      <c r="AW66" s="1705">
        <v>7296</v>
      </c>
      <c r="AX66" s="1715">
        <v>293</v>
      </c>
      <c r="AY66" s="1695">
        <f t="shared" si="55"/>
        <v>4.0158991228070179E-2</v>
      </c>
      <c r="AZ66" s="1705">
        <v>7246</v>
      </c>
      <c r="BA66" s="1715">
        <v>257</v>
      </c>
      <c r="BB66" s="1695">
        <f t="shared" si="56"/>
        <v>3.5467844327905049E-2</v>
      </c>
      <c r="BC66" s="1699">
        <v>7322</v>
      </c>
      <c r="BD66" s="984">
        <v>254</v>
      </c>
      <c r="BE66" s="980">
        <f t="shared" si="57"/>
        <v>3.4689975416552853E-2</v>
      </c>
      <c r="BF66" s="1699">
        <v>7352</v>
      </c>
      <c r="BG66" s="984">
        <v>225</v>
      </c>
      <c r="BH66" s="980">
        <f t="shared" si="58"/>
        <v>3.0603917301414582E-2</v>
      </c>
      <c r="BI66" s="1699">
        <v>7593</v>
      </c>
      <c r="BJ66" s="984">
        <v>201</v>
      </c>
      <c r="BK66" s="980">
        <f t="shared" si="19"/>
        <v>2.6471750296325564E-2</v>
      </c>
      <c r="BL66" s="1699">
        <v>7304</v>
      </c>
      <c r="BM66" s="984">
        <v>409</v>
      </c>
      <c r="BN66" s="980">
        <f t="shared" si="20"/>
        <v>5.599671412924425E-2</v>
      </c>
    </row>
    <row r="67" spans="1:66" ht="12.75" customHeight="1" x14ac:dyDescent="0.3">
      <c r="A67" s="198" t="s">
        <v>155</v>
      </c>
      <c r="B67" s="200" t="s">
        <v>156</v>
      </c>
      <c r="C67" s="85" t="s">
        <v>253</v>
      </c>
      <c r="D67" s="1675">
        <v>7300</v>
      </c>
      <c r="E67" s="1676">
        <v>135</v>
      </c>
      <c r="F67" s="1677">
        <f t="shared" si="40"/>
        <v>1.8493150684931507E-2</v>
      </c>
      <c r="G67" s="1688">
        <v>7536</v>
      </c>
      <c r="H67" s="1689">
        <v>227</v>
      </c>
      <c r="I67" s="1664">
        <f t="shared" si="41"/>
        <v>3.012208067940552E-2</v>
      </c>
      <c r="J67" s="1688">
        <v>7718</v>
      </c>
      <c r="K67" s="1689">
        <v>281</v>
      </c>
      <c r="L67" s="1695">
        <f t="shared" si="42"/>
        <v>3.6408395957501942E-2</v>
      </c>
      <c r="M67" s="1688">
        <v>8017</v>
      </c>
      <c r="N67" s="1689">
        <v>296</v>
      </c>
      <c r="O67" s="1695">
        <f t="shared" si="43"/>
        <v>3.6921541723836847E-2</v>
      </c>
      <c r="P67" s="1688">
        <v>8371</v>
      </c>
      <c r="Q67" s="1689">
        <v>291</v>
      </c>
      <c r="R67" s="1695">
        <f t="shared" si="44"/>
        <v>3.4762871819376422E-2</v>
      </c>
      <c r="S67" s="1688">
        <v>8789</v>
      </c>
      <c r="T67" s="1689">
        <v>286</v>
      </c>
      <c r="U67" s="1695">
        <f t="shared" si="45"/>
        <v>3.2540675844806008E-2</v>
      </c>
      <c r="V67" s="1688">
        <v>9267</v>
      </c>
      <c r="W67" s="1689">
        <v>258</v>
      </c>
      <c r="X67" s="1695">
        <f t="shared" si="46"/>
        <v>2.7840725153771447E-2</v>
      </c>
      <c r="Y67" s="1688">
        <v>9415</v>
      </c>
      <c r="Z67" s="1689">
        <v>256</v>
      </c>
      <c r="AA67" s="1695">
        <f t="shared" si="47"/>
        <v>2.7190653212958046E-2</v>
      </c>
      <c r="AB67" s="1688">
        <v>9927</v>
      </c>
      <c r="AC67" s="1689">
        <v>355</v>
      </c>
      <c r="AD67" s="1695">
        <f t="shared" si="48"/>
        <v>3.5761055706658607E-2</v>
      </c>
      <c r="AE67" s="1688">
        <v>9874</v>
      </c>
      <c r="AF67" s="1689">
        <v>687</v>
      </c>
      <c r="AG67" s="1695">
        <f t="shared" si="49"/>
        <v>6.9576665991492814E-2</v>
      </c>
      <c r="AH67" s="1688">
        <v>10310</v>
      </c>
      <c r="AI67" s="1689">
        <v>764</v>
      </c>
      <c r="AJ67" s="1695">
        <f t="shared" si="50"/>
        <v>7.4102812803103782E-2</v>
      </c>
      <c r="AK67" s="1684">
        <v>10423</v>
      </c>
      <c r="AL67" s="1685">
        <v>666</v>
      </c>
      <c r="AM67" s="1695">
        <f t="shared" si="51"/>
        <v>6.3897150532476257E-2</v>
      </c>
      <c r="AN67" s="1705">
        <v>10600</v>
      </c>
      <c r="AO67" s="1706">
        <v>579</v>
      </c>
      <c r="AP67" s="1667">
        <f t="shared" si="52"/>
        <v>5.462264150943396E-2</v>
      </c>
      <c r="AQ67" s="1705">
        <v>10788</v>
      </c>
      <c r="AR67" s="859">
        <v>531</v>
      </c>
      <c r="AS67" s="1667">
        <f t="shared" si="53"/>
        <v>4.9221357063403783E-2</v>
      </c>
      <c r="AT67" s="1711">
        <v>11116</v>
      </c>
      <c r="AU67" s="1712">
        <v>493</v>
      </c>
      <c r="AV67" s="1695">
        <f t="shared" si="54"/>
        <v>4.435048578625405E-2</v>
      </c>
      <c r="AW67" s="1705">
        <v>11258</v>
      </c>
      <c r="AX67" s="1715">
        <v>423</v>
      </c>
      <c r="AY67" s="1695">
        <f t="shared" si="55"/>
        <v>3.7573281222241961E-2</v>
      </c>
      <c r="AZ67" s="1705">
        <v>11690</v>
      </c>
      <c r="BA67" s="1715">
        <v>390</v>
      </c>
      <c r="BB67" s="1695">
        <f t="shared" si="56"/>
        <v>3.3361847733105215E-2</v>
      </c>
      <c r="BC67" s="1699">
        <v>12041</v>
      </c>
      <c r="BD67" s="984">
        <v>380</v>
      </c>
      <c r="BE67" s="980">
        <f t="shared" si="57"/>
        <v>3.1558840627854828E-2</v>
      </c>
      <c r="BF67" s="1699">
        <v>12455</v>
      </c>
      <c r="BG67" s="984">
        <v>333</v>
      </c>
      <c r="BH67" s="980">
        <f t="shared" si="58"/>
        <v>2.6736250501806502E-2</v>
      </c>
      <c r="BI67" s="1699">
        <v>12919</v>
      </c>
      <c r="BJ67" s="984">
        <v>293</v>
      </c>
      <c r="BK67" s="980">
        <f t="shared" si="19"/>
        <v>2.2679773976313957E-2</v>
      </c>
      <c r="BL67" s="1699">
        <v>12503</v>
      </c>
      <c r="BM67" s="984">
        <v>573</v>
      </c>
      <c r="BN67" s="980">
        <f t="shared" si="20"/>
        <v>4.5829001039750461E-2</v>
      </c>
    </row>
    <row r="68" spans="1:66" ht="12.75" customHeight="1" x14ac:dyDescent="0.3">
      <c r="A68" s="198" t="s">
        <v>161</v>
      </c>
      <c r="B68" s="200" t="s">
        <v>162</v>
      </c>
      <c r="C68" s="85" t="s">
        <v>251</v>
      </c>
      <c r="D68" s="1675">
        <v>5603</v>
      </c>
      <c r="E68" s="1676">
        <v>150</v>
      </c>
      <c r="F68" s="1677">
        <f t="shared" si="40"/>
        <v>2.6771372479029092E-2</v>
      </c>
      <c r="G68" s="1688">
        <v>5669</v>
      </c>
      <c r="H68" s="1689">
        <v>209</v>
      </c>
      <c r="I68" s="1664">
        <f t="shared" si="41"/>
        <v>3.6867172340800849E-2</v>
      </c>
      <c r="J68" s="1688">
        <v>5876</v>
      </c>
      <c r="K68" s="1689">
        <v>300</v>
      </c>
      <c r="L68" s="1695">
        <f t="shared" si="42"/>
        <v>5.1055139550714772E-2</v>
      </c>
      <c r="M68" s="1688">
        <v>5935</v>
      </c>
      <c r="N68" s="1689">
        <v>289</v>
      </c>
      <c r="O68" s="1695">
        <f t="shared" si="43"/>
        <v>4.8694187026116262E-2</v>
      </c>
      <c r="P68" s="1688">
        <v>5902</v>
      </c>
      <c r="Q68" s="1689">
        <v>281</v>
      </c>
      <c r="R68" s="1695">
        <f t="shared" si="44"/>
        <v>4.7610979329041E-2</v>
      </c>
      <c r="S68" s="1688">
        <v>5914</v>
      </c>
      <c r="T68" s="1689">
        <v>306</v>
      </c>
      <c r="U68" s="1695">
        <f t="shared" si="45"/>
        <v>5.1741630030436254E-2</v>
      </c>
      <c r="V68" s="1688">
        <v>5865</v>
      </c>
      <c r="W68" s="1689">
        <v>261</v>
      </c>
      <c r="X68" s="1695">
        <f t="shared" si="46"/>
        <v>4.4501278772378514E-2</v>
      </c>
      <c r="Y68" s="1688">
        <v>5959</v>
      </c>
      <c r="Z68" s="1689">
        <v>242</v>
      </c>
      <c r="AA68" s="1695">
        <f t="shared" si="47"/>
        <v>4.0610840745091456E-2</v>
      </c>
      <c r="AB68" s="1688">
        <v>6112</v>
      </c>
      <c r="AC68" s="1689">
        <v>332</v>
      </c>
      <c r="AD68" s="1695">
        <f t="shared" si="48"/>
        <v>5.4319371727748693E-2</v>
      </c>
      <c r="AE68" s="1688">
        <v>6382</v>
      </c>
      <c r="AF68" s="1689">
        <v>489</v>
      </c>
      <c r="AG68" s="1695">
        <f t="shared" si="49"/>
        <v>7.6621748668129111E-2</v>
      </c>
      <c r="AH68" s="1688">
        <v>6346</v>
      </c>
      <c r="AI68" s="1689">
        <v>550</v>
      </c>
      <c r="AJ68" s="1695">
        <f t="shared" si="50"/>
        <v>8.6668767727702489E-2</v>
      </c>
      <c r="AK68" s="1684">
        <v>6354</v>
      </c>
      <c r="AL68" s="1685">
        <v>563</v>
      </c>
      <c r="AM68" s="1695">
        <f t="shared" si="51"/>
        <v>8.8605602769908726E-2</v>
      </c>
      <c r="AN68" s="1705">
        <v>6184</v>
      </c>
      <c r="AO68" s="1706">
        <v>561</v>
      </c>
      <c r="AP68" s="1667">
        <f t="shared" si="52"/>
        <v>9.071798188874515E-2</v>
      </c>
      <c r="AQ68" s="1705">
        <v>6031</v>
      </c>
      <c r="AR68" s="859">
        <v>537</v>
      </c>
      <c r="AS68" s="1667">
        <f t="shared" si="53"/>
        <v>8.9039960205604382E-2</v>
      </c>
      <c r="AT68" s="1711">
        <v>6101</v>
      </c>
      <c r="AU68" s="1712">
        <v>453</v>
      </c>
      <c r="AV68" s="1695">
        <f t="shared" si="54"/>
        <v>7.4250122930667101E-2</v>
      </c>
      <c r="AW68" s="1705">
        <v>6120</v>
      </c>
      <c r="AX68" s="1715">
        <v>368</v>
      </c>
      <c r="AY68" s="1695">
        <f t="shared" si="55"/>
        <v>6.0130718954248367E-2</v>
      </c>
      <c r="AZ68" s="1705">
        <v>5881</v>
      </c>
      <c r="BA68" s="1715">
        <v>335</v>
      </c>
      <c r="BB68" s="1695">
        <f t="shared" si="56"/>
        <v>5.6963101513348068E-2</v>
      </c>
      <c r="BC68" s="1699">
        <v>5542</v>
      </c>
      <c r="BD68" s="984">
        <v>308</v>
      </c>
      <c r="BE68" s="980">
        <f t="shared" si="57"/>
        <v>5.5575604474918799E-2</v>
      </c>
      <c r="BF68" s="1699">
        <v>5406</v>
      </c>
      <c r="BG68" s="984">
        <v>288</v>
      </c>
      <c r="BH68" s="980">
        <f t="shared" si="58"/>
        <v>5.327413984461709E-2</v>
      </c>
      <c r="BI68" s="1699">
        <v>5475</v>
      </c>
      <c r="BJ68" s="984">
        <v>234</v>
      </c>
      <c r="BK68" s="980">
        <f t="shared" si="19"/>
        <v>4.2739726027397264E-2</v>
      </c>
      <c r="BL68" s="1699">
        <v>5409</v>
      </c>
      <c r="BM68" s="984">
        <v>421</v>
      </c>
      <c r="BN68" s="980">
        <f t="shared" si="20"/>
        <v>7.783324089480495E-2</v>
      </c>
    </row>
    <row r="69" spans="1:66" ht="12.75" customHeight="1" x14ac:dyDescent="0.3">
      <c r="A69" s="198" t="s">
        <v>163</v>
      </c>
      <c r="B69" s="200" t="s">
        <v>164</v>
      </c>
      <c r="C69" s="85" t="s">
        <v>253</v>
      </c>
      <c r="D69" s="1675">
        <v>5441</v>
      </c>
      <c r="E69" s="1676">
        <v>249</v>
      </c>
      <c r="F69" s="1677">
        <f t="shared" si="40"/>
        <v>4.5763646388531518E-2</v>
      </c>
      <c r="G69" s="1688">
        <v>5501</v>
      </c>
      <c r="H69" s="1689">
        <v>279</v>
      </c>
      <c r="I69" s="1664">
        <f t="shared" si="41"/>
        <v>5.0718051263406651E-2</v>
      </c>
      <c r="J69" s="1688">
        <v>5577</v>
      </c>
      <c r="K69" s="1689">
        <v>334</v>
      </c>
      <c r="L69" s="1695">
        <f t="shared" si="42"/>
        <v>5.988882911959835E-2</v>
      </c>
      <c r="M69" s="1688">
        <v>5630</v>
      </c>
      <c r="N69" s="1689">
        <v>316</v>
      </c>
      <c r="O69" s="1695">
        <f t="shared" si="43"/>
        <v>5.6127886323268206E-2</v>
      </c>
      <c r="P69" s="1688">
        <v>5927</v>
      </c>
      <c r="Q69" s="1689">
        <v>302</v>
      </c>
      <c r="R69" s="1695">
        <f t="shared" si="44"/>
        <v>5.0953264720769359E-2</v>
      </c>
      <c r="S69" s="1688">
        <v>6037</v>
      </c>
      <c r="T69" s="1689">
        <v>294</v>
      </c>
      <c r="U69" s="1695">
        <f t="shared" si="45"/>
        <v>4.8699685274142784E-2</v>
      </c>
      <c r="V69" s="1688">
        <v>5971</v>
      </c>
      <c r="W69" s="1689">
        <v>252</v>
      </c>
      <c r="X69" s="1695">
        <f t="shared" si="46"/>
        <v>4.2203985932004688E-2</v>
      </c>
      <c r="Y69" s="1688">
        <v>5947</v>
      </c>
      <c r="Z69" s="1689">
        <v>258</v>
      </c>
      <c r="AA69" s="1695">
        <f t="shared" si="47"/>
        <v>4.3383218429460232E-2</v>
      </c>
      <c r="AB69" s="1688">
        <v>5911</v>
      </c>
      <c r="AC69" s="1689">
        <v>337</v>
      </c>
      <c r="AD69" s="1695">
        <f t="shared" si="48"/>
        <v>5.7012349856200302E-2</v>
      </c>
      <c r="AE69" s="1688">
        <v>6114</v>
      </c>
      <c r="AF69" s="1689">
        <v>531</v>
      </c>
      <c r="AG69" s="1695">
        <f t="shared" si="49"/>
        <v>8.6849852796859667E-2</v>
      </c>
      <c r="AH69" s="1688">
        <v>6161</v>
      </c>
      <c r="AI69" s="1689">
        <v>547</v>
      </c>
      <c r="AJ69" s="1695">
        <f t="shared" si="50"/>
        <v>8.8784288264892069E-2</v>
      </c>
      <c r="AK69" s="1684">
        <v>6022</v>
      </c>
      <c r="AL69" s="1685">
        <v>540</v>
      </c>
      <c r="AM69" s="1695">
        <f t="shared" si="51"/>
        <v>8.9671205579541682E-2</v>
      </c>
      <c r="AN69" s="1705">
        <v>5882</v>
      </c>
      <c r="AO69" s="1706">
        <v>471</v>
      </c>
      <c r="AP69" s="1667">
        <f t="shared" si="52"/>
        <v>8.0074804488269299E-2</v>
      </c>
      <c r="AQ69" s="1705">
        <v>5689</v>
      </c>
      <c r="AR69" s="859">
        <v>411</v>
      </c>
      <c r="AS69" s="1667">
        <f t="shared" si="53"/>
        <v>7.2244682721040607E-2</v>
      </c>
      <c r="AT69" s="1711">
        <v>5657</v>
      </c>
      <c r="AU69" s="1712">
        <v>392</v>
      </c>
      <c r="AV69" s="1695">
        <f t="shared" si="54"/>
        <v>6.9294679158564604E-2</v>
      </c>
      <c r="AW69" s="1705">
        <v>5483</v>
      </c>
      <c r="AX69" s="1715">
        <v>329</v>
      </c>
      <c r="AY69" s="1695">
        <f t="shared" si="55"/>
        <v>6.0003647638154294E-2</v>
      </c>
      <c r="AZ69" s="1705">
        <v>5454</v>
      </c>
      <c r="BA69" s="1715">
        <v>293</v>
      </c>
      <c r="BB69" s="1695">
        <f t="shared" si="56"/>
        <v>5.3722038870553719E-2</v>
      </c>
      <c r="BC69" s="1699">
        <v>5587</v>
      </c>
      <c r="BD69" s="984">
        <v>289</v>
      </c>
      <c r="BE69" s="980">
        <f t="shared" si="57"/>
        <v>5.1727223912654378E-2</v>
      </c>
      <c r="BF69" s="1699">
        <v>5565</v>
      </c>
      <c r="BG69" s="984">
        <v>244</v>
      </c>
      <c r="BH69" s="980">
        <f t="shared" si="58"/>
        <v>4.384546271338724E-2</v>
      </c>
      <c r="BI69" s="1699">
        <v>5700</v>
      </c>
      <c r="BJ69" s="984">
        <v>236</v>
      </c>
      <c r="BK69" s="980">
        <f t="shared" ref="BK69:BK125" si="59">BJ69/BI69</f>
        <v>4.1403508771929824E-2</v>
      </c>
      <c r="BL69" s="1699">
        <v>5686</v>
      </c>
      <c r="BM69" s="984">
        <v>360</v>
      </c>
      <c r="BN69" s="980">
        <f t="shared" ref="BN69:BN125" si="60">BM69/BL69</f>
        <v>6.3313401336616254E-2</v>
      </c>
    </row>
    <row r="70" spans="1:66" ht="12.75" customHeight="1" x14ac:dyDescent="0.3">
      <c r="A70" s="198" t="s">
        <v>167</v>
      </c>
      <c r="B70" s="200" t="s">
        <v>168</v>
      </c>
      <c r="C70" s="85" t="s">
        <v>253</v>
      </c>
      <c r="D70" s="1675">
        <v>6172</v>
      </c>
      <c r="E70" s="1676">
        <v>181</v>
      </c>
      <c r="F70" s="1677">
        <f t="shared" ref="F70:F101" si="61">E70/D70</f>
        <v>2.932598833441348E-2</v>
      </c>
      <c r="G70" s="1688">
        <v>6265</v>
      </c>
      <c r="H70" s="1689">
        <v>250</v>
      </c>
      <c r="I70" s="1664">
        <f t="shared" ref="I70:I101" si="62">H70/G70</f>
        <v>3.9904229848363927E-2</v>
      </c>
      <c r="J70" s="1688">
        <v>6351</v>
      </c>
      <c r="K70" s="1689">
        <v>280</v>
      </c>
      <c r="L70" s="1695">
        <f t="shared" ref="L70:L101" si="63">K70/J70</f>
        <v>4.4087545268461661E-2</v>
      </c>
      <c r="M70" s="1688">
        <v>6416</v>
      </c>
      <c r="N70" s="1689">
        <v>285</v>
      </c>
      <c r="O70" s="1695">
        <f t="shared" ref="O70:O101" si="64">N70/M70</f>
        <v>4.4420199501246885E-2</v>
      </c>
      <c r="P70" s="1688">
        <v>6266</v>
      </c>
      <c r="Q70" s="1689">
        <v>283</v>
      </c>
      <c r="R70" s="1695">
        <f t="shared" ref="R70:R101" si="65">Q70/P70</f>
        <v>4.5164379189275454E-2</v>
      </c>
      <c r="S70" s="1688">
        <v>6345</v>
      </c>
      <c r="T70" s="1689">
        <v>292</v>
      </c>
      <c r="U70" s="1695">
        <f t="shared" ref="U70:U101" si="66">T70/S70</f>
        <v>4.602048857368006E-2</v>
      </c>
      <c r="V70" s="1688">
        <v>6427</v>
      </c>
      <c r="W70" s="1689">
        <v>267</v>
      </c>
      <c r="X70" s="1695">
        <f t="shared" ref="X70:X101" si="67">W70/V70</f>
        <v>4.1543488408277582E-2</v>
      </c>
      <c r="Y70" s="1688">
        <v>6577</v>
      </c>
      <c r="Z70" s="1689">
        <v>255</v>
      </c>
      <c r="AA70" s="1695">
        <f t="shared" ref="AA70:AA101" si="68">Z70/Y70</f>
        <v>3.877147635700167E-2</v>
      </c>
      <c r="AB70" s="1688">
        <v>6588</v>
      </c>
      <c r="AC70" s="1689">
        <v>360</v>
      </c>
      <c r="AD70" s="1695">
        <f t="shared" ref="AD70:AD101" si="69">AC70/AB70</f>
        <v>5.4644808743169397E-2</v>
      </c>
      <c r="AE70" s="1688">
        <v>6639</v>
      </c>
      <c r="AF70" s="1689">
        <v>532</v>
      </c>
      <c r="AG70" s="1695">
        <f t="shared" ref="AG70:AG101" si="70">AF70/AE70</f>
        <v>8.0132550082843798E-2</v>
      </c>
      <c r="AH70" s="1688">
        <v>6869</v>
      </c>
      <c r="AI70" s="1689">
        <v>534</v>
      </c>
      <c r="AJ70" s="1695">
        <f t="shared" ref="AJ70:AJ101" si="71">AI70/AH70</f>
        <v>7.7740573591498038E-2</v>
      </c>
      <c r="AK70" s="1684">
        <v>6882</v>
      </c>
      <c r="AL70" s="1685">
        <v>491</v>
      </c>
      <c r="AM70" s="1695">
        <f t="shared" ref="AM70:AM101" si="72">AL70/AK70</f>
        <v>7.1345539087474569E-2</v>
      </c>
      <c r="AN70" s="1705">
        <v>6869</v>
      </c>
      <c r="AO70" s="1706">
        <v>429</v>
      </c>
      <c r="AP70" s="1667">
        <f t="shared" ref="AP70:AP101" si="73">AO70/AN70</f>
        <v>6.2454505750473142E-2</v>
      </c>
      <c r="AQ70" s="1705">
        <v>7073</v>
      </c>
      <c r="AR70" s="859">
        <v>417</v>
      </c>
      <c r="AS70" s="1667">
        <f t="shared" ref="AS70:AS101" si="74">AR70/AQ70</f>
        <v>5.8956595504029409E-2</v>
      </c>
      <c r="AT70" s="1711">
        <v>7102</v>
      </c>
      <c r="AU70" s="1712">
        <v>372</v>
      </c>
      <c r="AV70" s="1695">
        <f t="shared" ref="AV70:AV101" si="75">AU70/AT70</f>
        <v>5.2379611377076883E-2</v>
      </c>
      <c r="AW70" s="1705">
        <v>7158</v>
      </c>
      <c r="AX70" s="1715">
        <v>320</v>
      </c>
      <c r="AY70" s="1695">
        <f t="shared" ref="AY70:AY101" si="76">AX70/AW70</f>
        <v>4.4705224923162895E-2</v>
      </c>
      <c r="AZ70" s="1705">
        <v>7044</v>
      </c>
      <c r="BA70" s="1715">
        <v>276</v>
      </c>
      <c r="BB70" s="1695">
        <f t="shared" ref="BB70:BB101" si="77">BA70/AZ70</f>
        <v>3.9182282793867124E-2</v>
      </c>
      <c r="BC70" s="1699">
        <v>7159</v>
      </c>
      <c r="BD70" s="984">
        <v>270</v>
      </c>
      <c r="BE70" s="980">
        <f t="shared" ref="BE70:BE101" si="78">BD70/BC70</f>
        <v>3.7714764631931831E-2</v>
      </c>
      <c r="BF70" s="1699">
        <v>7244</v>
      </c>
      <c r="BG70" s="984">
        <v>220</v>
      </c>
      <c r="BH70" s="980">
        <f t="shared" ref="BH70:BH101" si="79">BG70/BF70</f>
        <v>3.0369961347321922E-2</v>
      </c>
      <c r="BI70" s="1699">
        <v>7324</v>
      </c>
      <c r="BJ70" s="984">
        <v>194</v>
      </c>
      <c r="BK70" s="980">
        <f t="shared" si="59"/>
        <v>2.6488257782632443E-2</v>
      </c>
      <c r="BL70" s="1699">
        <v>7150</v>
      </c>
      <c r="BM70" s="984">
        <v>366</v>
      </c>
      <c r="BN70" s="980">
        <f t="shared" si="60"/>
        <v>5.118881118881119E-2</v>
      </c>
    </row>
    <row r="71" spans="1:66" ht="12.75" customHeight="1" x14ac:dyDescent="0.3">
      <c r="A71" s="198" t="s">
        <v>169</v>
      </c>
      <c r="B71" s="200" t="s">
        <v>170</v>
      </c>
      <c r="C71" s="85" t="s">
        <v>254</v>
      </c>
      <c r="D71" s="1675">
        <v>12737</v>
      </c>
      <c r="E71" s="1676">
        <v>263</v>
      </c>
      <c r="F71" s="1677">
        <f t="shared" si="61"/>
        <v>2.0648504357383999E-2</v>
      </c>
      <c r="G71" s="1688">
        <v>12932</v>
      </c>
      <c r="H71" s="1689">
        <v>349</v>
      </c>
      <c r="I71" s="1664">
        <f t="shared" si="62"/>
        <v>2.6987318280235074E-2</v>
      </c>
      <c r="J71" s="1688">
        <v>13287</v>
      </c>
      <c r="K71" s="1689">
        <v>599</v>
      </c>
      <c r="L71" s="1695">
        <f t="shared" si="63"/>
        <v>4.5081658764205612E-2</v>
      </c>
      <c r="M71" s="1688">
        <v>13726</v>
      </c>
      <c r="N71" s="1689">
        <v>550</v>
      </c>
      <c r="O71" s="1695">
        <f t="shared" si="64"/>
        <v>4.0069940259361794E-2</v>
      </c>
      <c r="P71" s="1688">
        <v>14093</v>
      </c>
      <c r="Q71" s="1689">
        <v>482</v>
      </c>
      <c r="R71" s="1695">
        <f t="shared" si="65"/>
        <v>3.4201376569928332E-2</v>
      </c>
      <c r="S71" s="1688">
        <v>14651</v>
      </c>
      <c r="T71" s="1689">
        <v>472</v>
      </c>
      <c r="U71" s="1695">
        <f t="shared" si="66"/>
        <v>3.2216230973994953E-2</v>
      </c>
      <c r="V71" s="1688">
        <v>15043</v>
      </c>
      <c r="W71" s="1689">
        <v>461</v>
      </c>
      <c r="X71" s="1695">
        <f t="shared" si="67"/>
        <v>3.0645482948879879E-2</v>
      </c>
      <c r="Y71" s="1688">
        <v>15396</v>
      </c>
      <c r="Z71" s="1689">
        <v>493</v>
      </c>
      <c r="AA71" s="1695">
        <f t="shared" si="68"/>
        <v>3.2021304234866196E-2</v>
      </c>
      <c r="AB71" s="1688">
        <v>15677</v>
      </c>
      <c r="AC71" s="1689">
        <v>717</v>
      </c>
      <c r="AD71" s="1695">
        <f t="shared" si="69"/>
        <v>4.5735791286598201E-2</v>
      </c>
      <c r="AE71" s="1688">
        <v>15836</v>
      </c>
      <c r="AF71" s="1689">
        <v>1222</v>
      </c>
      <c r="AG71" s="1695">
        <f t="shared" si="70"/>
        <v>7.7165950997726704E-2</v>
      </c>
      <c r="AH71" s="1688">
        <v>15478</v>
      </c>
      <c r="AI71" s="1689">
        <v>1307</v>
      </c>
      <c r="AJ71" s="1695">
        <f t="shared" si="71"/>
        <v>8.4442434423052076E-2</v>
      </c>
      <c r="AK71" s="1684">
        <v>15762</v>
      </c>
      <c r="AL71" s="1685">
        <v>1175</v>
      </c>
      <c r="AM71" s="1695">
        <f t="shared" si="72"/>
        <v>7.4546377363278765E-2</v>
      </c>
      <c r="AN71" s="1705">
        <v>15852</v>
      </c>
      <c r="AO71" s="1706">
        <v>1038</v>
      </c>
      <c r="AP71" s="1667">
        <f t="shared" si="73"/>
        <v>6.5480696442089328E-2</v>
      </c>
      <c r="AQ71" s="1705">
        <v>16118</v>
      </c>
      <c r="AR71" s="859">
        <v>931</v>
      </c>
      <c r="AS71" s="1667">
        <f t="shared" si="74"/>
        <v>5.7761508872068497E-2</v>
      </c>
      <c r="AT71" s="1711">
        <v>16237</v>
      </c>
      <c r="AU71" s="1712">
        <v>844</v>
      </c>
      <c r="AV71" s="1695">
        <f t="shared" si="75"/>
        <v>5.1980045574921474E-2</v>
      </c>
      <c r="AW71" s="1705">
        <v>16118</v>
      </c>
      <c r="AX71" s="1715">
        <v>730</v>
      </c>
      <c r="AY71" s="1695">
        <f t="shared" si="76"/>
        <v>4.5290979029656286E-2</v>
      </c>
      <c r="AZ71" s="1705">
        <v>16386</v>
      </c>
      <c r="BA71" s="1715">
        <v>656</v>
      </c>
      <c r="BB71" s="1695">
        <f t="shared" si="77"/>
        <v>4.0034175515684119E-2</v>
      </c>
      <c r="BC71" s="1699">
        <v>16939</v>
      </c>
      <c r="BD71" s="984">
        <v>633</v>
      </c>
      <c r="BE71" s="980">
        <f t="shared" si="78"/>
        <v>3.7369384261172443E-2</v>
      </c>
      <c r="BF71" s="1699">
        <v>17092</v>
      </c>
      <c r="BG71" s="984">
        <v>509</v>
      </c>
      <c r="BH71" s="980">
        <f t="shared" si="79"/>
        <v>2.9780014041656915E-2</v>
      </c>
      <c r="BI71" s="1699">
        <v>17476</v>
      </c>
      <c r="BJ71" s="984">
        <v>502</v>
      </c>
      <c r="BK71" s="980">
        <f t="shared" si="59"/>
        <v>2.8725108720531013E-2</v>
      </c>
      <c r="BL71" s="1699">
        <v>17061</v>
      </c>
      <c r="BM71" s="984">
        <v>959</v>
      </c>
      <c r="BN71" s="980">
        <f t="shared" si="60"/>
        <v>5.6210069749721585E-2</v>
      </c>
    </row>
    <row r="72" spans="1:66" ht="12.75" customHeight="1" x14ac:dyDescent="0.3">
      <c r="A72" s="198" t="s">
        <v>171</v>
      </c>
      <c r="B72" s="200" t="s">
        <v>172</v>
      </c>
      <c r="C72" s="85" t="s">
        <v>254</v>
      </c>
      <c r="D72" s="1678">
        <v>11786</v>
      </c>
      <c r="E72" s="1679">
        <v>312</v>
      </c>
      <c r="F72" s="1677">
        <f t="shared" si="61"/>
        <v>2.647208552519939E-2</v>
      </c>
      <c r="G72" s="1688">
        <v>12164</v>
      </c>
      <c r="H72" s="1689">
        <v>410</v>
      </c>
      <c r="I72" s="1664">
        <f t="shared" si="62"/>
        <v>3.3706017757316672E-2</v>
      </c>
      <c r="J72" s="1688">
        <v>12294</v>
      </c>
      <c r="K72" s="1689">
        <v>759</v>
      </c>
      <c r="L72" s="1695">
        <f t="shared" si="63"/>
        <v>6.1737432894094682E-2</v>
      </c>
      <c r="M72" s="1688">
        <v>11882</v>
      </c>
      <c r="N72" s="1689">
        <v>832</v>
      </c>
      <c r="O72" s="1695">
        <f t="shared" si="64"/>
        <v>7.0021881838074396E-2</v>
      </c>
      <c r="P72" s="1684">
        <v>11332</v>
      </c>
      <c r="Q72" s="1685">
        <v>636</v>
      </c>
      <c r="R72" s="1695">
        <f t="shared" si="65"/>
        <v>5.6124249911754326E-2</v>
      </c>
      <c r="S72" s="1684">
        <v>11433</v>
      </c>
      <c r="T72" s="1685">
        <v>590</v>
      </c>
      <c r="U72" s="1695">
        <f t="shared" si="66"/>
        <v>5.1605003061313742E-2</v>
      </c>
      <c r="V72" s="1684">
        <v>11178</v>
      </c>
      <c r="W72" s="1685">
        <v>527</v>
      </c>
      <c r="X72" s="1695">
        <f t="shared" si="67"/>
        <v>4.7146179996421539E-2</v>
      </c>
      <c r="Y72" s="1684">
        <v>11328</v>
      </c>
      <c r="Z72" s="1685">
        <v>573</v>
      </c>
      <c r="AA72" s="1695">
        <f t="shared" si="68"/>
        <v>5.0582627118644065E-2</v>
      </c>
      <c r="AB72" s="1684">
        <v>11779</v>
      </c>
      <c r="AC72" s="1685">
        <v>810</v>
      </c>
      <c r="AD72" s="1695">
        <f t="shared" si="69"/>
        <v>6.8766448764750826E-2</v>
      </c>
      <c r="AE72" s="1684">
        <v>12070</v>
      </c>
      <c r="AF72" s="1685">
        <v>1419</v>
      </c>
      <c r="AG72" s="1695">
        <f t="shared" si="70"/>
        <v>0.11756420878210438</v>
      </c>
      <c r="AH72" s="1688">
        <v>12360</v>
      </c>
      <c r="AI72" s="1689">
        <v>1466</v>
      </c>
      <c r="AJ72" s="1695">
        <f t="shared" si="71"/>
        <v>0.11860841423948221</v>
      </c>
      <c r="AK72" s="1684">
        <v>12466</v>
      </c>
      <c r="AL72" s="1685">
        <v>1375</v>
      </c>
      <c r="AM72" s="1695">
        <f t="shared" si="72"/>
        <v>0.11030001604363869</v>
      </c>
      <c r="AN72" s="1705">
        <v>12172</v>
      </c>
      <c r="AO72" s="1706">
        <v>1217</v>
      </c>
      <c r="AP72" s="1667">
        <f t="shared" si="73"/>
        <v>9.9983568846533033E-2</v>
      </c>
      <c r="AQ72" s="1705">
        <v>11934</v>
      </c>
      <c r="AR72" s="859">
        <v>1074</v>
      </c>
      <c r="AS72" s="1667">
        <f t="shared" si="74"/>
        <v>8.9994972347913524E-2</v>
      </c>
      <c r="AT72" s="1711">
        <v>11863</v>
      </c>
      <c r="AU72" s="1712">
        <v>938</v>
      </c>
      <c r="AV72" s="1695">
        <f t="shared" si="75"/>
        <v>7.9069375368793729E-2</v>
      </c>
      <c r="AW72" s="1705">
        <v>11684</v>
      </c>
      <c r="AX72" s="1715">
        <v>793</v>
      </c>
      <c r="AY72" s="1695">
        <f t="shared" si="76"/>
        <v>6.7870592262923662E-2</v>
      </c>
      <c r="AZ72" s="1705">
        <v>11606</v>
      </c>
      <c r="BA72" s="1715">
        <v>635</v>
      </c>
      <c r="BB72" s="1695">
        <f t="shared" si="77"/>
        <v>5.4713079441668103E-2</v>
      </c>
      <c r="BC72" s="1699">
        <v>11926</v>
      </c>
      <c r="BD72" s="984">
        <v>605</v>
      </c>
      <c r="BE72" s="980">
        <f t="shared" si="78"/>
        <v>5.0729498574543015E-2</v>
      </c>
      <c r="BF72" s="1699">
        <v>11944</v>
      </c>
      <c r="BG72" s="984">
        <v>492</v>
      </c>
      <c r="BH72" s="980">
        <f t="shared" si="79"/>
        <v>4.1192230408573345E-2</v>
      </c>
      <c r="BI72" s="1699">
        <v>12110</v>
      </c>
      <c r="BJ72" s="984">
        <v>449</v>
      </c>
      <c r="BK72" s="980">
        <f t="shared" si="59"/>
        <v>3.7076796036333612E-2</v>
      </c>
      <c r="BL72" s="1699">
        <v>12021</v>
      </c>
      <c r="BM72" s="984">
        <v>874</v>
      </c>
      <c r="BN72" s="980">
        <f t="shared" si="60"/>
        <v>7.2706097662424085E-2</v>
      </c>
    </row>
    <row r="73" spans="1:66" ht="12.75" customHeight="1" x14ac:dyDescent="0.3">
      <c r="A73" s="198" t="s">
        <v>173</v>
      </c>
      <c r="B73" s="200" t="s">
        <v>174</v>
      </c>
      <c r="C73" s="85" t="s">
        <v>255</v>
      </c>
      <c r="D73" s="1675">
        <v>9509</v>
      </c>
      <c r="E73" s="1676">
        <v>316</v>
      </c>
      <c r="F73" s="1677">
        <f t="shared" si="61"/>
        <v>3.3231675255021562E-2</v>
      </c>
      <c r="G73" s="1688">
        <v>9591</v>
      </c>
      <c r="H73" s="1689">
        <v>507</v>
      </c>
      <c r="I73" s="1664">
        <f t="shared" si="62"/>
        <v>5.2862058179543321E-2</v>
      </c>
      <c r="J73" s="1688">
        <v>9601</v>
      </c>
      <c r="K73" s="1689">
        <v>811</v>
      </c>
      <c r="L73" s="1695">
        <f t="shared" si="63"/>
        <v>8.4470367670034366E-2</v>
      </c>
      <c r="M73" s="1688">
        <v>9758</v>
      </c>
      <c r="N73" s="1689">
        <v>748</v>
      </c>
      <c r="O73" s="1695">
        <f t="shared" si="64"/>
        <v>7.6655052264808357E-2</v>
      </c>
      <c r="P73" s="1688">
        <v>9023</v>
      </c>
      <c r="Q73" s="1689">
        <v>705</v>
      </c>
      <c r="R73" s="1695">
        <f t="shared" si="65"/>
        <v>7.8133658428460595E-2</v>
      </c>
      <c r="S73" s="1688">
        <v>8779</v>
      </c>
      <c r="T73" s="1689">
        <v>584</v>
      </c>
      <c r="U73" s="1695">
        <f t="shared" si="66"/>
        <v>6.6522382959334769E-2</v>
      </c>
      <c r="V73" s="1688">
        <v>8808</v>
      </c>
      <c r="W73" s="1689">
        <v>411</v>
      </c>
      <c r="X73" s="1695">
        <f t="shared" si="67"/>
        <v>4.6662125340599457E-2</v>
      </c>
      <c r="Y73" s="1688">
        <v>9049</v>
      </c>
      <c r="Z73" s="1689">
        <v>367</v>
      </c>
      <c r="AA73" s="1695">
        <f t="shared" si="68"/>
        <v>4.055696762073157E-2</v>
      </c>
      <c r="AB73" s="1688">
        <v>9140</v>
      </c>
      <c r="AC73" s="1689">
        <v>591</v>
      </c>
      <c r="AD73" s="1695">
        <f t="shared" si="69"/>
        <v>6.4660831509846833E-2</v>
      </c>
      <c r="AE73" s="1688">
        <v>9249</v>
      </c>
      <c r="AF73" s="1689">
        <v>1028</v>
      </c>
      <c r="AG73" s="1695">
        <f t="shared" si="70"/>
        <v>0.11114715104335604</v>
      </c>
      <c r="AH73" s="1688">
        <v>8346</v>
      </c>
      <c r="AI73" s="1689">
        <v>1084</v>
      </c>
      <c r="AJ73" s="1695">
        <f t="shared" si="71"/>
        <v>0.12988257848070933</v>
      </c>
      <c r="AK73" s="1684">
        <v>8036</v>
      </c>
      <c r="AL73" s="1685">
        <v>867</v>
      </c>
      <c r="AM73" s="1695">
        <f t="shared" si="72"/>
        <v>0.10788949726231956</v>
      </c>
      <c r="AN73" s="1705">
        <v>7968</v>
      </c>
      <c r="AO73" s="1706">
        <v>713</v>
      </c>
      <c r="AP73" s="1667">
        <f t="shared" si="73"/>
        <v>8.9482931726907633E-2</v>
      </c>
      <c r="AQ73" s="1705">
        <v>7798</v>
      </c>
      <c r="AR73" s="859">
        <v>632</v>
      </c>
      <c r="AS73" s="1667">
        <f t="shared" si="74"/>
        <v>8.1046422159528078E-2</v>
      </c>
      <c r="AT73" s="1711">
        <v>7747</v>
      </c>
      <c r="AU73" s="1712">
        <v>508</v>
      </c>
      <c r="AV73" s="1695">
        <f t="shared" si="75"/>
        <v>6.5573770491803282E-2</v>
      </c>
      <c r="AW73" s="1705">
        <v>7667</v>
      </c>
      <c r="AX73" s="1715">
        <v>409</v>
      </c>
      <c r="AY73" s="1695">
        <f t="shared" si="76"/>
        <v>5.3345506717099256E-2</v>
      </c>
      <c r="AZ73" s="1705">
        <v>7962</v>
      </c>
      <c r="BA73" s="1715">
        <v>380</v>
      </c>
      <c r="BB73" s="1695">
        <f t="shared" si="77"/>
        <v>4.7726701833710125E-2</v>
      </c>
      <c r="BC73" s="1699">
        <v>7728</v>
      </c>
      <c r="BD73" s="984">
        <v>325</v>
      </c>
      <c r="BE73" s="980">
        <f t="shared" si="78"/>
        <v>4.205486542443064E-2</v>
      </c>
      <c r="BF73" s="1699">
        <v>7468</v>
      </c>
      <c r="BG73" s="984">
        <v>285</v>
      </c>
      <c r="BH73" s="980">
        <f t="shared" si="79"/>
        <v>3.8162828066416708E-2</v>
      </c>
      <c r="BI73" s="1699">
        <v>7415</v>
      </c>
      <c r="BJ73" s="984">
        <v>246</v>
      </c>
      <c r="BK73" s="980">
        <f t="shared" si="59"/>
        <v>3.3175994605529335E-2</v>
      </c>
      <c r="BL73" s="1699">
        <v>7235</v>
      </c>
      <c r="BM73" s="984">
        <v>496</v>
      </c>
      <c r="BN73" s="980">
        <f t="shared" si="60"/>
        <v>6.8555632342778158E-2</v>
      </c>
    </row>
    <row r="74" spans="1:66" ht="12.75" customHeight="1" x14ac:dyDescent="0.3">
      <c r="A74" s="198" t="s">
        <v>177</v>
      </c>
      <c r="B74" s="200" t="s">
        <v>178</v>
      </c>
      <c r="C74" s="85" t="s">
        <v>252</v>
      </c>
      <c r="D74" s="1675">
        <v>31960</v>
      </c>
      <c r="E74" s="1676">
        <v>1065</v>
      </c>
      <c r="F74" s="1677">
        <f t="shared" si="61"/>
        <v>3.3322903629536924E-2</v>
      </c>
      <c r="G74" s="1688">
        <v>32501</v>
      </c>
      <c r="H74" s="1689">
        <v>1909</v>
      </c>
      <c r="I74" s="1664">
        <f t="shared" si="62"/>
        <v>5.8736654256792101E-2</v>
      </c>
      <c r="J74" s="1688">
        <v>32838</v>
      </c>
      <c r="K74" s="1689">
        <v>2314</v>
      </c>
      <c r="L74" s="1695">
        <f t="shared" si="63"/>
        <v>7.0467141726049093E-2</v>
      </c>
      <c r="M74" s="1688">
        <v>32612</v>
      </c>
      <c r="N74" s="1689">
        <v>2134</v>
      </c>
      <c r="O74" s="1695">
        <f t="shared" si="64"/>
        <v>6.5436035815037416E-2</v>
      </c>
      <c r="P74" s="1688">
        <v>31626</v>
      </c>
      <c r="Q74" s="1689">
        <v>2011</v>
      </c>
      <c r="R74" s="1695">
        <f t="shared" si="65"/>
        <v>6.3586922152659209E-2</v>
      </c>
      <c r="S74" s="1688">
        <v>31788</v>
      </c>
      <c r="T74" s="1689">
        <v>2035</v>
      </c>
      <c r="U74" s="1695">
        <f t="shared" si="66"/>
        <v>6.4017868378004272E-2</v>
      </c>
      <c r="V74" s="1688">
        <v>31044</v>
      </c>
      <c r="W74" s="1689">
        <v>1709</v>
      </c>
      <c r="X74" s="1695">
        <f t="shared" si="67"/>
        <v>5.505089550315681E-2</v>
      </c>
      <c r="Y74" s="1688">
        <v>30955</v>
      </c>
      <c r="Z74" s="1689">
        <v>1770</v>
      </c>
      <c r="AA74" s="1695">
        <f t="shared" si="68"/>
        <v>5.7179777095784201E-2</v>
      </c>
      <c r="AB74" s="1688">
        <v>31711</v>
      </c>
      <c r="AC74" s="1689">
        <v>2106</v>
      </c>
      <c r="AD74" s="1695">
        <f t="shared" si="69"/>
        <v>6.6412285957554162E-2</v>
      </c>
      <c r="AE74" s="1688">
        <v>31800</v>
      </c>
      <c r="AF74" s="1689">
        <v>3368</v>
      </c>
      <c r="AG74" s="1695">
        <f t="shared" si="70"/>
        <v>0.10591194968553459</v>
      </c>
      <c r="AH74" s="1688">
        <v>30963</v>
      </c>
      <c r="AI74" s="1689">
        <v>3434</v>
      </c>
      <c r="AJ74" s="1695">
        <f t="shared" si="71"/>
        <v>0.11090656590123696</v>
      </c>
      <c r="AK74" s="1684">
        <v>31113</v>
      </c>
      <c r="AL74" s="1685">
        <v>2823</v>
      </c>
      <c r="AM74" s="1695">
        <f t="shared" si="72"/>
        <v>9.073377687783242E-2</v>
      </c>
      <c r="AN74" s="1705">
        <v>30684</v>
      </c>
      <c r="AO74" s="1706">
        <v>2340</v>
      </c>
      <c r="AP74" s="1667">
        <f t="shared" si="73"/>
        <v>7.6261243644896365E-2</v>
      </c>
      <c r="AQ74" s="1705">
        <v>30437</v>
      </c>
      <c r="AR74" s="859">
        <v>2090</v>
      </c>
      <c r="AS74" s="1667">
        <f t="shared" si="74"/>
        <v>6.8666425731839537E-2</v>
      </c>
      <c r="AT74" s="1711">
        <v>30353</v>
      </c>
      <c r="AU74" s="1712">
        <v>1892</v>
      </c>
      <c r="AV74" s="1695">
        <f t="shared" si="75"/>
        <v>6.2333212532533849E-2</v>
      </c>
      <c r="AW74" s="1705">
        <v>30185</v>
      </c>
      <c r="AX74" s="1715">
        <v>1579</v>
      </c>
      <c r="AY74" s="1695">
        <f t="shared" si="76"/>
        <v>5.2310750372701671E-2</v>
      </c>
      <c r="AZ74" s="1705">
        <v>29732</v>
      </c>
      <c r="BA74" s="1715">
        <v>1389</v>
      </c>
      <c r="BB74" s="1695">
        <f t="shared" si="77"/>
        <v>4.6717341584824434E-2</v>
      </c>
      <c r="BC74" s="1699">
        <v>30809</v>
      </c>
      <c r="BD74" s="984">
        <v>1310</v>
      </c>
      <c r="BE74" s="980">
        <f t="shared" si="78"/>
        <v>4.2520042844623324E-2</v>
      </c>
      <c r="BF74" s="1699">
        <v>30626</v>
      </c>
      <c r="BG74" s="984">
        <v>1072</v>
      </c>
      <c r="BH74" s="980">
        <f t="shared" si="79"/>
        <v>3.5002938679553321E-2</v>
      </c>
      <c r="BI74" s="1699">
        <v>30249</v>
      </c>
      <c r="BJ74" s="984">
        <v>972</v>
      </c>
      <c r="BK74" s="980">
        <f t="shared" si="59"/>
        <v>3.2133293662600419E-2</v>
      </c>
      <c r="BL74" s="1699">
        <v>29943</v>
      </c>
      <c r="BM74" s="984">
        <v>1933</v>
      </c>
      <c r="BN74" s="980">
        <f t="shared" si="60"/>
        <v>6.4555989713789536E-2</v>
      </c>
    </row>
    <row r="75" spans="1:66" ht="12.75" customHeight="1" x14ac:dyDescent="0.3">
      <c r="A75" s="198" t="s">
        <v>181</v>
      </c>
      <c r="B75" s="200" t="s">
        <v>182</v>
      </c>
      <c r="C75" s="85" t="s">
        <v>253</v>
      </c>
      <c r="D75" s="1675">
        <v>11250</v>
      </c>
      <c r="E75" s="1676">
        <v>205</v>
      </c>
      <c r="F75" s="1677">
        <f t="shared" si="61"/>
        <v>1.8222222222222223E-2</v>
      </c>
      <c r="G75" s="1688">
        <v>11561</v>
      </c>
      <c r="H75" s="1689">
        <v>292</v>
      </c>
      <c r="I75" s="1664">
        <f t="shared" si="62"/>
        <v>2.5257330680736961E-2</v>
      </c>
      <c r="J75" s="1688">
        <v>12114</v>
      </c>
      <c r="K75" s="1689">
        <v>382</v>
      </c>
      <c r="L75" s="1695">
        <f t="shared" si="63"/>
        <v>3.1533762588740299E-2</v>
      </c>
      <c r="M75" s="1688">
        <v>12468</v>
      </c>
      <c r="N75" s="1689">
        <v>395</v>
      </c>
      <c r="O75" s="1695">
        <f t="shared" si="64"/>
        <v>3.1681103625280718E-2</v>
      </c>
      <c r="P75" s="1688">
        <v>12938</v>
      </c>
      <c r="Q75" s="1689">
        <v>384</v>
      </c>
      <c r="R75" s="1695">
        <f t="shared" si="65"/>
        <v>2.968001236667182E-2</v>
      </c>
      <c r="S75" s="1688">
        <v>13506</v>
      </c>
      <c r="T75" s="1689">
        <v>388</v>
      </c>
      <c r="U75" s="1695">
        <f t="shared" si="66"/>
        <v>2.8727972752850585E-2</v>
      </c>
      <c r="V75" s="1688">
        <v>14216</v>
      </c>
      <c r="W75" s="1689">
        <v>371</v>
      </c>
      <c r="X75" s="1695">
        <f t="shared" si="67"/>
        <v>2.6097355092853124E-2</v>
      </c>
      <c r="Y75" s="1688">
        <v>14287</v>
      </c>
      <c r="Z75" s="1689">
        <v>337</v>
      </c>
      <c r="AA75" s="1695">
        <f t="shared" si="68"/>
        <v>2.3587877091061804E-2</v>
      </c>
      <c r="AB75" s="1688">
        <v>14573</v>
      </c>
      <c r="AC75" s="1689">
        <v>489</v>
      </c>
      <c r="AD75" s="1695">
        <f t="shared" si="69"/>
        <v>3.3555204830851573E-2</v>
      </c>
      <c r="AE75" s="1688">
        <v>14164</v>
      </c>
      <c r="AF75" s="1689">
        <v>891</v>
      </c>
      <c r="AG75" s="1695">
        <f t="shared" si="70"/>
        <v>6.29059587687094E-2</v>
      </c>
      <c r="AH75" s="1688">
        <v>13529</v>
      </c>
      <c r="AI75" s="1689">
        <v>979</v>
      </c>
      <c r="AJ75" s="1695">
        <f t="shared" si="71"/>
        <v>7.2363071919580163E-2</v>
      </c>
      <c r="AK75" s="1684">
        <v>13533</v>
      </c>
      <c r="AL75" s="1685">
        <v>842</v>
      </c>
      <c r="AM75" s="1695">
        <f t="shared" si="72"/>
        <v>6.2218281238454153E-2</v>
      </c>
      <c r="AN75" s="1705">
        <v>13540</v>
      </c>
      <c r="AO75" s="1706">
        <v>749</v>
      </c>
      <c r="AP75" s="1667">
        <f t="shared" si="73"/>
        <v>5.5317577548005911E-2</v>
      </c>
      <c r="AQ75" s="1705">
        <v>13567</v>
      </c>
      <c r="AR75" s="859">
        <v>673</v>
      </c>
      <c r="AS75" s="1667">
        <f t="shared" si="74"/>
        <v>4.9605660794575075E-2</v>
      </c>
      <c r="AT75" s="1711">
        <v>13711</v>
      </c>
      <c r="AU75" s="1712">
        <v>610</v>
      </c>
      <c r="AV75" s="1695">
        <f t="shared" si="75"/>
        <v>4.4489825687404276E-2</v>
      </c>
      <c r="AW75" s="1705">
        <v>13442</v>
      </c>
      <c r="AX75" s="1715">
        <v>527</v>
      </c>
      <c r="AY75" s="1695">
        <f t="shared" si="76"/>
        <v>3.9205475375688144E-2</v>
      </c>
      <c r="AZ75" s="1705">
        <v>13656</v>
      </c>
      <c r="BA75" s="1715">
        <v>476</v>
      </c>
      <c r="BB75" s="1695">
        <f t="shared" si="77"/>
        <v>3.4856473345049793E-2</v>
      </c>
      <c r="BC75" s="1699">
        <v>13802</v>
      </c>
      <c r="BD75" s="984">
        <v>454</v>
      </c>
      <c r="BE75" s="980">
        <f t="shared" si="78"/>
        <v>3.2893783509636287E-2</v>
      </c>
      <c r="BF75" s="1699">
        <v>14091</v>
      </c>
      <c r="BG75" s="984">
        <v>372</v>
      </c>
      <c r="BH75" s="980">
        <f t="shared" si="79"/>
        <v>2.6399829678518203E-2</v>
      </c>
      <c r="BI75" s="1699">
        <v>14425</v>
      </c>
      <c r="BJ75" s="984">
        <v>350</v>
      </c>
      <c r="BK75" s="980">
        <f t="shared" si="59"/>
        <v>2.4263431542461005E-2</v>
      </c>
      <c r="BL75" s="1699">
        <v>13976</v>
      </c>
      <c r="BM75" s="984">
        <v>677</v>
      </c>
      <c r="BN75" s="980">
        <f t="shared" si="60"/>
        <v>4.8440183171150543E-2</v>
      </c>
    </row>
    <row r="76" spans="1:66" ht="12.75" customHeight="1" x14ac:dyDescent="0.3">
      <c r="A76" s="198" t="s">
        <v>183</v>
      </c>
      <c r="B76" s="200" t="s">
        <v>184</v>
      </c>
      <c r="C76" s="85" t="s">
        <v>253</v>
      </c>
      <c r="D76" s="1675">
        <v>8133</v>
      </c>
      <c r="E76" s="1676">
        <v>274</v>
      </c>
      <c r="F76" s="1677">
        <f t="shared" si="61"/>
        <v>3.3689905323988689E-2</v>
      </c>
      <c r="G76" s="1688">
        <v>8232</v>
      </c>
      <c r="H76" s="1689">
        <v>347</v>
      </c>
      <c r="I76" s="1664">
        <f t="shared" si="62"/>
        <v>4.2152575315840622E-2</v>
      </c>
      <c r="J76" s="1688">
        <v>8266</v>
      </c>
      <c r="K76" s="1689">
        <v>487</v>
      </c>
      <c r="L76" s="1695">
        <f t="shared" si="63"/>
        <v>5.8916041616259379E-2</v>
      </c>
      <c r="M76" s="1688">
        <v>8456</v>
      </c>
      <c r="N76" s="1689">
        <v>483</v>
      </c>
      <c r="O76" s="1695">
        <f t="shared" si="64"/>
        <v>5.7119205298013245E-2</v>
      </c>
      <c r="P76" s="1688">
        <v>8290</v>
      </c>
      <c r="Q76" s="1689">
        <v>475</v>
      </c>
      <c r="R76" s="1695">
        <f t="shared" si="65"/>
        <v>5.7297949336550059E-2</v>
      </c>
      <c r="S76" s="1688">
        <v>8532</v>
      </c>
      <c r="T76" s="1689">
        <v>491</v>
      </c>
      <c r="U76" s="1695">
        <f t="shared" si="66"/>
        <v>5.7548054383497423E-2</v>
      </c>
      <c r="V76" s="1688">
        <v>8892</v>
      </c>
      <c r="W76" s="1689">
        <v>430</v>
      </c>
      <c r="X76" s="1695">
        <f t="shared" si="67"/>
        <v>4.8358074673864146E-2</v>
      </c>
      <c r="Y76" s="1688">
        <v>9053</v>
      </c>
      <c r="Z76" s="1689">
        <v>416</v>
      </c>
      <c r="AA76" s="1695">
        <f t="shared" si="68"/>
        <v>4.5951618248094551E-2</v>
      </c>
      <c r="AB76" s="1688">
        <v>9646</v>
      </c>
      <c r="AC76" s="1689">
        <v>531</v>
      </c>
      <c r="AD76" s="1695">
        <f t="shared" si="69"/>
        <v>5.5048724860045611E-2</v>
      </c>
      <c r="AE76" s="1688">
        <v>9992</v>
      </c>
      <c r="AF76" s="1689">
        <v>888</v>
      </c>
      <c r="AG76" s="1695">
        <f t="shared" si="70"/>
        <v>8.8871096877501998E-2</v>
      </c>
      <c r="AH76" s="1688">
        <v>10298</v>
      </c>
      <c r="AI76" s="1689">
        <v>1018</v>
      </c>
      <c r="AJ76" s="1695">
        <f t="shared" si="71"/>
        <v>9.8854146436201204E-2</v>
      </c>
      <c r="AK76" s="1684">
        <v>10368</v>
      </c>
      <c r="AL76" s="1685">
        <v>931</v>
      </c>
      <c r="AM76" s="1695">
        <f t="shared" si="72"/>
        <v>8.9795524691358028E-2</v>
      </c>
      <c r="AN76" s="1705">
        <v>10263</v>
      </c>
      <c r="AO76" s="1706">
        <v>855</v>
      </c>
      <c r="AP76" s="1667">
        <f t="shared" si="73"/>
        <v>8.3308973984215148E-2</v>
      </c>
      <c r="AQ76" s="1705">
        <v>9985</v>
      </c>
      <c r="AR76" s="859">
        <v>819</v>
      </c>
      <c r="AS76" s="1667">
        <f t="shared" si="74"/>
        <v>8.2023034551827745E-2</v>
      </c>
      <c r="AT76" s="1711">
        <v>10055</v>
      </c>
      <c r="AU76" s="1712">
        <v>755</v>
      </c>
      <c r="AV76" s="1695">
        <f t="shared" si="75"/>
        <v>7.5087021382396812E-2</v>
      </c>
      <c r="AW76" s="1705">
        <v>10096</v>
      </c>
      <c r="AX76" s="1715">
        <v>623</v>
      </c>
      <c r="AY76" s="1695">
        <f t="shared" si="76"/>
        <v>6.1707606973058639E-2</v>
      </c>
      <c r="AZ76" s="1705">
        <v>10166</v>
      </c>
      <c r="BA76" s="1715">
        <v>534</v>
      </c>
      <c r="BB76" s="1695">
        <f t="shared" si="77"/>
        <v>5.2528034625221327E-2</v>
      </c>
      <c r="BC76" s="1699">
        <v>10290</v>
      </c>
      <c r="BD76" s="984">
        <v>493</v>
      </c>
      <c r="BE76" s="980">
        <f t="shared" si="78"/>
        <v>4.7910592808551991E-2</v>
      </c>
      <c r="BF76" s="1699">
        <v>10448</v>
      </c>
      <c r="BG76" s="984">
        <v>396</v>
      </c>
      <c r="BH76" s="980">
        <f t="shared" si="79"/>
        <v>3.7901990811638593E-2</v>
      </c>
      <c r="BI76" s="1699">
        <v>10489</v>
      </c>
      <c r="BJ76" s="984">
        <v>378</v>
      </c>
      <c r="BK76" s="980">
        <f t="shared" si="59"/>
        <v>3.6037753837353415E-2</v>
      </c>
      <c r="BL76" s="1699">
        <v>10067</v>
      </c>
      <c r="BM76" s="984">
        <v>652</v>
      </c>
      <c r="BN76" s="980">
        <f t="shared" si="60"/>
        <v>6.4766067348763293E-2</v>
      </c>
    </row>
    <row r="77" spans="1:66" ht="12.75" customHeight="1" x14ac:dyDescent="0.3">
      <c r="A77" s="198" t="s">
        <v>185</v>
      </c>
      <c r="B77" s="200" t="s">
        <v>186</v>
      </c>
      <c r="C77" s="85" t="s">
        <v>251</v>
      </c>
      <c r="D77" s="1675">
        <v>13224</v>
      </c>
      <c r="E77" s="1676">
        <v>340</v>
      </c>
      <c r="F77" s="1677">
        <f t="shared" si="61"/>
        <v>2.5710828796128252E-2</v>
      </c>
      <c r="G77" s="1688">
        <v>13593</v>
      </c>
      <c r="H77" s="1689">
        <v>476</v>
      </c>
      <c r="I77" s="1664">
        <f t="shared" si="62"/>
        <v>3.5018023982932391E-2</v>
      </c>
      <c r="J77" s="1688">
        <v>14114</v>
      </c>
      <c r="K77" s="1689">
        <v>546</v>
      </c>
      <c r="L77" s="1695">
        <f t="shared" si="63"/>
        <v>3.8684993623352697E-2</v>
      </c>
      <c r="M77" s="1688">
        <v>14546</v>
      </c>
      <c r="N77" s="1689">
        <v>607</v>
      </c>
      <c r="O77" s="1695">
        <f t="shared" si="64"/>
        <v>4.1729685136807367E-2</v>
      </c>
      <c r="P77" s="1688">
        <v>14704</v>
      </c>
      <c r="Q77" s="1689">
        <v>547</v>
      </c>
      <c r="R77" s="1695">
        <f t="shared" si="65"/>
        <v>3.7200761697497281E-2</v>
      </c>
      <c r="S77" s="1688">
        <v>15026</v>
      </c>
      <c r="T77" s="1689">
        <v>584</v>
      </c>
      <c r="U77" s="1695">
        <f t="shared" si="66"/>
        <v>3.8865965659523494E-2</v>
      </c>
      <c r="V77" s="1688">
        <v>14854</v>
      </c>
      <c r="W77" s="1689">
        <v>505</v>
      </c>
      <c r="X77" s="1695">
        <f t="shared" si="67"/>
        <v>3.3997576410394505E-2</v>
      </c>
      <c r="Y77" s="1688">
        <v>14693</v>
      </c>
      <c r="Z77" s="1689">
        <v>474</v>
      </c>
      <c r="AA77" s="1695">
        <f t="shared" si="68"/>
        <v>3.2260259987749271E-2</v>
      </c>
      <c r="AB77" s="1688">
        <v>14985</v>
      </c>
      <c r="AC77" s="1689">
        <v>639</v>
      </c>
      <c r="AD77" s="1695">
        <f t="shared" si="69"/>
        <v>4.2642642642642642E-2</v>
      </c>
      <c r="AE77" s="1688">
        <v>15052</v>
      </c>
      <c r="AF77" s="1689">
        <v>1043</v>
      </c>
      <c r="AG77" s="1695">
        <f t="shared" si="70"/>
        <v>6.929311719372841E-2</v>
      </c>
      <c r="AH77" s="1688">
        <v>13985</v>
      </c>
      <c r="AI77" s="1689">
        <v>1153</v>
      </c>
      <c r="AJ77" s="1695">
        <f t="shared" si="71"/>
        <v>8.2445477297104039E-2</v>
      </c>
      <c r="AK77" s="1684">
        <v>14507</v>
      </c>
      <c r="AL77" s="1685">
        <v>1129</v>
      </c>
      <c r="AM77" s="1695">
        <f t="shared" si="72"/>
        <v>7.782449851795685E-2</v>
      </c>
      <c r="AN77" s="1705">
        <v>14638</v>
      </c>
      <c r="AO77" s="1706">
        <v>1064</v>
      </c>
      <c r="AP77" s="1667">
        <f t="shared" si="73"/>
        <v>7.2687525618253854E-2</v>
      </c>
      <c r="AQ77" s="1705">
        <v>14740</v>
      </c>
      <c r="AR77" s="859">
        <v>1007</v>
      </c>
      <c r="AS77" s="1667">
        <f t="shared" si="74"/>
        <v>6.831750339213026E-2</v>
      </c>
      <c r="AT77" s="1711">
        <v>14812</v>
      </c>
      <c r="AU77" s="1712">
        <v>918</v>
      </c>
      <c r="AV77" s="1695">
        <f t="shared" si="75"/>
        <v>6.1976775587361602E-2</v>
      </c>
      <c r="AW77" s="1705">
        <v>14928</v>
      </c>
      <c r="AX77" s="1715">
        <v>795</v>
      </c>
      <c r="AY77" s="1695">
        <f t="shared" si="76"/>
        <v>5.3255627009646304E-2</v>
      </c>
      <c r="AZ77" s="1705">
        <v>14949</v>
      </c>
      <c r="BA77" s="1715">
        <v>715</v>
      </c>
      <c r="BB77" s="1695">
        <f t="shared" si="77"/>
        <v>4.7829286239882265E-2</v>
      </c>
      <c r="BC77" s="1699">
        <v>14995</v>
      </c>
      <c r="BD77" s="984">
        <v>662</v>
      </c>
      <c r="BE77" s="980">
        <f t="shared" si="78"/>
        <v>4.414804934978326E-2</v>
      </c>
      <c r="BF77" s="1699">
        <v>15053</v>
      </c>
      <c r="BG77" s="984">
        <v>539</v>
      </c>
      <c r="BH77" s="980">
        <f t="shared" si="79"/>
        <v>3.5806815917092935E-2</v>
      </c>
      <c r="BI77" s="1699">
        <v>15248</v>
      </c>
      <c r="BJ77" s="984">
        <v>490</v>
      </c>
      <c r="BK77" s="980">
        <f t="shared" si="59"/>
        <v>3.2135362014690451E-2</v>
      </c>
      <c r="BL77" s="1699">
        <v>14897</v>
      </c>
      <c r="BM77" s="984">
        <v>969</v>
      </c>
      <c r="BN77" s="980">
        <f t="shared" si="60"/>
        <v>6.5046653688662151E-2</v>
      </c>
    </row>
    <row r="78" spans="1:66" ht="12.75" customHeight="1" x14ac:dyDescent="0.3">
      <c r="A78" s="198" t="s">
        <v>187</v>
      </c>
      <c r="B78" s="200" t="s">
        <v>188</v>
      </c>
      <c r="C78" s="85" t="s">
        <v>254</v>
      </c>
      <c r="D78" s="1675">
        <v>153614</v>
      </c>
      <c r="E78" s="1676">
        <v>2733</v>
      </c>
      <c r="F78" s="1677">
        <f t="shared" si="61"/>
        <v>1.7791347142838542E-2</v>
      </c>
      <c r="G78" s="1688">
        <v>160696</v>
      </c>
      <c r="H78" s="1689">
        <v>3966</v>
      </c>
      <c r="I78" s="1664">
        <f t="shared" si="62"/>
        <v>2.4680141384975356E-2</v>
      </c>
      <c r="J78" s="1688">
        <v>166146</v>
      </c>
      <c r="K78" s="1689">
        <v>5689</v>
      </c>
      <c r="L78" s="1695">
        <f t="shared" si="63"/>
        <v>3.4240968786488989E-2</v>
      </c>
      <c r="M78" s="1688">
        <v>170707</v>
      </c>
      <c r="N78" s="1689">
        <v>5805</v>
      </c>
      <c r="O78" s="1695">
        <f t="shared" si="64"/>
        <v>3.4005635386949569E-2</v>
      </c>
      <c r="P78" s="1688">
        <v>179226</v>
      </c>
      <c r="Q78" s="1689">
        <v>5319</v>
      </c>
      <c r="R78" s="1695">
        <f t="shared" si="65"/>
        <v>2.9677613739078037E-2</v>
      </c>
      <c r="S78" s="1688">
        <v>189649</v>
      </c>
      <c r="T78" s="1689">
        <v>5204</v>
      </c>
      <c r="U78" s="1695">
        <f t="shared" si="66"/>
        <v>2.7440165779940837E-2</v>
      </c>
      <c r="V78" s="1688">
        <v>197085</v>
      </c>
      <c r="W78" s="1689">
        <v>4784</v>
      </c>
      <c r="X78" s="1695">
        <f t="shared" si="67"/>
        <v>2.4273790496486286E-2</v>
      </c>
      <c r="Y78" s="1688">
        <v>200311</v>
      </c>
      <c r="Z78" s="1689">
        <v>4943</v>
      </c>
      <c r="AA78" s="1695">
        <f t="shared" si="68"/>
        <v>2.4676627843703041E-2</v>
      </c>
      <c r="AB78" s="1688">
        <v>206086</v>
      </c>
      <c r="AC78" s="1689">
        <v>6786</v>
      </c>
      <c r="AD78" s="1695">
        <f t="shared" si="69"/>
        <v>3.2928000931649895E-2</v>
      </c>
      <c r="AE78" s="1688">
        <v>208417</v>
      </c>
      <c r="AF78" s="1689">
        <v>11357</v>
      </c>
      <c r="AG78" s="1695">
        <f t="shared" si="70"/>
        <v>5.4491716126803473E-2</v>
      </c>
      <c r="AH78" s="1688">
        <v>218644</v>
      </c>
      <c r="AI78" s="1689">
        <v>13649</v>
      </c>
      <c r="AJ78" s="1695">
        <f t="shared" si="71"/>
        <v>6.2425678271528146E-2</v>
      </c>
      <c r="AK78" s="1684">
        <v>224848</v>
      </c>
      <c r="AL78" s="1685">
        <v>12690</v>
      </c>
      <c r="AM78" s="1695">
        <f t="shared" si="72"/>
        <v>5.6438127090301E-2</v>
      </c>
      <c r="AN78" s="1705">
        <v>228525</v>
      </c>
      <c r="AO78" s="1706">
        <v>11823</v>
      </c>
      <c r="AP78" s="1667">
        <f t="shared" si="73"/>
        <v>5.1736133902198882E-2</v>
      </c>
      <c r="AQ78" s="1705">
        <v>231198</v>
      </c>
      <c r="AR78" s="859">
        <v>11763</v>
      </c>
      <c r="AS78" s="1667">
        <f t="shared" si="74"/>
        <v>5.0878467806814938E-2</v>
      </c>
      <c r="AT78" s="1711">
        <v>232639</v>
      </c>
      <c r="AU78" s="1712">
        <v>11171</v>
      </c>
      <c r="AV78" s="1695">
        <f t="shared" si="75"/>
        <v>4.8018603931413051E-2</v>
      </c>
      <c r="AW78" s="1705">
        <v>232296</v>
      </c>
      <c r="AX78" s="1715">
        <v>9465</v>
      </c>
      <c r="AY78" s="1695">
        <f t="shared" si="76"/>
        <v>4.07454282467197E-2</v>
      </c>
      <c r="AZ78" s="1705">
        <v>235285</v>
      </c>
      <c r="BA78" s="1715">
        <v>8437</v>
      </c>
      <c r="BB78" s="1695">
        <f t="shared" si="77"/>
        <v>3.5858639522281487E-2</v>
      </c>
      <c r="BC78" s="1699">
        <v>240516</v>
      </c>
      <c r="BD78" s="984">
        <v>8112</v>
      </c>
      <c r="BE78" s="980">
        <f t="shared" si="78"/>
        <v>3.3727485905303597E-2</v>
      </c>
      <c r="BF78" s="1699">
        <v>243624</v>
      </c>
      <c r="BG78" s="984">
        <v>6605</v>
      </c>
      <c r="BH78" s="980">
        <f t="shared" si="79"/>
        <v>2.7111450431812959E-2</v>
      </c>
      <c r="BI78" s="1699">
        <v>248954</v>
      </c>
      <c r="BJ78" s="984">
        <v>6073</v>
      </c>
      <c r="BK78" s="980">
        <f t="shared" si="59"/>
        <v>2.4394064766985066E-2</v>
      </c>
      <c r="BL78" s="1699">
        <v>245929</v>
      </c>
      <c r="BM78" s="984">
        <v>16028</v>
      </c>
      <c r="BN78" s="980">
        <f t="shared" si="60"/>
        <v>6.5173281719520679E-2</v>
      </c>
    </row>
    <row r="79" spans="1:66" ht="12.75" customHeight="1" x14ac:dyDescent="0.3">
      <c r="A79" s="198" t="s">
        <v>189</v>
      </c>
      <c r="B79" s="200" t="s">
        <v>190</v>
      </c>
      <c r="C79" s="85" t="s">
        <v>255</v>
      </c>
      <c r="D79" s="1675">
        <v>17403</v>
      </c>
      <c r="E79" s="1676">
        <v>796</v>
      </c>
      <c r="F79" s="1677">
        <f t="shared" si="61"/>
        <v>4.5739240360857324E-2</v>
      </c>
      <c r="G79" s="1688">
        <v>17737</v>
      </c>
      <c r="H79" s="1689">
        <v>1262</v>
      </c>
      <c r="I79" s="1664">
        <f t="shared" si="62"/>
        <v>7.1150701922534809E-2</v>
      </c>
      <c r="J79" s="1688">
        <v>17566</v>
      </c>
      <c r="K79" s="1689">
        <v>1114</v>
      </c>
      <c r="L79" s="1695">
        <f t="shared" si="63"/>
        <v>6.3417966526243874E-2</v>
      </c>
      <c r="M79" s="1688">
        <v>18041</v>
      </c>
      <c r="N79" s="1689">
        <v>1102</v>
      </c>
      <c r="O79" s="1695">
        <f t="shared" si="64"/>
        <v>6.1083088520591987E-2</v>
      </c>
      <c r="P79" s="1688">
        <v>18041</v>
      </c>
      <c r="Q79" s="1689">
        <v>1083</v>
      </c>
      <c r="R79" s="1695">
        <f t="shared" si="65"/>
        <v>6.0029931821961091E-2</v>
      </c>
      <c r="S79" s="1688">
        <v>17995</v>
      </c>
      <c r="T79" s="1689">
        <v>816</v>
      </c>
      <c r="U79" s="1695">
        <f t="shared" si="66"/>
        <v>4.5345929424840233E-2</v>
      </c>
      <c r="V79" s="1688">
        <v>18087</v>
      </c>
      <c r="W79" s="1689">
        <v>710</v>
      </c>
      <c r="X79" s="1695">
        <f t="shared" si="67"/>
        <v>3.9254713330016032E-2</v>
      </c>
      <c r="Y79" s="1688">
        <v>17706</v>
      </c>
      <c r="Z79" s="1689">
        <v>976</v>
      </c>
      <c r="AA79" s="1695">
        <f t="shared" si="68"/>
        <v>5.5122557325200494E-2</v>
      </c>
      <c r="AB79" s="1688">
        <v>18145</v>
      </c>
      <c r="AC79" s="1689">
        <v>1158</v>
      </c>
      <c r="AD79" s="1695">
        <f t="shared" si="69"/>
        <v>6.381923394874621E-2</v>
      </c>
      <c r="AE79" s="1688">
        <v>18123</v>
      </c>
      <c r="AF79" s="1689">
        <v>1976</v>
      </c>
      <c r="AG79" s="1695">
        <f t="shared" si="70"/>
        <v>0.10903272085195607</v>
      </c>
      <c r="AH79" s="1688">
        <v>17011</v>
      </c>
      <c r="AI79" s="1689">
        <v>1928</v>
      </c>
      <c r="AJ79" s="1695">
        <f t="shared" si="71"/>
        <v>0.11333842807595086</v>
      </c>
      <c r="AK79" s="1684">
        <v>16855</v>
      </c>
      <c r="AL79" s="1685">
        <v>1463</v>
      </c>
      <c r="AM79" s="1695">
        <f t="shared" si="72"/>
        <v>8.6799169385938887E-2</v>
      </c>
      <c r="AN79" s="1705">
        <v>16857</v>
      </c>
      <c r="AO79" s="1706">
        <v>1229</v>
      </c>
      <c r="AP79" s="1667">
        <f t="shared" si="73"/>
        <v>7.2907397520317968E-2</v>
      </c>
      <c r="AQ79" s="1705">
        <v>16853</v>
      </c>
      <c r="AR79" s="859">
        <v>1248</v>
      </c>
      <c r="AS79" s="1667">
        <f t="shared" si="74"/>
        <v>7.4052097549397733E-2</v>
      </c>
      <c r="AT79" s="1711">
        <v>16511</v>
      </c>
      <c r="AU79" s="1712">
        <v>988</v>
      </c>
      <c r="AV79" s="1695">
        <f t="shared" si="75"/>
        <v>5.9838895281933258E-2</v>
      </c>
      <c r="AW79" s="1705">
        <v>16373</v>
      </c>
      <c r="AX79" s="1715">
        <v>817</v>
      </c>
      <c r="AY79" s="1695">
        <f t="shared" si="76"/>
        <v>4.9899224332742929E-2</v>
      </c>
      <c r="AZ79" s="1705">
        <v>16285</v>
      </c>
      <c r="BA79" s="1715">
        <v>954</v>
      </c>
      <c r="BB79" s="1695">
        <f t="shared" si="77"/>
        <v>5.858151673319005E-2</v>
      </c>
      <c r="BC79" s="1699">
        <v>16281</v>
      </c>
      <c r="BD79" s="984">
        <v>859</v>
      </c>
      <c r="BE79" s="980">
        <f t="shared" si="78"/>
        <v>5.2760886923407656E-2</v>
      </c>
      <c r="BF79" s="1699">
        <v>16045</v>
      </c>
      <c r="BG79" s="984">
        <v>547</v>
      </c>
      <c r="BH79" s="980">
        <f t="shared" si="79"/>
        <v>3.4091617326269863E-2</v>
      </c>
      <c r="BI79" s="1699">
        <v>16316</v>
      </c>
      <c r="BJ79" s="984">
        <v>530</v>
      </c>
      <c r="BK79" s="980">
        <f t="shared" si="59"/>
        <v>3.2483451826428048E-2</v>
      </c>
      <c r="BL79" s="1699">
        <v>16092</v>
      </c>
      <c r="BM79" s="984">
        <v>1268</v>
      </c>
      <c r="BN79" s="980">
        <f t="shared" si="60"/>
        <v>7.8796917723092219E-2</v>
      </c>
    </row>
    <row r="80" spans="1:66" ht="12.75" customHeight="1" x14ac:dyDescent="0.3">
      <c r="A80" s="198" t="s">
        <v>193</v>
      </c>
      <c r="B80" s="200" t="s">
        <v>194</v>
      </c>
      <c r="C80" s="85" t="s">
        <v>254</v>
      </c>
      <c r="D80" s="1675">
        <v>3753</v>
      </c>
      <c r="E80" s="1676">
        <v>70</v>
      </c>
      <c r="F80" s="1677">
        <f t="shared" si="61"/>
        <v>1.8651745270450305E-2</v>
      </c>
      <c r="G80" s="1688">
        <v>3740</v>
      </c>
      <c r="H80" s="1689">
        <v>89</v>
      </c>
      <c r="I80" s="1664">
        <f t="shared" si="62"/>
        <v>2.3796791443850267E-2</v>
      </c>
      <c r="J80" s="1688">
        <v>3728</v>
      </c>
      <c r="K80" s="1689">
        <v>127</v>
      </c>
      <c r="L80" s="1695">
        <f t="shared" si="63"/>
        <v>3.4066523605150216E-2</v>
      </c>
      <c r="M80" s="1688">
        <v>3945</v>
      </c>
      <c r="N80" s="1689">
        <v>120</v>
      </c>
      <c r="O80" s="1695">
        <f t="shared" si="64"/>
        <v>3.0418250950570342E-2</v>
      </c>
      <c r="P80" s="1688">
        <v>4049</v>
      </c>
      <c r="Q80" s="1689">
        <v>108</v>
      </c>
      <c r="R80" s="1695">
        <f t="shared" si="65"/>
        <v>2.6673252654976536E-2</v>
      </c>
      <c r="S80" s="1688">
        <v>4112</v>
      </c>
      <c r="T80" s="1689">
        <v>108</v>
      </c>
      <c r="U80" s="1695">
        <f t="shared" si="66"/>
        <v>2.6264591439688716E-2</v>
      </c>
      <c r="V80" s="1688">
        <v>4265</v>
      </c>
      <c r="W80" s="1689">
        <v>101</v>
      </c>
      <c r="X80" s="1695">
        <f t="shared" si="67"/>
        <v>2.3681125439624855E-2</v>
      </c>
      <c r="Y80" s="1688">
        <v>4314</v>
      </c>
      <c r="Z80" s="1689">
        <v>108</v>
      </c>
      <c r="AA80" s="1695">
        <f t="shared" si="68"/>
        <v>2.5034770514603615E-2</v>
      </c>
      <c r="AB80" s="1688">
        <v>4281</v>
      </c>
      <c r="AC80" s="1689">
        <v>149</v>
      </c>
      <c r="AD80" s="1695">
        <f t="shared" si="69"/>
        <v>3.4804952113992059E-2</v>
      </c>
      <c r="AE80" s="1688">
        <v>4229</v>
      </c>
      <c r="AF80" s="1689">
        <v>246</v>
      </c>
      <c r="AG80" s="1695">
        <f t="shared" si="70"/>
        <v>5.8169780089855759E-2</v>
      </c>
      <c r="AH80" s="1688">
        <v>4030</v>
      </c>
      <c r="AI80" s="1689">
        <v>261</v>
      </c>
      <c r="AJ80" s="1695">
        <f t="shared" si="71"/>
        <v>6.4764267990074439E-2</v>
      </c>
      <c r="AK80" s="1684">
        <v>3997</v>
      </c>
      <c r="AL80" s="1685">
        <v>224</v>
      </c>
      <c r="AM80" s="1695">
        <f t="shared" si="72"/>
        <v>5.6042031523642732E-2</v>
      </c>
      <c r="AN80" s="1705">
        <v>3958</v>
      </c>
      <c r="AO80" s="1706">
        <v>210</v>
      </c>
      <c r="AP80" s="1667">
        <f t="shared" si="73"/>
        <v>5.3057099545224862E-2</v>
      </c>
      <c r="AQ80" s="1705">
        <v>3918</v>
      </c>
      <c r="AR80" s="859">
        <v>196</v>
      </c>
      <c r="AS80" s="1667">
        <f t="shared" si="74"/>
        <v>5.0025523226135786E-2</v>
      </c>
      <c r="AT80" s="1711">
        <v>3811</v>
      </c>
      <c r="AU80" s="1712">
        <v>179</v>
      </c>
      <c r="AV80" s="1695">
        <f t="shared" si="75"/>
        <v>4.6969299396483866E-2</v>
      </c>
      <c r="AW80" s="1705">
        <v>3749</v>
      </c>
      <c r="AX80" s="1715">
        <v>153</v>
      </c>
      <c r="AY80" s="1695">
        <f t="shared" si="76"/>
        <v>4.0810882902107229E-2</v>
      </c>
      <c r="AZ80" s="1705">
        <v>3717</v>
      </c>
      <c r="BA80" s="1715">
        <v>129</v>
      </c>
      <c r="BB80" s="1695">
        <f t="shared" si="77"/>
        <v>3.470540758676352E-2</v>
      </c>
      <c r="BC80" s="1699">
        <v>3665</v>
      </c>
      <c r="BD80" s="984">
        <v>127</v>
      </c>
      <c r="BE80" s="980">
        <f t="shared" si="78"/>
        <v>3.4652114597544338E-2</v>
      </c>
      <c r="BF80" s="1699">
        <v>3657</v>
      </c>
      <c r="BG80" s="984">
        <v>99</v>
      </c>
      <c r="BH80" s="980">
        <f t="shared" si="79"/>
        <v>2.7071369975389663E-2</v>
      </c>
      <c r="BI80" s="1699">
        <v>3787</v>
      </c>
      <c r="BJ80" s="984">
        <v>91</v>
      </c>
      <c r="BK80" s="980">
        <f t="shared" si="59"/>
        <v>2.4029574861367836E-2</v>
      </c>
      <c r="BL80" s="1699">
        <v>3688</v>
      </c>
      <c r="BM80" s="984">
        <v>167</v>
      </c>
      <c r="BN80" s="980">
        <f t="shared" si="60"/>
        <v>4.5281995661605207E-2</v>
      </c>
    </row>
    <row r="81" spans="1:66" ht="12.75" customHeight="1" x14ac:dyDescent="0.3">
      <c r="A81" s="198" t="s">
        <v>197</v>
      </c>
      <c r="B81" s="200" t="s">
        <v>198</v>
      </c>
      <c r="C81" s="85" t="s">
        <v>253</v>
      </c>
      <c r="D81" s="1675">
        <v>3427</v>
      </c>
      <c r="E81" s="1676">
        <v>150</v>
      </c>
      <c r="F81" s="1677">
        <f t="shared" si="61"/>
        <v>4.377006127808579E-2</v>
      </c>
      <c r="G81" s="1688">
        <v>3442</v>
      </c>
      <c r="H81" s="1689">
        <v>143</v>
      </c>
      <c r="I81" s="1664">
        <f t="shared" si="62"/>
        <v>4.154561301568855E-2</v>
      </c>
      <c r="J81" s="1688">
        <v>3508</v>
      </c>
      <c r="K81" s="1689">
        <v>200</v>
      </c>
      <c r="L81" s="1695">
        <f t="shared" si="63"/>
        <v>5.7012542759407071E-2</v>
      </c>
      <c r="M81" s="1688">
        <v>3564</v>
      </c>
      <c r="N81" s="1689">
        <v>223</v>
      </c>
      <c r="O81" s="1695">
        <f t="shared" si="64"/>
        <v>6.2570145903479243E-2</v>
      </c>
      <c r="P81" s="1688">
        <v>3464</v>
      </c>
      <c r="Q81" s="1689">
        <v>185</v>
      </c>
      <c r="R81" s="1695">
        <f t="shared" si="65"/>
        <v>5.3406466512702082E-2</v>
      </c>
      <c r="S81" s="1688">
        <v>3482</v>
      </c>
      <c r="T81" s="1689">
        <v>165</v>
      </c>
      <c r="U81" s="1695">
        <f t="shared" si="66"/>
        <v>4.7386559448592762E-2</v>
      </c>
      <c r="V81" s="1688">
        <v>3496</v>
      </c>
      <c r="W81" s="1689">
        <v>170</v>
      </c>
      <c r="X81" s="1695">
        <f t="shared" si="67"/>
        <v>4.8627002288329522E-2</v>
      </c>
      <c r="Y81" s="1688">
        <v>3500</v>
      </c>
      <c r="Z81" s="1689">
        <v>152</v>
      </c>
      <c r="AA81" s="1695">
        <f t="shared" si="68"/>
        <v>4.3428571428571427E-2</v>
      </c>
      <c r="AB81" s="1688">
        <v>3881</v>
      </c>
      <c r="AC81" s="1689">
        <v>195</v>
      </c>
      <c r="AD81" s="1695">
        <f t="shared" si="69"/>
        <v>5.0244782272610151E-2</v>
      </c>
      <c r="AE81" s="1688">
        <v>4089</v>
      </c>
      <c r="AF81" s="1689">
        <v>316</v>
      </c>
      <c r="AG81" s="1695">
        <f t="shared" si="70"/>
        <v>7.7280508681829299E-2</v>
      </c>
      <c r="AH81" s="1688">
        <v>4371</v>
      </c>
      <c r="AI81" s="1689">
        <v>315</v>
      </c>
      <c r="AJ81" s="1695">
        <f t="shared" si="71"/>
        <v>7.2065888812628695E-2</v>
      </c>
      <c r="AK81" s="1684">
        <v>4259</v>
      </c>
      <c r="AL81" s="1685">
        <v>282</v>
      </c>
      <c r="AM81" s="1695">
        <f t="shared" si="72"/>
        <v>6.6212725992016899E-2</v>
      </c>
      <c r="AN81" s="1705">
        <v>3920</v>
      </c>
      <c r="AO81" s="1706">
        <v>246</v>
      </c>
      <c r="AP81" s="1667">
        <f t="shared" si="73"/>
        <v>6.275510204081633E-2</v>
      </c>
      <c r="AQ81" s="1705">
        <v>3940</v>
      </c>
      <c r="AR81" s="859">
        <v>238</v>
      </c>
      <c r="AS81" s="1667">
        <f t="shared" si="74"/>
        <v>6.0406091370558378E-2</v>
      </c>
      <c r="AT81" s="1711">
        <v>3986</v>
      </c>
      <c r="AU81" s="1712">
        <v>213</v>
      </c>
      <c r="AV81" s="1695">
        <f t="shared" si="75"/>
        <v>5.3437029603612643E-2</v>
      </c>
      <c r="AW81" s="1705">
        <v>3915</v>
      </c>
      <c r="AX81" s="1715">
        <v>176</v>
      </c>
      <c r="AY81" s="1695">
        <f t="shared" si="76"/>
        <v>4.4955300127713919E-2</v>
      </c>
      <c r="AZ81" s="1705">
        <v>3913</v>
      </c>
      <c r="BA81" s="1715">
        <v>142</v>
      </c>
      <c r="BB81" s="1695">
        <f t="shared" si="77"/>
        <v>3.6289292103245593E-2</v>
      </c>
      <c r="BC81" s="1699">
        <v>4064</v>
      </c>
      <c r="BD81" s="984">
        <v>146</v>
      </c>
      <c r="BE81" s="980">
        <f t="shared" si="78"/>
        <v>3.5925196850393699E-2</v>
      </c>
      <c r="BF81" s="1699">
        <v>4069</v>
      </c>
      <c r="BG81" s="984">
        <v>125</v>
      </c>
      <c r="BH81" s="980">
        <f t="shared" si="79"/>
        <v>3.0720078643401327E-2</v>
      </c>
      <c r="BI81" s="1699">
        <v>4092</v>
      </c>
      <c r="BJ81" s="984">
        <v>117</v>
      </c>
      <c r="BK81" s="980">
        <f t="shared" si="59"/>
        <v>2.8592375366568914E-2</v>
      </c>
      <c r="BL81" s="1699">
        <v>4048</v>
      </c>
      <c r="BM81" s="984">
        <v>197</v>
      </c>
      <c r="BN81" s="980">
        <f t="shared" si="60"/>
        <v>4.8666007905138337E-2</v>
      </c>
    </row>
    <row r="82" spans="1:66" ht="12.75" customHeight="1" x14ac:dyDescent="0.3">
      <c r="A82" s="198" t="s">
        <v>201</v>
      </c>
      <c r="B82" s="200" t="s">
        <v>202</v>
      </c>
      <c r="C82" s="85" t="s">
        <v>252</v>
      </c>
      <c r="D82" s="1678">
        <v>58984</v>
      </c>
      <c r="E82" s="1679">
        <v>1055</v>
      </c>
      <c r="F82" s="1677">
        <f t="shared" si="61"/>
        <v>1.7886206428862066E-2</v>
      </c>
      <c r="G82" s="1690">
        <v>59501</v>
      </c>
      <c r="H82" s="1691">
        <v>1515</v>
      </c>
      <c r="I82" s="1664">
        <f t="shared" si="62"/>
        <v>2.5461756945261423E-2</v>
      </c>
      <c r="J82" s="1690">
        <v>60359</v>
      </c>
      <c r="K82" s="1691">
        <v>2048</v>
      </c>
      <c r="L82" s="1695">
        <f t="shared" si="63"/>
        <v>3.3930316936993651E-2</v>
      </c>
      <c r="M82" s="1690">
        <v>58923</v>
      </c>
      <c r="N82" s="1691">
        <v>2052</v>
      </c>
      <c r="O82" s="1695">
        <f t="shared" si="64"/>
        <v>3.4825110737742478E-2</v>
      </c>
      <c r="P82" s="1690">
        <v>58178</v>
      </c>
      <c r="Q82" s="1691">
        <v>1949</v>
      </c>
      <c r="R82" s="1695">
        <f t="shared" si="65"/>
        <v>3.3500635979236137E-2</v>
      </c>
      <c r="S82" s="1690">
        <v>59358</v>
      </c>
      <c r="T82" s="1691">
        <v>1811</v>
      </c>
      <c r="U82" s="1695">
        <f t="shared" si="66"/>
        <v>3.0509788065635635E-2</v>
      </c>
      <c r="V82" s="1690">
        <v>61824</v>
      </c>
      <c r="W82" s="1691">
        <v>1663</v>
      </c>
      <c r="X82" s="1695">
        <f t="shared" si="67"/>
        <v>2.6898938923395444E-2</v>
      </c>
      <c r="Y82" s="1690">
        <v>62347</v>
      </c>
      <c r="Z82" s="1691">
        <v>1629</v>
      </c>
      <c r="AA82" s="1695">
        <f t="shared" si="68"/>
        <v>2.6127961249137889E-2</v>
      </c>
      <c r="AB82" s="1690">
        <v>63444</v>
      </c>
      <c r="AC82" s="1691">
        <v>2085</v>
      </c>
      <c r="AD82" s="1695">
        <f t="shared" si="69"/>
        <v>3.2863627766219025E-2</v>
      </c>
      <c r="AE82" s="1690">
        <v>61795</v>
      </c>
      <c r="AF82" s="1691">
        <v>3699</v>
      </c>
      <c r="AG82" s="1695">
        <f t="shared" si="70"/>
        <v>5.9859211910348736E-2</v>
      </c>
      <c r="AH82" s="1690">
        <v>62123</v>
      </c>
      <c r="AI82" s="1691">
        <v>4105</v>
      </c>
      <c r="AJ82" s="1695">
        <f t="shared" si="71"/>
        <v>6.6078586030938621E-2</v>
      </c>
      <c r="AK82" s="1684">
        <v>62462</v>
      </c>
      <c r="AL82" s="1685">
        <v>3628</v>
      </c>
      <c r="AM82" s="1695">
        <f t="shared" si="72"/>
        <v>5.8083314655310428E-2</v>
      </c>
      <c r="AN82" s="1705">
        <v>62400</v>
      </c>
      <c r="AO82" s="1706">
        <v>3290</v>
      </c>
      <c r="AP82" s="1667">
        <f t="shared" si="73"/>
        <v>5.2724358974358974E-2</v>
      </c>
      <c r="AQ82" s="1705">
        <v>62900</v>
      </c>
      <c r="AR82" s="859">
        <v>3182</v>
      </c>
      <c r="AS82" s="1667">
        <f t="shared" si="74"/>
        <v>5.0588235294117649E-2</v>
      </c>
      <c r="AT82" s="1711">
        <v>63327</v>
      </c>
      <c r="AU82" s="1712">
        <v>2917</v>
      </c>
      <c r="AV82" s="1695">
        <f t="shared" si="75"/>
        <v>4.6062500986940799E-2</v>
      </c>
      <c r="AW82" s="1705">
        <v>62089</v>
      </c>
      <c r="AX82" s="1715">
        <v>2466</v>
      </c>
      <c r="AY82" s="1695">
        <f t="shared" si="76"/>
        <v>3.971718017684292E-2</v>
      </c>
      <c r="AZ82" s="1705">
        <v>62115</v>
      </c>
      <c r="BA82" s="1715">
        <v>2231</v>
      </c>
      <c r="BB82" s="1695">
        <f t="shared" si="77"/>
        <v>3.5917250261611529E-2</v>
      </c>
      <c r="BC82" s="1699">
        <v>62249</v>
      </c>
      <c r="BD82" s="984">
        <v>2143</v>
      </c>
      <c r="BE82" s="980">
        <f t="shared" si="78"/>
        <v>3.4426255843467368E-2</v>
      </c>
      <c r="BF82" s="1699">
        <v>62261</v>
      </c>
      <c r="BG82" s="984">
        <v>1703</v>
      </c>
      <c r="BH82" s="980">
        <f t="shared" si="79"/>
        <v>2.7352596328359648E-2</v>
      </c>
      <c r="BI82" s="1699">
        <v>62955</v>
      </c>
      <c r="BJ82" s="984">
        <v>1559</v>
      </c>
      <c r="BK82" s="980">
        <f t="shared" si="59"/>
        <v>2.4763720117544279E-2</v>
      </c>
      <c r="BL82" s="1699">
        <v>61391</v>
      </c>
      <c r="BM82" s="984">
        <v>3222</v>
      </c>
      <c r="BN82" s="980">
        <f t="shared" si="60"/>
        <v>5.2483263019009303E-2</v>
      </c>
    </row>
    <row r="83" spans="1:66" ht="12.75" customHeight="1" x14ac:dyDescent="0.3">
      <c r="A83" s="198" t="s">
        <v>203</v>
      </c>
      <c r="B83" s="201" t="s">
        <v>204</v>
      </c>
      <c r="C83" s="85" t="s">
        <v>252</v>
      </c>
      <c r="D83" s="1678">
        <v>16143</v>
      </c>
      <c r="E83" s="1679">
        <v>386</v>
      </c>
      <c r="F83" s="1677">
        <f t="shared" si="61"/>
        <v>2.3911292820417519E-2</v>
      </c>
      <c r="G83" s="1690">
        <v>16491</v>
      </c>
      <c r="H83" s="1691">
        <v>526</v>
      </c>
      <c r="I83" s="1664">
        <f t="shared" si="62"/>
        <v>3.1896185798314235E-2</v>
      </c>
      <c r="J83" s="1690">
        <v>16722</v>
      </c>
      <c r="K83" s="1691">
        <v>669</v>
      </c>
      <c r="L83" s="1695">
        <f t="shared" si="63"/>
        <v>4.000717617509867E-2</v>
      </c>
      <c r="M83" s="1690">
        <v>16905</v>
      </c>
      <c r="N83" s="1691">
        <v>699</v>
      </c>
      <c r="O83" s="1695">
        <f t="shared" si="64"/>
        <v>4.1348713398402841E-2</v>
      </c>
      <c r="P83" s="1690">
        <v>16513</v>
      </c>
      <c r="Q83" s="1691">
        <v>630</v>
      </c>
      <c r="R83" s="1695">
        <f t="shared" si="65"/>
        <v>3.8151759220008477E-2</v>
      </c>
      <c r="S83" s="1690">
        <v>16941</v>
      </c>
      <c r="T83" s="1691">
        <v>602</v>
      </c>
      <c r="U83" s="1695">
        <f t="shared" si="66"/>
        <v>3.5535092379434509E-2</v>
      </c>
      <c r="V83" s="1690">
        <v>16918</v>
      </c>
      <c r="W83" s="1691">
        <v>534</v>
      </c>
      <c r="X83" s="1695">
        <f t="shared" si="67"/>
        <v>3.1564014658943138E-2</v>
      </c>
      <c r="Y83" s="1690">
        <v>16983</v>
      </c>
      <c r="Z83" s="1691">
        <v>558</v>
      </c>
      <c r="AA83" s="1695">
        <f t="shared" si="68"/>
        <v>3.2856385797562268E-2</v>
      </c>
      <c r="AB83" s="1690">
        <v>17377</v>
      </c>
      <c r="AC83" s="1691">
        <v>806</v>
      </c>
      <c r="AD83" s="1695">
        <f t="shared" si="69"/>
        <v>4.6383150140990967E-2</v>
      </c>
      <c r="AE83" s="1690">
        <v>17599</v>
      </c>
      <c r="AF83" s="1691">
        <v>1287</v>
      </c>
      <c r="AG83" s="1695">
        <f t="shared" si="70"/>
        <v>7.3129155065628726E-2</v>
      </c>
      <c r="AH83" s="1690">
        <v>16717</v>
      </c>
      <c r="AI83" s="1691">
        <v>1412</v>
      </c>
      <c r="AJ83" s="1695">
        <f t="shared" si="71"/>
        <v>8.4464915953819469E-2</v>
      </c>
      <c r="AK83" s="1684">
        <v>16517</v>
      </c>
      <c r="AL83" s="1685">
        <v>1248</v>
      </c>
      <c r="AM83" s="1695">
        <f t="shared" si="72"/>
        <v>7.555851546891082E-2</v>
      </c>
      <c r="AN83" s="1705">
        <v>16286</v>
      </c>
      <c r="AO83" s="1706">
        <v>1089</v>
      </c>
      <c r="AP83" s="1667">
        <f t="shared" si="73"/>
        <v>6.6867247943018543E-2</v>
      </c>
      <c r="AQ83" s="1705">
        <v>15984</v>
      </c>
      <c r="AR83" s="859">
        <v>998</v>
      </c>
      <c r="AS83" s="1667">
        <f t="shared" si="74"/>
        <v>6.2437437437437439E-2</v>
      </c>
      <c r="AT83" s="1711">
        <v>15931</v>
      </c>
      <c r="AU83" s="1712">
        <v>902</v>
      </c>
      <c r="AV83" s="1695">
        <f t="shared" si="75"/>
        <v>5.661917017136401E-2</v>
      </c>
      <c r="AW83" s="1705">
        <v>15930</v>
      </c>
      <c r="AX83" s="1715">
        <v>799</v>
      </c>
      <c r="AY83" s="1695">
        <f t="shared" si="76"/>
        <v>5.0156936597614561E-2</v>
      </c>
      <c r="AZ83" s="1705">
        <v>16021</v>
      </c>
      <c r="BA83" s="1715">
        <v>752</v>
      </c>
      <c r="BB83" s="1695">
        <f t="shared" si="77"/>
        <v>4.6938393358716683E-2</v>
      </c>
      <c r="BC83" s="1699">
        <v>16129</v>
      </c>
      <c r="BD83" s="984">
        <v>704</v>
      </c>
      <c r="BE83" s="980">
        <f t="shared" si="78"/>
        <v>4.3648087296174594E-2</v>
      </c>
      <c r="BF83" s="1699">
        <v>16069</v>
      </c>
      <c r="BG83" s="984">
        <v>515</v>
      </c>
      <c r="BH83" s="980">
        <f t="shared" si="79"/>
        <v>3.2049287447881013E-2</v>
      </c>
      <c r="BI83" s="1699">
        <v>16457</v>
      </c>
      <c r="BJ83" s="984">
        <v>468</v>
      </c>
      <c r="BK83" s="980">
        <f t="shared" si="59"/>
        <v>2.8437746855441454E-2</v>
      </c>
      <c r="BL83" s="1699">
        <v>15630</v>
      </c>
      <c r="BM83" s="984">
        <v>897</v>
      </c>
      <c r="BN83" s="980">
        <f t="shared" si="60"/>
        <v>5.7389635316698655E-2</v>
      </c>
    </row>
    <row r="84" spans="1:66" ht="12.75" customHeight="1" x14ac:dyDescent="0.3">
      <c r="A84" s="198" t="s">
        <v>205</v>
      </c>
      <c r="B84" s="200" t="s">
        <v>206</v>
      </c>
      <c r="C84" s="85" t="s">
        <v>254</v>
      </c>
      <c r="D84" s="1678">
        <v>55781</v>
      </c>
      <c r="E84" s="1679">
        <v>1067</v>
      </c>
      <c r="F84" s="1677">
        <f t="shared" si="61"/>
        <v>1.9128377045947546E-2</v>
      </c>
      <c r="G84" s="1690">
        <v>56885</v>
      </c>
      <c r="H84" s="1691">
        <v>1453</v>
      </c>
      <c r="I84" s="1664">
        <f t="shared" si="62"/>
        <v>2.5542761712226421E-2</v>
      </c>
      <c r="J84" s="1690">
        <v>58038</v>
      </c>
      <c r="K84" s="1691">
        <v>2072</v>
      </c>
      <c r="L84" s="1695">
        <f t="shared" si="63"/>
        <v>3.5700747785933351E-2</v>
      </c>
      <c r="M84" s="1690">
        <v>59958</v>
      </c>
      <c r="N84" s="1691">
        <v>2059</v>
      </c>
      <c r="O84" s="1695">
        <f t="shared" si="64"/>
        <v>3.4340705160278859E-2</v>
      </c>
      <c r="P84" s="1690">
        <v>60732</v>
      </c>
      <c r="Q84" s="1691">
        <v>2066</v>
      </c>
      <c r="R84" s="1695">
        <f t="shared" si="65"/>
        <v>3.4018309951919908E-2</v>
      </c>
      <c r="S84" s="1690">
        <v>61197</v>
      </c>
      <c r="T84" s="1691">
        <v>2019</v>
      </c>
      <c r="U84" s="1695">
        <f t="shared" si="66"/>
        <v>3.2991813324182558E-2</v>
      </c>
      <c r="V84" s="1690">
        <v>63831</v>
      </c>
      <c r="W84" s="1691">
        <v>1672</v>
      </c>
      <c r="X84" s="1695">
        <f t="shared" si="67"/>
        <v>2.6194168977456096E-2</v>
      </c>
      <c r="Y84" s="1690">
        <v>64292</v>
      </c>
      <c r="Z84" s="1691">
        <v>1695</v>
      </c>
      <c r="AA84" s="1695">
        <f t="shared" si="68"/>
        <v>2.6364088844646302E-2</v>
      </c>
      <c r="AB84" s="1690">
        <v>65250</v>
      </c>
      <c r="AC84" s="1691">
        <v>2370</v>
      </c>
      <c r="AD84" s="1695">
        <f t="shared" si="69"/>
        <v>3.6321839080459772E-2</v>
      </c>
      <c r="AE84" s="1690">
        <v>64753</v>
      </c>
      <c r="AF84" s="1691">
        <v>3996</v>
      </c>
      <c r="AG84" s="1695">
        <f t="shared" si="70"/>
        <v>6.1711426497614012E-2</v>
      </c>
      <c r="AH84" s="1690">
        <v>63629</v>
      </c>
      <c r="AI84" s="1691">
        <v>4752</v>
      </c>
      <c r="AJ84" s="1695">
        <f t="shared" si="71"/>
        <v>7.4682927595907528E-2</v>
      </c>
      <c r="AK84" s="1684">
        <v>64999</v>
      </c>
      <c r="AL84" s="1685">
        <v>4327</v>
      </c>
      <c r="AM84" s="1695">
        <f t="shared" si="72"/>
        <v>6.6570254926998876E-2</v>
      </c>
      <c r="AN84" s="1705">
        <v>64900</v>
      </c>
      <c r="AO84" s="1706">
        <v>4006</v>
      </c>
      <c r="AP84" s="1667">
        <f t="shared" si="73"/>
        <v>6.1725731895223422E-2</v>
      </c>
      <c r="AQ84" s="1705">
        <v>64673</v>
      </c>
      <c r="AR84" s="859">
        <v>3600</v>
      </c>
      <c r="AS84" s="1667">
        <f t="shared" si="74"/>
        <v>5.5664651400120606E-2</v>
      </c>
      <c r="AT84" s="1711">
        <v>64820</v>
      </c>
      <c r="AU84" s="1712">
        <v>3315</v>
      </c>
      <c r="AV84" s="1695">
        <f t="shared" si="75"/>
        <v>5.1141622955877812E-2</v>
      </c>
      <c r="AW84" s="1705">
        <v>64250</v>
      </c>
      <c r="AX84" s="1715">
        <v>2889</v>
      </c>
      <c r="AY84" s="1695">
        <f t="shared" si="76"/>
        <v>4.4964980544747082E-2</v>
      </c>
      <c r="AZ84" s="1705">
        <v>64875</v>
      </c>
      <c r="BA84" s="1715">
        <v>2556</v>
      </c>
      <c r="BB84" s="1695">
        <f t="shared" si="77"/>
        <v>3.9398843930635835E-2</v>
      </c>
      <c r="BC84" s="1699">
        <v>65694</v>
      </c>
      <c r="BD84" s="984">
        <v>2400</v>
      </c>
      <c r="BE84" s="980">
        <f t="shared" si="78"/>
        <v>3.6533016713855143E-2</v>
      </c>
      <c r="BF84" s="1699">
        <v>65944</v>
      </c>
      <c r="BG84" s="984">
        <v>1937</v>
      </c>
      <c r="BH84" s="980">
        <f t="shared" si="79"/>
        <v>2.937340773990052E-2</v>
      </c>
      <c r="BI84" s="1699">
        <v>67659</v>
      </c>
      <c r="BJ84" s="984">
        <v>1743</v>
      </c>
      <c r="BK84" s="980">
        <f t="shared" si="59"/>
        <v>2.5761539484769211E-2</v>
      </c>
      <c r="BL84" s="1699">
        <v>65784</v>
      </c>
      <c r="BM84" s="984">
        <v>3499</v>
      </c>
      <c r="BN84" s="980">
        <f t="shared" si="60"/>
        <v>5.3189225343548585E-2</v>
      </c>
    </row>
    <row r="85" spans="1:66" ht="12.75" customHeight="1" x14ac:dyDescent="0.3">
      <c r="A85" s="198" t="s">
        <v>207</v>
      </c>
      <c r="B85" s="200" t="s">
        <v>208</v>
      </c>
      <c r="C85" s="85" t="s">
        <v>255</v>
      </c>
      <c r="D85" s="1675">
        <v>11865</v>
      </c>
      <c r="E85" s="1676">
        <v>617</v>
      </c>
      <c r="F85" s="1677">
        <f t="shared" si="61"/>
        <v>5.2001685630004214E-2</v>
      </c>
      <c r="G85" s="1688">
        <v>11903</v>
      </c>
      <c r="H85" s="1689">
        <v>764</v>
      </c>
      <c r="I85" s="1664">
        <f t="shared" si="62"/>
        <v>6.4185499453919173E-2</v>
      </c>
      <c r="J85" s="1688">
        <v>12140</v>
      </c>
      <c r="K85" s="1689">
        <v>771</v>
      </c>
      <c r="L85" s="1695">
        <f t="shared" si="63"/>
        <v>6.3509060955518948E-2</v>
      </c>
      <c r="M85" s="1688">
        <v>12281</v>
      </c>
      <c r="N85" s="1689">
        <v>762</v>
      </c>
      <c r="O85" s="1695">
        <f t="shared" si="64"/>
        <v>6.204706457128898E-2</v>
      </c>
      <c r="P85" s="1688">
        <v>11521</v>
      </c>
      <c r="Q85" s="1689">
        <v>681</v>
      </c>
      <c r="R85" s="1695">
        <f t="shared" si="65"/>
        <v>5.9109452304487456E-2</v>
      </c>
      <c r="S85" s="1688">
        <v>11955</v>
      </c>
      <c r="T85" s="1689">
        <v>690</v>
      </c>
      <c r="U85" s="1695">
        <f t="shared" si="66"/>
        <v>5.7716436637390213E-2</v>
      </c>
      <c r="V85" s="1688">
        <v>11812</v>
      </c>
      <c r="W85" s="1689">
        <v>713</v>
      </c>
      <c r="X85" s="1695">
        <f t="shared" si="67"/>
        <v>6.036234337961395E-2</v>
      </c>
      <c r="Y85" s="1688">
        <v>11772</v>
      </c>
      <c r="Z85" s="1689">
        <v>607</v>
      </c>
      <c r="AA85" s="1695">
        <f t="shared" si="68"/>
        <v>5.1563030920829089E-2</v>
      </c>
      <c r="AB85" s="1688">
        <v>11877</v>
      </c>
      <c r="AC85" s="1689">
        <v>683</v>
      </c>
      <c r="AD85" s="1695">
        <f t="shared" si="69"/>
        <v>5.7506104235076197E-2</v>
      </c>
      <c r="AE85" s="1688">
        <v>12397</v>
      </c>
      <c r="AF85" s="1689">
        <v>1302</v>
      </c>
      <c r="AG85" s="1695">
        <f t="shared" si="70"/>
        <v>0.10502540937323546</v>
      </c>
      <c r="AH85" s="1688">
        <v>12109</v>
      </c>
      <c r="AI85" s="1689">
        <v>1270</v>
      </c>
      <c r="AJ85" s="1695">
        <f t="shared" si="71"/>
        <v>0.10488066727227682</v>
      </c>
      <c r="AK85" s="1684">
        <v>11924</v>
      </c>
      <c r="AL85" s="1685">
        <v>1130</v>
      </c>
      <c r="AM85" s="1695">
        <f t="shared" si="72"/>
        <v>9.4766856759476686E-2</v>
      </c>
      <c r="AN85" s="1705">
        <v>11758</v>
      </c>
      <c r="AO85" s="1706">
        <v>998</v>
      </c>
      <c r="AP85" s="1667">
        <f t="shared" si="73"/>
        <v>8.4878380676985887E-2</v>
      </c>
      <c r="AQ85" s="1705">
        <v>11598</v>
      </c>
      <c r="AR85" s="859">
        <v>960</v>
      </c>
      <c r="AS85" s="1667">
        <f t="shared" si="74"/>
        <v>8.2772891877909982E-2</v>
      </c>
      <c r="AT85" s="1711">
        <v>11308</v>
      </c>
      <c r="AU85" s="1712">
        <v>874</v>
      </c>
      <c r="AV85" s="1695">
        <f t="shared" si="75"/>
        <v>7.7290413866289348E-2</v>
      </c>
      <c r="AW85" s="1705">
        <v>11465</v>
      </c>
      <c r="AX85" s="1715">
        <v>742</v>
      </c>
      <c r="AY85" s="1695">
        <f t="shared" si="76"/>
        <v>6.4718709114696904E-2</v>
      </c>
      <c r="AZ85" s="1705">
        <v>11253</v>
      </c>
      <c r="BA85" s="1715">
        <v>715</v>
      </c>
      <c r="BB85" s="1695">
        <f t="shared" si="77"/>
        <v>6.3538611925708699E-2</v>
      </c>
      <c r="BC85" s="1699">
        <v>11492</v>
      </c>
      <c r="BD85" s="984">
        <v>593</v>
      </c>
      <c r="BE85" s="980">
        <f t="shared" si="78"/>
        <v>5.160111381830839E-2</v>
      </c>
      <c r="BF85" s="1699">
        <v>11234</v>
      </c>
      <c r="BG85" s="984">
        <v>473</v>
      </c>
      <c r="BH85" s="980">
        <f t="shared" si="79"/>
        <v>4.210432615275058E-2</v>
      </c>
      <c r="BI85" s="1699">
        <v>11306</v>
      </c>
      <c r="BJ85" s="984">
        <v>453</v>
      </c>
      <c r="BK85" s="980">
        <f t="shared" si="59"/>
        <v>4.0067220944631173E-2</v>
      </c>
      <c r="BL85" s="1699">
        <v>11210</v>
      </c>
      <c r="BM85" s="984">
        <v>742</v>
      </c>
      <c r="BN85" s="980">
        <f t="shared" si="60"/>
        <v>6.6190900981266731E-2</v>
      </c>
    </row>
    <row r="86" spans="1:66" ht="12.75" customHeight="1" x14ac:dyDescent="0.3">
      <c r="A86" s="198" t="s">
        <v>209</v>
      </c>
      <c r="B86" s="200" t="s">
        <v>210</v>
      </c>
      <c r="C86" s="85" t="s">
        <v>255</v>
      </c>
      <c r="D86" s="1675">
        <v>9771</v>
      </c>
      <c r="E86" s="1676">
        <v>377</v>
      </c>
      <c r="F86" s="1677">
        <f t="shared" si="61"/>
        <v>3.8583563606590932E-2</v>
      </c>
      <c r="G86" s="1688">
        <v>9767</v>
      </c>
      <c r="H86" s="1689">
        <v>453</v>
      </c>
      <c r="I86" s="1664">
        <f t="shared" si="62"/>
        <v>4.6380669601720076E-2</v>
      </c>
      <c r="J86" s="1688">
        <v>9816</v>
      </c>
      <c r="K86" s="1689">
        <v>524</v>
      </c>
      <c r="L86" s="1695">
        <f t="shared" si="63"/>
        <v>5.3382233088834559E-2</v>
      </c>
      <c r="M86" s="1688">
        <v>9861</v>
      </c>
      <c r="N86" s="1689">
        <v>539</v>
      </c>
      <c r="O86" s="1695">
        <f t="shared" si="64"/>
        <v>5.4659770814319032E-2</v>
      </c>
      <c r="P86" s="1688">
        <v>9715</v>
      </c>
      <c r="Q86" s="1689">
        <v>554</v>
      </c>
      <c r="R86" s="1695">
        <f t="shared" si="65"/>
        <v>5.7025218733916624E-2</v>
      </c>
      <c r="S86" s="1688">
        <v>9769</v>
      </c>
      <c r="T86" s="1689">
        <v>514</v>
      </c>
      <c r="U86" s="1695">
        <f t="shared" si="66"/>
        <v>5.2615416112191629E-2</v>
      </c>
      <c r="V86" s="1688">
        <v>9924</v>
      </c>
      <c r="W86" s="1689">
        <v>490</v>
      </c>
      <c r="X86" s="1695">
        <f t="shared" si="67"/>
        <v>4.9375251914550583E-2</v>
      </c>
      <c r="Y86" s="1688">
        <v>9804</v>
      </c>
      <c r="Z86" s="1689">
        <v>454</v>
      </c>
      <c r="AA86" s="1695">
        <f t="shared" si="68"/>
        <v>4.6307629538963689E-2</v>
      </c>
      <c r="AB86" s="1688">
        <v>10102</v>
      </c>
      <c r="AC86" s="1689">
        <v>547</v>
      </c>
      <c r="AD86" s="1695">
        <f t="shared" si="69"/>
        <v>5.4147693526034449E-2</v>
      </c>
      <c r="AE86" s="1688">
        <v>9861</v>
      </c>
      <c r="AF86" s="1689">
        <v>942</v>
      </c>
      <c r="AG86" s="1695">
        <f t="shared" si="70"/>
        <v>9.5527836933373897E-2</v>
      </c>
      <c r="AH86" s="1688">
        <v>10086</v>
      </c>
      <c r="AI86" s="1689">
        <v>872</v>
      </c>
      <c r="AJ86" s="1695">
        <f t="shared" si="71"/>
        <v>8.6456474320840776E-2</v>
      </c>
      <c r="AK86" s="1684">
        <v>10135</v>
      </c>
      <c r="AL86" s="1685">
        <v>737</v>
      </c>
      <c r="AM86" s="1695">
        <f t="shared" si="72"/>
        <v>7.2718302910705482E-2</v>
      </c>
      <c r="AN86" s="1705">
        <v>10069</v>
      </c>
      <c r="AO86" s="1706">
        <v>745</v>
      </c>
      <c r="AP86" s="1667">
        <f t="shared" si="73"/>
        <v>7.3989472638792339E-2</v>
      </c>
      <c r="AQ86" s="1705">
        <v>10003</v>
      </c>
      <c r="AR86" s="859">
        <v>682</v>
      </c>
      <c r="AS86" s="1667">
        <f t="shared" si="74"/>
        <v>6.8179546136159147E-2</v>
      </c>
      <c r="AT86" s="1711">
        <v>9817</v>
      </c>
      <c r="AU86" s="1712">
        <v>563</v>
      </c>
      <c r="AV86" s="1695">
        <f t="shared" si="75"/>
        <v>5.73494957726393E-2</v>
      </c>
      <c r="AW86" s="1705">
        <v>9537</v>
      </c>
      <c r="AX86" s="1715">
        <v>485</v>
      </c>
      <c r="AY86" s="1695">
        <f t="shared" si="76"/>
        <v>5.085456642550068E-2</v>
      </c>
      <c r="AZ86" s="1705">
        <v>9436</v>
      </c>
      <c r="BA86" s="1715">
        <v>454</v>
      </c>
      <c r="BB86" s="1695">
        <f t="shared" si="77"/>
        <v>4.8113607460788473E-2</v>
      </c>
      <c r="BC86" s="1699">
        <v>9350</v>
      </c>
      <c r="BD86" s="984">
        <v>375</v>
      </c>
      <c r="BE86" s="980">
        <f t="shared" si="78"/>
        <v>4.0106951871657755E-2</v>
      </c>
      <c r="BF86" s="1699">
        <v>9142</v>
      </c>
      <c r="BG86" s="984">
        <v>294</v>
      </c>
      <c r="BH86" s="980">
        <f t="shared" si="79"/>
        <v>3.2159264931087291E-2</v>
      </c>
      <c r="BI86" s="1699">
        <v>9161</v>
      </c>
      <c r="BJ86" s="984">
        <v>274</v>
      </c>
      <c r="BK86" s="980">
        <f t="shared" si="59"/>
        <v>2.9909398537277591E-2</v>
      </c>
      <c r="BL86" s="1699">
        <v>8958</v>
      </c>
      <c r="BM86" s="984">
        <v>474</v>
      </c>
      <c r="BN86" s="980">
        <f t="shared" si="60"/>
        <v>5.2913596784996651E-2</v>
      </c>
    </row>
    <row r="87" spans="1:66" ht="12.75" customHeight="1" x14ac:dyDescent="0.3">
      <c r="A87" s="198" t="s">
        <v>211</v>
      </c>
      <c r="B87" s="200" t="s">
        <v>212</v>
      </c>
      <c r="C87" s="85" t="s">
        <v>254</v>
      </c>
      <c r="D87" s="1675">
        <v>18513</v>
      </c>
      <c r="E87" s="1676">
        <v>334</v>
      </c>
      <c r="F87" s="1677">
        <f t="shared" si="61"/>
        <v>1.8041376330146384E-2</v>
      </c>
      <c r="G87" s="1688">
        <v>18787</v>
      </c>
      <c r="H87" s="1689">
        <v>460</v>
      </c>
      <c r="I87" s="1664">
        <f t="shared" si="62"/>
        <v>2.4485016234630331E-2</v>
      </c>
      <c r="J87" s="1688">
        <v>19057</v>
      </c>
      <c r="K87" s="1689">
        <v>597</v>
      </c>
      <c r="L87" s="1695">
        <f t="shared" si="63"/>
        <v>3.132707141732697E-2</v>
      </c>
      <c r="M87" s="1688">
        <v>19133</v>
      </c>
      <c r="N87" s="1689">
        <v>746</v>
      </c>
      <c r="O87" s="1695">
        <f t="shared" si="64"/>
        <v>3.8990226310562905E-2</v>
      </c>
      <c r="P87" s="1688">
        <v>19018</v>
      </c>
      <c r="Q87" s="1689">
        <v>640</v>
      </c>
      <c r="R87" s="1695">
        <f t="shared" si="65"/>
        <v>3.3652329372173731E-2</v>
      </c>
      <c r="S87" s="1688">
        <v>19521</v>
      </c>
      <c r="T87" s="1689">
        <v>601</v>
      </c>
      <c r="U87" s="1695">
        <f t="shared" si="66"/>
        <v>3.0787357205061216E-2</v>
      </c>
      <c r="V87" s="1688">
        <v>19786</v>
      </c>
      <c r="W87" s="1689">
        <v>598</v>
      </c>
      <c r="X87" s="1695">
        <f t="shared" si="67"/>
        <v>3.0223390275952694E-2</v>
      </c>
      <c r="Y87" s="1688">
        <v>20009</v>
      </c>
      <c r="Z87" s="1689">
        <v>637</v>
      </c>
      <c r="AA87" s="1695">
        <f t="shared" si="68"/>
        <v>3.1835673946723972E-2</v>
      </c>
      <c r="AB87" s="1688">
        <v>20290</v>
      </c>
      <c r="AC87" s="1689">
        <v>944</v>
      </c>
      <c r="AD87" s="1695">
        <f t="shared" si="69"/>
        <v>4.6525381961557415E-2</v>
      </c>
      <c r="AE87" s="1688">
        <v>20232</v>
      </c>
      <c r="AF87" s="1689">
        <v>1656</v>
      </c>
      <c r="AG87" s="1695">
        <f t="shared" si="70"/>
        <v>8.1850533807829182E-2</v>
      </c>
      <c r="AH87" s="1688">
        <v>20865</v>
      </c>
      <c r="AI87" s="1689">
        <v>1757</v>
      </c>
      <c r="AJ87" s="1695">
        <f t="shared" si="71"/>
        <v>8.4208003834172054E-2</v>
      </c>
      <c r="AK87" s="1684">
        <v>21047</v>
      </c>
      <c r="AL87" s="1685">
        <v>1476</v>
      </c>
      <c r="AM87" s="1695">
        <f t="shared" si="72"/>
        <v>7.0128759443151042E-2</v>
      </c>
      <c r="AN87" s="1705">
        <v>20800</v>
      </c>
      <c r="AO87" s="1706">
        <v>1296</v>
      </c>
      <c r="AP87" s="1667">
        <f t="shared" si="73"/>
        <v>6.2307692307692307E-2</v>
      </c>
      <c r="AQ87" s="1705">
        <v>20945</v>
      </c>
      <c r="AR87" s="859">
        <v>1147</v>
      </c>
      <c r="AS87" s="1667">
        <f t="shared" si="74"/>
        <v>5.4762473143948436E-2</v>
      </c>
      <c r="AT87" s="1711">
        <v>21298</v>
      </c>
      <c r="AU87" s="1712">
        <v>1045</v>
      </c>
      <c r="AV87" s="1695">
        <f t="shared" si="75"/>
        <v>4.9065639966194008E-2</v>
      </c>
      <c r="AW87" s="1705">
        <v>21120</v>
      </c>
      <c r="AX87" s="1715">
        <v>890</v>
      </c>
      <c r="AY87" s="1695">
        <f t="shared" si="76"/>
        <v>4.2140151515151512E-2</v>
      </c>
      <c r="AZ87" s="1705">
        <v>20856</v>
      </c>
      <c r="BA87" s="1715">
        <v>772</v>
      </c>
      <c r="BB87" s="1695">
        <f t="shared" si="77"/>
        <v>3.7015726889144611E-2</v>
      </c>
      <c r="BC87" s="1699">
        <v>21733</v>
      </c>
      <c r="BD87" s="984">
        <v>728</v>
      </c>
      <c r="BE87" s="980">
        <f t="shared" si="78"/>
        <v>3.349744627985092E-2</v>
      </c>
      <c r="BF87" s="1699">
        <v>22274</v>
      </c>
      <c r="BG87" s="984">
        <v>626</v>
      </c>
      <c r="BH87" s="980">
        <f t="shared" si="79"/>
        <v>2.8104516476609501E-2</v>
      </c>
      <c r="BI87" s="1699">
        <v>22410</v>
      </c>
      <c r="BJ87" s="984">
        <v>545</v>
      </c>
      <c r="BK87" s="980">
        <f t="shared" si="59"/>
        <v>2.431950022311468E-2</v>
      </c>
      <c r="BL87" s="1699">
        <v>22129</v>
      </c>
      <c r="BM87" s="984">
        <v>1166</v>
      </c>
      <c r="BN87" s="980">
        <f t="shared" si="60"/>
        <v>5.2691038908219981E-2</v>
      </c>
    </row>
    <row r="88" spans="1:66" ht="12.75" customHeight="1" x14ac:dyDescent="0.3">
      <c r="A88" s="198" t="s">
        <v>213</v>
      </c>
      <c r="B88" s="200" t="s">
        <v>214</v>
      </c>
      <c r="C88" s="85" t="s">
        <v>255</v>
      </c>
      <c r="D88" s="1675">
        <v>15862</v>
      </c>
      <c r="E88" s="1676">
        <v>691</v>
      </c>
      <c r="F88" s="1677">
        <f t="shared" si="61"/>
        <v>4.3563232883621232E-2</v>
      </c>
      <c r="G88" s="1688">
        <v>15565</v>
      </c>
      <c r="H88" s="1689">
        <v>995</v>
      </c>
      <c r="I88" s="1664">
        <f t="shared" si="62"/>
        <v>6.3925473819466755E-2</v>
      </c>
      <c r="J88" s="1688">
        <v>15475</v>
      </c>
      <c r="K88" s="1689">
        <v>1252</v>
      </c>
      <c r="L88" s="1695">
        <f t="shared" si="63"/>
        <v>8.090468497576736E-2</v>
      </c>
      <c r="M88" s="1688">
        <v>15772</v>
      </c>
      <c r="N88" s="1689">
        <v>1196</v>
      </c>
      <c r="O88" s="1695">
        <f t="shared" si="64"/>
        <v>7.5830585848338822E-2</v>
      </c>
      <c r="P88" s="1688">
        <v>15375</v>
      </c>
      <c r="Q88" s="1689">
        <v>811</v>
      </c>
      <c r="R88" s="1695">
        <f t="shared" si="65"/>
        <v>5.27479674796748E-2</v>
      </c>
      <c r="S88" s="1688">
        <v>15589</v>
      </c>
      <c r="T88" s="1689">
        <v>727</v>
      </c>
      <c r="U88" s="1695">
        <f t="shared" si="66"/>
        <v>4.6635448072358712E-2</v>
      </c>
      <c r="V88" s="1688">
        <v>15339</v>
      </c>
      <c r="W88" s="1689">
        <v>719</v>
      </c>
      <c r="X88" s="1695">
        <f t="shared" si="67"/>
        <v>4.6873981354716737E-2</v>
      </c>
      <c r="Y88" s="1688">
        <v>15065</v>
      </c>
      <c r="Z88" s="1689">
        <v>821</v>
      </c>
      <c r="AA88" s="1695">
        <f t="shared" si="68"/>
        <v>5.4497178891470294E-2</v>
      </c>
      <c r="AB88" s="1688">
        <v>15128</v>
      </c>
      <c r="AC88" s="1689">
        <v>921</v>
      </c>
      <c r="AD88" s="1695">
        <f t="shared" si="69"/>
        <v>6.0880486515071393E-2</v>
      </c>
      <c r="AE88" s="1688">
        <v>15153</v>
      </c>
      <c r="AF88" s="1689">
        <v>1681</v>
      </c>
      <c r="AG88" s="1695">
        <f t="shared" si="70"/>
        <v>0.11093512835742098</v>
      </c>
      <c r="AH88" s="1688">
        <v>13740</v>
      </c>
      <c r="AI88" s="1689">
        <v>1700</v>
      </c>
      <c r="AJ88" s="1695">
        <f t="shared" si="71"/>
        <v>0.12372634643377002</v>
      </c>
      <c r="AK88" s="1684">
        <v>13728</v>
      </c>
      <c r="AL88" s="1685">
        <v>1494</v>
      </c>
      <c r="AM88" s="1695">
        <f t="shared" si="72"/>
        <v>0.10882867132867133</v>
      </c>
      <c r="AN88" s="1705">
        <v>13486</v>
      </c>
      <c r="AO88" s="1706">
        <v>1268</v>
      </c>
      <c r="AP88" s="1667">
        <f t="shared" si="73"/>
        <v>9.402343170695536E-2</v>
      </c>
      <c r="AQ88" s="1705">
        <v>13397</v>
      </c>
      <c r="AR88" s="859">
        <v>1187</v>
      </c>
      <c r="AS88" s="1667">
        <f t="shared" si="74"/>
        <v>8.860192580428454E-2</v>
      </c>
      <c r="AT88" s="1711">
        <v>13485</v>
      </c>
      <c r="AU88" s="1712">
        <v>1046</v>
      </c>
      <c r="AV88" s="1695">
        <f t="shared" si="75"/>
        <v>7.7567667779013721E-2</v>
      </c>
      <c r="AW88" s="1705">
        <v>13509</v>
      </c>
      <c r="AX88" s="1715">
        <v>868</v>
      </c>
      <c r="AY88" s="1695">
        <f t="shared" si="76"/>
        <v>6.425346065585906E-2</v>
      </c>
      <c r="AZ88" s="1705">
        <v>13691</v>
      </c>
      <c r="BA88" s="1715">
        <v>782</v>
      </c>
      <c r="BB88" s="1695">
        <f t="shared" si="77"/>
        <v>5.7117814622744865E-2</v>
      </c>
      <c r="BC88" s="1699">
        <v>13947</v>
      </c>
      <c r="BD88" s="984">
        <v>689</v>
      </c>
      <c r="BE88" s="980">
        <f t="shared" si="78"/>
        <v>4.9401304940130494E-2</v>
      </c>
      <c r="BF88" s="1699">
        <v>13721</v>
      </c>
      <c r="BG88" s="984">
        <v>539</v>
      </c>
      <c r="BH88" s="980">
        <f t="shared" si="79"/>
        <v>3.9282851104146928E-2</v>
      </c>
      <c r="BI88" s="1699">
        <v>13784</v>
      </c>
      <c r="BJ88" s="984">
        <v>492</v>
      </c>
      <c r="BK88" s="980">
        <f t="shared" si="59"/>
        <v>3.5693557748113752E-2</v>
      </c>
      <c r="BL88" s="1699">
        <v>13384</v>
      </c>
      <c r="BM88" s="984">
        <v>861</v>
      </c>
      <c r="BN88" s="980">
        <f t="shared" si="60"/>
        <v>6.4330543933054388E-2</v>
      </c>
    </row>
    <row r="89" spans="1:66" ht="12.75" customHeight="1" x14ac:dyDescent="0.3">
      <c r="A89" s="198" t="s">
        <v>215</v>
      </c>
      <c r="B89" s="200" t="s">
        <v>216</v>
      </c>
      <c r="C89" s="85" t="s">
        <v>251</v>
      </c>
      <c r="D89" s="1675">
        <v>7489</v>
      </c>
      <c r="E89" s="1676">
        <v>208</v>
      </c>
      <c r="F89" s="1677">
        <f t="shared" si="61"/>
        <v>2.7774068633996528E-2</v>
      </c>
      <c r="G89" s="1688">
        <v>7411</v>
      </c>
      <c r="H89" s="1689">
        <v>240</v>
      </c>
      <c r="I89" s="1664">
        <f t="shared" si="62"/>
        <v>3.2384293617595469E-2</v>
      </c>
      <c r="J89" s="1688">
        <v>7436</v>
      </c>
      <c r="K89" s="1689">
        <v>312</v>
      </c>
      <c r="L89" s="1695">
        <f t="shared" si="63"/>
        <v>4.195804195804196E-2</v>
      </c>
      <c r="M89" s="1688">
        <v>7566</v>
      </c>
      <c r="N89" s="1689">
        <v>332</v>
      </c>
      <c r="O89" s="1695">
        <f t="shared" si="64"/>
        <v>4.3880518107322228E-2</v>
      </c>
      <c r="P89" s="1688">
        <v>7420</v>
      </c>
      <c r="Q89" s="1689">
        <v>321</v>
      </c>
      <c r="R89" s="1695">
        <f t="shared" si="65"/>
        <v>4.3261455525606472E-2</v>
      </c>
      <c r="S89" s="1688">
        <v>7523</v>
      </c>
      <c r="T89" s="1689">
        <v>316</v>
      </c>
      <c r="U89" s="1695">
        <f t="shared" si="66"/>
        <v>4.2004519473614249E-2</v>
      </c>
      <c r="V89" s="1688">
        <v>7588</v>
      </c>
      <c r="W89" s="1689">
        <v>280</v>
      </c>
      <c r="X89" s="1695">
        <f t="shared" si="67"/>
        <v>3.6900369003690037E-2</v>
      </c>
      <c r="Y89" s="1688">
        <v>7673</v>
      </c>
      <c r="Z89" s="1689">
        <v>276</v>
      </c>
      <c r="AA89" s="1695">
        <f t="shared" si="68"/>
        <v>3.5970285416395152E-2</v>
      </c>
      <c r="AB89" s="1688">
        <v>8112</v>
      </c>
      <c r="AC89" s="1689">
        <v>390</v>
      </c>
      <c r="AD89" s="1695">
        <f t="shared" si="69"/>
        <v>4.807692307692308E-2</v>
      </c>
      <c r="AE89" s="1688">
        <v>8095</v>
      </c>
      <c r="AF89" s="1689">
        <v>645</v>
      </c>
      <c r="AG89" s="1695">
        <f t="shared" si="70"/>
        <v>7.9678814082767141E-2</v>
      </c>
      <c r="AH89" s="1688">
        <v>9510</v>
      </c>
      <c r="AI89" s="1689">
        <v>835</v>
      </c>
      <c r="AJ89" s="1695">
        <f t="shared" si="71"/>
        <v>8.7802313354363823E-2</v>
      </c>
      <c r="AK89" s="1684">
        <v>9426</v>
      </c>
      <c r="AL89" s="1685">
        <v>722</v>
      </c>
      <c r="AM89" s="1695">
        <f t="shared" si="72"/>
        <v>7.6596647570549542E-2</v>
      </c>
      <c r="AN89" s="1705">
        <v>9479</v>
      </c>
      <c r="AO89" s="1706">
        <v>583</v>
      </c>
      <c r="AP89" s="1667">
        <f t="shared" si="73"/>
        <v>6.1504378098955585E-2</v>
      </c>
      <c r="AQ89" s="1705">
        <v>9244</v>
      </c>
      <c r="AR89" s="859">
        <v>505</v>
      </c>
      <c r="AS89" s="1667">
        <f t="shared" si="74"/>
        <v>5.4630030289917787E-2</v>
      </c>
      <c r="AT89" s="1711">
        <v>9156</v>
      </c>
      <c r="AU89" s="1712">
        <v>440</v>
      </c>
      <c r="AV89" s="1695">
        <f t="shared" si="75"/>
        <v>4.8055919615552646E-2</v>
      </c>
      <c r="AW89" s="1705">
        <v>9234</v>
      </c>
      <c r="AX89" s="1715">
        <v>365</v>
      </c>
      <c r="AY89" s="1695">
        <f t="shared" si="76"/>
        <v>3.9527831925492744E-2</v>
      </c>
      <c r="AZ89" s="1705">
        <v>9049</v>
      </c>
      <c r="BA89" s="1715">
        <v>350</v>
      </c>
      <c r="BB89" s="1695">
        <f t="shared" si="77"/>
        <v>3.8678306995248095E-2</v>
      </c>
      <c r="BC89" s="1699">
        <v>9080</v>
      </c>
      <c r="BD89" s="984">
        <v>324</v>
      </c>
      <c r="BE89" s="980">
        <f t="shared" si="78"/>
        <v>3.5682819383259914E-2</v>
      </c>
      <c r="BF89" s="1699">
        <v>9072</v>
      </c>
      <c r="BG89" s="984">
        <v>249</v>
      </c>
      <c r="BH89" s="980">
        <f t="shared" si="79"/>
        <v>2.7447089947089946E-2</v>
      </c>
      <c r="BI89" s="1699">
        <v>9187</v>
      </c>
      <c r="BJ89" s="984">
        <v>234</v>
      </c>
      <c r="BK89" s="980">
        <f t="shared" si="59"/>
        <v>2.5470773919669096E-2</v>
      </c>
      <c r="BL89" s="1699">
        <v>9063</v>
      </c>
      <c r="BM89" s="984">
        <v>449</v>
      </c>
      <c r="BN89" s="980">
        <f t="shared" si="60"/>
        <v>4.9542094229283899E-2</v>
      </c>
    </row>
    <row r="90" spans="1:66" ht="12.75" customHeight="1" x14ac:dyDescent="0.3">
      <c r="A90" s="198" t="s">
        <v>217</v>
      </c>
      <c r="B90" s="200" t="s">
        <v>218</v>
      </c>
      <c r="C90" s="85" t="s">
        <v>254</v>
      </c>
      <c r="D90" s="1675">
        <v>48522</v>
      </c>
      <c r="E90" s="1676">
        <v>833</v>
      </c>
      <c r="F90" s="1677">
        <f t="shared" si="61"/>
        <v>1.716747042578624E-2</v>
      </c>
      <c r="G90" s="1688">
        <v>50930</v>
      </c>
      <c r="H90" s="1689">
        <v>1075</v>
      </c>
      <c r="I90" s="1664">
        <f t="shared" si="62"/>
        <v>2.1107402316905558E-2</v>
      </c>
      <c r="J90" s="1688">
        <v>53322</v>
      </c>
      <c r="K90" s="1689">
        <v>1545</v>
      </c>
      <c r="L90" s="1695">
        <f t="shared" si="63"/>
        <v>2.8974907167773151E-2</v>
      </c>
      <c r="M90" s="1688">
        <v>55468</v>
      </c>
      <c r="N90" s="1689">
        <v>1695</v>
      </c>
      <c r="O90" s="1695">
        <f t="shared" si="64"/>
        <v>3.0558159659623566E-2</v>
      </c>
      <c r="P90" s="1688">
        <v>58122</v>
      </c>
      <c r="Q90" s="1689">
        <v>1691</v>
      </c>
      <c r="R90" s="1695">
        <f t="shared" si="65"/>
        <v>2.9093974742782424E-2</v>
      </c>
      <c r="S90" s="1688">
        <v>61880</v>
      </c>
      <c r="T90" s="1689">
        <v>1682</v>
      </c>
      <c r="U90" s="1695">
        <f t="shared" si="66"/>
        <v>2.7181641887524241E-2</v>
      </c>
      <c r="V90" s="1688">
        <v>64312</v>
      </c>
      <c r="W90" s="1689">
        <v>1577</v>
      </c>
      <c r="X90" s="1695">
        <f t="shared" si="67"/>
        <v>2.4521084712028858E-2</v>
      </c>
      <c r="Y90" s="1688">
        <v>64669</v>
      </c>
      <c r="Z90" s="1689">
        <v>1639</v>
      </c>
      <c r="AA90" s="1695">
        <f t="shared" si="68"/>
        <v>2.5344446334410613E-2</v>
      </c>
      <c r="AB90" s="1688">
        <v>66228</v>
      </c>
      <c r="AC90" s="1689">
        <v>2260</v>
      </c>
      <c r="AD90" s="1695">
        <f t="shared" si="69"/>
        <v>3.4124539469710696E-2</v>
      </c>
      <c r="AE90" s="1688">
        <v>64917</v>
      </c>
      <c r="AF90" s="1689">
        <v>3649</v>
      </c>
      <c r="AG90" s="1695">
        <f t="shared" si="70"/>
        <v>5.6210237688124838E-2</v>
      </c>
      <c r="AH90" s="1688">
        <v>63445</v>
      </c>
      <c r="AI90" s="1689">
        <v>4553</v>
      </c>
      <c r="AJ90" s="1695">
        <f t="shared" si="71"/>
        <v>7.1762944282449365E-2</v>
      </c>
      <c r="AK90" s="1684">
        <v>64187</v>
      </c>
      <c r="AL90" s="1685">
        <v>4297</v>
      </c>
      <c r="AM90" s="1695">
        <f t="shared" si="72"/>
        <v>6.6945020019630139E-2</v>
      </c>
      <c r="AN90" s="1705">
        <v>64049</v>
      </c>
      <c r="AO90" s="1706">
        <v>3830</v>
      </c>
      <c r="AP90" s="1667">
        <f t="shared" si="73"/>
        <v>5.9797967181376761E-2</v>
      </c>
      <c r="AQ90" s="1705">
        <v>64172</v>
      </c>
      <c r="AR90" s="859">
        <v>3642</v>
      </c>
      <c r="AS90" s="1667">
        <f t="shared" si="74"/>
        <v>5.6753724365766998E-2</v>
      </c>
      <c r="AT90" s="1711">
        <v>64336</v>
      </c>
      <c r="AU90" s="1712">
        <v>3414</v>
      </c>
      <c r="AV90" s="1695">
        <f t="shared" si="75"/>
        <v>5.3065157920915193E-2</v>
      </c>
      <c r="AW90" s="1705">
        <v>64057</v>
      </c>
      <c r="AX90" s="1715">
        <v>2930</v>
      </c>
      <c r="AY90" s="1695">
        <f t="shared" si="76"/>
        <v>4.5740512356182775E-2</v>
      </c>
      <c r="AZ90" s="1705">
        <v>65027</v>
      </c>
      <c r="BA90" s="1715">
        <v>2614</v>
      </c>
      <c r="BB90" s="1695">
        <f t="shared" si="77"/>
        <v>4.0198686699371031E-2</v>
      </c>
      <c r="BC90" s="1699">
        <v>65712</v>
      </c>
      <c r="BD90" s="984">
        <v>2430</v>
      </c>
      <c r="BE90" s="980">
        <f t="shared" si="78"/>
        <v>3.6979547114682251E-2</v>
      </c>
      <c r="BF90" s="1699">
        <v>66458</v>
      </c>
      <c r="BG90" s="984">
        <v>2009</v>
      </c>
      <c r="BH90" s="980">
        <f t="shared" si="79"/>
        <v>3.0229618706551505E-2</v>
      </c>
      <c r="BI90" s="1699">
        <v>68615</v>
      </c>
      <c r="BJ90" s="984">
        <v>1915</v>
      </c>
      <c r="BK90" s="980">
        <f t="shared" si="59"/>
        <v>2.7909349267652844E-2</v>
      </c>
      <c r="BL90" s="1699">
        <v>67201</v>
      </c>
      <c r="BM90" s="984">
        <v>4035</v>
      </c>
      <c r="BN90" s="980">
        <f t="shared" si="60"/>
        <v>6.0043749348968022E-2</v>
      </c>
    </row>
    <row r="91" spans="1:66" ht="12.75" customHeight="1" x14ac:dyDescent="0.3">
      <c r="A91" s="198" t="s">
        <v>219</v>
      </c>
      <c r="B91" s="200" t="s">
        <v>220</v>
      </c>
      <c r="C91" s="85" t="s">
        <v>254</v>
      </c>
      <c r="D91" s="1675">
        <v>48423</v>
      </c>
      <c r="E91" s="1676">
        <v>823</v>
      </c>
      <c r="F91" s="1677">
        <f t="shared" si="61"/>
        <v>1.699605559341635E-2</v>
      </c>
      <c r="G91" s="1688">
        <v>50738</v>
      </c>
      <c r="H91" s="1689">
        <v>1125</v>
      </c>
      <c r="I91" s="1664">
        <f t="shared" si="62"/>
        <v>2.2172730497851709E-2</v>
      </c>
      <c r="J91" s="1688">
        <v>53202</v>
      </c>
      <c r="K91" s="1689">
        <v>1610</v>
      </c>
      <c r="L91" s="1695">
        <f t="shared" si="63"/>
        <v>3.0262020224803579E-2</v>
      </c>
      <c r="M91" s="1688">
        <v>55344</v>
      </c>
      <c r="N91" s="1689">
        <v>1721</v>
      </c>
      <c r="O91" s="1695">
        <f t="shared" si="64"/>
        <v>3.1096415148886961E-2</v>
      </c>
      <c r="P91" s="1688">
        <v>58475</v>
      </c>
      <c r="Q91" s="1689">
        <v>1674</v>
      </c>
      <c r="R91" s="1695">
        <f t="shared" si="65"/>
        <v>2.8627618640444635E-2</v>
      </c>
      <c r="S91" s="1688">
        <v>61558</v>
      </c>
      <c r="T91" s="1689">
        <v>1688</v>
      </c>
      <c r="U91" s="1695">
        <f t="shared" si="66"/>
        <v>2.7421293739237792E-2</v>
      </c>
      <c r="V91" s="1688">
        <v>63634</v>
      </c>
      <c r="W91" s="1689">
        <v>1583</v>
      </c>
      <c r="X91" s="1695">
        <f t="shared" si="67"/>
        <v>2.4876638275135934E-2</v>
      </c>
      <c r="Y91" s="1688">
        <v>64503</v>
      </c>
      <c r="Z91" s="1689">
        <v>1687</v>
      </c>
      <c r="AA91" s="1695">
        <f t="shared" si="68"/>
        <v>2.6153822302838629E-2</v>
      </c>
      <c r="AB91" s="1688">
        <v>66129</v>
      </c>
      <c r="AC91" s="1689">
        <v>2277</v>
      </c>
      <c r="AD91" s="1695">
        <f t="shared" si="69"/>
        <v>3.4432699723268158E-2</v>
      </c>
      <c r="AE91" s="1688">
        <v>65512</v>
      </c>
      <c r="AF91" s="1689">
        <v>3585</v>
      </c>
      <c r="AG91" s="1695">
        <f t="shared" si="70"/>
        <v>5.4722798876541703E-2</v>
      </c>
      <c r="AH91" s="1688">
        <v>63985</v>
      </c>
      <c r="AI91" s="1689">
        <v>4266</v>
      </c>
      <c r="AJ91" s="1695">
        <f t="shared" si="71"/>
        <v>6.6671876220989301E-2</v>
      </c>
      <c r="AK91" s="1684">
        <v>65045</v>
      </c>
      <c r="AL91" s="1685">
        <v>4002</v>
      </c>
      <c r="AM91" s="1695">
        <f t="shared" si="72"/>
        <v>6.1526635406257205E-2</v>
      </c>
      <c r="AN91" s="1705">
        <v>65422</v>
      </c>
      <c r="AO91" s="1706">
        <v>3710</v>
      </c>
      <c r="AP91" s="1667">
        <f t="shared" si="73"/>
        <v>5.6708752407447036E-2</v>
      </c>
      <c r="AQ91" s="1705">
        <v>66106</v>
      </c>
      <c r="AR91" s="859">
        <v>3654</v>
      </c>
      <c r="AS91" s="1667">
        <f t="shared" si="74"/>
        <v>5.5274861585937737E-2</v>
      </c>
      <c r="AT91" s="1711">
        <v>66910</v>
      </c>
      <c r="AU91" s="1712">
        <v>3495</v>
      </c>
      <c r="AV91" s="1695">
        <f t="shared" si="75"/>
        <v>5.2234344642056493E-2</v>
      </c>
      <c r="AW91" s="1705">
        <v>66918</v>
      </c>
      <c r="AX91" s="1715">
        <v>2943</v>
      </c>
      <c r="AY91" s="1695">
        <f t="shared" si="76"/>
        <v>4.397919842194925E-2</v>
      </c>
      <c r="AZ91" s="1705">
        <v>68383</v>
      </c>
      <c r="BA91" s="1715">
        <v>2634</v>
      </c>
      <c r="BB91" s="1695">
        <f t="shared" si="77"/>
        <v>3.8518345202755072E-2</v>
      </c>
      <c r="BC91" s="1699">
        <v>69784</v>
      </c>
      <c r="BD91" s="984">
        <v>2496</v>
      </c>
      <c r="BE91" s="980">
        <f t="shared" si="78"/>
        <v>3.5767511177347243E-2</v>
      </c>
      <c r="BF91" s="1699">
        <v>71464</v>
      </c>
      <c r="BG91" s="984">
        <v>2086</v>
      </c>
      <c r="BH91" s="980">
        <f t="shared" si="79"/>
        <v>2.9189521997089445E-2</v>
      </c>
      <c r="BI91" s="1699">
        <v>74084</v>
      </c>
      <c r="BJ91" s="984">
        <v>1961</v>
      </c>
      <c r="BK91" s="980">
        <f t="shared" si="59"/>
        <v>2.6469953026294478E-2</v>
      </c>
      <c r="BL91" s="1699">
        <v>72341</v>
      </c>
      <c r="BM91" s="984">
        <v>4099</v>
      </c>
      <c r="BN91" s="980">
        <f t="shared" si="60"/>
        <v>5.666219709431719E-2</v>
      </c>
    </row>
    <row r="92" spans="1:66" ht="12.75" customHeight="1" x14ac:dyDescent="0.3">
      <c r="A92" s="198" t="s">
        <v>223</v>
      </c>
      <c r="B92" s="200" t="s">
        <v>224</v>
      </c>
      <c r="C92" s="85" t="s">
        <v>251</v>
      </c>
      <c r="D92" s="1675">
        <v>3396</v>
      </c>
      <c r="E92" s="1676">
        <v>99</v>
      </c>
      <c r="F92" s="1677">
        <f t="shared" si="61"/>
        <v>2.9151943462897525E-2</v>
      </c>
      <c r="G92" s="1688">
        <v>3457</v>
      </c>
      <c r="H92" s="1689">
        <v>115</v>
      </c>
      <c r="I92" s="1664">
        <f t="shared" si="62"/>
        <v>3.3265837431298816E-2</v>
      </c>
      <c r="J92" s="1688">
        <v>3558</v>
      </c>
      <c r="K92" s="1689">
        <v>161</v>
      </c>
      <c r="L92" s="1695">
        <f t="shared" si="63"/>
        <v>4.5250140528386731E-2</v>
      </c>
      <c r="M92" s="1688">
        <v>3549</v>
      </c>
      <c r="N92" s="1689">
        <v>163</v>
      </c>
      <c r="O92" s="1695">
        <f t="shared" si="64"/>
        <v>4.5928430543815159E-2</v>
      </c>
      <c r="P92" s="1688">
        <v>3536</v>
      </c>
      <c r="Q92" s="1689">
        <v>150</v>
      </c>
      <c r="R92" s="1695">
        <f t="shared" si="65"/>
        <v>4.2420814479638011E-2</v>
      </c>
      <c r="S92" s="1688">
        <v>3638</v>
      </c>
      <c r="T92" s="1689">
        <v>176</v>
      </c>
      <c r="U92" s="1695">
        <f t="shared" si="66"/>
        <v>4.8378229796591531E-2</v>
      </c>
      <c r="V92" s="1688">
        <v>3707</v>
      </c>
      <c r="W92" s="1689">
        <v>127</v>
      </c>
      <c r="X92" s="1695">
        <f t="shared" si="67"/>
        <v>3.4259509036957111E-2</v>
      </c>
      <c r="Y92" s="1688">
        <v>3730</v>
      </c>
      <c r="Z92" s="1689">
        <v>127</v>
      </c>
      <c r="AA92" s="1695">
        <f t="shared" si="68"/>
        <v>3.4048257372654156E-2</v>
      </c>
      <c r="AB92" s="1688">
        <v>3815</v>
      </c>
      <c r="AC92" s="1689">
        <v>170</v>
      </c>
      <c r="AD92" s="1695">
        <f t="shared" si="69"/>
        <v>4.456094364351245E-2</v>
      </c>
      <c r="AE92" s="1688">
        <v>3719</v>
      </c>
      <c r="AF92" s="1689">
        <v>278</v>
      </c>
      <c r="AG92" s="1695">
        <f t="shared" si="70"/>
        <v>7.4751277225060503E-2</v>
      </c>
      <c r="AH92" s="1688">
        <v>3700</v>
      </c>
      <c r="AI92" s="1689">
        <v>339</v>
      </c>
      <c r="AJ92" s="1695">
        <f t="shared" si="71"/>
        <v>9.1621621621621616E-2</v>
      </c>
      <c r="AK92" s="1684">
        <v>3753</v>
      </c>
      <c r="AL92" s="1685">
        <v>316</v>
      </c>
      <c r="AM92" s="1695">
        <f t="shared" si="72"/>
        <v>8.419930722088996E-2</v>
      </c>
      <c r="AN92" s="1705">
        <v>3682</v>
      </c>
      <c r="AO92" s="1706">
        <v>281</v>
      </c>
      <c r="AP92" s="1667">
        <f t="shared" si="73"/>
        <v>7.631721890277024E-2</v>
      </c>
      <c r="AQ92" s="1705">
        <v>3633</v>
      </c>
      <c r="AR92" s="859">
        <v>259</v>
      </c>
      <c r="AS92" s="1667">
        <f t="shared" si="74"/>
        <v>7.1290944123314062E-2</v>
      </c>
      <c r="AT92" s="1711">
        <v>3676</v>
      </c>
      <c r="AU92" s="1712">
        <v>224</v>
      </c>
      <c r="AV92" s="1695">
        <f t="shared" si="75"/>
        <v>6.0935799782372145E-2</v>
      </c>
      <c r="AW92" s="1705">
        <v>3731</v>
      </c>
      <c r="AX92" s="1715">
        <v>186</v>
      </c>
      <c r="AY92" s="1695">
        <f t="shared" si="76"/>
        <v>4.985258643795229E-2</v>
      </c>
      <c r="AZ92" s="1705">
        <v>3660</v>
      </c>
      <c r="BA92" s="1715">
        <v>189</v>
      </c>
      <c r="BB92" s="1695">
        <f t="shared" si="77"/>
        <v>5.1639344262295085E-2</v>
      </c>
      <c r="BC92" s="1699">
        <v>3756</v>
      </c>
      <c r="BD92" s="984">
        <v>164</v>
      </c>
      <c r="BE92" s="980">
        <f t="shared" si="78"/>
        <v>4.3663471778487756E-2</v>
      </c>
      <c r="BF92" s="1699">
        <v>3766</v>
      </c>
      <c r="BG92" s="984">
        <v>126</v>
      </c>
      <c r="BH92" s="980">
        <f t="shared" si="79"/>
        <v>3.3457249070631967E-2</v>
      </c>
      <c r="BI92" s="1699">
        <v>3693</v>
      </c>
      <c r="BJ92" s="984">
        <v>122</v>
      </c>
      <c r="BK92" s="980">
        <f t="shared" si="59"/>
        <v>3.303547251557E-2</v>
      </c>
      <c r="BL92" s="1699">
        <v>3603</v>
      </c>
      <c r="BM92" s="984">
        <v>207</v>
      </c>
      <c r="BN92" s="980">
        <f t="shared" si="60"/>
        <v>5.7452123230641132E-2</v>
      </c>
    </row>
    <row r="93" spans="1:66" ht="12.75" customHeight="1" x14ac:dyDescent="0.3">
      <c r="A93" s="198" t="s">
        <v>225</v>
      </c>
      <c r="B93" s="200" t="s">
        <v>226</v>
      </c>
      <c r="C93" s="85" t="s">
        <v>251</v>
      </c>
      <c r="D93" s="1675">
        <v>4532</v>
      </c>
      <c r="E93" s="1676">
        <v>168</v>
      </c>
      <c r="F93" s="1677">
        <f t="shared" si="61"/>
        <v>3.7069726390114736E-2</v>
      </c>
      <c r="G93" s="1688">
        <v>4471</v>
      </c>
      <c r="H93" s="1689">
        <v>212</v>
      </c>
      <c r="I93" s="1664">
        <f t="shared" si="62"/>
        <v>4.7416685305300826E-2</v>
      </c>
      <c r="J93" s="1688">
        <v>4385</v>
      </c>
      <c r="K93" s="1689">
        <v>255</v>
      </c>
      <c r="L93" s="1695">
        <f t="shared" si="63"/>
        <v>5.8152793614595209E-2</v>
      </c>
      <c r="M93" s="1688">
        <v>4473</v>
      </c>
      <c r="N93" s="1689">
        <v>310</v>
      </c>
      <c r="O93" s="1695">
        <f t="shared" si="64"/>
        <v>6.9304717192041135E-2</v>
      </c>
      <c r="P93" s="1688">
        <v>4409</v>
      </c>
      <c r="Q93" s="1689">
        <v>267</v>
      </c>
      <c r="R93" s="1695">
        <f t="shared" si="65"/>
        <v>6.0557949648446359E-2</v>
      </c>
      <c r="S93" s="1688">
        <v>4408</v>
      </c>
      <c r="T93" s="1689">
        <v>260</v>
      </c>
      <c r="U93" s="1695">
        <f t="shared" si="66"/>
        <v>5.8983666061705992E-2</v>
      </c>
      <c r="V93" s="1688">
        <v>4476</v>
      </c>
      <c r="W93" s="1689">
        <v>203</v>
      </c>
      <c r="X93" s="1695">
        <f t="shared" si="67"/>
        <v>4.5352993744414656E-2</v>
      </c>
      <c r="Y93" s="1688">
        <v>4464</v>
      </c>
      <c r="Z93" s="1689">
        <v>200</v>
      </c>
      <c r="AA93" s="1695">
        <f t="shared" si="68"/>
        <v>4.4802867383512544E-2</v>
      </c>
      <c r="AB93" s="1688">
        <v>4503</v>
      </c>
      <c r="AC93" s="1689">
        <v>262</v>
      </c>
      <c r="AD93" s="1695">
        <f t="shared" si="69"/>
        <v>5.8183433266711083E-2</v>
      </c>
      <c r="AE93" s="1688">
        <v>4441</v>
      </c>
      <c r="AF93" s="1689">
        <v>450</v>
      </c>
      <c r="AG93" s="1695">
        <f t="shared" si="70"/>
        <v>0.1013285296104481</v>
      </c>
      <c r="AH93" s="1688">
        <v>4291</v>
      </c>
      <c r="AI93" s="1689">
        <v>500</v>
      </c>
      <c r="AJ93" s="1695">
        <f t="shared" si="71"/>
        <v>0.11652295502213936</v>
      </c>
      <c r="AK93" s="1684">
        <v>4375</v>
      </c>
      <c r="AL93" s="1685">
        <v>458</v>
      </c>
      <c r="AM93" s="1695">
        <f t="shared" si="72"/>
        <v>0.10468571428571428</v>
      </c>
      <c r="AN93" s="1705">
        <v>4270</v>
      </c>
      <c r="AO93" s="1706">
        <v>410</v>
      </c>
      <c r="AP93" s="1667">
        <f t="shared" si="73"/>
        <v>9.6018735362997654E-2</v>
      </c>
      <c r="AQ93" s="1705">
        <v>4183</v>
      </c>
      <c r="AR93" s="859">
        <v>379</v>
      </c>
      <c r="AS93" s="1667">
        <f t="shared" si="74"/>
        <v>9.0604829070045426E-2</v>
      </c>
      <c r="AT93" s="1711">
        <v>4120</v>
      </c>
      <c r="AU93" s="1712">
        <v>316</v>
      </c>
      <c r="AV93" s="1695">
        <f t="shared" si="75"/>
        <v>7.6699029126213597E-2</v>
      </c>
      <c r="AW93" s="1705">
        <v>4088</v>
      </c>
      <c r="AX93" s="1715">
        <v>276</v>
      </c>
      <c r="AY93" s="1695">
        <f t="shared" si="76"/>
        <v>6.7514677103718196E-2</v>
      </c>
      <c r="AZ93" s="1705">
        <v>3952</v>
      </c>
      <c r="BA93" s="1715">
        <v>244</v>
      </c>
      <c r="BB93" s="1695">
        <f t="shared" si="77"/>
        <v>6.1740890688259109E-2</v>
      </c>
      <c r="BC93" s="1699">
        <v>3837</v>
      </c>
      <c r="BD93" s="984">
        <v>226</v>
      </c>
      <c r="BE93" s="980">
        <f t="shared" si="78"/>
        <v>5.8900182434193378E-2</v>
      </c>
      <c r="BF93" s="1699">
        <v>3777</v>
      </c>
      <c r="BG93" s="984">
        <v>185</v>
      </c>
      <c r="BH93" s="980">
        <f t="shared" si="79"/>
        <v>4.8980672491395288E-2</v>
      </c>
      <c r="BI93" s="1699">
        <v>3792</v>
      </c>
      <c r="BJ93" s="984">
        <v>166</v>
      </c>
      <c r="BK93" s="980">
        <f t="shared" si="59"/>
        <v>4.3776371308016877E-2</v>
      </c>
      <c r="BL93" s="1699">
        <v>3771</v>
      </c>
      <c r="BM93" s="984">
        <v>321</v>
      </c>
      <c r="BN93" s="980">
        <f t="shared" si="60"/>
        <v>8.5123309466984889E-2</v>
      </c>
    </row>
    <row r="94" spans="1:66" ht="12.75" customHeight="1" x14ac:dyDescent="0.3">
      <c r="A94" s="198" t="s">
        <v>227</v>
      </c>
      <c r="B94" s="200" t="s">
        <v>228</v>
      </c>
      <c r="C94" s="85" t="s">
        <v>255</v>
      </c>
      <c r="D94" s="1675">
        <v>18999</v>
      </c>
      <c r="E94" s="1676">
        <v>977</v>
      </c>
      <c r="F94" s="1677">
        <f t="shared" si="61"/>
        <v>5.142375914521817E-2</v>
      </c>
      <c r="G94" s="1688">
        <v>19384</v>
      </c>
      <c r="H94" s="1689">
        <v>958</v>
      </c>
      <c r="I94" s="1664">
        <f t="shared" si="62"/>
        <v>4.9422203879488237E-2</v>
      </c>
      <c r="J94" s="1688">
        <v>20101</v>
      </c>
      <c r="K94" s="1689">
        <v>1165</v>
      </c>
      <c r="L94" s="1695">
        <f t="shared" si="63"/>
        <v>5.795731555643998E-2</v>
      </c>
      <c r="M94" s="1688">
        <v>19904</v>
      </c>
      <c r="N94" s="1689">
        <v>1078</v>
      </c>
      <c r="O94" s="1695">
        <f t="shared" si="64"/>
        <v>5.4159967845659164E-2</v>
      </c>
      <c r="P94" s="1688">
        <v>19269</v>
      </c>
      <c r="Q94" s="1689">
        <v>923</v>
      </c>
      <c r="R94" s="1695">
        <f t="shared" si="65"/>
        <v>4.7900773262753646E-2</v>
      </c>
      <c r="S94" s="1688">
        <v>19489</v>
      </c>
      <c r="T94" s="1689">
        <v>891</v>
      </c>
      <c r="U94" s="1695">
        <f t="shared" si="66"/>
        <v>4.5718097388270304E-2</v>
      </c>
      <c r="V94" s="1688">
        <v>19985</v>
      </c>
      <c r="W94" s="1689">
        <v>799</v>
      </c>
      <c r="X94" s="1695">
        <f t="shared" si="67"/>
        <v>3.9979984988741557E-2</v>
      </c>
      <c r="Y94" s="1688">
        <v>20298</v>
      </c>
      <c r="Z94" s="1689">
        <v>914</v>
      </c>
      <c r="AA94" s="1695">
        <f t="shared" si="68"/>
        <v>4.5029066903143164E-2</v>
      </c>
      <c r="AB94" s="1688">
        <v>20752</v>
      </c>
      <c r="AC94" s="1689">
        <v>913</v>
      </c>
      <c r="AD94" s="1695">
        <f t="shared" si="69"/>
        <v>4.3995759444872787E-2</v>
      </c>
      <c r="AE94" s="1688">
        <v>21483</v>
      </c>
      <c r="AF94" s="1689">
        <v>1619</v>
      </c>
      <c r="AG94" s="1695">
        <f t="shared" si="70"/>
        <v>7.5361914071591485E-2</v>
      </c>
      <c r="AH94" s="1688">
        <v>18427</v>
      </c>
      <c r="AI94" s="1689">
        <v>1656</v>
      </c>
      <c r="AJ94" s="1695">
        <f t="shared" si="71"/>
        <v>8.986812829000923E-2</v>
      </c>
      <c r="AK94" s="1684">
        <v>18172</v>
      </c>
      <c r="AL94" s="1685">
        <v>1446</v>
      </c>
      <c r="AM94" s="1695">
        <f t="shared" si="72"/>
        <v>7.9572969403477883E-2</v>
      </c>
      <c r="AN94" s="1705">
        <v>17940</v>
      </c>
      <c r="AO94" s="1706">
        <v>1455</v>
      </c>
      <c r="AP94" s="1667">
        <f t="shared" si="73"/>
        <v>8.1103678929765888E-2</v>
      </c>
      <c r="AQ94" s="1705">
        <v>17665</v>
      </c>
      <c r="AR94" s="859">
        <v>1491</v>
      </c>
      <c r="AS94" s="1667">
        <f t="shared" si="74"/>
        <v>8.4404189074440986E-2</v>
      </c>
      <c r="AT94" s="1711">
        <v>17273</v>
      </c>
      <c r="AU94" s="1712">
        <v>1378</v>
      </c>
      <c r="AV94" s="1695">
        <f t="shared" si="75"/>
        <v>7.9777687720720206E-2</v>
      </c>
      <c r="AW94" s="1705">
        <v>16670</v>
      </c>
      <c r="AX94" s="1715">
        <v>1216</v>
      </c>
      <c r="AY94" s="1695">
        <f t="shared" si="76"/>
        <v>7.2945410917816436E-2</v>
      </c>
      <c r="AZ94" s="1705">
        <v>15965</v>
      </c>
      <c r="BA94" s="1715">
        <v>1178</v>
      </c>
      <c r="BB94" s="1695">
        <f t="shared" si="77"/>
        <v>7.3786407766990289E-2</v>
      </c>
      <c r="BC94" s="1699">
        <v>16230</v>
      </c>
      <c r="BD94" s="984">
        <v>908</v>
      </c>
      <c r="BE94" s="980">
        <f t="shared" si="78"/>
        <v>5.5945779420825632E-2</v>
      </c>
      <c r="BF94" s="1699">
        <v>15978</v>
      </c>
      <c r="BG94" s="984">
        <v>695</v>
      </c>
      <c r="BH94" s="980">
        <f t="shared" si="79"/>
        <v>4.3497308799599448E-2</v>
      </c>
      <c r="BI94" s="1699">
        <v>15759</v>
      </c>
      <c r="BJ94" s="984">
        <v>658</v>
      </c>
      <c r="BK94" s="980">
        <f t="shared" si="59"/>
        <v>4.1753918395837301E-2</v>
      </c>
      <c r="BL94" s="1699">
        <v>15520</v>
      </c>
      <c r="BM94" s="984">
        <v>1185</v>
      </c>
      <c r="BN94" s="980">
        <f t="shared" si="60"/>
        <v>7.6353092783505161E-2</v>
      </c>
    </row>
    <row r="95" spans="1:66" ht="12.75" customHeight="1" x14ac:dyDescent="0.3">
      <c r="A95" s="198" t="s">
        <v>231</v>
      </c>
      <c r="B95" s="200" t="s">
        <v>232</v>
      </c>
      <c r="C95" s="85" t="s">
        <v>254</v>
      </c>
      <c r="D95" s="1675">
        <v>16584</v>
      </c>
      <c r="E95" s="1676">
        <v>339</v>
      </c>
      <c r="F95" s="1677">
        <f t="shared" si="61"/>
        <v>2.0441389290882777E-2</v>
      </c>
      <c r="G95" s="1688">
        <v>16800</v>
      </c>
      <c r="H95" s="1689">
        <v>472</v>
      </c>
      <c r="I95" s="1664">
        <f t="shared" si="62"/>
        <v>2.8095238095238097E-2</v>
      </c>
      <c r="J95" s="1688">
        <v>17082</v>
      </c>
      <c r="K95" s="1689">
        <v>682</v>
      </c>
      <c r="L95" s="1695">
        <f t="shared" si="63"/>
        <v>3.9925067322327597E-2</v>
      </c>
      <c r="M95" s="1688">
        <v>17309</v>
      </c>
      <c r="N95" s="1689">
        <v>696</v>
      </c>
      <c r="O95" s="1695">
        <f t="shared" si="64"/>
        <v>4.0210295222138773E-2</v>
      </c>
      <c r="P95" s="1688">
        <v>17704</v>
      </c>
      <c r="Q95" s="1689">
        <v>606</v>
      </c>
      <c r="R95" s="1695">
        <f t="shared" si="65"/>
        <v>3.4229552643470405E-2</v>
      </c>
      <c r="S95" s="1688">
        <v>18604</v>
      </c>
      <c r="T95" s="1689">
        <v>570</v>
      </c>
      <c r="U95" s="1695">
        <f t="shared" si="66"/>
        <v>3.0638572350032253E-2</v>
      </c>
      <c r="V95" s="1688">
        <v>19146</v>
      </c>
      <c r="W95" s="1689">
        <v>542</v>
      </c>
      <c r="X95" s="1695">
        <f t="shared" si="67"/>
        <v>2.8308785124830253E-2</v>
      </c>
      <c r="Y95" s="1688">
        <v>19438</v>
      </c>
      <c r="Z95" s="1689">
        <v>592</v>
      </c>
      <c r="AA95" s="1695">
        <f t="shared" si="68"/>
        <v>3.0455808210721268E-2</v>
      </c>
      <c r="AB95" s="1688">
        <v>20070</v>
      </c>
      <c r="AC95" s="1689">
        <v>883</v>
      </c>
      <c r="AD95" s="1695">
        <f t="shared" si="69"/>
        <v>4.3996013951170899E-2</v>
      </c>
      <c r="AE95" s="1688">
        <v>19746</v>
      </c>
      <c r="AF95" s="1689">
        <v>1489</v>
      </c>
      <c r="AG95" s="1695">
        <f t="shared" si="70"/>
        <v>7.5407677504304674E-2</v>
      </c>
      <c r="AH95" s="1688">
        <v>20137</v>
      </c>
      <c r="AI95" s="1689">
        <v>1666</v>
      </c>
      <c r="AJ95" s="1695">
        <f t="shared" si="71"/>
        <v>8.273327705219248E-2</v>
      </c>
      <c r="AK95" s="1684">
        <v>20087</v>
      </c>
      <c r="AL95" s="1685">
        <v>1483</v>
      </c>
      <c r="AM95" s="1695">
        <f t="shared" si="72"/>
        <v>7.3828844526310555E-2</v>
      </c>
      <c r="AN95" s="1705">
        <v>20028</v>
      </c>
      <c r="AO95" s="1706">
        <v>1316</v>
      </c>
      <c r="AP95" s="1667">
        <f t="shared" si="73"/>
        <v>6.5708008787697225E-2</v>
      </c>
      <c r="AQ95" s="1705">
        <v>20091</v>
      </c>
      <c r="AR95" s="859">
        <v>1204</v>
      </c>
      <c r="AS95" s="1667">
        <f t="shared" si="74"/>
        <v>5.9927330645562688E-2</v>
      </c>
      <c r="AT95" s="1711">
        <v>19983</v>
      </c>
      <c r="AU95" s="1712">
        <v>1105</v>
      </c>
      <c r="AV95" s="1695">
        <f t="shared" si="75"/>
        <v>5.5297002452084271E-2</v>
      </c>
      <c r="AW95" s="1705">
        <v>19697</v>
      </c>
      <c r="AX95" s="1715">
        <v>924</v>
      </c>
      <c r="AY95" s="1695">
        <f t="shared" si="76"/>
        <v>4.6910697060466064E-2</v>
      </c>
      <c r="AZ95" s="1705">
        <v>19725</v>
      </c>
      <c r="BA95" s="1715">
        <v>785</v>
      </c>
      <c r="BB95" s="1695">
        <f t="shared" si="77"/>
        <v>3.9797211660329533E-2</v>
      </c>
      <c r="BC95" s="1699">
        <v>19963</v>
      </c>
      <c r="BD95" s="984">
        <v>734</v>
      </c>
      <c r="BE95" s="980">
        <f t="shared" si="78"/>
        <v>3.6768020838551317E-2</v>
      </c>
      <c r="BF95" s="1699">
        <v>20264</v>
      </c>
      <c r="BG95" s="984">
        <v>615</v>
      </c>
      <c r="BH95" s="980">
        <f t="shared" si="79"/>
        <v>3.0349388077378602E-2</v>
      </c>
      <c r="BI95" s="1699">
        <v>20684</v>
      </c>
      <c r="BJ95" s="984">
        <v>560</v>
      </c>
      <c r="BK95" s="980">
        <f t="shared" si="59"/>
        <v>2.7074066911622511E-2</v>
      </c>
      <c r="BL95" s="1699">
        <v>20258</v>
      </c>
      <c r="BM95" s="984">
        <v>1181</v>
      </c>
      <c r="BN95" s="980">
        <f t="shared" si="60"/>
        <v>5.8297956362918353E-2</v>
      </c>
    </row>
    <row r="96" spans="1:66" ht="12.75" customHeight="1" x14ac:dyDescent="0.3">
      <c r="A96" s="198" t="s">
        <v>233</v>
      </c>
      <c r="B96" s="200" t="s">
        <v>234</v>
      </c>
      <c r="C96" s="85" t="s">
        <v>255</v>
      </c>
      <c r="D96" s="1675">
        <v>25140</v>
      </c>
      <c r="E96" s="1676">
        <v>900</v>
      </c>
      <c r="F96" s="1677">
        <f t="shared" si="61"/>
        <v>3.5799522673031027E-2</v>
      </c>
      <c r="G96" s="1688">
        <v>25534</v>
      </c>
      <c r="H96" s="1689">
        <v>1293</v>
      </c>
      <c r="I96" s="1664">
        <f t="shared" si="62"/>
        <v>5.0638364533563095E-2</v>
      </c>
      <c r="J96" s="1688">
        <v>25931</v>
      </c>
      <c r="K96" s="1689">
        <v>1580</v>
      </c>
      <c r="L96" s="1695">
        <f t="shared" si="63"/>
        <v>6.0930932089005435E-2</v>
      </c>
      <c r="M96" s="1688">
        <v>25976</v>
      </c>
      <c r="N96" s="1689">
        <v>1407</v>
      </c>
      <c r="O96" s="1695">
        <f t="shared" si="64"/>
        <v>5.4165383430859255E-2</v>
      </c>
      <c r="P96" s="1688">
        <v>25579</v>
      </c>
      <c r="Q96" s="1689">
        <v>1253</v>
      </c>
      <c r="R96" s="1695">
        <f t="shared" si="65"/>
        <v>4.8985495914617462E-2</v>
      </c>
      <c r="S96" s="1688">
        <v>25934</v>
      </c>
      <c r="T96" s="1689">
        <v>1175</v>
      </c>
      <c r="U96" s="1695">
        <f t="shared" si="66"/>
        <v>4.5307318577928586E-2</v>
      </c>
      <c r="V96" s="1688">
        <v>26377</v>
      </c>
      <c r="W96" s="1689">
        <v>1099</v>
      </c>
      <c r="X96" s="1695">
        <f t="shared" si="67"/>
        <v>4.1665087007620276E-2</v>
      </c>
      <c r="Y96" s="1688">
        <v>26738</v>
      </c>
      <c r="Z96" s="1689">
        <v>1214</v>
      </c>
      <c r="AA96" s="1695">
        <f t="shared" si="68"/>
        <v>4.540354551574538E-2</v>
      </c>
      <c r="AB96" s="1688">
        <v>27513</v>
      </c>
      <c r="AC96" s="1689">
        <v>1353</v>
      </c>
      <c r="AD96" s="1695">
        <f t="shared" si="69"/>
        <v>4.9176752807763603E-2</v>
      </c>
      <c r="AE96" s="1688">
        <v>26996</v>
      </c>
      <c r="AF96" s="1689">
        <v>2295</v>
      </c>
      <c r="AG96" s="1695">
        <f t="shared" si="70"/>
        <v>8.5012594458438284E-2</v>
      </c>
      <c r="AH96" s="1688">
        <v>27455</v>
      </c>
      <c r="AI96" s="1689">
        <v>2229</v>
      </c>
      <c r="AJ96" s="1695">
        <f t="shared" si="71"/>
        <v>8.1187397559643049E-2</v>
      </c>
      <c r="AK96" s="1684">
        <v>27852</v>
      </c>
      <c r="AL96" s="1685">
        <v>1974</v>
      </c>
      <c r="AM96" s="1695">
        <f t="shared" si="72"/>
        <v>7.087462300732443E-2</v>
      </c>
      <c r="AN96" s="1705">
        <v>27726</v>
      </c>
      <c r="AO96" s="1706">
        <v>1830</v>
      </c>
      <c r="AP96" s="1667">
        <f t="shared" si="73"/>
        <v>6.6003029647262498E-2</v>
      </c>
      <c r="AQ96" s="1705">
        <v>27842</v>
      </c>
      <c r="AR96" s="859">
        <v>1731</v>
      </c>
      <c r="AS96" s="1667">
        <f t="shared" si="74"/>
        <v>6.2172257740104875E-2</v>
      </c>
      <c r="AT96" s="1711">
        <v>27712</v>
      </c>
      <c r="AU96" s="1712">
        <v>1566</v>
      </c>
      <c r="AV96" s="1695">
        <f t="shared" si="75"/>
        <v>5.6509815242494224E-2</v>
      </c>
      <c r="AW96" s="1705">
        <v>27083</v>
      </c>
      <c r="AX96" s="1715">
        <v>1279</v>
      </c>
      <c r="AY96" s="1695">
        <f t="shared" si="76"/>
        <v>4.7225196617804527E-2</v>
      </c>
      <c r="AZ96" s="1705">
        <v>26881</v>
      </c>
      <c r="BA96" s="1715">
        <v>1194</v>
      </c>
      <c r="BB96" s="1695">
        <f t="shared" si="77"/>
        <v>4.4417990402142775E-2</v>
      </c>
      <c r="BC96" s="1699">
        <v>26961</v>
      </c>
      <c r="BD96" s="984">
        <v>1098</v>
      </c>
      <c r="BE96" s="980">
        <f t="shared" si="78"/>
        <v>4.0725492377879161E-2</v>
      </c>
      <c r="BF96" s="1699">
        <v>26785</v>
      </c>
      <c r="BG96" s="984">
        <v>894</v>
      </c>
      <c r="BH96" s="980">
        <f t="shared" si="79"/>
        <v>3.3376890050401342E-2</v>
      </c>
      <c r="BI96" s="1699">
        <v>26483</v>
      </c>
      <c r="BJ96" s="984">
        <v>850</v>
      </c>
      <c r="BK96" s="980">
        <f t="shared" si="59"/>
        <v>3.2096061624438316E-2</v>
      </c>
      <c r="BL96" s="1699">
        <v>25953</v>
      </c>
      <c r="BM96" s="984">
        <v>1496</v>
      </c>
      <c r="BN96" s="980">
        <f t="shared" si="60"/>
        <v>5.7642661734674222E-2</v>
      </c>
    </row>
    <row r="97" spans="1:66" ht="12.75" customHeight="1" x14ac:dyDescent="0.3">
      <c r="A97" s="198" t="s">
        <v>235</v>
      </c>
      <c r="B97" s="200" t="s">
        <v>236</v>
      </c>
      <c r="C97" s="85" t="s">
        <v>253</v>
      </c>
      <c r="D97" s="1675">
        <v>7686</v>
      </c>
      <c r="E97" s="1676">
        <v>275</v>
      </c>
      <c r="F97" s="1677">
        <f t="shared" si="61"/>
        <v>3.5779339058027583E-2</v>
      </c>
      <c r="G97" s="1688">
        <v>7676</v>
      </c>
      <c r="H97" s="1689">
        <v>315</v>
      </c>
      <c r="I97" s="1664">
        <f t="shared" si="62"/>
        <v>4.1036998436685776E-2</v>
      </c>
      <c r="J97" s="1688">
        <v>7875</v>
      </c>
      <c r="K97" s="1689">
        <v>375</v>
      </c>
      <c r="L97" s="1695">
        <f t="shared" si="63"/>
        <v>4.7619047619047616E-2</v>
      </c>
      <c r="M97" s="1688">
        <v>8061</v>
      </c>
      <c r="N97" s="1689">
        <v>389</v>
      </c>
      <c r="O97" s="1695">
        <f t="shared" si="64"/>
        <v>4.8257040069470292E-2</v>
      </c>
      <c r="P97" s="1688">
        <v>7836</v>
      </c>
      <c r="Q97" s="1689">
        <v>371</v>
      </c>
      <c r="R97" s="1695">
        <f t="shared" si="65"/>
        <v>4.7345584481878512E-2</v>
      </c>
      <c r="S97" s="1688">
        <v>8114</v>
      </c>
      <c r="T97" s="1689">
        <v>372</v>
      </c>
      <c r="U97" s="1695">
        <f t="shared" si="66"/>
        <v>4.5846684742420506E-2</v>
      </c>
      <c r="V97" s="1688">
        <v>8259</v>
      </c>
      <c r="W97" s="1689">
        <v>326</v>
      </c>
      <c r="X97" s="1695">
        <f t="shared" si="67"/>
        <v>3.9472091052185493E-2</v>
      </c>
      <c r="Y97" s="1688">
        <v>8313</v>
      </c>
      <c r="Z97" s="1689">
        <v>349</v>
      </c>
      <c r="AA97" s="1695">
        <f t="shared" si="68"/>
        <v>4.1982437146637797E-2</v>
      </c>
      <c r="AB97" s="1688">
        <v>8875</v>
      </c>
      <c r="AC97" s="1689">
        <v>447</v>
      </c>
      <c r="AD97" s="1695">
        <f t="shared" si="69"/>
        <v>5.0366197183098593E-2</v>
      </c>
      <c r="AE97" s="1688">
        <v>9133</v>
      </c>
      <c r="AF97" s="1689">
        <v>695</v>
      </c>
      <c r="AG97" s="1695">
        <f t="shared" si="70"/>
        <v>7.609766779809482E-2</v>
      </c>
      <c r="AH97" s="1688">
        <v>9193</v>
      </c>
      <c r="AI97" s="1689">
        <v>761</v>
      </c>
      <c r="AJ97" s="1695">
        <f t="shared" si="71"/>
        <v>8.2780376373327538E-2</v>
      </c>
      <c r="AK97" s="1684">
        <v>9388</v>
      </c>
      <c r="AL97" s="1685">
        <v>704</v>
      </c>
      <c r="AM97" s="1695">
        <f t="shared" si="72"/>
        <v>7.4989348103962503E-2</v>
      </c>
      <c r="AN97" s="1705">
        <v>9136</v>
      </c>
      <c r="AO97" s="1706">
        <v>651</v>
      </c>
      <c r="AP97" s="1667">
        <f t="shared" si="73"/>
        <v>7.125656742556917E-2</v>
      </c>
      <c r="AQ97" s="1705">
        <v>9099</v>
      </c>
      <c r="AR97" s="859">
        <v>610</v>
      </c>
      <c r="AS97" s="1667">
        <f t="shared" si="74"/>
        <v>6.7040334102648647E-2</v>
      </c>
      <c r="AT97" s="1711">
        <v>9042</v>
      </c>
      <c r="AU97" s="1712">
        <v>574</v>
      </c>
      <c r="AV97" s="1695">
        <f t="shared" si="75"/>
        <v>6.3481530634815306E-2</v>
      </c>
      <c r="AW97" s="1705">
        <v>8954</v>
      </c>
      <c r="AX97" s="1715">
        <v>476</v>
      </c>
      <c r="AY97" s="1695">
        <f t="shared" si="76"/>
        <v>5.3160598615144071E-2</v>
      </c>
      <c r="AZ97" s="1705">
        <v>8989</v>
      </c>
      <c r="BA97" s="1715">
        <v>405</v>
      </c>
      <c r="BB97" s="1695">
        <f t="shared" si="77"/>
        <v>4.5055067304483255E-2</v>
      </c>
      <c r="BC97" s="1699">
        <v>9402</v>
      </c>
      <c r="BD97" s="984">
        <v>416</v>
      </c>
      <c r="BE97" s="980">
        <f t="shared" si="78"/>
        <v>4.4245905126568813E-2</v>
      </c>
      <c r="BF97" s="1699">
        <v>9413</v>
      </c>
      <c r="BG97" s="984">
        <v>341</v>
      </c>
      <c r="BH97" s="980">
        <f t="shared" si="79"/>
        <v>3.6226495272495482E-2</v>
      </c>
      <c r="BI97" s="1699">
        <v>9574</v>
      </c>
      <c r="BJ97" s="984">
        <v>325</v>
      </c>
      <c r="BK97" s="980">
        <f t="shared" si="59"/>
        <v>3.3946104031752661E-2</v>
      </c>
      <c r="BL97" s="1699">
        <v>9473</v>
      </c>
      <c r="BM97" s="984">
        <v>558</v>
      </c>
      <c r="BN97" s="980">
        <f t="shared" si="60"/>
        <v>5.8904254196136388E-2</v>
      </c>
    </row>
    <row r="98" spans="1:66" ht="12.75" customHeight="1" x14ac:dyDescent="0.3">
      <c r="A98" s="198" t="s">
        <v>241</v>
      </c>
      <c r="B98" s="200" t="s">
        <v>242</v>
      </c>
      <c r="C98" s="85" t="s">
        <v>255</v>
      </c>
      <c r="D98" s="1675">
        <v>16152</v>
      </c>
      <c r="E98" s="1676">
        <v>685</v>
      </c>
      <c r="F98" s="1677">
        <f t="shared" si="61"/>
        <v>4.2409608717186728E-2</v>
      </c>
      <c r="G98" s="1688">
        <v>16387</v>
      </c>
      <c r="H98" s="1689">
        <v>773</v>
      </c>
      <c r="I98" s="1664">
        <f t="shared" si="62"/>
        <v>4.7171538414596939E-2</v>
      </c>
      <c r="J98" s="1688">
        <v>16917</v>
      </c>
      <c r="K98" s="1689">
        <v>1002</v>
      </c>
      <c r="L98" s="1695">
        <f t="shared" si="63"/>
        <v>5.9230359992906545E-2</v>
      </c>
      <c r="M98" s="1688">
        <v>17258</v>
      </c>
      <c r="N98" s="1689">
        <v>995</v>
      </c>
      <c r="O98" s="1695">
        <f t="shared" si="64"/>
        <v>5.7654421138022945E-2</v>
      </c>
      <c r="P98" s="1688">
        <v>16837</v>
      </c>
      <c r="Q98" s="1689">
        <v>893</v>
      </c>
      <c r="R98" s="1695">
        <f t="shared" si="65"/>
        <v>5.3037952129239174E-2</v>
      </c>
      <c r="S98" s="1688">
        <v>17238</v>
      </c>
      <c r="T98" s="1689">
        <v>825</v>
      </c>
      <c r="U98" s="1695">
        <f t="shared" si="66"/>
        <v>4.7859380438565961E-2</v>
      </c>
      <c r="V98" s="1688">
        <v>17279</v>
      </c>
      <c r="W98" s="1689">
        <v>782</v>
      </c>
      <c r="X98" s="1695">
        <f t="shared" si="67"/>
        <v>4.5257248683372879E-2</v>
      </c>
      <c r="Y98" s="1688">
        <v>17456</v>
      </c>
      <c r="Z98" s="1689">
        <v>687</v>
      </c>
      <c r="AA98" s="1695">
        <f t="shared" si="68"/>
        <v>3.9356095325389549E-2</v>
      </c>
      <c r="AB98" s="1688">
        <v>18108</v>
      </c>
      <c r="AC98" s="1689">
        <v>835</v>
      </c>
      <c r="AD98" s="1695">
        <f t="shared" si="69"/>
        <v>4.6112215595316988E-2</v>
      </c>
      <c r="AE98" s="1688">
        <v>19412</v>
      </c>
      <c r="AF98" s="1689">
        <v>1283</v>
      </c>
      <c r="AG98" s="1695">
        <f t="shared" si="70"/>
        <v>6.6093138264990733E-2</v>
      </c>
      <c r="AH98" s="1688">
        <v>17005</v>
      </c>
      <c r="AI98" s="1689">
        <v>1452</v>
      </c>
      <c r="AJ98" s="1695">
        <f t="shared" si="71"/>
        <v>8.5386650985004406E-2</v>
      </c>
      <c r="AK98" s="1684">
        <v>17229</v>
      </c>
      <c r="AL98" s="1685">
        <v>1318</v>
      </c>
      <c r="AM98" s="1695">
        <f t="shared" si="72"/>
        <v>7.6498926229032441E-2</v>
      </c>
      <c r="AN98" s="1705">
        <v>15979</v>
      </c>
      <c r="AO98" s="1706">
        <v>1399</v>
      </c>
      <c r="AP98" s="1667">
        <f t="shared" si="73"/>
        <v>8.7552412541460664E-2</v>
      </c>
      <c r="AQ98" s="1705">
        <v>15086</v>
      </c>
      <c r="AR98" s="859">
        <v>1525</v>
      </c>
      <c r="AS98" s="1667">
        <f t="shared" si="74"/>
        <v>0.10108710062309426</v>
      </c>
      <c r="AT98" s="1711">
        <v>14471</v>
      </c>
      <c r="AU98" s="1712">
        <v>1348</v>
      </c>
      <c r="AV98" s="1695">
        <f t="shared" si="75"/>
        <v>9.3151820883145608E-2</v>
      </c>
      <c r="AW98" s="1705">
        <v>13831</v>
      </c>
      <c r="AX98" s="1715">
        <v>1130</v>
      </c>
      <c r="AY98" s="1695">
        <f t="shared" si="76"/>
        <v>8.170052779986986E-2</v>
      </c>
      <c r="AZ98" s="1705">
        <v>13211</v>
      </c>
      <c r="BA98" s="1715">
        <v>1102</v>
      </c>
      <c r="BB98" s="1695">
        <f t="shared" si="77"/>
        <v>8.341533570509424E-2</v>
      </c>
      <c r="BC98" s="1699">
        <v>13606</v>
      </c>
      <c r="BD98" s="984">
        <v>859</v>
      </c>
      <c r="BE98" s="980">
        <f t="shared" si="78"/>
        <v>6.3133911509628104E-2</v>
      </c>
      <c r="BF98" s="1699">
        <v>13264</v>
      </c>
      <c r="BG98" s="984">
        <v>647</v>
      </c>
      <c r="BH98" s="980">
        <f t="shared" si="79"/>
        <v>4.8778648974668277E-2</v>
      </c>
      <c r="BI98" s="1699">
        <v>13419</v>
      </c>
      <c r="BJ98" s="984">
        <v>595</v>
      </c>
      <c r="BK98" s="980">
        <f t="shared" si="59"/>
        <v>4.4340114762649971E-2</v>
      </c>
      <c r="BL98" s="1699">
        <v>13076</v>
      </c>
      <c r="BM98" s="984">
        <v>996</v>
      </c>
      <c r="BN98" s="980">
        <f t="shared" si="60"/>
        <v>7.6170082594065464E-2</v>
      </c>
    </row>
    <row r="99" spans="1:66" ht="12.75" customHeight="1" x14ac:dyDescent="0.3">
      <c r="A99" s="198" t="s">
        <v>243</v>
      </c>
      <c r="B99" s="200" t="s">
        <v>244</v>
      </c>
      <c r="C99" s="85" t="s">
        <v>255</v>
      </c>
      <c r="D99" s="1675">
        <v>14162</v>
      </c>
      <c r="E99" s="1676">
        <v>616</v>
      </c>
      <c r="F99" s="1677">
        <f t="shared" si="61"/>
        <v>4.3496681259709083E-2</v>
      </c>
      <c r="G99" s="1688">
        <v>14318</v>
      </c>
      <c r="H99" s="1689">
        <v>978</v>
      </c>
      <c r="I99" s="1664">
        <f t="shared" si="62"/>
        <v>6.8305629277832097E-2</v>
      </c>
      <c r="J99" s="1688">
        <v>14333</v>
      </c>
      <c r="K99" s="1689">
        <v>901</v>
      </c>
      <c r="L99" s="1695">
        <f t="shared" si="63"/>
        <v>6.2861927021558642E-2</v>
      </c>
      <c r="M99" s="1688">
        <v>14728</v>
      </c>
      <c r="N99" s="1689">
        <v>779</v>
      </c>
      <c r="O99" s="1695">
        <f t="shared" si="64"/>
        <v>5.2892449755567623E-2</v>
      </c>
      <c r="P99" s="1688">
        <v>14484</v>
      </c>
      <c r="Q99" s="1689">
        <v>705</v>
      </c>
      <c r="R99" s="1695">
        <f t="shared" si="65"/>
        <v>4.8674399337199671E-2</v>
      </c>
      <c r="S99" s="1688">
        <v>14965</v>
      </c>
      <c r="T99" s="1689">
        <v>653</v>
      </c>
      <c r="U99" s="1695">
        <f t="shared" si="66"/>
        <v>4.3635148680253928E-2</v>
      </c>
      <c r="V99" s="1688">
        <v>14984</v>
      </c>
      <c r="W99" s="1689">
        <v>618</v>
      </c>
      <c r="X99" s="1695">
        <f t="shared" si="67"/>
        <v>4.1243993593166044E-2</v>
      </c>
      <c r="Y99" s="1688">
        <v>15475</v>
      </c>
      <c r="Z99" s="1689">
        <v>691</v>
      </c>
      <c r="AA99" s="1695">
        <f t="shared" si="68"/>
        <v>4.4652665589660745E-2</v>
      </c>
      <c r="AB99" s="1688">
        <v>16175</v>
      </c>
      <c r="AC99" s="1689">
        <v>863</v>
      </c>
      <c r="AD99" s="1695">
        <f t="shared" si="69"/>
        <v>5.3353941267387947E-2</v>
      </c>
      <c r="AE99" s="1688">
        <v>16396</v>
      </c>
      <c r="AF99" s="1689">
        <v>1716</v>
      </c>
      <c r="AG99" s="1695">
        <f t="shared" si="70"/>
        <v>0.1046596730909978</v>
      </c>
      <c r="AH99" s="1688">
        <v>14302</v>
      </c>
      <c r="AI99" s="1689">
        <v>1621</v>
      </c>
      <c r="AJ99" s="1695">
        <f t="shared" si="71"/>
        <v>0.11334079149769263</v>
      </c>
      <c r="AK99" s="1684">
        <v>14360</v>
      </c>
      <c r="AL99" s="1685">
        <v>1315</v>
      </c>
      <c r="AM99" s="1695">
        <f t="shared" si="72"/>
        <v>9.1573816155988863E-2</v>
      </c>
      <c r="AN99" s="1705">
        <v>14096</v>
      </c>
      <c r="AO99" s="1706">
        <v>1068</v>
      </c>
      <c r="AP99" s="1667">
        <f t="shared" si="73"/>
        <v>7.5766174801362093E-2</v>
      </c>
      <c r="AQ99" s="1705">
        <v>13995</v>
      </c>
      <c r="AR99" s="859">
        <v>1064</v>
      </c>
      <c r="AS99" s="1667">
        <f t="shared" si="74"/>
        <v>7.6027152554483737E-2</v>
      </c>
      <c r="AT99" s="1711">
        <v>13834</v>
      </c>
      <c r="AU99" s="1712">
        <v>874</v>
      </c>
      <c r="AV99" s="1695">
        <f t="shared" si="75"/>
        <v>6.3177678184183891E-2</v>
      </c>
      <c r="AW99" s="1705">
        <v>13694</v>
      </c>
      <c r="AX99" s="1715">
        <v>733</v>
      </c>
      <c r="AY99" s="1695">
        <f t="shared" si="76"/>
        <v>5.3527092157149118E-2</v>
      </c>
      <c r="AZ99" s="1705">
        <v>13673</v>
      </c>
      <c r="BA99" s="1715">
        <v>768</v>
      </c>
      <c r="BB99" s="1695">
        <f t="shared" si="77"/>
        <v>5.616909237182769E-2</v>
      </c>
      <c r="BC99" s="1699">
        <v>14099</v>
      </c>
      <c r="BD99" s="984">
        <v>702</v>
      </c>
      <c r="BE99" s="980">
        <f t="shared" si="78"/>
        <v>4.9790765302503724E-2</v>
      </c>
      <c r="BF99" s="1699">
        <v>13788</v>
      </c>
      <c r="BG99" s="984">
        <v>507</v>
      </c>
      <c r="BH99" s="980">
        <f t="shared" si="79"/>
        <v>3.6771105308964318E-2</v>
      </c>
      <c r="BI99" s="1699">
        <v>13809</v>
      </c>
      <c r="BJ99" s="984">
        <v>473</v>
      </c>
      <c r="BK99" s="980">
        <f t="shared" si="59"/>
        <v>3.4253023390542398E-2</v>
      </c>
      <c r="BL99" s="1699">
        <v>13827</v>
      </c>
      <c r="BM99" s="984">
        <v>1067</v>
      </c>
      <c r="BN99" s="980">
        <f t="shared" si="60"/>
        <v>7.7167859984089107E-2</v>
      </c>
    </row>
    <row r="100" spans="1:66" ht="12.75" customHeight="1" x14ac:dyDescent="0.3">
      <c r="A100" s="198" t="s">
        <v>245</v>
      </c>
      <c r="B100" s="200" t="s">
        <v>246</v>
      </c>
      <c r="C100" s="85" t="s">
        <v>251</v>
      </c>
      <c r="D100" s="1678">
        <v>32692</v>
      </c>
      <c r="E100" s="1679">
        <v>636</v>
      </c>
      <c r="F100" s="1677">
        <f t="shared" si="61"/>
        <v>1.9454300746359964E-2</v>
      </c>
      <c r="G100" s="1690">
        <v>33850</v>
      </c>
      <c r="H100" s="1691">
        <v>836</v>
      </c>
      <c r="I100" s="1664">
        <f t="shared" si="62"/>
        <v>2.4697193500738554E-2</v>
      </c>
      <c r="J100" s="1690">
        <v>34898</v>
      </c>
      <c r="K100" s="1691">
        <v>1058</v>
      </c>
      <c r="L100" s="1695">
        <f t="shared" si="63"/>
        <v>3.0316923605937303E-2</v>
      </c>
      <c r="M100" s="1690">
        <v>35185</v>
      </c>
      <c r="N100" s="1691">
        <v>1114</v>
      </c>
      <c r="O100" s="1695">
        <f t="shared" si="64"/>
        <v>3.1661219269575103E-2</v>
      </c>
      <c r="P100" s="1690">
        <v>35487</v>
      </c>
      <c r="Q100" s="1691">
        <v>1097</v>
      </c>
      <c r="R100" s="1695">
        <f t="shared" si="65"/>
        <v>3.0912728604841209E-2</v>
      </c>
      <c r="S100" s="1690">
        <v>36715</v>
      </c>
      <c r="T100" s="1691">
        <v>1112</v>
      </c>
      <c r="U100" s="1695">
        <f t="shared" si="66"/>
        <v>3.0287348495165463E-2</v>
      </c>
      <c r="V100" s="1690">
        <v>37370</v>
      </c>
      <c r="W100" s="1691">
        <v>988</v>
      </c>
      <c r="X100" s="1695">
        <f t="shared" si="67"/>
        <v>2.6438319507626439E-2</v>
      </c>
      <c r="Y100" s="1690">
        <v>37329</v>
      </c>
      <c r="Z100" s="1691">
        <v>913</v>
      </c>
      <c r="AA100" s="1695">
        <f t="shared" si="68"/>
        <v>2.4458196040611856E-2</v>
      </c>
      <c r="AB100" s="1690">
        <v>37725</v>
      </c>
      <c r="AC100" s="1691">
        <v>1226</v>
      </c>
      <c r="AD100" s="1695">
        <f t="shared" si="69"/>
        <v>3.2498343273691187E-2</v>
      </c>
      <c r="AE100" s="1690">
        <v>36632</v>
      </c>
      <c r="AF100" s="1691">
        <v>1936</v>
      </c>
      <c r="AG100" s="1695">
        <f t="shared" si="70"/>
        <v>5.2849967241755842E-2</v>
      </c>
      <c r="AH100" s="1690">
        <v>37728</v>
      </c>
      <c r="AI100" s="1691">
        <v>2361</v>
      </c>
      <c r="AJ100" s="1695">
        <f t="shared" si="71"/>
        <v>6.2579516539440203E-2</v>
      </c>
      <c r="AK100" s="1684">
        <v>38216</v>
      </c>
      <c r="AL100" s="1685">
        <v>2314</v>
      </c>
      <c r="AM100" s="1695">
        <f t="shared" si="72"/>
        <v>6.0550554741469545E-2</v>
      </c>
      <c r="AN100" s="1705">
        <v>38025</v>
      </c>
      <c r="AO100" s="1706">
        <v>2133</v>
      </c>
      <c r="AP100" s="1667">
        <f t="shared" si="73"/>
        <v>5.6094674556213017E-2</v>
      </c>
      <c r="AQ100" s="1705">
        <v>38196</v>
      </c>
      <c r="AR100" s="859">
        <v>1980</v>
      </c>
      <c r="AS100" s="1667">
        <f t="shared" si="74"/>
        <v>5.1837888784165884E-2</v>
      </c>
      <c r="AT100" s="1711">
        <v>38265</v>
      </c>
      <c r="AU100" s="1712">
        <v>1850</v>
      </c>
      <c r="AV100" s="1695">
        <f t="shared" si="75"/>
        <v>4.8347053443094208E-2</v>
      </c>
      <c r="AW100" s="1705">
        <v>38347</v>
      </c>
      <c r="AX100" s="1715">
        <v>1596</v>
      </c>
      <c r="AY100" s="1695">
        <f t="shared" si="76"/>
        <v>4.1619944193809162E-2</v>
      </c>
      <c r="AZ100" s="1705">
        <v>38331</v>
      </c>
      <c r="BA100" s="1715">
        <v>1442</v>
      </c>
      <c r="BB100" s="1695">
        <f t="shared" si="77"/>
        <v>3.7619681197985963E-2</v>
      </c>
      <c r="BC100" s="1699">
        <v>38969</v>
      </c>
      <c r="BD100" s="984">
        <v>1349</v>
      </c>
      <c r="BE100" s="980">
        <f t="shared" si="78"/>
        <v>3.4617259873232567E-2</v>
      </c>
      <c r="BF100" s="1699">
        <v>39199</v>
      </c>
      <c r="BG100" s="984">
        <v>1072</v>
      </c>
      <c r="BH100" s="980">
        <f t="shared" si="79"/>
        <v>2.7347636419296412E-2</v>
      </c>
      <c r="BI100" s="1699">
        <v>39799</v>
      </c>
      <c r="BJ100" s="984">
        <v>1001</v>
      </c>
      <c r="BK100" s="980">
        <f t="shared" si="59"/>
        <v>2.5151385713208876E-2</v>
      </c>
      <c r="BL100" s="1699">
        <v>38639</v>
      </c>
      <c r="BM100" s="984">
        <v>2064</v>
      </c>
      <c r="BN100" s="980">
        <f t="shared" si="60"/>
        <v>5.3417531509614639E-2</v>
      </c>
    </row>
    <row r="101" spans="1:66" ht="12.75" customHeight="1" x14ac:dyDescent="0.3">
      <c r="A101" s="198" t="s">
        <v>13</v>
      </c>
      <c r="B101" s="200" t="s">
        <v>14</v>
      </c>
      <c r="C101" s="85" t="s">
        <v>254</v>
      </c>
      <c r="D101" s="1675">
        <v>80943</v>
      </c>
      <c r="E101" s="1676">
        <v>1448</v>
      </c>
      <c r="F101" s="1677">
        <f t="shared" si="61"/>
        <v>1.7889131858221219E-2</v>
      </c>
      <c r="G101" s="1688">
        <v>81631</v>
      </c>
      <c r="H101" s="1689">
        <v>2215</v>
      </c>
      <c r="I101" s="1664">
        <f t="shared" si="62"/>
        <v>2.713429946956426E-2</v>
      </c>
      <c r="J101" s="1688">
        <v>83146</v>
      </c>
      <c r="K101" s="1689">
        <v>2864</v>
      </c>
      <c r="L101" s="1695">
        <f t="shared" si="63"/>
        <v>3.4445433334135134E-2</v>
      </c>
      <c r="M101" s="1688">
        <v>82495</v>
      </c>
      <c r="N101" s="1689">
        <v>2476</v>
      </c>
      <c r="O101" s="1695">
        <f t="shared" si="64"/>
        <v>3.0013940238802352E-2</v>
      </c>
      <c r="P101" s="1688">
        <v>83784</v>
      </c>
      <c r="Q101" s="1689">
        <v>2306</v>
      </c>
      <c r="R101" s="1695">
        <f t="shared" si="65"/>
        <v>2.7523154778955408E-2</v>
      </c>
      <c r="S101" s="1688">
        <v>84746</v>
      </c>
      <c r="T101" s="1689">
        <v>2211</v>
      </c>
      <c r="U101" s="1695">
        <f t="shared" si="66"/>
        <v>2.6089726948764543E-2</v>
      </c>
      <c r="V101" s="1688">
        <v>86832</v>
      </c>
      <c r="W101" s="1689">
        <v>1941</v>
      </c>
      <c r="X101" s="1695">
        <f t="shared" si="67"/>
        <v>2.2353510226644554E-2</v>
      </c>
      <c r="Y101" s="1688">
        <v>89476</v>
      </c>
      <c r="Z101" s="1689">
        <v>1992</v>
      </c>
      <c r="AA101" s="1695">
        <f t="shared" si="68"/>
        <v>2.2262953194152623E-2</v>
      </c>
      <c r="AB101" s="1688">
        <v>93221</v>
      </c>
      <c r="AC101" s="1689">
        <v>2571</v>
      </c>
      <c r="AD101" s="1695">
        <f t="shared" si="69"/>
        <v>2.7579622617221442E-2</v>
      </c>
      <c r="AE101" s="1688">
        <v>94424</v>
      </c>
      <c r="AF101" s="1689">
        <v>4534</v>
      </c>
      <c r="AG101" s="1695">
        <f t="shared" si="70"/>
        <v>4.8017453189866985E-2</v>
      </c>
      <c r="AH101" s="1688">
        <v>90436</v>
      </c>
      <c r="AI101" s="1689">
        <v>4564</v>
      </c>
      <c r="AJ101" s="1695">
        <f t="shared" si="71"/>
        <v>5.046662833384935E-2</v>
      </c>
      <c r="AK101" s="1684">
        <v>92366</v>
      </c>
      <c r="AL101" s="1685">
        <v>4109</v>
      </c>
      <c r="AM101" s="1695">
        <f t="shared" si="72"/>
        <v>4.4486066301452916E-2</v>
      </c>
      <c r="AN101" s="1705">
        <v>93156</v>
      </c>
      <c r="AO101" s="1706">
        <v>3732</v>
      </c>
      <c r="AP101" s="1667">
        <f t="shared" si="73"/>
        <v>4.0061831766069818E-2</v>
      </c>
      <c r="AQ101" s="1705">
        <v>93742</v>
      </c>
      <c r="AR101" s="859">
        <v>3705</v>
      </c>
      <c r="AS101" s="1667">
        <f t="shared" si="74"/>
        <v>3.9523372661133753E-2</v>
      </c>
      <c r="AT101" s="1711">
        <v>93893</v>
      </c>
      <c r="AU101" s="1712">
        <v>3538</v>
      </c>
      <c r="AV101" s="1695">
        <f t="shared" si="75"/>
        <v>3.7681190291076014E-2</v>
      </c>
      <c r="AW101" s="1705">
        <v>94551</v>
      </c>
      <c r="AX101" s="1715">
        <v>3066</v>
      </c>
      <c r="AY101" s="1695">
        <f t="shared" si="76"/>
        <v>3.2426944188850462E-2</v>
      </c>
      <c r="AZ101" s="1705">
        <v>96536</v>
      </c>
      <c r="BA101" s="1715">
        <v>2760</v>
      </c>
      <c r="BB101" s="1695">
        <f t="shared" si="77"/>
        <v>2.8590370431756027E-2</v>
      </c>
      <c r="BC101" s="1699">
        <v>99829</v>
      </c>
      <c r="BD101" s="984">
        <v>2821</v>
      </c>
      <c r="BE101" s="980">
        <f t="shared" si="78"/>
        <v>2.8258321730158572E-2</v>
      </c>
      <c r="BF101" s="1699">
        <v>100466</v>
      </c>
      <c r="BG101" s="984">
        <v>2249</v>
      </c>
      <c r="BH101" s="980">
        <f t="shared" si="79"/>
        <v>2.2385682718531641E-2</v>
      </c>
      <c r="BI101" s="1699">
        <v>101532</v>
      </c>
      <c r="BJ101" s="984">
        <v>2075</v>
      </c>
      <c r="BK101" s="980">
        <f t="shared" si="59"/>
        <v>2.043690659102549E-2</v>
      </c>
      <c r="BL101" s="1699">
        <v>100168</v>
      </c>
      <c r="BM101" s="984">
        <v>6011</v>
      </c>
      <c r="BN101" s="980">
        <f t="shared" si="60"/>
        <v>6.0009184569922533E-2</v>
      </c>
    </row>
    <row r="102" spans="1:66" ht="12.75" customHeight="1" x14ac:dyDescent="0.3">
      <c r="A102" s="198" t="s">
        <v>33</v>
      </c>
      <c r="B102" s="200" t="s">
        <v>34</v>
      </c>
      <c r="C102" s="85" t="s">
        <v>255</v>
      </c>
      <c r="D102" s="1675">
        <v>7512</v>
      </c>
      <c r="E102" s="1676">
        <v>239</v>
      </c>
      <c r="F102" s="1677">
        <f t="shared" ref="F102:F125" si="80">E102/D102</f>
        <v>3.1815761448349307E-2</v>
      </c>
      <c r="G102" s="1688">
        <v>7585</v>
      </c>
      <c r="H102" s="1689">
        <v>317</v>
      </c>
      <c r="I102" s="1664">
        <f t="shared" ref="I102:I125" si="81">H102/G102</f>
        <v>4.1793012524719841E-2</v>
      </c>
      <c r="J102" s="1688">
        <v>7573</v>
      </c>
      <c r="K102" s="1689">
        <v>378</v>
      </c>
      <c r="L102" s="1695">
        <f t="shared" ref="L102:L125" si="82">K102/J102</f>
        <v>4.9914168757427706E-2</v>
      </c>
      <c r="M102" s="1688">
        <v>7837</v>
      </c>
      <c r="N102" s="1689">
        <v>487</v>
      </c>
      <c r="O102" s="1695">
        <f t="shared" ref="O102:O125" si="83">N102/M102</f>
        <v>6.214112543064948E-2</v>
      </c>
      <c r="P102" s="1688">
        <v>7713</v>
      </c>
      <c r="Q102" s="1689">
        <v>483</v>
      </c>
      <c r="R102" s="1695">
        <f t="shared" ref="R102:R125" si="84">Q102/P102</f>
        <v>6.2621548035783736E-2</v>
      </c>
      <c r="S102" s="1688">
        <v>7737</v>
      </c>
      <c r="T102" s="1689">
        <v>425</v>
      </c>
      <c r="U102" s="1695">
        <f t="shared" ref="U102:U125" si="85">T102/S102</f>
        <v>5.4930851751324804E-2</v>
      </c>
      <c r="V102" s="1688">
        <v>7937</v>
      </c>
      <c r="W102" s="1689">
        <v>387</v>
      </c>
      <c r="X102" s="1695">
        <f t="shared" ref="X102:X125" si="86">W102/V102</f>
        <v>4.8758976943429511E-2</v>
      </c>
      <c r="Y102" s="1688">
        <v>7966</v>
      </c>
      <c r="Z102" s="1689">
        <v>409</v>
      </c>
      <c r="AA102" s="1695">
        <f t="shared" ref="AA102:AA125" si="87">Z102/Y102</f>
        <v>5.1343208636706002E-2</v>
      </c>
      <c r="AB102" s="1688">
        <v>8091</v>
      </c>
      <c r="AC102" s="1689">
        <v>466</v>
      </c>
      <c r="AD102" s="1695">
        <f t="shared" ref="AD102:AD125" si="88">AC102/AB102</f>
        <v>5.7594858484736125E-2</v>
      </c>
      <c r="AE102" s="1688">
        <v>8125</v>
      </c>
      <c r="AF102" s="1689">
        <v>810</v>
      </c>
      <c r="AG102" s="1695">
        <f t="shared" ref="AG102:AG125" si="89">AF102/AE102</f>
        <v>9.9692307692307691E-2</v>
      </c>
      <c r="AH102" s="1688">
        <v>7991</v>
      </c>
      <c r="AI102" s="1689">
        <v>721</v>
      </c>
      <c r="AJ102" s="1695">
        <f t="shared" ref="AJ102:AJ125" si="90">AI102/AH102</f>
        <v>9.0226504817920161E-2</v>
      </c>
      <c r="AK102" s="1684">
        <v>8084</v>
      </c>
      <c r="AL102" s="1685">
        <v>668</v>
      </c>
      <c r="AM102" s="1695">
        <f t="shared" ref="AM102:AM125" si="91">AL102/AK102</f>
        <v>8.2632360217714002E-2</v>
      </c>
      <c r="AN102" s="1705">
        <v>7988</v>
      </c>
      <c r="AO102" s="1706">
        <v>571</v>
      </c>
      <c r="AP102" s="1667">
        <f t="shared" ref="AP102:AP125" si="92">AO102/AN102</f>
        <v>7.1482223335002509E-2</v>
      </c>
      <c r="AQ102" s="1705">
        <v>7822</v>
      </c>
      <c r="AR102" s="859">
        <v>533</v>
      </c>
      <c r="AS102" s="1667">
        <f t="shared" ref="AS102:AS125" si="93">AR102/AQ102</f>
        <v>6.8141140373306056E-2</v>
      </c>
      <c r="AT102" s="1711">
        <v>7746</v>
      </c>
      <c r="AU102" s="1712">
        <v>485</v>
      </c>
      <c r="AV102" s="1695">
        <f t="shared" ref="AV102:AV125" si="94">AU102/AT102</f>
        <v>6.2612961528530853E-2</v>
      </c>
      <c r="AW102" s="1705">
        <v>7541</v>
      </c>
      <c r="AX102" s="1715">
        <v>398</v>
      </c>
      <c r="AY102" s="1695">
        <f t="shared" ref="AY102:AY125" si="95">AX102/AW102</f>
        <v>5.2778146134464923E-2</v>
      </c>
      <c r="AZ102" s="1705">
        <v>7455</v>
      </c>
      <c r="BA102" s="1715">
        <v>371</v>
      </c>
      <c r="BB102" s="1695">
        <f t="shared" ref="BB102:BB125" si="96">BA102/AZ102</f>
        <v>4.9765258215962442E-2</v>
      </c>
      <c r="BC102" s="1699">
        <v>7382</v>
      </c>
      <c r="BD102" s="984">
        <v>330</v>
      </c>
      <c r="BE102" s="980">
        <f t="shared" ref="BE102:BE125" si="97">BD102/BC102</f>
        <v>4.4703332430235707E-2</v>
      </c>
      <c r="BF102" s="1699">
        <v>7210</v>
      </c>
      <c r="BG102" s="984">
        <v>268</v>
      </c>
      <c r="BH102" s="980">
        <f t="shared" ref="BH102:BH125" si="98">BG102/BF102</f>
        <v>3.7170596393897366E-2</v>
      </c>
      <c r="BI102" s="1699">
        <v>7337</v>
      </c>
      <c r="BJ102" s="984">
        <v>264</v>
      </c>
      <c r="BK102" s="980">
        <f t="shared" si="59"/>
        <v>3.5982008995502246E-2</v>
      </c>
      <c r="BL102" s="1699">
        <v>7316</v>
      </c>
      <c r="BM102" s="984">
        <v>566</v>
      </c>
      <c r="BN102" s="980">
        <f t="shared" si="60"/>
        <v>7.7364680153089116E-2</v>
      </c>
    </row>
    <row r="103" spans="1:66" ht="12.75" customHeight="1" x14ac:dyDescent="0.3">
      <c r="A103" s="198" t="s">
        <v>51</v>
      </c>
      <c r="B103" s="200" t="s">
        <v>52</v>
      </c>
      <c r="C103" s="85" t="s">
        <v>252</v>
      </c>
      <c r="D103" s="1675">
        <v>19378</v>
      </c>
      <c r="E103" s="1676">
        <v>575</v>
      </c>
      <c r="F103" s="1677">
        <f t="shared" si="80"/>
        <v>2.9672824852925998E-2</v>
      </c>
      <c r="G103" s="1688">
        <v>19097</v>
      </c>
      <c r="H103" s="1689">
        <v>689</v>
      </c>
      <c r="I103" s="1664">
        <f t="shared" si="81"/>
        <v>3.6078965282505107E-2</v>
      </c>
      <c r="J103" s="1688">
        <v>19644</v>
      </c>
      <c r="K103" s="1689">
        <v>765</v>
      </c>
      <c r="L103" s="1695">
        <f t="shared" si="82"/>
        <v>3.8943188759926695E-2</v>
      </c>
      <c r="M103" s="1688">
        <v>19398</v>
      </c>
      <c r="N103" s="1689">
        <v>807</v>
      </c>
      <c r="O103" s="1695">
        <f t="shared" si="83"/>
        <v>4.1602227033714814E-2</v>
      </c>
      <c r="P103" s="1688">
        <v>19583</v>
      </c>
      <c r="Q103" s="1689">
        <v>814</v>
      </c>
      <c r="R103" s="1695">
        <f t="shared" si="84"/>
        <v>4.1566664964510038E-2</v>
      </c>
      <c r="S103" s="1688">
        <v>19797</v>
      </c>
      <c r="T103" s="1689">
        <v>758</v>
      </c>
      <c r="U103" s="1695">
        <f t="shared" si="85"/>
        <v>3.8288629590341974E-2</v>
      </c>
      <c r="V103" s="1688">
        <v>20407</v>
      </c>
      <c r="W103" s="1689">
        <v>663</v>
      </c>
      <c r="X103" s="1695">
        <f t="shared" si="86"/>
        <v>3.248885186455628E-2</v>
      </c>
      <c r="Y103" s="1688">
        <v>21246</v>
      </c>
      <c r="Z103" s="1689">
        <v>650</v>
      </c>
      <c r="AA103" s="1695">
        <f t="shared" si="87"/>
        <v>3.0593994163607266E-2</v>
      </c>
      <c r="AB103" s="1688">
        <v>21730</v>
      </c>
      <c r="AC103" s="1689">
        <v>846</v>
      </c>
      <c r="AD103" s="1695">
        <f t="shared" si="88"/>
        <v>3.8932351587666822E-2</v>
      </c>
      <c r="AE103" s="1688">
        <v>21718</v>
      </c>
      <c r="AF103" s="1689">
        <v>1401</v>
      </c>
      <c r="AG103" s="1695">
        <f t="shared" si="89"/>
        <v>6.4508702458789938E-2</v>
      </c>
      <c r="AH103" s="1688">
        <v>23229</v>
      </c>
      <c r="AI103" s="1689">
        <v>1450</v>
      </c>
      <c r="AJ103" s="1695">
        <f t="shared" si="90"/>
        <v>6.2421972534332085E-2</v>
      </c>
      <c r="AK103" s="1684">
        <v>23212</v>
      </c>
      <c r="AL103" s="1685">
        <v>1294</v>
      </c>
      <c r="AM103" s="1695">
        <f t="shared" si="91"/>
        <v>5.5747027399620883E-2</v>
      </c>
      <c r="AN103" s="1705">
        <v>23400</v>
      </c>
      <c r="AO103" s="1706">
        <v>1175</v>
      </c>
      <c r="AP103" s="1667">
        <f t="shared" si="92"/>
        <v>5.0213675213675216E-2</v>
      </c>
      <c r="AQ103" s="1705">
        <v>23410</v>
      </c>
      <c r="AR103" s="859">
        <v>1070</v>
      </c>
      <c r="AS103" s="1667">
        <f t="shared" si="93"/>
        <v>4.57069628363947E-2</v>
      </c>
      <c r="AT103" s="1711">
        <v>24308</v>
      </c>
      <c r="AU103" s="1712">
        <v>1031</v>
      </c>
      <c r="AV103" s="1695">
        <f t="shared" si="94"/>
        <v>4.2414020075695245E-2</v>
      </c>
      <c r="AW103" s="1705">
        <v>24746</v>
      </c>
      <c r="AX103" s="1715">
        <v>900</v>
      </c>
      <c r="AY103" s="1695">
        <f t="shared" si="95"/>
        <v>3.6369514264931707E-2</v>
      </c>
      <c r="AZ103" s="1705">
        <v>24916</v>
      </c>
      <c r="BA103" s="1715">
        <v>828</v>
      </c>
      <c r="BB103" s="1695">
        <f t="shared" si="96"/>
        <v>3.3231658372130359E-2</v>
      </c>
      <c r="BC103" s="1699">
        <v>25902</v>
      </c>
      <c r="BD103" s="984">
        <v>791</v>
      </c>
      <c r="BE103" s="980">
        <f t="shared" si="97"/>
        <v>3.0538182379739015E-2</v>
      </c>
      <c r="BF103" s="1699">
        <v>26087</v>
      </c>
      <c r="BG103" s="984">
        <v>656</v>
      </c>
      <c r="BH103" s="980">
        <f t="shared" si="98"/>
        <v>2.5146624755625409E-2</v>
      </c>
      <c r="BI103" s="1699">
        <v>26318</v>
      </c>
      <c r="BJ103" s="984">
        <v>598</v>
      </c>
      <c r="BK103" s="980">
        <f t="shared" si="59"/>
        <v>2.2722091344327077E-2</v>
      </c>
      <c r="BL103" s="1699">
        <v>25424</v>
      </c>
      <c r="BM103" s="984">
        <v>1639</v>
      </c>
      <c r="BN103" s="980">
        <f t="shared" si="60"/>
        <v>6.4466645689112645E-2</v>
      </c>
    </row>
    <row r="104" spans="1:66" ht="12.75" customHeight="1" x14ac:dyDescent="0.3">
      <c r="A104" s="198" t="s">
        <v>53</v>
      </c>
      <c r="B104" s="200" t="s">
        <v>54</v>
      </c>
      <c r="C104" s="85" t="s">
        <v>251</v>
      </c>
      <c r="D104" s="1675">
        <v>97963</v>
      </c>
      <c r="E104" s="1676">
        <v>2249</v>
      </c>
      <c r="F104" s="1677">
        <f t="shared" si="80"/>
        <v>2.2957647274991579E-2</v>
      </c>
      <c r="G104" s="1688">
        <v>101138</v>
      </c>
      <c r="H104" s="1689">
        <v>2982</v>
      </c>
      <c r="I104" s="1664">
        <f t="shared" si="81"/>
        <v>2.9484466768178133E-2</v>
      </c>
      <c r="J104" s="1688">
        <v>103352</v>
      </c>
      <c r="K104" s="1689">
        <v>3826</v>
      </c>
      <c r="L104" s="1695">
        <f t="shared" si="82"/>
        <v>3.7019119126867402E-2</v>
      </c>
      <c r="M104" s="1688">
        <v>105117</v>
      </c>
      <c r="N104" s="1689">
        <v>4058</v>
      </c>
      <c r="O104" s="1695">
        <f t="shared" si="83"/>
        <v>3.8604602490558138E-2</v>
      </c>
      <c r="P104" s="1688">
        <v>107580</v>
      </c>
      <c r="Q104" s="1689">
        <v>4039</v>
      </c>
      <c r="R104" s="1695">
        <f t="shared" si="84"/>
        <v>3.754415318832497E-2</v>
      </c>
      <c r="S104" s="1688">
        <v>111678</v>
      </c>
      <c r="T104" s="1689">
        <v>4040</v>
      </c>
      <c r="U104" s="1695">
        <f t="shared" si="85"/>
        <v>3.6175432941134331E-2</v>
      </c>
      <c r="V104" s="1688">
        <v>114199</v>
      </c>
      <c r="W104" s="1689">
        <v>3731</v>
      </c>
      <c r="X104" s="1695">
        <f t="shared" si="86"/>
        <v>3.2671039150955788E-2</v>
      </c>
      <c r="Y104" s="1688">
        <v>114338</v>
      </c>
      <c r="Z104" s="1689">
        <v>3444</v>
      </c>
      <c r="AA104" s="1695">
        <f t="shared" si="87"/>
        <v>3.0121219542059506E-2</v>
      </c>
      <c r="AB104" s="1688">
        <v>116579</v>
      </c>
      <c r="AC104" s="1689">
        <v>4489</v>
      </c>
      <c r="AD104" s="1695">
        <f t="shared" si="88"/>
        <v>3.8506077423892809E-2</v>
      </c>
      <c r="AE104" s="1688">
        <v>114934</v>
      </c>
      <c r="AF104" s="1689">
        <v>7315</v>
      </c>
      <c r="AG104" s="1695">
        <f t="shared" si="89"/>
        <v>6.3645222475507676E-2</v>
      </c>
      <c r="AH104" s="1688">
        <v>113482</v>
      </c>
      <c r="AI104" s="1689">
        <v>8361</v>
      </c>
      <c r="AJ104" s="1695">
        <f t="shared" si="90"/>
        <v>7.3676882677429015E-2</v>
      </c>
      <c r="AK104" s="1684">
        <v>114467</v>
      </c>
      <c r="AL104" s="1685">
        <v>7891</v>
      </c>
      <c r="AM104" s="1695">
        <f t="shared" si="91"/>
        <v>6.893689884420838E-2</v>
      </c>
      <c r="AN104" s="1705">
        <v>115007</v>
      </c>
      <c r="AO104" s="1706">
        <v>7231</v>
      </c>
      <c r="AP104" s="1667">
        <f t="shared" si="92"/>
        <v>6.2874433730120777E-2</v>
      </c>
      <c r="AQ104" s="1705">
        <v>116363</v>
      </c>
      <c r="AR104" s="859">
        <v>6720</v>
      </c>
      <c r="AS104" s="1667">
        <f t="shared" si="93"/>
        <v>5.7750315822039655E-2</v>
      </c>
      <c r="AT104" s="1711">
        <v>117670</v>
      </c>
      <c r="AU104" s="1712">
        <v>6084</v>
      </c>
      <c r="AV104" s="1695">
        <f t="shared" si="94"/>
        <v>5.1703917736041473E-2</v>
      </c>
      <c r="AW104" s="1705">
        <v>116777</v>
      </c>
      <c r="AX104" s="1715">
        <v>5227</v>
      </c>
      <c r="AY104" s="1695">
        <f t="shared" si="95"/>
        <v>4.4760526473535026E-2</v>
      </c>
      <c r="AZ104" s="1705">
        <v>118086</v>
      </c>
      <c r="BA104" s="1715">
        <v>4963</v>
      </c>
      <c r="BB104" s="1695">
        <f t="shared" si="96"/>
        <v>4.2028690954050436E-2</v>
      </c>
      <c r="BC104" s="1699">
        <v>121483</v>
      </c>
      <c r="BD104" s="984">
        <v>4549</v>
      </c>
      <c r="BE104" s="980">
        <f t="shared" si="97"/>
        <v>3.7445568515759406E-2</v>
      </c>
      <c r="BF104" s="1699">
        <v>122864</v>
      </c>
      <c r="BG104" s="984">
        <v>3674</v>
      </c>
      <c r="BH104" s="980">
        <f t="shared" si="98"/>
        <v>2.9902982159135304E-2</v>
      </c>
      <c r="BI104" s="1699">
        <v>125020</v>
      </c>
      <c r="BJ104" s="984">
        <v>3444</v>
      </c>
      <c r="BK104" s="980">
        <f t="shared" si="59"/>
        <v>2.7547592385218363E-2</v>
      </c>
      <c r="BL104" s="1699">
        <v>122036</v>
      </c>
      <c r="BM104" s="984">
        <v>7480</v>
      </c>
      <c r="BN104" s="980">
        <f t="shared" si="60"/>
        <v>6.1293388836081153E-2</v>
      </c>
    </row>
    <row r="105" spans="1:66" ht="12.75" customHeight="1" x14ac:dyDescent="0.3">
      <c r="A105" s="198" t="s">
        <v>65</v>
      </c>
      <c r="B105" s="200" t="s">
        <v>66</v>
      </c>
      <c r="C105" s="85" t="s">
        <v>252</v>
      </c>
      <c r="D105" s="1675">
        <v>21392</v>
      </c>
      <c r="E105" s="1676">
        <v>944</v>
      </c>
      <c r="F105" s="1677">
        <f t="shared" si="80"/>
        <v>4.4128646222887064E-2</v>
      </c>
      <c r="G105" s="1688">
        <v>21448</v>
      </c>
      <c r="H105" s="1689">
        <v>1499</v>
      </c>
      <c r="I105" s="1664">
        <f t="shared" si="81"/>
        <v>6.9889966430436407E-2</v>
      </c>
      <c r="J105" s="1688">
        <v>21686</v>
      </c>
      <c r="K105" s="1689">
        <v>1875</v>
      </c>
      <c r="L105" s="1695">
        <f t="shared" si="82"/>
        <v>8.6461311445171996E-2</v>
      </c>
      <c r="M105" s="1688">
        <v>21747</v>
      </c>
      <c r="N105" s="1689">
        <v>2060</v>
      </c>
      <c r="O105" s="1695">
        <f t="shared" si="83"/>
        <v>9.4725709293235844E-2</v>
      </c>
      <c r="P105" s="1688">
        <v>20837</v>
      </c>
      <c r="Q105" s="1689">
        <v>1975</v>
      </c>
      <c r="R105" s="1695">
        <f t="shared" si="84"/>
        <v>9.4783318136008057E-2</v>
      </c>
      <c r="S105" s="1688">
        <v>20921</v>
      </c>
      <c r="T105" s="1689">
        <v>2128</v>
      </c>
      <c r="U105" s="1695">
        <f t="shared" si="85"/>
        <v>0.101715979159696</v>
      </c>
      <c r="V105" s="1688">
        <v>20172</v>
      </c>
      <c r="W105" s="1689">
        <v>1767</v>
      </c>
      <c r="X105" s="1695">
        <f t="shared" si="86"/>
        <v>8.7596668649613324E-2</v>
      </c>
      <c r="Y105" s="1688">
        <v>19709</v>
      </c>
      <c r="Z105" s="1689">
        <v>1459</v>
      </c>
      <c r="AA105" s="1695">
        <f t="shared" si="87"/>
        <v>7.4027094220914302E-2</v>
      </c>
      <c r="AB105" s="1688">
        <v>20157</v>
      </c>
      <c r="AC105" s="1689">
        <v>1856</v>
      </c>
      <c r="AD105" s="1695">
        <f t="shared" si="88"/>
        <v>9.2077194026888923E-2</v>
      </c>
      <c r="AE105" s="1688">
        <v>20102</v>
      </c>
      <c r="AF105" s="1689">
        <v>2714</v>
      </c>
      <c r="AG105" s="1695">
        <f t="shared" si="89"/>
        <v>0.13501144164759726</v>
      </c>
      <c r="AH105" s="1688">
        <v>20163</v>
      </c>
      <c r="AI105" s="1689">
        <v>2781</v>
      </c>
      <c r="AJ105" s="1695">
        <f t="shared" si="90"/>
        <v>0.13792590388335069</v>
      </c>
      <c r="AK105" s="1684">
        <v>20246</v>
      </c>
      <c r="AL105" s="1685">
        <v>2352</v>
      </c>
      <c r="AM105" s="1695">
        <f t="shared" si="91"/>
        <v>0.11617109552504198</v>
      </c>
      <c r="AN105" s="1705">
        <v>19924</v>
      </c>
      <c r="AO105" s="1706">
        <v>2022</v>
      </c>
      <c r="AP105" s="1667">
        <f t="shared" si="92"/>
        <v>0.10148564545272033</v>
      </c>
      <c r="AQ105" s="1705">
        <v>19789</v>
      </c>
      <c r="AR105" s="859">
        <v>1894</v>
      </c>
      <c r="AS105" s="1667">
        <f t="shared" si="93"/>
        <v>9.5709737733084041E-2</v>
      </c>
      <c r="AT105" s="1711">
        <v>19649</v>
      </c>
      <c r="AU105" s="1712">
        <v>1673</v>
      </c>
      <c r="AV105" s="1695">
        <f t="shared" si="94"/>
        <v>8.5144282151763451E-2</v>
      </c>
      <c r="AW105" s="1705">
        <v>19184</v>
      </c>
      <c r="AX105" s="1715">
        <v>1365</v>
      </c>
      <c r="AY105" s="1695">
        <f t="shared" si="95"/>
        <v>7.1153044203502921E-2</v>
      </c>
      <c r="AZ105" s="1705">
        <v>19125</v>
      </c>
      <c r="BA105" s="1715">
        <v>1141</v>
      </c>
      <c r="BB105" s="1695">
        <f t="shared" si="96"/>
        <v>5.9660130718954249E-2</v>
      </c>
      <c r="BC105" s="1699">
        <v>20028</v>
      </c>
      <c r="BD105" s="984">
        <v>1122</v>
      </c>
      <c r="BE105" s="980">
        <f t="shared" si="97"/>
        <v>5.6021569802276815E-2</v>
      </c>
      <c r="BF105" s="1699">
        <v>19656</v>
      </c>
      <c r="BG105" s="984">
        <v>984</v>
      </c>
      <c r="BH105" s="980">
        <f t="shared" si="98"/>
        <v>5.0061050061050064E-2</v>
      </c>
      <c r="BI105" s="1699">
        <v>19223</v>
      </c>
      <c r="BJ105" s="984">
        <v>923</v>
      </c>
      <c r="BK105" s="980">
        <f t="shared" si="59"/>
        <v>4.8015398220881238E-2</v>
      </c>
      <c r="BL105" s="1699">
        <v>19250</v>
      </c>
      <c r="BM105" s="984">
        <v>1871</v>
      </c>
      <c r="BN105" s="980">
        <f t="shared" si="60"/>
        <v>9.7194805194805195E-2</v>
      </c>
    </row>
    <row r="106" spans="1:66" ht="12.75" customHeight="1" x14ac:dyDescent="0.3">
      <c r="A106" s="198" t="s">
        <v>81</v>
      </c>
      <c r="B106" s="200" t="s">
        <v>284</v>
      </c>
      <c r="C106" s="85" t="s">
        <v>251</v>
      </c>
      <c r="D106" s="1675">
        <v>3569</v>
      </c>
      <c r="E106" s="1676">
        <v>113</v>
      </c>
      <c r="F106" s="1677">
        <f t="shared" si="80"/>
        <v>3.16615298402914E-2</v>
      </c>
      <c r="G106" s="1688">
        <v>3549</v>
      </c>
      <c r="H106" s="1689">
        <v>156</v>
      </c>
      <c r="I106" s="1664">
        <f t="shared" si="81"/>
        <v>4.3956043956043959E-2</v>
      </c>
      <c r="J106" s="1688">
        <v>3535</v>
      </c>
      <c r="K106" s="1689">
        <v>171</v>
      </c>
      <c r="L106" s="1695">
        <f t="shared" si="82"/>
        <v>4.8373408769448373E-2</v>
      </c>
      <c r="M106" s="1688">
        <v>3666</v>
      </c>
      <c r="N106" s="1689">
        <v>180</v>
      </c>
      <c r="O106" s="1695">
        <f t="shared" si="83"/>
        <v>4.9099836333878884E-2</v>
      </c>
      <c r="P106" s="1688">
        <v>3643</v>
      </c>
      <c r="Q106" s="1689">
        <v>185</v>
      </c>
      <c r="R106" s="1695">
        <f t="shared" si="84"/>
        <v>5.0782322261872084E-2</v>
      </c>
      <c r="S106" s="1688">
        <v>3725</v>
      </c>
      <c r="T106" s="1689">
        <v>194</v>
      </c>
      <c r="U106" s="1695">
        <f t="shared" si="85"/>
        <v>5.2080536912751677E-2</v>
      </c>
      <c r="V106" s="1688">
        <v>3798</v>
      </c>
      <c r="W106" s="1689">
        <v>181</v>
      </c>
      <c r="X106" s="1695">
        <f t="shared" si="86"/>
        <v>4.7656661400737231E-2</v>
      </c>
      <c r="Y106" s="1688">
        <v>3924</v>
      </c>
      <c r="Z106" s="1689">
        <v>181</v>
      </c>
      <c r="AA106" s="1695">
        <f t="shared" si="87"/>
        <v>4.6126401630988786E-2</v>
      </c>
      <c r="AB106" s="1688">
        <v>3951</v>
      </c>
      <c r="AC106" s="1689">
        <v>247</v>
      </c>
      <c r="AD106" s="1695">
        <f t="shared" si="88"/>
        <v>6.2515818780055687E-2</v>
      </c>
      <c r="AE106" s="1688">
        <v>3945</v>
      </c>
      <c r="AF106" s="1689">
        <v>399</v>
      </c>
      <c r="AG106" s="1695">
        <f t="shared" si="89"/>
        <v>0.10114068441064639</v>
      </c>
      <c r="AH106" s="1688">
        <v>3719</v>
      </c>
      <c r="AI106" s="1689">
        <v>480</v>
      </c>
      <c r="AJ106" s="1695">
        <f t="shared" si="90"/>
        <v>0.12906695348211886</v>
      </c>
      <c r="AK106" s="1684">
        <v>3668</v>
      </c>
      <c r="AL106" s="1685">
        <v>417</v>
      </c>
      <c r="AM106" s="1695">
        <f t="shared" si="91"/>
        <v>0.11368593238822247</v>
      </c>
      <c r="AN106" s="1705">
        <v>3721</v>
      </c>
      <c r="AO106" s="1706">
        <v>365</v>
      </c>
      <c r="AP106" s="1667">
        <f t="shared" si="92"/>
        <v>9.8091910776672939E-2</v>
      </c>
      <c r="AQ106" s="1705">
        <v>3693</v>
      </c>
      <c r="AR106" s="859">
        <v>336</v>
      </c>
      <c r="AS106" s="1667">
        <f t="shared" si="93"/>
        <v>9.0982940698619008E-2</v>
      </c>
      <c r="AT106" s="1711">
        <v>3625</v>
      </c>
      <c r="AU106" s="1712">
        <v>279</v>
      </c>
      <c r="AV106" s="1695">
        <f t="shared" si="94"/>
        <v>7.6965517241379316E-2</v>
      </c>
      <c r="AW106" s="1705">
        <v>3622</v>
      </c>
      <c r="AX106" s="1715">
        <v>240</v>
      </c>
      <c r="AY106" s="1695">
        <f t="shared" si="95"/>
        <v>6.6261733848702375E-2</v>
      </c>
      <c r="AZ106" s="1705">
        <v>3540</v>
      </c>
      <c r="BA106" s="1715">
        <v>211</v>
      </c>
      <c r="BB106" s="1695">
        <f t="shared" si="96"/>
        <v>5.9604519774011301E-2</v>
      </c>
      <c r="BC106" s="1699">
        <v>3588</v>
      </c>
      <c r="BD106" s="984">
        <v>188</v>
      </c>
      <c r="BE106" s="980">
        <f t="shared" si="97"/>
        <v>5.2396878483835008E-2</v>
      </c>
      <c r="BF106" s="1699">
        <v>3604</v>
      </c>
      <c r="BG106" s="984">
        <v>155</v>
      </c>
      <c r="BH106" s="980">
        <f t="shared" si="98"/>
        <v>4.3007769145394004E-2</v>
      </c>
      <c r="BI106" s="1699">
        <v>3608</v>
      </c>
      <c r="BJ106" s="984">
        <v>138</v>
      </c>
      <c r="BK106" s="980">
        <f t="shared" si="59"/>
        <v>3.8248337028824832E-2</v>
      </c>
      <c r="BL106" s="1699">
        <v>3640</v>
      </c>
      <c r="BM106" s="984">
        <v>308</v>
      </c>
      <c r="BN106" s="980">
        <f t="shared" si="60"/>
        <v>8.461538461538462E-2</v>
      </c>
    </row>
    <row r="107" spans="1:66" ht="12.75" customHeight="1" x14ac:dyDescent="0.3">
      <c r="A107" s="198" t="s">
        <v>87</v>
      </c>
      <c r="B107" s="200" t="s">
        <v>88</v>
      </c>
      <c r="C107" s="85" t="s">
        <v>254</v>
      </c>
      <c r="D107" s="1675">
        <v>10325</v>
      </c>
      <c r="E107" s="1676">
        <v>239</v>
      </c>
      <c r="F107" s="1677">
        <f t="shared" si="80"/>
        <v>2.3147699757869251E-2</v>
      </c>
      <c r="G107" s="1688">
        <v>10578</v>
      </c>
      <c r="H107" s="1689">
        <v>378</v>
      </c>
      <c r="I107" s="1664">
        <f t="shared" si="81"/>
        <v>3.5734543391945546E-2</v>
      </c>
      <c r="J107" s="1688">
        <v>10712</v>
      </c>
      <c r="K107" s="1689">
        <v>585</v>
      </c>
      <c r="L107" s="1695">
        <f t="shared" si="82"/>
        <v>5.461165048543689E-2</v>
      </c>
      <c r="M107" s="1688">
        <v>10598</v>
      </c>
      <c r="N107" s="1689">
        <v>556</v>
      </c>
      <c r="O107" s="1695">
        <f t="shared" si="83"/>
        <v>5.2462728816757877E-2</v>
      </c>
      <c r="P107" s="1688">
        <v>11045</v>
      </c>
      <c r="Q107" s="1689">
        <v>542</v>
      </c>
      <c r="R107" s="1695">
        <f t="shared" si="84"/>
        <v>4.9071978270710727E-2</v>
      </c>
      <c r="S107" s="1688">
        <v>11225</v>
      </c>
      <c r="T107" s="1689">
        <v>503</v>
      </c>
      <c r="U107" s="1695">
        <f t="shared" si="85"/>
        <v>4.4810690423162582E-2</v>
      </c>
      <c r="V107" s="1688">
        <v>11645</v>
      </c>
      <c r="W107" s="1689">
        <v>465</v>
      </c>
      <c r="X107" s="1695">
        <f t="shared" si="86"/>
        <v>3.9931300987548303E-2</v>
      </c>
      <c r="Y107" s="1688">
        <v>12429</v>
      </c>
      <c r="Z107" s="1689">
        <v>557</v>
      </c>
      <c r="AA107" s="1695">
        <f t="shared" si="87"/>
        <v>4.4814546624829026E-2</v>
      </c>
      <c r="AB107" s="1688">
        <v>12965</v>
      </c>
      <c r="AC107" s="1689">
        <v>782</v>
      </c>
      <c r="AD107" s="1695">
        <f t="shared" si="88"/>
        <v>6.0316236020053988E-2</v>
      </c>
      <c r="AE107" s="1688">
        <v>12984</v>
      </c>
      <c r="AF107" s="1689">
        <v>1216</v>
      </c>
      <c r="AG107" s="1695">
        <f t="shared" si="89"/>
        <v>9.3653727664818234E-2</v>
      </c>
      <c r="AH107" s="1688">
        <v>12446</v>
      </c>
      <c r="AI107" s="1689">
        <v>1148</v>
      </c>
      <c r="AJ107" s="1695">
        <f t="shared" si="90"/>
        <v>9.2238470191226093E-2</v>
      </c>
      <c r="AK107" s="1684">
        <v>13052</v>
      </c>
      <c r="AL107" s="1685">
        <v>1046</v>
      </c>
      <c r="AM107" s="1695">
        <f t="shared" si="91"/>
        <v>8.0140974563285325E-2</v>
      </c>
      <c r="AN107" s="1705">
        <v>13577</v>
      </c>
      <c r="AO107" s="1706">
        <v>939</v>
      </c>
      <c r="AP107" s="1667">
        <f t="shared" si="92"/>
        <v>6.9161081240332919E-2</v>
      </c>
      <c r="AQ107" s="1705">
        <v>13763</v>
      </c>
      <c r="AR107" s="859">
        <v>869</v>
      </c>
      <c r="AS107" s="1667">
        <f t="shared" si="93"/>
        <v>6.3140303712853299E-2</v>
      </c>
      <c r="AT107" s="1711">
        <v>13716</v>
      </c>
      <c r="AU107" s="1712">
        <v>822</v>
      </c>
      <c r="AV107" s="1695">
        <f t="shared" si="94"/>
        <v>5.9930008748906388E-2</v>
      </c>
      <c r="AW107" s="1705">
        <v>13419</v>
      </c>
      <c r="AX107" s="1715">
        <v>707</v>
      </c>
      <c r="AY107" s="1695">
        <f t="shared" si="95"/>
        <v>5.2686489306207618E-2</v>
      </c>
      <c r="AZ107" s="1705">
        <v>13575</v>
      </c>
      <c r="BA107" s="1715">
        <v>639</v>
      </c>
      <c r="BB107" s="1695">
        <f t="shared" si="96"/>
        <v>4.7071823204419889E-2</v>
      </c>
      <c r="BC107" s="1699">
        <v>13661</v>
      </c>
      <c r="BD107" s="984">
        <v>592</v>
      </c>
      <c r="BE107" s="980">
        <f t="shared" si="97"/>
        <v>4.333504135861211E-2</v>
      </c>
      <c r="BF107" s="1699">
        <v>14027</v>
      </c>
      <c r="BG107" s="984">
        <v>481</v>
      </c>
      <c r="BH107" s="980">
        <f t="shared" si="98"/>
        <v>3.4291010194624653E-2</v>
      </c>
      <c r="BI107" s="1699">
        <v>14218</v>
      </c>
      <c r="BJ107" s="984">
        <v>460</v>
      </c>
      <c r="BK107" s="980">
        <f t="shared" si="59"/>
        <v>3.2353354902236599E-2</v>
      </c>
      <c r="BL107" s="1699">
        <v>14020</v>
      </c>
      <c r="BM107" s="984">
        <v>1003</v>
      </c>
      <c r="BN107" s="980">
        <f t="shared" si="60"/>
        <v>7.1540656205420827E-2</v>
      </c>
    </row>
    <row r="108" spans="1:66" ht="12.75" customHeight="1" x14ac:dyDescent="0.3">
      <c r="A108" s="198" t="s">
        <v>89</v>
      </c>
      <c r="B108" s="200" t="s">
        <v>90</v>
      </c>
      <c r="C108" s="85" t="s">
        <v>255</v>
      </c>
      <c r="D108" s="1675">
        <v>3305</v>
      </c>
      <c r="E108" s="1676">
        <v>116</v>
      </c>
      <c r="F108" s="1677">
        <f t="shared" si="80"/>
        <v>3.509833585476551E-2</v>
      </c>
      <c r="G108" s="1688">
        <v>3186</v>
      </c>
      <c r="H108" s="1689">
        <v>192</v>
      </c>
      <c r="I108" s="1664">
        <f t="shared" si="81"/>
        <v>6.0263653483992465E-2</v>
      </c>
      <c r="J108" s="1688">
        <v>3268</v>
      </c>
      <c r="K108" s="1689">
        <v>263</v>
      </c>
      <c r="L108" s="1695">
        <f t="shared" si="82"/>
        <v>8.0477356181150553E-2</v>
      </c>
      <c r="M108" s="1688">
        <v>3264</v>
      </c>
      <c r="N108" s="1689">
        <v>209</v>
      </c>
      <c r="O108" s="1695">
        <f t="shared" si="83"/>
        <v>6.4031862745098034E-2</v>
      </c>
      <c r="P108" s="1688">
        <v>3138</v>
      </c>
      <c r="Q108" s="1689">
        <v>178</v>
      </c>
      <c r="R108" s="1695">
        <f t="shared" si="84"/>
        <v>5.672402804333971E-2</v>
      </c>
      <c r="S108" s="1688">
        <v>3110</v>
      </c>
      <c r="T108" s="1689">
        <v>160</v>
      </c>
      <c r="U108" s="1695">
        <f t="shared" si="85"/>
        <v>5.1446945337620578E-2</v>
      </c>
      <c r="V108" s="1688">
        <v>3035</v>
      </c>
      <c r="W108" s="1689">
        <v>186</v>
      </c>
      <c r="X108" s="1695">
        <f t="shared" si="86"/>
        <v>6.1285008237232291E-2</v>
      </c>
      <c r="Y108" s="1688">
        <v>3124</v>
      </c>
      <c r="Z108" s="1689">
        <v>176</v>
      </c>
      <c r="AA108" s="1695">
        <f t="shared" si="87"/>
        <v>5.6338028169014086E-2</v>
      </c>
      <c r="AB108" s="1688">
        <v>3130</v>
      </c>
      <c r="AC108" s="1689">
        <v>191</v>
      </c>
      <c r="AD108" s="1695">
        <f t="shared" si="88"/>
        <v>6.1022364217252399E-2</v>
      </c>
      <c r="AE108" s="1688">
        <v>3234</v>
      </c>
      <c r="AF108" s="1689">
        <v>313</v>
      </c>
      <c r="AG108" s="1695">
        <f t="shared" si="89"/>
        <v>9.6784168212739635E-2</v>
      </c>
      <c r="AH108" s="1688">
        <v>3179</v>
      </c>
      <c r="AI108" s="1689">
        <v>355</v>
      </c>
      <c r="AJ108" s="1695">
        <f t="shared" si="90"/>
        <v>0.11167033658383139</v>
      </c>
      <c r="AK108" s="1684">
        <v>3099</v>
      </c>
      <c r="AL108" s="1685">
        <v>318</v>
      </c>
      <c r="AM108" s="1695">
        <f t="shared" si="91"/>
        <v>0.10261374636979671</v>
      </c>
      <c r="AN108" s="1705">
        <v>3051</v>
      </c>
      <c r="AO108" s="1706">
        <v>265</v>
      </c>
      <c r="AP108" s="1667">
        <f t="shared" si="92"/>
        <v>8.6856768272697477E-2</v>
      </c>
      <c r="AQ108" s="1705">
        <v>3018</v>
      </c>
      <c r="AR108" s="859">
        <v>254</v>
      </c>
      <c r="AS108" s="1667">
        <f t="shared" si="93"/>
        <v>8.4161696487740231E-2</v>
      </c>
      <c r="AT108" s="1711">
        <v>3003</v>
      </c>
      <c r="AU108" s="1712">
        <v>217</v>
      </c>
      <c r="AV108" s="1695">
        <f t="shared" si="94"/>
        <v>7.2261072261072257E-2</v>
      </c>
      <c r="AW108" s="1705">
        <v>2957</v>
      </c>
      <c r="AX108" s="1715">
        <v>159</v>
      </c>
      <c r="AY108" s="1695">
        <f t="shared" si="95"/>
        <v>5.3770713561041593E-2</v>
      </c>
      <c r="AZ108" s="1705">
        <v>2905</v>
      </c>
      <c r="BA108" s="1715">
        <v>141</v>
      </c>
      <c r="BB108" s="1695">
        <f t="shared" si="96"/>
        <v>4.8537005163511185E-2</v>
      </c>
      <c r="BC108" s="1699">
        <v>3021</v>
      </c>
      <c r="BD108" s="984">
        <v>125</v>
      </c>
      <c r="BE108" s="980">
        <f t="shared" si="97"/>
        <v>4.137702747434624E-2</v>
      </c>
      <c r="BF108" s="1699">
        <v>2943</v>
      </c>
      <c r="BG108" s="984">
        <v>100</v>
      </c>
      <c r="BH108" s="980">
        <f t="shared" si="98"/>
        <v>3.3978933061501869E-2</v>
      </c>
      <c r="BI108" s="1699">
        <v>2935</v>
      </c>
      <c r="BJ108" s="984">
        <v>91</v>
      </c>
      <c r="BK108" s="980">
        <f t="shared" si="59"/>
        <v>3.1005110732538331E-2</v>
      </c>
      <c r="BL108" s="1699">
        <v>2881</v>
      </c>
      <c r="BM108" s="984">
        <v>223</v>
      </c>
      <c r="BN108" s="980">
        <f t="shared" si="60"/>
        <v>7.7403679278028464E-2</v>
      </c>
    </row>
    <row r="109" spans="1:66" ht="12.75" customHeight="1" x14ac:dyDescent="0.3">
      <c r="A109" s="198" t="s">
        <v>105</v>
      </c>
      <c r="B109" s="200" t="s">
        <v>106</v>
      </c>
      <c r="C109" s="85" t="s">
        <v>251</v>
      </c>
      <c r="D109" s="1675">
        <v>64335</v>
      </c>
      <c r="E109" s="1676">
        <v>1749</v>
      </c>
      <c r="F109" s="1677">
        <f t="shared" si="80"/>
        <v>2.7185824201445559E-2</v>
      </c>
      <c r="G109" s="1688">
        <v>64976</v>
      </c>
      <c r="H109" s="1689">
        <v>2277</v>
      </c>
      <c r="I109" s="1664">
        <f t="shared" si="81"/>
        <v>3.5043708446195518E-2</v>
      </c>
      <c r="J109" s="1688">
        <v>65854</v>
      </c>
      <c r="K109" s="1689">
        <v>3206</v>
      </c>
      <c r="L109" s="1695">
        <f t="shared" si="82"/>
        <v>4.8683451270993411E-2</v>
      </c>
      <c r="M109" s="1688">
        <v>65721</v>
      </c>
      <c r="N109" s="1689">
        <v>3221</v>
      </c>
      <c r="O109" s="1695">
        <f t="shared" si="83"/>
        <v>4.9010209826387305E-2</v>
      </c>
      <c r="P109" s="1688">
        <v>65417</v>
      </c>
      <c r="Q109" s="1689">
        <v>3142</v>
      </c>
      <c r="R109" s="1695">
        <f t="shared" si="84"/>
        <v>4.8030328507880214E-2</v>
      </c>
      <c r="S109" s="1688">
        <v>66763</v>
      </c>
      <c r="T109" s="1689">
        <v>3017</v>
      </c>
      <c r="U109" s="1695">
        <f t="shared" si="85"/>
        <v>4.5189700882225188E-2</v>
      </c>
      <c r="V109" s="1688">
        <v>67151</v>
      </c>
      <c r="W109" s="1689">
        <v>2503</v>
      </c>
      <c r="X109" s="1695">
        <f t="shared" si="86"/>
        <v>3.7274202915816596E-2</v>
      </c>
      <c r="Y109" s="1688">
        <v>68492</v>
      </c>
      <c r="Z109" s="1689">
        <v>2440</v>
      </c>
      <c r="AA109" s="1695">
        <f t="shared" si="87"/>
        <v>3.5624598493254687E-2</v>
      </c>
      <c r="AB109" s="1688">
        <v>69260</v>
      </c>
      <c r="AC109" s="1689">
        <v>3281</v>
      </c>
      <c r="AD109" s="1695">
        <f t="shared" si="88"/>
        <v>4.7372220617961307E-2</v>
      </c>
      <c r="AE109" s="1688">
        <v>67306</v>
      </c>
      <c r="AF109" s="1689">
        <v>5264</v>
      </c>
      <c r="AG109" s="1695">
        <f t="shared" si="89"/>
        <v>7.8209966422012903E-2</v>
      </c>
      <c r="AH109" s="1688">
        <v>66782</v>
      </c>
      <c r="AI109" s="1689">
        <v>6124</v>
      </c>
      <c r="AJ109" s="1695">
        <f t="shared" si="90"/>
        <v>9.1701356652990326E-2</v>
      </c>
      <c r="AK109" s="1684">
        <v>66340</v>
      </c>
      <c r="AL109" s="1685">
        <v>5915</v>
      </c>
      <c r="AM109" s="1695">
        <f t="shared" si="91"/>
        <v>8.9161893277057577E-2</v>
      </c>
      <c r="AN109" s="1705">
        <v>65857</v>
      </c>
      <c r="AO109" s="1706">
        <v>5327</v>
      </c>
      <c r="AP109" s="1667">
        <f t="shared" si="92"/>
        <v>8.0887377196045981E-2</v>
      </c>
      <c r="AQ109" s="1705">
        <v>65830</v>
      </c>
      <c r="AR109" s="859">
        <v>4820</v>
      </c>
      <c r="AS109" s="1667">
        <f t="shared" si="93"/>
        <v>7.3218897159349844E-2</v>
      </c>
      <c r="AT109" s="1711">
        <v>65793</v>
      </c>
      <c r="AU109" s="1712">
        <v>4362</v>
      </c>
      <c r="AV109" s="1695">
        <f t="shared" si="94"/>
        <v>6.6298846381833934E-2</v>
      </c>
      <c r="AW109" s="1705">
        <v>64501</v>
      </c>
      <c r="AX109" s="1715">
        <v>3819</v>
      </c>
      <c r="AY109" s="1695">
        <f t="shared" si="95"/>
        <v>5.9208384366133855E-2</v>
      </c>
      <c r="AZ109" s="1705">
        <v>64029</v>
      </c>
      <c r="BA109" s="1715">
        <v>3591</v>
      </c>
      <c r="BB109" s="1695">
        <f t="shared" si="96"/>
        <v>5.6083961954739261E-2</v>
      </c>
      <c r="BC109" s="1699">
        <v>64755</v>
      </c>
      <c r="BD109" s="984">
        <v>3238</v>
      </c>
      <c r="BE109" s="980">
        <f t="shared" si="97"/>
        <v>5.0003860705737008E-2</v>
      </c>
      <c r="BF109" s="1699">
        <v>64540</v>
      </c>
      <c r="BG109" s="984">
        <v>2580</v>
      </c>
      <c r="BH109" s="980">
        <f t="shared" si="98"/>
        <v>3.9975209172606135E-2</v>
      </c>
      <c r="BI109" s="1699">
        <v>65080</v>
      </c>
      <c r="BJ109" s="984">
        <v>2361</v>
      </c>
      <c r="BK109" s="980">
        <f t="shared" si="59"/>
        <v>3.6278426551936076E-2</v>
      </c>
      <c r="BL109" s="1699">
        <v>64604</v>
      </c>
      <c r="BM109" s="984">
        <v>5514</v>
      </c>
      <c r="BN109" s="980">
        <f t="shared" si="60"/>
        <v>8.5350752275400898E-2</v>
      </c>
    </row>
    <row r="110" spans="1:66" ht="12.75" customHeight="1" x14ac:dyDescent="0.3">
      <c r="A110" s="198" t="s">
        <v>115</v>
      </c>
      <c r="B110" s="200" t="s">
        <v>116</v>
      </c>
      <c r="C110" s="85" t="s">
        <v>253</v>
      </c>
      <c r="D110" s="1675">
        <v>9873</v>
      </c>
      <c r="E110" s="1676">
        <v>283</v>
      </c>
      <c r="F110" s="1677">
        <f t="shared" si="80"/>
        <v>2.8664033221918364E-2</v>
      </c>
      <c r="G110" s="1688">
        <v>9973</v>
      </c>
      <c r="H110" s="1689">
        <v>464</v>
      </c>
      <c r="I110" s="1664">
        <f t="shared" si="81"/>
        <v>4.652561917176376E-2</v>
      </c>
      <c r="J110" s="1688">
        <v>10108</v>
      </c>
      <c r="K110" s="1689">
        <v>627</v>
      </c>
      <c r="L110" s="1695">
        <f t="shared" si="82"/>
        <v>6.2030075187969921E-2</v>
      </c>
      <c r="M110" s="1688">
        <v>10021</v>
      </c>
      <c r="N110" s="1689">
        <v>636</v>
      </c>
      <c r="O110" s="1695">
        <f t="shared" si="83"/>
        <v>6.3466719888234713E-2</v>
      </c>
      <c r="P110" s="1688">
        <v>10015</v>
      </c>
      <c r="Q110" s="1689">
        <v>566</v>
      </c>
      <c r="R110" s="1695">
        <f t="shared" si="84"/>
        <v>5.6515227159261106E-2</v>
      </c>
      <c r="S110" s="1688">
        <v>10276</v>
      </c>
      <c r="T110" s="1689">
        <v>593</v>
      </c>
      <c r="U110" s="1695">
        <f t="shared" si="85"/>
        <v>5.7707279096924871E-2</v>
      </c>
      <c r="V110" s="1688">
        <v>10294</v>
      </c>
      <c r="W110" s="1689">
        <v>483</v>
      </c>
      <c r="X110" s="1695">
        <f t="shared" si="86"/>
        <v>4.6920536234699828E-2</v>
      </c>
      <c r="Y110" s="1688">
        <v>10437</v>
      </c>
      <c r="Z110" s="1689">
        <v>487</v>
      </c>
      <c r="AA110" s="1695">
        <f t="shared" si="87"/>
        <v>4.6660917888282076E-2</v>
      </c>
      <c r="AB110" s="1688">
        <v>10658</v>
      </c>
      <c r="AC110" s="1689">
        <v>636</v>
      </c>
      <c r="AD110" s="1695">
        <f t="shared" si="88"/>
        <v>5.9673484706323887E-2</v>
      </c>
      <c r="AE110" s="1688">
        <v>10553</v>
      </c>
      <c r="AF110" s="1689">
        <v>1099</v>
      </c>
      <c r="AG110" s="1695">
        <f t="shared" si="89"/>
        <v>0.10414100255851416</v>
      </c>
      <c r="AH110" s="1688">
        <v>9884</v>
      </c>
      <c r="AI110" s="1689">
        <v>1167</v>
      </c>
      <c r="AJ110" s="1695">
        <f t="shared" si="90"/>
        <v>0.11806960744637798</v>
      </c>
      <c r="AK110" s="1684">
        <v>9895</v>
      </c>
      <c r="AL110" s="1685">
        <v>1116</v>
      </c>
      <c r="AM110" s="1695">
        <f t="shared" si="91"/>
        <v>0.11278423446184942</v>
      </c>
      <c r="AN110" s="1705">
        <v>9719</v>
      </c>
      <c r="AO110" s="1706">
        <v>959</v>
      </c>
      <c r="AP110" s="1667">
        <f t="shared" si="92"/>
        <v>9.8672702952978697E-2</v>
      </c>
      <c r="AQ110" s="1705">
        <v>9650</v>
      </c>
      <c r="AR110" s="859">
        <v>921</v>
      </c>
      <c r="AS110" s="1667">
        <f t="shared" si="93"/>
        <v>9.544041450777202E-2</v>
      </c>
      <c r="AT110" s="1711">
        <v>9682</v>
      </c>
      <c r="AU110" s="1712">
        <v>854</v>
      </c>
      <c r="AV110" s="1695">
        <f t="shared" si="94"/>
        <v>8.820491633959926E-2</v>
      </c>
      <c r="AW110" s="1705">
        <v>9655</v>
      </c>
      <c r="AX110" s="1715">
        <v>722</v>
      </c>
      <c r="AY110" s="1695">
        <f t="shared" si="95"/>
        <v>7.4779906784049721E-2</v>
      </c>
      <c r="AZ110" s="1705">
        <v>9786</v>
      </c>
      <c r="BA110" s="1715">
        <v>629</v>
      </c>
      <c r="BB110" s="1695">
        <f t="shared" si="96"/>
        <v>6.4275495605967709E-2</v>
      </c>
      <c r="BC110" s="1699">
        <v>9790</v>
      </c>
      <c r="BD110" s="984">
        <v>595</v>
      </c>
      <c r="BE110" s="980">
        <f t="shared" si="97"/>
        <v>6.0776302349336057E-2</v>
      </c>
      <c r="BF110" s="1699">
        <v>9688</v>
      </c>
      <c r="BG110" s="984">
        <v>459</v>
      </c>
      <c r="BH110" s="980">
        <f t="shared" si="98"/>
        <v>4.7378199834847236E-2</v>
      </c>
      <c r="BI110" s="1699">
        <v>9688</v>
      </c>
      <c r="BJ110" s="984">
        <v>402</v>
      </c>
      <c r="BK110" s="980">
        <f t="shared" si="59"/>
        <v>4.1494632535094965E-2</v>
      </c>
      <c r="BL110" s="1699">
        <v>9811</v>
      </c>
      <c r="BM110" s="984">
        <v>1053</v>
      </c>
      <c r="BN110" s="980">
        <f t="shared" si="60"/>
        <v>0.10732850881663439</v>
      </c>
    </row>
    <row r="111" spans="1:66" ht="12.75" customHeight="1" x14ac:dyDescent="0.3">
      <c r="A111" s="198" t="s">
        <v>137</v>
      </c>
      <c r="B111" s="200" t="s">
        <v>138</v>
      </c>
      <c r="C111" s="85" t="s">
        <v>252</v>
      </c>
      <c r="D111" s="1675">
        <v>30784</v>
      </c>
      <c r="E111" s="1676">
        <v>750</v>
      </c>
      <c r="F111" s="1677">
        <f t="shared" si="80"/>
        <v>2.4363305613305613E-2</v>
      </c>
      <c r="G111" s="1688">
        <v>30018</v>
      </c>
      <c r="H111" s="1689">
        <v>1248</v>
      </c>
      <c r="I111" s="1664">
        <f t="shared" si="81"/>
        <v>4.1575054967019791E-2</v>
      </c>
      <c r="J111" s="1688">
        <v>30328</v>
      </c>
      <c r="K111" s="1689">
        <v>1788</v>
      </c>
      <c r="L111" s="1695">
        <f t="shared" si="82"/>
        <v>5.895542073331575E-2</v>
      </c>
      <c r="M111" s="1688">
        <v>30693</v>
      </c>
      <c r="N111" s="1689">
        <v>1719</v>
      </c>
      <c r="O111" s="1695">
        <f t="shared" si="83"/>
        <v>5.6006255497996288E-2</v>
      </c>
      <c r="P111" s="1688">
        <v>30584</v>
      </c>
      <c r="Q111" s="1689">
        <v>1584</v>
      </c>
      <c r="R111" s="1695">
        <f t="shared" si="84"/>
        <v>5.1791786555061468E-2</v>
      </c>
      <c r="S111" s="1688">
        <v>31249</v>
      </c>
      <c r="T111" s="1689">
        <v>1432</v>
      </c>
      <c r="U111" s="1695">
        <f t="shared" si="85"/>
        <v>4.5825466414925277E-2</v>
      </c>
      <c r="V111" s="1688">
        <v>31925</v>
      </c>
      <c r="W111" s="1689">
        <v>1175</v>
      </c>
      <c r="X111" s="1695">
        <f t="shared" si="86"/>
        <v>3.6805011746280342E-2</v>
      </c>
      <c r="Y111" s="1688">
        <v>33610</v>
      </c>
      <c r="Z111" s="1689">
        <v>1260</v>
      </c>
      <c r="AA111" s="1695">
        <f t="shared" si="87"/>
        <v>3.7488842606367152E-2</v>
      </c>
      <c r="AB111" s="1688">
        <v>35129</v>
      </c>
      <c r="AC111" s="1689">
        <v>1678</v>
      </c>
      <c r="AD111" s="1695">
        <f t="shared" si="88"/>
        <v>4.7766802357026961E-2</v>
      </c>
      <c r="AE111" s="1688">
        <v>34844</v>
      </c>
      <c r="AF111" s="1689">
        <v>2804</v>
      </c>
      <c r="AG111" s="1695">
        <f t="shared" si="89"/>
        <v>8.0472965216393064E-2</v>
      </c>
      <c r="AH111" s="1688">
        <v>35899</v>
      </c>
      <c r="AI111" s="1689">
        <v>3118</v>
      </c>
      <c r="AJ111" s="1695">
        <f t="shared" si="90"/>
        <v>8.6854787041421772E-2</v>
      </c>
      <c r="AK111" s="1684">
        <v>35703</v>
      </c>
      <c r="AL111" s="1685">
        <v>2869</v>
      </c>
      <c r="AM111" s="1695">
        <f t="shared" si="91"/>
        <v>8.0357392936167824E-2</v>
      </c>
      <c r="AN111" s="1705">
        <v>35536</v>
      </c>
      <c r="AO111" s="1706">
        <v>2603</v>
      </c>
      <c r="AP111" s="1667">
        <f t="shared" si="92"/>
        <v>7.3249662314272851E-2</v>
      </c>
      <c r="AQ111" s="1705">
        <v>35740</v>
      </c>
      <c r="AR111" s="859">
        <v>2474</v>
      </c>
      <c r="AS111" s="1667">
        <f t="shared" si="93"/>
        <v>6.9222160044767764E-2</v>
      </c>
      <c r="AT111" s="1711">
        <v>36112</v>
      </c>
      <c r="AU111" s="1712">
        <v>2259</v>
      </c>
      <c r="AV111" s="1695">
        <f t="shared" si="94"/>
        <v>6.2555383252104566E-2</v>
      </c>
      <c r="AW111" s="1705">
        <v>35763</v>
      </c>
      <c r="AX111" s="1715">
        <v>1972</v>
      </c>
      <c r="AY111" s="1695">
        <f t="shared" si="95"/>
        <v>5.5140787965215446E-2</v>
      </c>
      <c r="AZ111" s="1705">
        <v>35557</v>
      </c>
      <c r="BA111" s="1715">
        <v>1819</v>
      </c>
      <c r="BB111" s="1695">
        <f t="shared" si="96"/>
        <v>5.1157296734820147E-2</v>
      </c>
      <c r="BC111" s="1699">
        <v>36214</v>
      </c>
      <c r="BD111" s="984">
        <v>1764</v>
      </c>
      <c r="BE111" s="980">
        <f t="shared" si="97"/>
        <v>4.8710443474899209E-2</v>
      </c>
      <c r="BF111" s="1699">
        <v>36407</v>
      </c>
      <c r="BG111" s="984">
        <v>1444</v>
      </c>
      <c r="BH111" s="980">
        <f t="shared" si="98"/>
        <v>3.9662702227593598E-2</v>
      </c>
      <c r="BI111" s="1699">
        <v>36729</v>
      </c>
      <c r="BJ111" s="984">
        <v>1310</v>
      </c>
      <c r="BK111" s="980">
        <f t="shared" si="59"/>
        <v>3.5666639440224343E-2</v>
      </c>
      <c r="BL111" s="1699">
        <v>36015</v>
      </c>
      <c r="BM111" s="984">
        <v>2610</v>
      </c>
      <c r="BN111" s="980">
        <f t="shared" si="60"/>
        <v>7.2469804248229908E-2</v>
      </c>
    </row>
    <row r="112" spans="1:66" ht="12.75" customHeight="1" x14ac:dyDescent="0.3">
      <c r="A112" s="198" t="s">
        <v>141</v>
      </c>
      <c r="B112" s="200" t="s">
        <v>142</v>
      </c>
      <c r="C112" s="85" t="s">
        <v>254</v>
      </c>
      <c r="D112" s="1675">
        <v>19275</v>
      </c>
      <c r="E112" s="1676">
        <v>326</v>
      </c>
      <c r="F112" s="1677">
        <f t="shared" si="80"/>
        <v>1.6913099870298313E-2</v>
      </c>
      <c r="G112" s="1688">
        <v>19644</v>
      </c>
      <c r="H112" s="1689">
        <v>622</v>
      </c>
      <c r="I112" s="1664">
        <f t="shared" si="81"/>
        <v>3.1663612298920792E-2</v>
      </c>
      <c r="J112" s="1688">
        <v>19862</v>
      </c>
      <c r="K112" s="1689">
        <v>860</v>
      </c>
      <c r="L112" s="1695">
        <f t="shared" si="82"/>
        <v>4.3298761454032823E-2</v>
      </c>
      <c r="M112" s="1688">
        <v>19748</v>
      </c>
      <c r="N112" s="1689">
        <v>679</v>
      </c>
      <c r="O112" s="1695">
        <f t="shared" si="83"/>
        <v>3.4383228681385457E-2</v>
      </c>
      <c r="P112" s="1688">
        <v>20146</v>
      </c>
      <c r="Q112" s="1689">
        <v>633</v>
      </c>
      <c r="R112" s="1695">
        <f t="shared" si="84"/>
        <v>3.1420629405341009E-2</v>
      </c>
      <c r="S112" s="1688">
        <v>20522</v>
      </c>
      <c r="T112" s="1689">
        <v>593</v>
      </c>
      <c r="U112" s="1695">
        <f t="shared" si="85"/>
        <v>2.8895819120943377E-2</v>
      </c>
      <c r="V112" s="1688">
        <v>20267</v>
      </c>
      <c r="W112" s="1689">
        <v>535</v>
      </c>
      <c r="X112" s="1695">
        <f t="shared" si="86"/>
        <v>2.6397592144866037E-2</v>
      </c>
      <c r="Y112" s="1688">
        <v>19776</v>
      </c>
      <c r="Z112" s="1689">
        <v>576</v>
      </c>
      <c r="AA112" s="1695">
        <f t="shared" si="87"/>
        <v>2.9126213592233011E-2</v>
      </c>
      <c r="AB112" s="1688">
        <v>20076</v>
      </c>
      <c r="AC112" s="1689">
        <v>845</v>
      </c>
      <c r="AD112" s="1695">
        <f t="shared" si="88"/>
        <v>4.2090057780434349E-2</v>
      </c>
      <c r="AE112" s="1688">
        <v>20468</v>
      </c>
      <c r="AF112" s="1689">
        <v>1496</v>
      </c>
      <c r="AG112" s="1695">
        <f t="shared" si="89"/>
        <v>7.3089700996677748E-2</v>
      </c>
      <c r="AH112" s="1688">
        <v>21004</v>
      </c>
      <c r="AI112" s="1689">
        <v>1510</v>
      </c>
      <c r="AJ112" s="1695">
        <f t="shared" si="90"/>
        <v>7.1891068367929911E-2</v>
      </c>
      <c r="AK112" s="1684">
        <v>21377</v>
      </c>
      <c r="AL112" s="1685">
        <v>1305</v>
      </c>
      <c r="AM112" s="1695">
        <f t="shared" si="91"/>
        <v>6.1046919586471439E-2</v>
      </c>
      <c r="AN112" s="1705">
        <v>21898</v>
      </c>
      <c r="AO112" s="1706">
        <v>1203</v>
      </c>
      <c r="AP112" s="1667">
        <f t="shared" si="92"/>
        <v>5.4936523883459674E-2</v>
      </c>
      <c r="AQ112" s="1705">
        <v>22246</v>
      </c>
      <c r="AR112" s="859">
        <v>1171</v>
      </c>
      <c r="AS112" s="1667">
        <f t="shared" si="93"/>
        <v>5.2638676616020855E-2</v>
      </c>
      <c r="AT112" s="1711">
        <v>22193</v>
      </c>
      <c r="AU112" s="1712">
        <v>1091</v>
      </c>
      <c r="AV112" s="1695">
        <f t="shared" si="94"/>
        <v>4.9159644933087013E-2</v>
      </c>
      <c r="AW112" s="1705">
        <v>21681</v>
      </c>
      <c r="AX112" s="1715">
        <v>887</v>
      </c>
      <c r="AY112" s="1695">
        <f t="shared" si="95"/>
        <v>4.0911397075780641E-2</v>
      </c>
      <c r="AZ112" s="1705">
        <v>21626</v>
      </c>
      <c r="BA112" s="1715">
        <v>768</v>
      </c>
      <c r="BB112" s="1695">
        <f t="shared" si="96"/>
        <v>3.5512808656247112E-2</v>
      </c>
      <c r="BC112" s="1699">
        <v>21746</v>
      </c>
      <c r="BD112" s="984">
        <v>727</v>
      </c>
      <c r="BE112" s="980">
        <f t="shared" si="97"/>
        <v>3.3431435666329438E-2</v>
      </c>
      <c r="BF112" s="1699">
        <v>21873</v>
      </c>
      <c r="BG112" s="984">
        <v>582</v>
      </c>
      <c r="BH112" s="980">
        <f t="shared" si="98"/>
        <v>2.6608147030585654E-2</v>
      </c>
      <c r="BI112" s="1699">
        <v>21950</v>
      </c>
      <c r="BJ112" s="984">
        <v>532</v>
      </c>
      <c r="BK112" s="980">
        <f t="shared" si="59"/>
        <v>2.4236902050113897E-2</v>
      </c>
      <c r="BL112" s="1699">
        <v>21684</v>
      </c>
      <c r="BM112" s="984">
        <v>1406</v>
      </c>
      <c r="BN112" s="980">
        <f t="shared" si="60"/>
        <v>6.4840435344032471E-2</v>
      </c>
    </row>
    <row r="113" spans="1:66" ht="12.75" customHeight="1" x14ac:dyDescent="0.3">
      <c r="A113" s="198" t="s">
        <v>143</v>
      </c>
      <c r="B113" s="200" t="s">
        <v>144</v>
      </c>
      <c r="C113" s="85" t="s">
        <v>254</v>
      </c>
      <c r="D113" s="1675">
        <v>5790</v>
      </c>
      <c r="E113" s="1676">
        <v>81</v>
      </c>
      <c r="F113" s="1677">
        <f t="shared" si="80"/>
        <v>1.3989637305699482E-2</v>
      </c>
      <c r="G113" s="1688">
        <v>5995</v>
      </c>
      <c r="H113" s="1689">
        <v>109</v>
      </c>
      <c r="I113" s="1664">
        <f t="shared" si="81"/>
        <v>1.8181818181818181E-2</v>
      </c>
      <c r="J113" s="1688">
        <v>6015</v>
      </c>
      <c r="K113" s="1689">
        <v>167</v>
      </c>
      <c r="L113" s="1695">
        <f t="shared" si="82"/>
        <v>2.7763923524522029E-2</v>
      </c>
      <c r="M113" s="1688">
        <v>5969</v>
      </c>
      <c r="N113" s="1689">
        <v>159</v>
      </c>
      <c r="O113" s="1695">
        <f t="shared" si="83"/>
        <v>2.6637627743340594E-2</v>
      </c>
      <c r="P113" s="1688">
        <v>6306</v>
      </c>
      <c r="Q113" s="1689">
        <v>176</v>
      </c>
      <c r="R113" s="1695">
        <f t="shared" si="84"/>
        <v>2.7909927053599747E-2</v>
      </c>
      <c r="S113" s="1688">
        <v>6519</v>
      </c>
      <c r="T113" s="1689">
        <v>165</v>
      </c>
      <c r="U113" s="1695">
        <f t="shared" si="85"/>
        <v>2.5310630464795213E-2</v>
      </c>
      <c r="V113" s="1688">
        <v>6622</v>
      </c>
      <c r="W113" s="1689">
        <v>155</v>
      </c>
      <c r="X113" s="1695">
        <f t="shared" si="86"/>
        <v>2.3406825732407127E-2</v>
      </c>
      <c r="Y113" s="1688">
        <v>6562</v>
      </c>
      <c r="Z113" s="1689">
        <v>167</v>
      </c>
      <c r="AA113" s="1695">
        <f t="shared" si="87"/>
        <v>2.5449558061566596E-2</v>
      </c>
      <c r="AB113" s="1688">
        <v>6631</v>
      </c>
      <c r="AC113" s="1689">
        <v>248</v>
      </c>
      <c r="AD113" s="1695">
        <f t="shared" si="88"/>
        <v>3.7400090484089883E-2</v>
      </c>
      <c r="AE113" s="1688">
        <v>6870</v>
      </c>
      <c r="AF113" s="1689">
        <v>415</v>
      </c>
      <c r="AG113" s="1695">
        <f t="shared" si="89"/>
        <v>6.0407569141193593E-2</v>
      </c>
      <c r="AH113" s="1688">
        <v>8076</v>
      </c>
      <c r="AI113" s="1689">
        <v>517</v>
      </c>
      <c r="AJ113" s="1695">
        <f t="shared" si="90"/>
        <v>6.4016840019811783E-2</v>
      </c>
      <c r="AK113" s="1684">
        <v>8621</v>
      </c>
      <c r="AL113" s="1685">
        <v>481</v>
      </c>
      <c r="AM113" s="1695">
        <f t="shared" si="91"/>
        <v>5.5793991416309016E-2</v>
      </c>
      <c r="AN113" s="1705">
        <v>8743</v>
      </c>
      <c r="AO113" s="1706">
        <v>453</v>
      </c>
      <c r="AP113" s="1667">
        <f t="shared" si="92"/>
        <v>5.1812878874528193E-2</v>
      </c>
      <c r="AQ113" s="1705">
        <v>8808</v>
      </c>
      <c r="AR113" s="859">
        <v>437</v>
      </c>
      <c r="AS113" s="1667">
        <f t="shared" si="93"/>
        <v>4.9613987284287009E-2</v>
      </c>
      <c r="AT113" s="1711">
        <v>8190</v>
      </c>
      <c r="AU113" s="1712">
        <v>384</v>
      </c>
      <c r="AV113" s="1695">
        <f t="shared" si="94"/>
        <v>4.6886446886446886E-2</v>
      </c>
      <c r="AW113" s="1705">
        <v>8367</v>
      </c>
      <c r="AX113" s="1715">
        <v>345</v>
      </c>
      <c r="AY113" s="1695">
        <f t="shared" si="95"/>
        <v>4.1233416995338834E-2</v>
      </c>
      <c r="AZ113" s="1705">
        <v>8493</v>
      </c>
      <c r="BA113" s="1715">
        <v>305</v>
      </c>
      <c r="BB113" s="1695">
        <f t="shared" si="96"/>
        <v>3.5911927469680915E-2</v>
      </c>
      <c r="BC113" s="1699">
        <v>8886</v>
      </c>
      <c r="BD113" s="984">
        <v>296</v>
      </c>
      <c r="BE113" s="980">
        <f t="shared" si="97"/>
        <v>3.3310826018455995E-2</v>
      </c>
      <c r="BF113" s="1699">
        <v>9305</v>
      </c>
      <c r="BG113" s="984">
        <v>250</v>
      </c>
      <c r="BH113" s="980">
        <f t="shared" si="98"/>
        <v>2.6867275658248254E-2</v>
      </c>
      <c r="BI113" s="1699">
        <v>9553</v>
      </c>
      <c r="BJ113" s="984">
        <v>228</v>
      </c>
      <c r="BK113" s="980">
        <f t="shared" si="59"/>
        <v>2.386684811054119E-2</v>
      </c>
      <c r="BL113" s="1699">
        <v>9483</v>
      </c>
      <c r="BM113" s="984">
        <v>648</v>
      </c>
      <c r="BN113" s="980">
        <f t="shared" si="60"/>
        <v>6.8332806074027211E-2</v>
      </c>
    </row>
    <row r="114" spans="1:66" ht="12.75" customHeight="1" x14ac:dyDescent="0.3">
      <c r="A114" s="198" t="s">
        <v>157</v>
      </c>
      <c r="B114" s="200" t="s">
        <v>158</v>
      </c>
      <c r="C114" s="85" t="s">
        <v>251</v>
      </c>
      <c r="D114" s="1675">
        <v>82885</v>
      </c>
      <c r="E114" s="1676">
        <v>2175</v>
      </c>
      <c r="F114" s="1677">
        <f t="shared" si="80"/>
        <v>2.6241177535139049E-2</v>
      </c>
      <c r="G114" s="1688">
        <v>84162</v>
      </c>
      <c r="H114" s="1689">
        <v>2998</v>
      </c>
      <c r="I114" s="1664">
        <f t="shared" si="81"/>
        <v>3.56217770490245E-2</v>
      </c>
      <c r="J114" s="1688">
        <v>85247</v>
      </c>
      <c r="K114" s="1689">
        <v>3912</v>
      </c>
      <c r="L114" s="1695">
        <f t="shared" si="82"/>
        <v>4.5890177953476372E-2</v>
      </c>
      <c r="M114" s="1688">
        <v>85598</v>
      </c>
      <c r="N114" s="1689">
        <v>4066</v>
      </c>
      <c r="O114" s="1695">
        <f t="shared" si="83"/>
        <v>4.7501109839014934E-2</v>
      </c>
      <c r="P114" s="1688">
        <v>85745</v>
      </c>
      <c r="Q114" s="1689">
        <v>3925</v>
      </c>
      <c r="R114" s="1695">
        <f t="shared" si="84"/>
        <v>4.5775263863782147E-2</v>
      </c>
      <c r="S114" s="1688">
        <v>86290</v>
      </c>
      <c r="T114" s="1689">
        <v>3901</v>
      </c>
      <c r="U114" s="1695">
        <f t="shared" si="85"/>
        <v>4.5208019469231663E-2</v>
      </c>
      <c r="V114" s="1688">
        <v>86219</v>
      </c>
      <c r="W114" s="1689">
        <v>3109</v>
      </c>
      <c r="X114" s="1695">
        <f t="shared" si="86"/>
        <v>3.6059337269047427E-2</v>
      </c>
      <c r="Y114" s="1688">
        <v>87554</v>
      </c>
      <c r="Z114" s="1689">
        <v>3124</v>
      </c>
      <c r="AA114" s="1695">
        <f t="shared" si="87"/>
        <v>3.5680836969184733E-2</v>
      </c>
      <c r="AB114" s="1688">
        <v>89322</v>
      </c>
      <c r="AC114" s="1689">
        <v>4135</v>
      </c>
      <c r="AD114" s="1695">
        <f t="shared" si="88"/>
        <v>4.6293186449027114E-2</v>
      </c>
      <c r="AE114" s="1688">
        <v>94427</v>
      </c>
      <c r="AF114" s="1689">
        <v>7001</v>
      </c>
      <c r="AG114" s="1695">
        <f t="shared" si="89"/>
        <v>7.4141929744670487E-2</v>
      </c>
      <c r="AH114" s="1688">
        <v>90822</v>
      </c>
      <c r="AI114" s="1689">
        <v>7760</v>
      </c>
      <c r="AJ114" s="1695">
        <f t="shared" si="90"/>
        <v>8.5441853295457046E-2</v>
      </c>
      <c r="AK114" s="1684">
        <v>90550</v>
      </c>
      <c r="AL114" s="1685">
        <v>7358</v>
      </c>
      <c r="AM114" s="1695">
        <f t="shared" si="91"/>
        <v>8.125897294312534E-2</v>
      </c>
      <c r="AN114" s="1705">
        <v>89872</v>
      </c>
      <c r="AO114" s="1706">
        <v>6603</v>
      </c>
      <c r="AP114" s="1667">
        <f t="shared" si="92"/>
        <v>7.3471158981662815E-2</v>
      </c>
      <c r="AQ114" s="1705">
        <v>90463</v>
      </c>
      <c r="AR114" s="859">
        <v>5981</v>
      </c>
      <c r="AS114" s="1667">
        <f t="shared" si="93"/>
        <v>6.6115428407194102E-2</v>
      </c>
      <c r="AT114" s="1711">
        <v>90995</v>
      </c>
      <c r="AU114" s="1712">
        <v>5592</v>
      </c>
      <c r="AV114" s="1695">
        <f t="shared" si="94"/>
        <v>6.1453926039892304E-2</v>
      </c>
      <c r="AW114" s="1705">
        <v>89143</v>
      </c>
      <c r="AX114" s="1715">
        <v>4774</v>
      </c>
      <c r="AY114" s="1695">
        <f t="shared" si="95"/>
        <v>5.3554401355126034E-2</v>
      </c>
      <c r="AZ114" s="1705">
        <v>88936</v>
      </c>
      <c r="BA114" s="1715">
        <v>4484</v>
      </c>
      <c r="BB114" s="1695">
        <f t="shared" si="96"/>
        <v>5.0418278312494375E-2</v>
      </c>
      <c r="BC114" s="1699">
        <v>89395</v>
      </c>
      <c r="BD114" s="984">
        <v>4080</v>
      </c>
      <c r="BE114" s="980">
        <f t="shared" si="97"/>
        <v>4.5640136472957102E-2</v>
      </c>
      <c r="BF114" s="1699">
        <v>88970</v>
      </c>
      <c r="BG114" s="984">
        <v>3192</v>
      </c>
      <c r="BH114" s="980">
        <f t="shared" si="98"/>
        <v>3.5877261998426439E-2</v>
      </c>
      <c r="BI114" s="1699">
        <v>89963</v>
      </c>
      <c r="BJ114" s="984">
        <v>2982</v>
      </c>
      <c r="BK114" s="980">
        <f t="shared" si="59"/>
        <v>3.3146960417060348E-2</v>
      </c>
      <c r="BL114" s="1699">
        <v>89715</v>
      </c>
      <c r="BM114" s="984">
        <v>7786</v>
      </c>
      <c r="BN114" s="980">
        <f t="shared" si="60"/>
        <v>8.6785933233015658E-2</v>
      </c>
    </row>
    <row r="115" spans="1:66" ht="12.75" customHeight="1" x14ac:dyDescent="0.3">
      <c r="A115" s="198" t="s">
        <v>159</v>
      </c>
      <c r="B115" s="200" t="s">
        <v>160</v>
      </c>
      <c r="C115" s="85" t="s">
        <v>251</v>
      </c>
      <c r="D115" s="1675">
        <v>92995</v>
      </c>
      <c r="E115" s="1676">
        <v>3064</v>
      </c>
      <c r="F115" s="1677">
        <f t="shared" si="80"/>
        <v>3.2948007957417064E-2</v>
      </c>
      <c r="G115" s="1688">
        <v>94794</v>
      </c>
      <c r="H115" s="1689">
        <v>4096</v>
      </c>
      <c r="I115" s="1664">
        <f t="shared" si="81"/>
        <v>4.3209485832436653E-2</v>
      </c>
      <c r="J115" s="1688">
        <v>98076</v>
      </c>
      <c r="K115" s="1689">
        <v>5065</v>
      </c>
      <c r="L115" s="1695">
        <f t="shared" si="82"/>
        <v>5.1643623312533138E-2</v>
      </c>
      <c r="M115" s="1688">
        <v>97219</v>
      </c>
      <c r="N115" s="1689">
        <v>5146</v>
      </c>
      <c r="O115" s="1695">
        <f t="shared" si="83"/>
        <v>5.293204003332682E-2</v>
      </c>
      <c r="P115" s="1688">
        <v>96978</v>
      </c>
      <c r="Q115" s="1689">
        <v>5075</v>
      </c>
      <c r="R115" s="1695">
        <f t="shared" si="84"/>
        <v>5.2331456619026995E-2</v>
      </c>
      <c r="S115" s="1688">
        <v>96113</v>
      </c>
      <c r="T115" s="1689">
        <v>4898</v>
      </c>
      <c r="U115" s="1695">
        <f t="shared" si="85"/>
        <v>5.0960848168301896E-2</v>
      </c>
      <c r="V115" s="1688">
        <v>95709</v>
      </c>
      <c r="W115" s="1689">
        <v>4111</v>
      </c>
      <c r="X115" s="1695">
        <f t="shared" si="86"/>
        <v>4.2953118306533346E-2</v>
      </c>
      <c r="Y115" s="1688">
        <v>99742</v>
      </c>
      <c r="Z115" s="1689">
        <v>4086</v>
      </c>
      <c r="AA115" s="1695">
        <f t="shared" si="87"/>
        <v>4.0965691484028795E-2</v>
      </c>
      <c r="AB115" s="1688">
        <v>100847</v>
      </c>
      <c r="AC115" s="1689">
        <v>5313</v>
      </c>
      <c r="AD115" s="1695">
        <f t="shared" si="88"/>
        <v>5.2683768480966217E-2</v>
      </c>
      <c r="AE115" s="1688">
        <v>98751</v>
      </c>
      <c r="AF115" s="1689">
        <v>8433</v>
      </c>
      <c r="AG115" s="1695">
        <f t="shared" si="89"/>
        <v>8.5396603578697938E-2</v>
      </c>
      <c r="AH115" s="1688">
        <v>112640</v>
      </c>
      <c r="AI115" s="1689">
        <v>10085</v>
      </c>
      <c r="AJ115" s="1695">
        <f t="shared" si="90"/>
        <v>8.9533025568181823E-2</v>
      </c>
      <c r="AK115" s="1684">
        <v>112742</v>
      </c>
      <c r="AL115" s="1685">
        <v>9355</v>
      </c>
      <c r="AM115" s="1695">
        <f t="shared" si="91"/>
        <v>8.2977062674069998E-2</v>
      </c>
      <c r="AN115" s="1705">
        <v>112642</v>
      </c>
      <c r="AO115" s="1706">
        <v>8412</v>
      </c>
      <c r="AP115" s="1667">
        <f t="shared" si="92"/>
        <v>7.4679071749436263E-2</v>
      </c>
      <c r="AQ115" s="1705">
        <v>112752</v>
      </c>
      <c r="AR115" s="859">
        <v>7666</v>
      </c>
      <c r="AS115" s="1667">
        <f t="shared" si="93"/>
        <v>6.7989924790691075E-2</v>
      </c>
      <c r="AT115" s="1711">
        <v>112403</v>
      </c>
      <c r="AU115" s="1712">
        <v>7024</v>
      </c>
      <c r="AV115" s="1695">
        <f t="shared" si="94"/>
        <v>6.2489435335355815E-2</v>
      </c>
      <c r="AW115" s="1705">
        <v>110946</v>
      </c>
      <c r="AX115" s="1715">
        <v>6106</v>
      </c>
      <c r="AY115" s="1695">
        <f t="shared" si="95"/>
        <v>5.503578317379626E-2</v>
      </c>
      <c r="AZ115" s="1705">
        <v>110464</v>
      </c>
      <c r="BA115" s="1715">
        <v>5742</v>
      </c>
      <c r="BB115" s="1695">
        <f t="shared" si="96"/>
        <v>5.198073580533024E-2</v>
      </c>
      <c r="BC115" s="1699">
        <v>112164</v>
      </c>
      <c r="BD115" s="984">
        <v>5109</v>
      </c>
      <c r="BE115" s="980">
        <f t="shared" si="97"/>
        <v>4.5549374130737133E-2</v>
      </c>
      <c r="BF115" s="1699">
        <v>111831</v>
      </c>
      <c r="BG115" s="984">
        <v>4012</v>
      </c>
      <c r="BH115" s="980">
        <f t="shared" si="98"/>
        <v>3.5875562232296945E-2</v>
      </c>
      <c r="BI115" s="1699">
        <v>112092</v>
      </c>
      <c r="BJ115" s="984">
        <v>3723</v>
      </c>
      <c r="BK115" s="980">
        <f t="shared" si="59"/>
        <v>3.3213788673589553E-2</v>
      </c>
      <c r="BL115" s="1699">
        <v>111825</v>
      </c>
      <c r="BM115" s="984">
        <v>9751</v>
      </c>
      <c r="BN115" s="980">
        <f t="shared" si="60"/>
        <v>8.7198748043818469E-2</v>
      </c>
    </row>
    <row r="116" spans="1:66" ht="12.75" customHeight="1" x14ac:dyDescent="0.3">
      <c r="A116" s="198" t="s">
        <v>165</v>
      </c>
      <c r="B116" s="200" t="s">
        <v>166</v>
      </c>
      <c r="C116" s="85" t="s">
        <v>255</v>
      </c>
      <c r="D116" s="1675">
        <v>1488</v>
      </c>
      <c r="E116" s="1676">
        <v>61</v>
      </c>
      <c r="F116" s="1677">
        <f t="shared" si="80"/>
        <v>4.0994623655913977E-2</v>
      </c>
      <c r="G116" s="1688">
        <v>1524</v>
      </c>
      <c r="H116" s="1689">
        <v>70</v>
      </c>
      <c r="I116" s="1664">
        <f t="shared" si="81"/>
        <v>4.5931758530183726E-2</v>
      </c>
      <c r="J116" s="1688">
        <v>1581</v>
      </c>
      <c r="K116" s="1689">
        <v>78</v>
      </c>
      <c r="L116" s="1695">
        <f t="shared" si="82"/>
        <v>4.9335863377609111E-2</v>
      </c>
      <c r="M116" s="1688">
        <v>1610</v>
      </c>
      <c r="N116" s="1689">
        <v>87</v>
      </c>
      <c r="O116" s="1695">
        <f t="shared" si="83"/>
        <v>5.4037267080745341E-2</v>
      </c>
      <c r="P116" s="1688">
        <v>1535</v>
      </c>
      <c r="Q116" s="1689">
        <v>85</v>
      </c>
      <c r="R116" s="1695">
        <f t="shared" si="84"/>
        <v>5.5374592833876218E-2</v>
      </c>
      <c r="S116" s="1688">
        <v>1524</v>
      </c>
      <c r="T116" s="1689">
        <v>85</v>
      </c>
      <c r="U116" s="1695">
        <f t="shared" si="85"/>
        <v>5.57742782152231E-2</v>
      </c>
      <c r="V116" s="1688">
        <v>1514</v>
      </c>
      <c r="W116" s="1689">
        <v>79</v>
      </c>
      <c r="X116" s="1695">
        <f t="shared" si="86"/>
        <v>5.2179656538969617E-2</v>
      </c>
      <c r="Y116" s="1688">
        <v>1565</v>
      </c>
      <c r="Z116" s="1689">
        <v>64</v>
      </c>
      <c r="AA116" s="1695">
        <f t="shared" si="87"/>
        <v>4.0894568690095848E-2</v>
      </c>
      <c r="AB116" s="1688">
        <v>1620</v>
      </c>
      <c r="AC116" s="1689">
        <v>84</v>
      </c>
      <c r="AD116" s="1695">
        <f t="shared" si="88"/>
        <v>5.185185185185185E-2</v>
      </c>
      <c r="AE116" s="1688">
        <v>1724</v>
      </c>
      <c r="AF116" s="1689">
        <v>110</v>
      </c>
      <c r="AG116" s="1695">
        <f t="shared" si="89"/>
        <v>6.3805104408352672E-2</v>
      </c>
      <c r="AH116" s="1688">
        <v>2082</v>
      </c>
      <c r="AI116" s="1689">
        <v>155</v>
      </c>
      <c r="AJ116" s="1695">
        <f t="shared" si="90"/>
        <v>7.4447646493756001E-2</v>
      </c>
      <c r="AK116" s="1684">
        <v>2109</v>
      </c>
      <c r="AL116" s="1685">
        <v>145</v>
      </c>
      <c r="AM116" s="1695">
        <f t="shared" si="91"/>
        <v>6.8752963489805599E-2</v>
      </c>
      <c r="AN116" s="1705">
        <v>1990</v>
      </c>
      <c r="AO116" s="1706">
        <v>149</v>
      </c>
      <c r="AP116" s="1667">
        <f t="shared" si="92"/>
        <v>7.4874371859296476E-2</v>
      </c>
      <c r="AQ116" s="1705">
        <v>1869</v>
      </c>
      <c r="AR116" s="859">
        <v>152</v>
      </c>
      <c r="AS116" s="1667">
        <f t="shared" si="93"/>
        <v>8.1326912787586941E-2</v>
      </c>
      <c r="AT116" s="1711">
        <v>1811</v>
      </c>
      <c r="AU116" s="1712">
        <v>137</v>
      </c>
      <c r="AV116" s="1695">
        <f t="shared" si="94"/>
        <v>7.5648812810601873E-2</v>
      </c>
      <c r="AW116" s="1705">
        <v>1739</v>
      </c>
      <c r="AX116" s="1715">
        <v>119</v>
      </c>
      <c r="AY116" s="1695">
        <f t="shared" si="95"/>
        <v>6.8430132259919493E-2</v>
      </c>
      <c r="AZ116" s="1705">
        <v>1662</v>
      </c>
      <c r="BA116" s="1715">
        <v>112</v>
      </c>
      <c r="BB116" s="1695">
        <f t="shared" si="96"/>
        <v>6.7388688327316482E-2</v>
      </c>
      <c r="BC116" s="1699">
        <v>1709</v>
      </c>
      <c r="BD116" s="984">
        <v>89</v>
      </c>
      <c r="BE116" s="980">
        <f t="shared" si="97"/>
        <v>5.2077238150965474E-2</v>
      </c>
      <c r="BF116" s="1699">
        <v>1672</v>
      </c>
      <c r="BG116" s="984">
        <v>65</v>
      </c>
      <c r="BH116" s="980">
        <f t="shared" si="98"/>
        <v>3.8875598086124404E-2</v>
      </c>
      <c r="BI116" s="1699">
        <v>1688</v>
      </c>
      <c r="BJ116" s="984">
        <v>59</v>
      </c>
      <c r="BK116" s="980">
        <f t="shared" si="59"/>
        <v>3.495260663507109E-2</v>
      </c>
      <c r="BL116" s="1699">
        <v>1660</v>
      </c>
      <c r="BM116" s="984">
        <v>124</v>
      </c>
      <c r="BN116" s="980">
        <f t="shared" si="60"/>
        <v>7.4698795180722893E-2</v>
      </c>
    </row>
    <row r="117" spans="1:66" ht="12.75" customHeight="1" x14ac:dyDescent="0.3">
      <c r="A117" s="198" t="s">
        <v>175</v>
      </c>
      <c r="B117" s="200" t="s">
        <v>176</v>
      </c>
      <c r="C117" s="85" t="s">
        <v>253</v>
      </c>
      <c r="D117" s="1675">
        <v>13917</v>
      </c>
      <c r="E117" s="1676">
        <v>477</v>
      </c>
      <c r="F117" s="1677">
        <f t="shared" si="80"/>
        <v>3.4274628152619099E-2</v>
      </c>
      <c r="G117" s="1688">
        <v>14018</v>
      </c>
      <c r="H117" s="1689">
        <v>776</v>
      </c>
      <c r="I117" s="1664">
        <f t="shared" si="81"/>
        <v>5.5357397631616491E-2</v>
      </c>
      <c r="J117" s="1688">
        <v>14076</v>
      </c>
      <c r="K117" s="1689">
        <v>1055</v>
      </c>
      <c r="L117" s="1695">
        <f t="shared" si="82"/>
        <v>7.4950269963057689E-2</v>
      </c>
      <c r="M117" s="1688">
        <v>14121</v>
      </c>
      <c r="N117" s="1689">
        <v>1221</v>
      </c>
      <c r="O117" s="1695">
        <f t="shared" si="83"/>
        <v>8.6466964096027193E-2</v>
      </c>
      <c r="P117" s="1688">
        <v>13945</v>
      </c>
      <c r="Q117" s="1689">
        <v>1097</v>
      </c>
      <c r="R117" s="1695">
        <f t="shared" si="84"/>
        <v>7.8666188598063819E-2</v>
      </c>
      <c r="S117" s="1688">
        <v>13965</v>
      </c>
      <c r="T117" s="1689">
        <v>1035</v>
      </c>
      <c r="U117" s="1695">
        <f t="shared" si="85"/>
        <v>7.4113856068743281E-2</v>
      </c>
      <c r="V117" s="1688">
        <v>13888</v>
      </c>
      <c r="W117" s="1689">
        <v>876</v>
      </c>
      <c r="X117" s="1695">
        <f t="shared" si="86"/>
        <v>6.3076036866359445E-2</v>
      </c>
      <c r="Y117" s="1688">
        <v>14087</v>
      </c>
      <c r="Z117" s="1689">
        <v>881</v>
      </c>
      <c r="AA117" s="1695">
        <f t="shared" si="87"/>
        <v>6.2539930432313484E-2</v>
      </c>
      <c r="AB117" s="1688">
        <v>14288</v>
      </c>
      <c r="AC117" s="1689">
        <v>1042</v>
      </c>
      <c r="AD117" s="1695">
        <f t="shared" si="88"/>
        <v>7.2928331466965285E-2</v>
      </c>
      <c r="AE117" s="1688">
        <v>14460</v>
      </c>
      <c r="AF117" s="1689">
        <v>1927</v>
      </c>
      <c r="AG117" s="1695">
        <f t="shared" si="89"/>
        <v>0.13326417704011065</v>
      </c>
      <c r="AH117" s="1688">
        <v>13922</v>
      </c>
      <c r="AI117" s="1689">
        <v>1989</v>
      </c>
      <c r="AJ117" s="1695">
        <f t="shared" si="90"/>
        <v>0.14286740410860507</v>
      </c>
      <c r="AK117" s="1684">
        <v>13690</v>
      </c>
      <c r="AL117" s="1685">
        <v>1756</v>
      </c>
      <c r="AM117" s="1695">
        <f t="shared" si="91"/>
        <v>0.12826880934989043</v>
      </c>
      <c r="AN117" s="1705">
        <v>13585</v>
      </c>
      <c r="AO117" s="1706">
        <v>1593</v>
      </c>
      <c r="AP117" s="1667">
        <f t="shared" si="92"/>
        <v>0.11726168568273831</v>
      </c>
      <c r="AQ117" s="1705">
        <v>13760</v>
      </c>
      <c r="AR117" s="859">
        <v>1570</v>
      </c>
      <c r="AS117" s="1667">
        <f t="shared" si="93"/>
        <v>0.11409883720930232</v>
      </c>
      <c r="AT117" s="1711">
        <v>13827</v>
      </c>
      <c r="AU117" s="1712">
        <v>1456</v>
      </c>
      <c r="AV117" s="1695">
        <f t="shared" si="94"/>
        <v>0.10530122224632965</v>
      </c>
      <c r="AW117" s="1705">
        <v>13547</v>
      </c>
      <c r="AX117" s="1715">
        <v>1227</v>
      </c>
      <c r="AY117" s="1695">
        <f t="shared" si="95"/>
        <v>9.0573558721488145E-2</v>
      </c>
      <c r="AZ117" s="1705">
        <v>13214</v>
      </c>
      <c r="BA117" s="1715">
        <v>1020</v>
      </c>
      <c r="BB117" s="1695">
        <f t="shared" si="96"/>
        <v>7.7190858180717414E-2</v>
      </c>
      <c r="BC117" s="1699">
        <v>13210</v>
      </c>
      <c r="BD117" s="984">
        <v>957</v>
      </c>
      <c r="BE117" s="980">
        <f t="shared" si="97"/>
        <v>7.2445117335351999E-2</v>
      </c>
      <c r="BF117" s="1699">
        <v>13038</v>
      </c>
      <c r="BG117" s="984">
        <v>791</v>
      </c>
      <c r="BH117" s="980">
        <f t="shared" si="98"/>
        <v>6.0668814235312167E-2</v>
      </c>
      <c r="BI117" s="1699">
        <v>12976</v>
      </c>
      <c r="BJ117" s="984">
        <v>701</v>
      </c>
      <c r="BK117" s="980">
        <f t="shared" si="59"/>
        <v>5.4022811344019726E-2</v>
      </c>
      <c r="BL117" s="1699">
        <v>13459</v>
      </c>
      <c r="BM117" s="984">
        <v>1877</v>
      </c>
      <c r="BN117" s="980">
        <f t="shared" si="60"/>
        <v>0.13946058399583922</v>
      </c>
    </row>
    <row r="118" spans="1:66" ht="12.75" customHeight="1" x14ac:dyDescent="0.3">
      <c r="A118" s="198" t="s">
        <v>179</v>
      </c>
      <c r="B118" s="200" t="s">
        <v>180</v>
      </c>
      <c r="C118" s="85" t="s">
        <v>251</v>
      </c>
      <c r="D118" s="1675">
        <v>42953</v>
      </c>
      <c r="E118" s="1676">
        <v>1467</v>
      </c>
      <c r="F118" s="1677">
        <f t="shared" si="80"/>
        <v>3.4153609759504572E-2</v>
      </c>
      <c r="G118" s="1688">
        <v>43530</v>
      </c>
      <c r="H118" s="1689">
        <v>1919</v>
      </c>
      <c r="I118" s="1664">
        <f t="shared" si="81"/>
        <v>4.408453939811624E-2</v>
      </c>
      <c r="J118" s="1688">
        <v>43884</v>
      </c>
      <c r="K118" s="1689">
        <v>2332</v>
      </c>
      <c r="L118" s="1695">
        <f t="shared" si="82"/>
        <v>5.3140096618357488E-2</v>
      </c>
      <c r="M118" s="1688">
        <v>43557</v>
      </c>
      <c r="N118" s="1689">
        <v>2362</v>
      </c>
      <c r="O118" s="1695">
        <f t="shared" si="83"/>
        <v>5.4227793466033014E-2</v>
      </c>
      <c r="P118" s="1688">
        <v>43692</v>
      </c>
      <c r="Q118" s="1689">
        <v>2421</v>
      </c>
      <c r="R118" s="1695">
        <f t="shared" si="84"/>
        <v>5.5410601483109036E-2</v>
      </c>
      <c r="S118" s="1688">
        <v>44821</v>
      </c>
      <c r="T118" s="1689">
        <v>2418</v>
      </c>
      <c r="U118" s="1695">
        <f t="shared" si="85"/>
        <v>5.3947926195310233E-2</v>
      </c>
      <c r="V118" s="1688">
        <v>45779</v>
      </c>
      <c r="W118" s="1689">
        <v>2035</v>
      </c>
      <c r="X118" s="1695">
        <f t="shared" si="86"/>
        <v>4.4452696651302998E-2</v>
      </c>
      <c r="Y118" s="1688">
        <v>46428</v>
      </c>
      <c r="Z118" s="1689">
        <v>1945</v>
      </c>
      <c r="AA118" s="1695">
        <f t="shared" si="87"/>
        <v>4.1892823296286727E-2</v>
      </c>
      <c r="AB118" s="1688">
        <v>46504</v>
      </c>
      <c r="AC118" s="1689">
        <v>2396</v>
      </c>
      <c r="AD118" s="1695">
        <f t="shared" si="88"/>
        <v>5.1522449681747809E-2</v>
      </c>
      <c r="AE118" s="1688">
        <v>45167</v>
      </c>
      <c r="AF118" s="1689">
        <v>3842</v>
      </c>
      <c r="AG118" s="1695">
        <f t="shared" si="89"/>
        <v>8.5062102862709502E-2</v>
      </c>
      <c r="AH118" s="1688">
        <v>45555</v>
      </c>
      <c r="AI118" s="1689">
        <v>4473</v>
      </c>
      <c r="AJ118" s="1695">
        <f t="shared" si="90"/>
        <v>9.8189002304906153E-2</v>
      </c>
      <c r="AK118" s="1684">
        <v>45701</v>
      </c>
      <c r="AL118" s="1685">
        <v>4261</v>
      </c>
      <c r="AM118" s="1695">
        <f t="shared" si="91"/>
        <v>9.3236471849631297E-2</v>
      </c>
      <c r="AN118" s="1705">
        <v>45630</v>
      </c>
      <c r="AO118" s="1706">
        <v>3941</v>
      </c>
      <c r="AP118" s="1667">
        <f t="shared" si="92"/>
        <v>8.6368617137847908E-2</v>
      </c>
      <c r="AQ118" s="1705">
        <v>45461</v>
      </c>
      <c r="AR118" s="859">
        <v>3614</v>
      </c>
      <c r="AS118" s="1667">
        <f t="shared" si="93"/>
        <v>7.9496711466971695E-2</v>
      </c>
      <c r="AT118" s="1711">
        <v>45226</v>
      </c>
      <c r="AU118" s="1712">
        <v>3230</v>
      </c>
      <c r="AV118" s="1695">
        <f t="shared" si="94"/>
        <v>7.1419095210719499E-2</v>
      </c>
      <c r="AW118" s="1705">
        <v>44417</v>
      </c>
      <c r="AX118" s="1715">
        <v>2728</v>
      </c>
      <c r="AY118" s="1695">
        <f t="shared" si="95"/>
        <v>6.1417925569038884E-2</v>
      </c>
      <c r="AZ118" s="1705">
        <v>44103</v>
      </c>
      <c r="BA118" s="1715">
        <v>2667</v>
      </c>
      <c r="BB118" s="1695">
        <f t="shared" si="96"/>
        <v>6.0472076729474182E-2</v>
      </c>
      <c r="BC118" s="1699">
        <v>44481</v>
      </c>
      <c r="BD118" s="984">
        <v>2363</v>
      </c>
      <c r="BE118" s="980">
        <f t="shared" si="97"/>
        <v>5.3123805669836557E-2</v>
      </c>
      <c r="BF118" s="1699">
        <v>44355</v>
      </c>
      <c r="BG118" s="984">
        <v>1789</v>
      </c>
      <c r="BH118" s="980">
        <f t="shared" si="98"/>
        <v>4.0333671513921768E-2</v>
      </c>
      <c r="BI118" s="1699">
        <v>44585</v>
      </c>
      <c r="BJ118" s="984">
        <v>1672</v>
      </c>
      <c r="BK118" s="980">
        <f t="shared" si="59"/>
        <v>3.7501401816754515E-2</v>
      </c>
      <c r="BL118" s="1699">
        <v>44701</v>
      </c>
      <c r="BM118" s="984">
        <v>4273</v>
      </c>
      <c r="BN118" s="980">
        <f t="shared" si="60"/>
        <v>9.5590702668844091E-2</v>
      </c>
    </row>
    <row r="119" spans="1:66" ht="12.75" customHeight="1" x14ac:dyDescent="0.3">
      <c r="A119" s="198" t="s">
        <v>191</v>
      </c>
      <c r="B119" s="200" t="s">
        <v>192</v>
      </c>
      <c r="C119" s="85" t="s">
        <v>255</v>
      </c>
      <c r="D119" s="1675">
        <v>7470</v>
      </c>
      <c r="E119" s="1676">
        <v>243</v>
      </c>
      <c r="F119" s="1677">
        <f t="shared" si="80"/>
        <v>3.2530120481927709E-2</v>
      </c>
      <c r="G119" s="1688">
        <v>7439</v>
      </c>
      <c r="H119" s="1689">
        <v>309</v>
      </c>
      <c r="I119" s="1664">
        <f t="shared" si="81"/>
        <v>4.1537841107675763E-2</v>
      </c>
      <c r="J119" s="1688">
        <v>7358</v>
      </c>
      <c r="K119" s="1689">
        <v>386</v>
      </c>
      <c r="L119" s="1695">
        <f t="shared" si="82"/>
        <v>5.2459907583582495E-2</v>
      </c>
      <c r="M119" s="1688">
        <v>7322</v>
      </c>
      <c r="N119" s="1689">
        <v>384</v>
      </c>
      <c r="O119" s="1695">
        <f t="shared" si="83"/>
        <v>5.2444687243922428E-2</v>
      </c>
      <c r="P119" s="1688">
        <v>7234</v>
      </c>
      <c r="Q119" s="1689">
        <v>385</v>
      </c>
      <c r="R119" s="1695">
        <f t="shared" si="84"/>
        <v>5.3220901299419407E-2</v>
      </c>
      <c r="S119" s="1688">
        <v>7228</v>
      </c>
      <c r="T119" s="1689">
        <v>329</v>
      </c>
      <c r="U119" s="1695">
        <f t="shared" si="85"/>
        <v>4.5517432208079689E-2</v>
      </c>
      <c r="V119" s="1688">
        <v>7239</v>
      </c>
      <c r="W119" s="1689">
        <v>278</v>
      </c>
      <c r="X119" s="1695">
        <f t="shared" si="86"/>
        <v>3.840309435004835E-2</v>
      </c>
      <c r="Y119" s="1688">
        <v>7757</v>
      </c>
      <c r="Z119" s="1689">
        <v>314</v>
      </c>
      <c r="AA119" s="1695">
        <f t="shared" si="87"/>
        <v>4.0479566842851616E-2</v>
      </c>
      <c r="AB119" s="1688">
        <v>7994</v>
      </c>
      <c r="AC119" s="1689">
        <v>424</v>
      </c>
      <c r="AD119" s="1695">
        <f t="shared" si="88"/>
        <v>5.3039779834876156E-2</v>
      </c>
      <c r="AE119" s="1688">
        <v>7922</v>
      </c>
      <c r="AF119" s="1689">
        <v>707</v>
      </c>
      <c r="AG119" s="1695">
        <f t="shared" si="89"/>
        <v>8.9245140116132285E-2</v>
      </c>
      <c r="AH119" s="1688">
        <v>7802</v>
      </c>
      <c r="AI119" s="1689">
        <v>745</v>
      </c>
      <c r="AJ119" s="1695">
        <f t="shared" si="90"/>
        <v>9.5488336324019485E-2</v>
      </c>
      <c r="AK119" s="1684">
        <v>8069</v>
      </c>
      <c r="AL119" s="1685">
        <v>678</v>
      </c>
      <c r="AM119" s="1695">
        <f t="shared" si="91"/>
        <v>8.4025281943239563E-2</v>
      </c>
      <c r="AN119" s="1705">
        <v>8092</v>
      </c>
      <c r="AO119" s="1706">
        <v>629</v>
      </c>
      <c r="AP119" s="1667">
        <f t="shared" si="92"/>
        <v>7.7731092436974791E-2</v>
      </c>
      <c r="AQ119" s="1705">
        <v>8336</v>
      </c>
      <c r="AR119" s="859">
        <v>614</v>
      </c>
      <c r="AS119" s="1667">
        <f t="shared" si="93"/>
        <v>7.365642994241843E-2</v>
      </c>
      <c r="AT119" s="1711">
        <v>8495</v>
      </c>
      <c r="AU119" s="1712">
        <v>562</v>
      </c>
      <c r="AV119" s="1695">
        <f t="shared" si="94"/>
        <v>6.6156562683931719E-2</v>
      </c>
      <c r="AW119" s="1705">
        <v>8323</v>
      </c>
      <c r="AX119" s="1715">
        <v>464</v>
      </c>
      <c r="AY119" s="1695">
        <f t="shared" si="95"/>
        <v>5.5749128919860627E-2</v>
      </c>
      <c r="AZ119" s="1705">
        <v>8267</v>
      </c>
      <c r="BA119" s="1715">
        <v>441</v>
      </c>
      <c r="BB119" s="1695">
        <f t="shared" si="96"/>
        <v>5.3344623200677392E-2</v>
      </c>
      <c r="BC119" s="1699">
        <v>8379</v>
      </c>
      <c r="BD119" s="984">
        <v>409</v>
      </c>
      <c r="BE119" s="980">
        <f t="shared" si="97"/>
        <v>4.8812507459124001E-2</v>
      </c>
      <c r="BF119" s="1699">
        <v>8653</v>
      </c>
      <c r="BG119" s="984">
        <v>324</v>
      </c>
      <c r="BH119" s="980">
        <f t="shared" si="98"/>
        <v>3.7443661157979889E-2</v>
      </c>
      <c r="BI119" s="1699">
        <v>8750</v>
      </c>
      <c r="BJ119" s="984">
        <v>299</v>
      </c>
      <c r="BK119" s="980">
        <f t="shared" si="59"/>
        <v>3.4171428571428575E-2</v>
      </c>
      <c r="BL119" s="1699">
        <v>8457</v>
      </c>
      <c r="BM119" s="984">
        <v>535</v>
      </c>
      <c r="BN119" s="980">
        <f t="shared" si="60"/>
        <v>6.3261203736549601E-2</v>
      </c>
    </row>
    <row r="120" spans="1:66" ht="12.75" customHeight="1" x14ac:dyDescent="0.3">
      <c r="A120" s="198" t="s">
        <v>195</v>
      </c>
      <c r="B120" s="200" t="s">
        <v>285</v>
      </c>
      <c r="C120" s="85" t="s">
        <v>253</v>
      </c>
      <c r="D120" s="1675">
        <v>95424</v>
      </c>
      <c r="E120" s="1676">
        <v>2537</v>
      </c>
      <c r="F120" s="1677">
        <f t="shared" si="80"/>
        <v>2.6586602951039571E-2</v>
      </c>
      <c r="G120" s="1688">
        <v>96231</v>
      </c>
      <c r="H120" s="1689">
        <v>4013</v>
      </c>
      <c r="I120" s="1664">
        <f t="shared" si="81"/>
        <v>4.1701738525007533E-2</v>
      </c>
      <c r="J120" s="1688">
        <v>96296</v>
      </c>
      <c r="K120" s="1689">
        <v>5536</v>
      </c>
      <c r="L120" s="1695">
        <f t="shared" si="82"/>
        <v>5.7489407659715878E-2</v>
      </c>
      <c r="M120" s="1688">
        <v>95032</v>
      </c>
      <c r="N120" s="1689">
        <v>5500</v>
      </c>
      <c r="O120" s="1695">
        <f t="shared" si="83"/>
        <v>5.7875242023739372E-2</v>
      </c>
      <c r="P120" s="1688">
        <v>94900</v>
      </c>
      <c r="Q120" s="1689">
        <v>5474</v>
      </c>
      <c r="R120" s="1695">
        <f t="shared" si="84"/>
        <v>5.7681770284510013E-2</v>
      </c>
      <c r="S120" s="1688">
        <v>95504</v>
      </c>
      <c r="T120" s="1689">
        <v>5122</v>
      </c>
      <c r="U120" s="1695">
        <f t="shared" si="85"/>
        <v>5.3631261517842185E-2</v>
      </c>
      <c r="V120" s="1688">
        <v>95448</v>
      </c>
      <c r="W120" s="1689">
        <v>4451</v>
      </c>
      <c r="X120" s="1695">
        <f t="shared" si="86"/>
        <v>4.6632721481853996E-2</v>
      </c>
      <c r="Y120" s="1688">
        <v>98875</v>
      </c>
      <c r="Z120" s="1689">
        <v>4327</v>
      </c>
      <c r="AA120" s="1695">
        <f t="shared" si="87"/>
        <v>4.3762326169405813E-2</v>
      </c>
      <c r="AB120" s="1688">
        <v>101506</v>
      </c>
      <c r="AC120" s="1689">
        <v>5856</v>
      </c>
      <c r="AD120" s="1695">
        <f t="shared" si="88"/>
        <v>5.769117096526314E-2</v>
      </c>
      <c r="AE120" s="1688">
        <v>101096</v>
      </c>
      <c r="AF120" s="1689">
        <v>9680</v>
      </c>
      <c r="AG120" s="1695">
        <f t="shared" si="89"/>
        <v>9.575057371211522E-2</v>
      </c>
      <c r="AH120" s="1688">
        <v>106682</v>
      </c>
      <c r="AI120" s="1689">
        <v>10382</v>
      </c>
      <c r="AJ120" s="1695">
        <f t="shared" si="90"/>
        <v>9.7317260643782461E-2</v>
      </c>
      <c r="AK120" s="1684">
        <v>107496</v>
      </c>
      <c r="AL120" s="1685">
        <v>9110</v>
      </c>
      <c r="AM120" s="1695">
        <f t="shared" si="91"/>
        <v>8.4747339435885985E-2</v>
      </c>
      <c r="AN120" s="1705">
        <v>109135</v>
      </c>
      <c r="AO120" s="1706">
        <v>8021</v>
      </c>
      <c r="AP120" s="1667">
        <f t="shared" si="92"/>
        <v>7.3496128648004769E-2</v>
      </c>
      <c r="AQ120" s="1705">
        <v>110460</v>
      </c>
      <c r="AR120" s="859">
        <v>7333</v>
      </c>
      <c r="AS120" s="1667">
        <f t="shared" si="93"/>
        <v>6.6386022089444149E-2</v>
      </c>
      <c r="AT120" s="1711">
        <v>112740</v>
      </c>
      <c r="AU120" s="1712">
        <v>6793</v>
      </c>
      <c r="AV120" s="1695">
        <f t="shared" si="94"/>
        <v>6.0253681036012065E-2</v>
      </c>
      <c r="AW120" s="1705">
        <v>113141</v>
      </c>
      <c r="AX120" s="1715">
        <v>5817</v>
      </c>
      <c r="AY120" s="1695">
        <f t="shared" si="95"/>
        <v>5.1413722699993815E-2</v>
      </c>
      <c r="AZ120" s="1705">
        <v>114798</v>
      </c>
      <c r="BA120" s="1715">
        <v>5249</v>
      </c>
      <c r="BB120" s="1695">
        <f t="shared" si="96"/>
        <v>4.5723793097440721E-2</v>
      </c>
      <c r="BC120" s="1699">
        <v>117421</v>
      </c>
      <c r="BD120" s="984">
        <v>5008</v>
      </c>
      <c r="BE120" s="980">
        <f t="shared" si="97"/>
        <v>4.2649951882542302E-2</v>
      </c>
      <c r="BF120" s="1699">
        <v>118086</v>
      </c>
      <c r="BG120" s="984">
        <v>4121</v>
      </c>
      <c r="BH120" s="980">
        <f t="shared" si="98"/>
        <v>3.4898294463357217E-2</v>
      </c>
      <c r="BI120" s="1699">
        <v>119638</v>
      </c>
      <c r="BJ120" s="984">
        <v>3771</v>
      </c>
      <c r="BK120" s="980">
        <f t="shared" si="59"/>
        <v>3.1520085591534464E-2</v>
      </c>
      <c r="BL120" s="1699">
        <v>119962</v>
      </c>
      <c r="BM120" s="984">
        <v>10592</v>
      </c>
      <c r="BN120" s="980">
        <f t="shared" si="60"/>
        <v>8.8294626631766723E-2</v>
      </c>
    </row>
    <row r="121" spans="1:66" ht="12.75" customHeight="1" x14ac:dyDescent="0.3">
      <c r="A121" s="198" t="s">
        <v>199</v>
      </c>
      <c r="B121" s="200" t="s">
        <v>286</v>
      </c>
      <c r="C121" s="85" t="s">
        <v>252</v>
      </c>
      <c r="D121" s="1675">
        <v>46705</v>
      </c>
      <c r="E121" s="1676">
        <v>1152</v>
      </c>
      <c r="F121" s="1677">
        <f t="shared" si="80"/>
        <v>2.4665453377582702E-2</v>
      </c>
      <c r="G121" s="1688">
        <v>47125</v>
      </c>
      <c r="H121" s="1689">
        <v>1668</v>
      </c>
      <c r="I121" s="1664">
        <f t="shared" si="81"/>
        <v>3.539522546419098E-2</v>
      </c>
      <c r="J121" s="1688">
        <v>47115</v>
      </c>
      <c r="K121" s="1689">
        <v>2346</v>
      </c>
      <c r="L121" s="1695">
        <f t="shared" si="82"/>
        <v>4.979305953517988E-2</v>
      </c>
      <c r="M121" s="1688">
        <v>45618</v>
      </c>
      <c r="N121" s="1689">
        <v>2366</v>
      </c>
      <c r="O121" s="1695">
        <f t="shared" si="83"/>
        <v>5.1865491691876014E-2</v>
      </c>
      <c r="P121" s="1688">
        <v>44680</v>
      </c>
      <c r="Q121" s="1689">
        <v>2076</v>
      </c>
      <c r="R121" s="1695">
        <f t="shared" si="84"/>
        <v>4.6463742166517455E-2</v>
      </c>
      <c r="S121" s="1688">
        <v>45225</v>
      </c>
      <c r="T121" s="1689">
        <v>1913</v>
      </c>
      <c r="U121" s="1695">
        <f t="shared" si="85"/>
        <v>4.2299613045881701E-2</v>
      </c>
      <c r="V121" s="1688">
        <v>45481</v>
      </c>
      <c r="W121" s="1689">
        <v>1720</v>
      </c>
      <c r="X121" s="1695">
        <f t="shared" si="86"/>
        <v>3.7817989929860824E-2</v>
      </c>
      <c r="Y121" s="1688">
        <v>46289</v>
      </c>
      <c r="Z121" s="1689">
        <v>1742</v>
      </c>
      <c r="AA121" s="1695">
        <f t="shared" si="87"/>
        <v>3.7633130981442678E-2</v>
      </c>
      <c r="AB121" s="1688">
        <v>47072</v>
      </c>
      <c r="AC121" s="1689">
        <v>2136</v>
      </c>
      <c r="AD121" s="1695">
        <f t="shared" si="88"/>
        <v>4.5377294357579881E-2</v>
      </c>
      <c r="AE121" s="1688">
        <v>47264</v>
      </c>
      <c r="AF121" s="1689">
        <v>4070</v>
      </c>
      <c r="AG121" s="1695">
        <f t="shared" si="89"/>
        <v>8.6112051455653357E-2</v>
      </c>
      <c r="AH121" s="1688">
        <v>49374</v>
      </c>
      <c r="AI121" s="1689">
        <v>4374</v>
      </c>
      <c r="AJ121" s="1695">
        <f t="shared" si="90"/>
        <v>8.8589135982500913E-2</v>
      </c>
      <c r="AK121" s="1684">
        <v>49394</v>
      </c>
      <c r="AL121" s="1685">
        <v>3964</v>
      </c>
      <c r="AM121" s="1695">
        <f t="shared" si="91"/>
        <v>8.0252662266672062E-2</v>
      </c>
      <c r="AN121" s="1705">
        <v>49563</v>
      </c>
      <c r="AO121" s="1706">
        <v>3499</v>
      </c>
      <c r="AP121" s="1667">
        <f t="shared" si="92"/>
        <v>7.0597017936767342E-2</v>
      </c>
      <c r="AQ121" s="1705">
        <v>49777</v>
      </c>
      <c r="AR121" s="859">
        <v>3237</v>
      </c>
      <c r="AS121" s="1667">
        <f t="shared" si="93"/>
        <v>6.5030033951423344E-2</v>
      </c>
      <c r="AT121" s="1711">
        <v>50256</v>
      </c>
      <c r="AU121" s="1712">
        <v>2892</v>
      </c>
      <c r="AV121" s="1695">
        <f t="shared" si="94"/>
        <v>5.7545367717287486E-2</v>
      </c>
      <c r="AW121" s="1705">
        <v>49096</v>
      </c>
      <c r="AX121" s="1715">
        <v>2368</v>
      </c>
      <c r="AY121" s="1695">
        <f t="shared" si="95"/>
        <v>4.8232035196350005E-2</v>
      </c>
      <c r="AZ121" s="1705">
        <v>48997</v>
      </c>
      <c r="BA121" s="1715">
        <v>2073</v>
      </c>
      <c r="BB121" s="1695">
        <f t="shared" si="96"/>
        <v>4.2308712778333368E-2</v>
      </c>
      <c r="BC121" s="1699">
        <v>49207</v>
      </c>
      <c r="BD121" s="984">
        <v>2023</v>
      </c>
      <c r="BE121" s="980">
        <f t="shared" si="97"/>
        <v>4.1112036905318346E-2</v>
      </c>
      <c r="BF121" s="1699">
        <v>49103</v>
      </c>
      <c r="BG121" s="984">
        <v>1569</v>
      </c>
      <c r="BH121" s="980">
        <f t="shared" si="98"/>
        <v>3.1953241146162152E-2</v>
      </c>
      <c r="BI121" s="1699">
        <v>49345</v>
      </c>
      <c r="BJ121" s="984">
        <v>1442</v>
      </c>
      <c r="BK121" s="980">
        <f t="shared" si="59"/>
        <v>2.9222818927956227E-2</v>
      </c>
      <c r="BL121" s="1699">
        <v>49174</v>
      </c>
      <c r="BM121" s="984">
        <v>3786</v>
      </c>
      <c r="BN121" s="980">
        <f t="shared" si="60"/>
        <v>7.6991906291942899E-2</v>
      </c>
    </row>
    <row r="122" spans="1:66" ht="12.75" customHeight="1" x14ac:dyDescent="0.3">
      <c r="A122" s="198" t="s">
        <v>221</v>
      </c>
      <c r="B122" s="200" t="s">
        <v>222</v>
      </c>
      <c r="C122" s="85" t="s">
        <v>251</v>
      </c>
      <c r="D122" s="1675">
        <v>29326</v>
      </c>
      <c r="E122" s="1676">
        <v>740</v>
      </c>
      <c r="F122" s="1677">
        <f t="shared" si="80"/>
        <v>2.5233581122553365E-2</v>
      </c>
      <c r="G122" s="1688">
        <v>31024</v>
      </c>
      <c r="H122" s="1689">
        <v>969</v>
      </c>
      <c r="I122" s="1664">
        <f t="shared" si="81"/>
        <v>3.123388344507478E-2</v>
      </c>
      <c r="J122" s="1688">
        <v>33002</v>
      </c>
      <c r="K122" s="1689">
        <v>1427</v>
      </c>
      <c r="L122" s="1695">
        <f t="shared" si="82"/>
        <v>4.3239803648263742E-2</v>
      </c>
      <c r="M122" s="1688">
        <v>34539</v>
      </c>
      <c r="N122" s="1689">
        <v>1490</v>
      </c>
      <c r="O122" s="1695">
        <f t="shared" si="83"/>
        <v>4.3139639248385882E-2</v>
      </c>
      <c r="P122" s="1688">
        <v>35979</v>
      </c>
      <c r="Q122" s="1689">
        <v>1517</v>
      </c>
      <c r="R122" s="1695">
        <f t="shared" si="84"/>
        <v>4.2163484254704134E-2</v>
      </c>
      <c r="S122" s="1688">
        <v>37792</v>
      </c>
      <c r="T122" s="1689">
        <v>1508</v>
      </c>
      <c r="U122" s="1695">
        <f t="shared" si="85"/>
        <v>3.9902624894157496E-2</v>
      </c>
      <c r="V122" s="1688">
        <v>39342</v>
      </c>
      <c r="W122" s="1689">
        <v>1384</v>
      </c>
      <c r="X122" s="1695">
        <f t="shared" si="86"/>
        <v>3.5178689441309544E-2</v>
      </c>
      <c r="Y122" s="1688">
        <v>39794</v>
      </c>
      <c r="Z122" s="1689">
        <v>1307</v>
      </c>
      <c r="AA122" s="1695">
        <f t="shared" si="87"/>
        <v>3.2844147358898325E-2</v>
      </c>
      <c r="AB122" s="1688">
        <v>40871</v>
      </c>
      <c r="AC122" s="1689">
        <v>1670</v>
      </c>
      <c r="AD122" s="1695">
        <f t="shared" si="88"/>
        <v>4.0860267671454086E-2</v>
      </c>
      <c r="AE122" s="1688">
        <v>40575</v>
      </c>
      <c r="AF122" s="1689">
        <v>2721</v>
      </c>
      <c r="AG122" s="1695">
        <f t="shared" si="89"/>
        <v>6.7060998151571169E-2</v>
      </c>
      <c r="AH122" s="1688">
        <v>41816</v>
      </c>
      <c r="AI122" s="1689">
        <v>3254</v>
      </c>
      <c r="AJ122" s="1695">
        <f t="shared" si="90"/>
        <v>7.7817103501052226E-2</v>
      </c>
      <c r="AK122" s="1684">
        <v>41842</v>
      </c>
      <c r="AL122" s="1685">
        <v>3104</v>
      </c>
      <c r="AM122" s="1695">
        <f t="shared" si="91"/>
        <v>7.4183834424740691E-2</v>
      </c>
      <c r="AN122" s="1705">
        <v>41732</v>
      </c>
      <c r="AO122" s="1706">
        <v>2871</v>
      </c>
      <c r="AP122" s="1667">
        <f t="shared" si="92"/>
        <v>6.8796127671810606E-2</v>
      </c>
      <c r="AQ122" s="1705">
        <v>41988</v>
      </c>
      <c r="AR122" s="859">
        <v>2595</v>
      </c>
      <c r="AS122" s="1667">
        <f t="shared" si="93"/>
        <v>6.1803372392112033E-2</v>
      </c>
      <c r="AT122" s="1711">
        <v>42508</v>
      </c>
      <c r="AU122" s="1712">
        <v>2403</v>
      </c>
      <c r="AV122" s="1695">
        <f t="shared" si="94"/>
        <v>5.6530535428625198E-2</v>
      </c>
      <c r="AW122" s="1705">
        <v>42458</v>
      </c>
      <c r="AX122" s="1715">
        <v>2078</v>
      </c>
      <c r="AY122" s="1695">
        <f t="shared" si="95"/>
        <v>4.8942484337462906E-2</v>
      </c>
      <c r="AZ122" s="1705">
        <v>43013</v>
      </c>
      <c r="BA122" s="1715">
        <v>1983</v>
      </c>
      <c r="BB122" s="1695">
        <f t="shared" si="96"/>
        <v>4.6102341152674774E-2</v>
      </c>
      <c r="BC122" s="1699">
        <v>44209</v>
      </c>
      <c r="BD122" s="984">
        <v>1785</v>
      </c>
      <c r="BE122" s="980">
        <f t="shared" si="97"/>
        <v>4.0376393946933882E-2</v>
      </c>
      <c r="BF122" s="1699">
        <v>44705</v>
      </c>
      <c r="BG122" s="984">
        <v>1423</v>
      </c>
      <c r="BH122" s="980">
        <f t="shared" si="98"/>
        <v>3.1830891399172355E-2</v>
      </c>
      <c r="BI122" s="1699">
        <v>45522</v>
      </c>
      <c r="BJ122" s="984">
        <v>1324</v>
      </c>
      <c r="BK122" s="980">
        <f t="shared" si="59"/>
        <v>2.9084838100259216E-2</v>
      </c>
      <c r="BL122" s="1699">
        <v>44546</v>
      </c>
      <c r="BM122" s="984">
        <v>2903</v>
      </c>
      <c r="BN122" s="980">
        <f t="shared" si="60"/>
        <v>6.5168589772370139E-2</v>
      </c>
    </row>
    <row r="123" spans="1:66" ht="12.75" customHeight="1" x14ac:dyDescent="0.3">
      <c r="A123" s="198" t="s">
        <v>229</v>
      </c>
      <c r="B123" s="200" t="s">
        <v>230</v>
      </c>
      <c r="C123" s="85" t="s">
        <v>251</v>
      </c>
      <c r="D123" s="1675">
        <v>205898</v>
      </c>
      <c r="E123" s="1676">
        <v>4604</v>
      </c>
      <c r="F123" s="1677">
        <f t="shared" si="80"/>
        <v>2.2360586309726174E-2</v>
      </c>
      <c r="G123" s="1688">
        <v>210475</v>
      </c>
      <c r="H123" s="1689">
        <v>6136</v>
      </c>
      <c r="I123" s="1664">
        <f t="shared" si="81"/>
        <v>2.9153106069604466E-2</v>
      </c>
      <c r="J123" s="1688">
        <v>213845</v>
      </c>
      <c r="K123" s="1689">
        <v>7638</v>
      </c>
      <c r="L123" s="1695">
        <f t="shared" si="82"/>
        <v>3.5717458907152375E-2</v>
      </c>
      <c r="M123" s="1688">
        <v>215308</v>
      </c>
      <c r="N123" s="1689">
        <v>7872</v>
      </c>
      <c r="O123" s="1695">
        <f t="shared" si="83"/>
        <v>3.6561576903784344E-2</v>
      </c>
      <c r="P123" s="1688">
        <v>216704</v>
      </c>
      <c r="Q123" s="1689">
        <v>7657</v>
      </c>
      <c r="R123" s="1695">
        <f t="shared" si="84"/>
        <v>3.5333911695215596E-2</v>
      </c>
      <c r="S123" s="1688">
        <v>220002</v>
      </c>
      <c r="T123" s="1689">
        <v>7400</v>
      </c>
      <c r="U123" s="1695">
        <f t="shared" si="85"/>
        <v>3.3636057854019512E-2</v>
      </c>
      <c r="V123" s="1688">
        <v>221582</v>
      </c>
      <c r="W123" s="1689">
        <v>6531</v>
      </c>
      <c r="X123" s="1695">
        <f t="shared" si="86"/>
        <v>2.9474415791896455E-2</v>
      </c>
      <c r="Y123" s="1688">
        <v>222978</v>
      </c>
      <c r="Z123" s="1689">
        <v>6124</v>
      </c>
      <c r="AA123" s="1695">
        <f t="shared" si="87"/>
        <v>2.7464592919480845E-2</v>
      </c>
      <c r="AB123" s="1688">
        <v>225849</v>
      </c>
      <c r="AC123" s="1689">
        <v>8195</v>
      </c>
      <c r="AD123" s="1695">
        <f t="shared" si="88"/>
        <v>3.6285305668831827E-2</v>
      </c>
      <c r="AE123" s="1688">
        <v>219738</v>
      </c>
      <c r="AF123" s="1689">
        <v>13153</v>
      </c>
      <c r="AG123" s="1695">
        <f t="shared" si="89"/>
        <v>5.985764865430649E-2</v>
      </c>
      <c r="AH123" s="1688">
        <v>227179</v>
      </c>
      <c r="AI123" s="1689">
        <v>15139</v>
      </c>
      <c r="AJ123" s="1695">
        <f t="shared" si="90"/>
        <v>6.6639081957399232E-2</v>
      </c>
      <c r="AK123" s="1684">
        <v>228853</v>
      </c>
      <c r="AL123" s="1685">
        <v>14025</v>
      </c>
      <c r="AM123" s="1695">
        <f t="shared" si="91"/>
        <v>6.1283880919192672E-2</v>
      </c>
      <c r="AN123" s="1705">
        <v>228708</v>
      </c>
      <c r="AO123" s="1706">
        <v>12861</v>
      </c>
      <c r="AP123" s="1667">
        <f t="shared" si="92"/>
        <v>5.6233275617818351E-2</v>
      </c>
      <c r="AQ123" s="1705">
        <v>231089</v>
      </c>
      <c r="AR123" s="859">
        <v>12199</v>
      </c>
      <c r="AS123" s="1667">
        <f t="shared" si="93"/>
        <v>5.2789185119153224E-2</v>
      </c>
      <c r="AT123" s="1711">
        <v>232581</v>
      </c>
      <c r="AU123" s="1712">
        <v>11257</v>
      </c>
      <c r="AV123" s="1695">
        <f t="shared" si="94"/>
        <v>4.8400342246357184E-2</v>
      </c>
      <c r="AW123" s="1705">
        <v>229696</v>
      </c>
      <c r="AX123" s="1715">
        <v>9711</v>
      </c>
      <c r="AY123" s="1695">
        <f t="shared" si="95"/>
        <v>4.2277619113959324E-2</v>
      </c>
      <c r="AZ123" s="1705">
        <v>229517</v>
      </c>
      <c r="BA123" s="1715">
        <v>8943</v>
      </c>
      <c r="BB123" s="1695">
        <f t="shared" si="96"/>
        <v>3.8964434007067013E-2</v>
      </c>
      <c r="BC123" s="1699">
        <v>232751</v>
      </c>
      <c r="BD123" s="984">
        <v>8175</v>
      </c>
      <c r="BE123" s="980">
        <f t="shared" si="97"/>
        <v>3.5123372187444955E-2</v>
      </c>
      <c r="BF123" s="1699">
        <v>233418</v>
      </c>
      <c r="BG123" s="984">
        <v>6607</v>
      </c>
      <c r="BH123" s="980">
        <f t="shared" si="98"/>
        <v>2.830544345337549E-2</v>
      </c>
      <c r="BI123" s="1699">
        <v>235250</v>
      </c>
      <c r="BJ123" s="984">
        <v>6091</v>
      </c>
      <c r="BK123" s="980">
        <f t="shared" si="59"/>
        <v>2.5891604675876728E-2</v>
      </c>
      <c r="BL123" s="1699">
        <v>230322</v>
      </c>
      <c r="BM123" s="984">
        <v>14331</v>
      </c>
      <c r="BN123" s="980">
        <f t="shared" si="60"/>
        <v>6.2221585432568317E-2</v>
      </c>
    </row>
    <row r="124" spans="1:66" ht="12.75" customHeight="1" x14ac:dyDescent="0.3">
      <c r="A124" s="198" t="s">
        <v>237</v>
      </c>
      <c r="B124" s="200" t="s">
        <v>238</v>
      </c>
      <c r="C124" s="85" t="s">
        <v>251</v>
      </c>
      <c r="D124" s="1675">
        <v>4607</v>
      </c>
      <c r="E124" s="1676">
        <v>203</v>
      </c>
      <c r="F124" s="1677">
        <f t="shared" si="80"/>
        <v>4.4063381810288689E-2</v>
      </c>
      <c r="G124" s="1688">
        <v>4673</v>
      </c>
      <c r="H124" s="1689">
        <v>267</v>
      </c>
      <c r="I124" s="1664">
        <f t="shared" si="81"/>
        <v>5.7136742991654187E-2</v>
      </c>
      <c r="J124" s="1688">
        <v>4636</v>
      </c>
      <c r="K124" s="1689">
        <v>338</v>
      </c>
      <c r="L124" s="1695">
        <f t="shared" si="82"/>
        <v>7.2907679033649697E-2</v>
      </c>
      <c r="M124" s="1688">
        <v>4589</v>
      </c>
      <c r="N124" s="1689">
        <v>369</v>
      </c>
      <c r="O124" s="1695">
        <f t="shared" si="83"/>
        <v>8.0409675310525175E-2</v>
      </c>
      <c r="P124" s="1688">
        <v>4600</v>
      </c>
      <c r="Q124" s="1689">
        <v>357</v>
      </c>
      <c r="R124" s="1695">
        <f t="shared" si="84"/>
        <v>7.7608695652173917E-2</v>
      </c>
      <c r="S124" s="1688">
        <v>4773</v>
      </c>
      <c r="T124" s="1689">
        <v>347</v>
      </c>
      <c r="U124" s="1695">
        <f t="shared" si="85"/>
        <v>7.2700607584328517E-2</v>
      </c>
      <c r="V124" s="1688">
        <v>4811</v>
      </c>
      <c r="W124" s="1689">
        <v>286</v>
      </c>
      <c r="X124" s="1695">
        <f t="shared" si="86"/>
        <v>5.9447100394928287E-2</v>
      </c>
      <c r="Y124" s="1688">
        <v>5112</v>
      </c>
      <c r="Z124" s="1689">
        <v>287</v>
      </c>
      <c r="AA124" s="1695">
        <f t="shared" si="87"/>
        <v>5.6142410015649451E-2</v>
      </c>
      <c r="AB124" s="1688">
        <v>5331</v>
      </c>
      <c r="AC124" s="1689">
        <v>457</v>
      </c>
      <c r="AD124" s="1695">
        <f t="shared" si="88"/>
        <v>8.5725004689551673E-2</v>
      </c>
      <c r="AE124" s="1688">
        <v>5543</v>
      </c>
      <c r="AF124" s="1689">
        <v>822</v>
      </c>
      <c r="AG124" s="1695">
        <f t="shared" si="89"/>
        <v>0.14829514703229299</v>
      </c>
      <c r="AH124" s="1688">
        <v>6530</v>
      </c>
      <c r="AI124" s="1689">
        <v>677</v>
      </c>
      <c r="AJ124" s="1695">
        <f t="shared" si="90"/>
        <v>0.10367534456355283</v>
      </c>
      <c r="AK124" s="1684">
        <v>6733</v>
      </c>
      <c r="AL124" s="1685">
        <v>603</v>
      </c>
      <c r="AM124" s="1695">
        <f t="shared" si="91"/>
        <v>8.9558889053913557E-2</v>
      </c>
      <c r="AN124" s="1705">
        <v>6832</v>
      </c>
      <c r="AO124" s="1706">
        <v>559</v>
      </c>
      <c r="AP124" s="1667">
        <f t="shared" si="92"/>
        <v>8.1820843091334888E-2</v>
      </c>
      <c r="AQ124" s="1705">
        <v>6876</v>
      </c>
      <c r="AR124" s="859">
        <v>516</v>
      </c>
      <c r="AS124" s="1667">
        <f t="shared" si="93"/>
        <v>7.5043630017452012E-2</v>
      </c>
      <c r="AT124" s="1711">
        <v>6658</v>
      </c>
      <c r="AU124" s="1712">
        <v>480</v>
      </c>
      <c r="AV124" s="1695">
        <f t="shared" si="94"/>
        <v>7.2093721838389913E-2</v>
      </c>
      <c r="AW124" s="1705">
        <v>6682</v>
      </c>
      <c r="AX124" s="1715">
        <v>418</v>
      </c>
      <c r="AY124" s="1695">
        <f t="shared" si="95"/>
        <v>6.2556120921879677E-2</v>
      </c>
      <c r="AZ124" s="1705">
        <v>6720</v>
      </c>
      <c r="BA124" s="1715">
        <v>366</v>
      </c>
      <c r="BB124" s="1695">
        <f t="shared" si="96"/>
        <v>5.4464285714285715E-2</v>
      </c>
      <c r="BC124" s="1699">
        <v>6773</v>
      </c>
      <c r="BD124" s="984">
        <v>348</v>
      </c>
      <c r="BE124" s="980">
        <f t="shared" si="97"/>
        <v>5.1380481322899747E-2</v>
      </c>
      <c r="BF124" s="1699">
        <v>6702</v>
      </c>
      <c r="BG124" s="984">
        <v>267</v>
      </c>
      <c r="BH124" s="980">
        <f t="shared" si="98"/>
        <v>3.9838854073410923E-2</v>
      </c>
      <c r="BI124" s="1699">
        <v>6781</v>
      </c>
      <c r="BJ124" s="984">
        <v>252</v>
      </c>
      <c r="BK124" s="980">
        <f t="shared" si="59"/>
        <v>3.7162660374576023E-2</v>
      </c>
      <c r="BL124" s="1699">
        <v>6705</v>
      </c>
      <c r="BM124" s="984">
        <v>552</v>
      </c>
      <c r="BN124" s="980">
        <f t="shared" si="60"/>
        <v>8.232662192393736E-2</v>
      </c>
    </row>
    <row r="125" spans="1:66" ht="12.75" customHeight="1" x14ac:dyDescent="0.3">
      <c r="A125" s="202" t="s">
        <v>239</v>
      </c>
      <c r="B125" s="203" t="s">
        <v>240</v>
      </c>
      <c r="C125" s="1669" t="s">
        <v>254</v>
      </c>
      <c r="D125" s="1680">
        <v>12913</v>
      </c>
      <c r="E125" s="1681">
        <v>289</v>
      </c>
      <c r="F125" s="1682">
        <f t="shared" si="80"/>
        <v>2.2380546735847596E-2</v>
      </c>
      <c r="G125" s="1692">
        <v>13083</v>
      </c>
      <c r="H125" s="1693">
        <v>420</v>
      </c>
      <c r="I125" s="1665">
        <f t="shared" si="81"/>
        <v>3.2102728731942212E-2</v>
      </c>
      <c r="J125" s="1692">
        <v>13248</v>
      </c>
      <c r="K125" s="1693">
        <v>526</v>
      </c>
      <c r="L125" s="1697">
        <f t="shared" si="82"/>
        <v>3.970410628019324E-2</v>
      </c>
      <c r="M125" s="1692">
        <v>13330</v>
      </c>
      <c r="N125" s="1693">
        <v>491</v>
      </c>
      <c r="O125" s="1697">
        <f t="shared" si="83"/>
        <v>3.6834208552138037E-2</v>
      </c>
      <c r="P125" s="1692">
        <v>13595</v>
      </c>
      <c r="Q125" s="1693">
        <v>450</v>
      </c>
      <c r="R125" s="1697">
        <f t="shared" si="84"/>
        <v>3.3100404560500181E-2</v>
      </c>
      <c r="S125" s="1692">
        <v>13740</v>
      </c>
      <c r="T125" s="1693">
        <v>429</v>
      </c>
      <c r="U125" s="1697">
        <f t="shared" si="85"/>
        <v>3.1222707423580787E-2</v>
      </c>
      <c r="V125" s="1692">
        <v>14212</v>
      </c>
      <c r="W125" s="1693">
        <v>419</v>
      </c>
      <c r="X125" s="1697">
        <f t="shared" si="86"/>
        <v>2.9482127779341401E-2</v>
      </c>
      <c r="Y125" s="1692">
        <v>14328</v>
      </c>
      <c r="Z125" s="1693">
        <v>460</v>
      </c>
      <c r="AA125" s="1697">
        <f t="shared" si="87"/>
        <v>3.2104969290898941E-2</v>
      </c>
      <c r="AB125" s="1692">
        <v>14354</v>
      </c>
      <c r="AC125" s="1693">
        <v>653</v>
      </c>
      <c r="AD125" s="1697">
        <f t="shared" si="88"/>
        <v>4.5492545631879613E-2</v>
      </c>
      <c r="AE125" s="1692">
        <v>14218</v>
      </c>
      <c r="AF125" s="1693">
        <v>1151</v>
      </c>
      <c r="AG125" s="1697">
        <f t="shared" si="89"/>
        <v>8.0953720635813756E-2</v>
      </c>
      <c r="AH125" s="1692">
        <v>13705</v>
      </c>
      <c r="AI125" s="1693">
        <v>1160</v>
      </c>
      <c r="AJ125" s="1697">
        <f t="shared" si="90"/>
        <v>8.4640642101422844E-2</v>
      </c>
      <c r="AK125" s="1108">
        <v>14053</v>
      </c>
      <c r="AL125" s="1109">
        <v>1039</v>
      </c>
      <c r="AM125" s="1697">
        <f t="shared" si="91"/>
        <v>7.3934391233188637E-2</v>
      </c>
      <c r="AN125" s="1110">
        <v>14223</v>
      </c>
      <c r="AO125" s="1111">
        <v>931</v>
      </c>
      <c r="AP125" s="1668">
        <f t="shared" si="92"/>
        <v>6.5457357800745269E-2</v>
      </c>
      <c r="AQ125" s="1110">
        <v>14363</v>
      </c>
      <c r="AR125" s="1112">
        <v>816</v>
      </c>
      <c r="AS125" s="1668">
        <f t="shared" si="93"/>
        <v>5.6812643598134094E-2</v>
      </c>
      <c r="AT125" s="1113">
        <v>14481</v>
      </c>
      <c r="AU125" s="1713">
        <v>728</v>
      </c>
      <c r="AV125" s="1697">
        <f t="shared" si="94"/>
        <v>5.0272771217457358E-2</v>
      </c>
      <c r="AW125" s="1110">
        <v>14256</v>
      </c>
      <c r="AX125" s="1716">
        <v>616</v>
      </c>
      <c r="AY125" s="1697">
        <f t="shared" si="95"/>
        <v>4.3209876543209874E-2</v>
      </c>
      <c r="AZ125" s="1110">
        <v>14345</v>
      </c>
      <c r="BA125" s="1716">
        <v>565</v>
      </c>
      <c r="BB125" s="1697">
        <f t="shared" si="96"/>
        <v>3.9386545834785638E-2</v>
      </c>
      <c r="BC125" s="1700">
        <v>14469</v>
      </c>
      <c r="BD125" s="1114">
        <v>526</v>
      </c>
      <c r="BE125" s="981">
        <f t="shared" si="97"/>
        <v>3.6353583523394843E-2</v>
      </c>
      <c r="BF125" s="1700">
        <v>14588</v>
      </c>
      <c r="BG125" s="1114">
        <v>427</v>
      </c>
      <c r="BH125" s="981">
        <f t="shared" si="98"/>
        <v>2.927063339731286E-2</v>
      </c>
      <c r="BI125" s="1700">
        <v>14892</v>
      </c>
      <c r="BJ125" s="1114">
        <v>412</v>
      </c>
      <c r="BK125" s="981">
        <f t="shared" si="59"/>
        <v>2.7665860864893903E-2</v>
      </c>
      <c r="BL125" s="1700">
        <v>14912</v>
      </c>
      <c r="BM125" s="1114">
        <v>871</v>
      </c>
      <c r="BN125" s="981">
        <f t="shared" si="60"/>
        <v>5.8409334763948495E-2</v>
      </c>
    </row>
    <row r="126" spans="1:66" ht="15" customHeight="1" x14ac:dyDescent="0.3">
      <c r="A126" s="198"/>
      <c r="B126" s="205"/>
      <c r="C126" s="85"/>
      <c r="D126" s="1661"/>
      <c r="E126" s="85"/>
      <c r="F126" s="1683"/>
      <c r="G126" s="1694"/>
      <c r="H126" s="207"/>
      <c r="I126" s="1664"/>
      <c r="J126" s="1694"/>
      <c r="K126" s="207"/>
      <c r="L126" s="1664"/>
      <c r="M126" s="1694"/>
      <c r="N126" s="207"/>
      <c r="O126" s="1664"/>
      <c r="P126" s="1694"/>
      <c r="Q126" s="207"/>
      <c r="R126" s="1664"/>
      <c r="S126" s="1694"/>
      <c r="T126" s="207"/>
      <c r="U126" s="1664"/>
      <c r="V126" s="1694"/>
      <c r="W126" s="207"/>
      <c r="X126" s="1664"/>
      <c r="Y126" s="1694"/>
      <c r="Z126" s="207"/>
      <c r="AA126" s="1664"/>
      <c r="AB126" s="1694"/>
      <c r="AC126" s="207"/>
      <c r="AD126" s="1664"/>
      <c r="AE126" s="1694"/>
      <c r="AF126" s="207"/>
      <c r="AG126" s="1664"/>
      <c r="AH126" s="1694"/>
      <c r="AI126" s="207"/>
      <c r="AJ126" s="1664"/>
      <c r="AK126" s="1701"/>
      <c r="AL126" s="208"/>
      <c r="AM126" s="1702"/>
      <c r="AN126" s="1707"/>
      <c r="AO126" s="513"/>
      <c r="AP126" s="1702"/>
      <c r="AQ126" s="1707"/>
      <c r="AR126" s="513"/>
      <c r="AS126" s="1702"/>
      <c r="AT126" s="1711"/>
      <c r="AU126" s="1712"/>
      <c r="AV126" s="1714"/>
      <c r="AW126" s="1711"/>
      <c r="AX126" s="1712"/>
      <c r="AY126" s="1714"/>
      <c r="AZ126" s="1711"/>
      <c r="BA126" s="1712"/>
      <c r="BB126" s="1714"/>
      <c r="BE126" s="82"/>
      <c r="BH126" s="82"/>
      <c r="BK126" s="82"/>
      <c r="BN126" s="82"/>
    </row>
    <row r="127" spans="1:66" ht="15" customHeight="1" x14ac:dyDescent="0.3">
      <c r="A127" s="344" t="s">
        <v>253</v>
      </c>
      <c r="B127" s="205"/>
      <c r="C127" s="85"/>
      <c r="D127" s="1684">
        <v>592708</v>
      </c>
      <c r="E127" s="1685">
        <v>12993</v>
      </c>
      <c r="F127" s="1667">
        <f>E127/D127</f>
        <v>2.1921418303785339E-2</v>
      </c>
      <c r="G127" s="1684">
        <v>601943</v>
      </c>
      <c r="H127" s="1685">
        <v>19376</v>
      </c>
      <c r="I127" s="1695">
        <f>H127/G127</f>
        <v>3.2189094316239245E-2</v>
      </c>
      <c r="J127" s="1684">
        <v>609818</v>
      </c>
      <c r="K127" s="1685">
        <v>25543</v>
      </c>
      <c r="L127" s="1695">
        <f>K127/J127</f>
        <v>4.188626770610248E-2</v>
      </c>
      <c r="M127" s="1684">
        <v>615006</v>
      </c>
      <c r="N127" s="1685">
        <v>26191</v>
      </c>
      <c r="O127" s="1695">
        <f>N127/M127</f>
        <v>4.2586576391124641E-2</v>
      </c>
      <c r="P127" s="1684">
        <v>625261</v>
      </c>
      <c r="Q127" s="1685">
        <v>25459</v>
      </c>
      <c r="R127" s="1695">
        <f>Q127/P127</f>
        <v>4.0717396415256991E-2</v>
      </c>
      <c r="S127" s="1684">
        <v>641914</v>
      </c>
      <c r="T127" s="1685">
        <v>24882</v>
      </c>
      <c r="U127" s="1695">
        <f>T127/S127</f>
        <v>3.876220179027097E-2</v>
      </c>
      <c r="V127" s="1684">
        <v>656139</v>
      </c>
      <c r="W127" s="1685">
        <v>21806</v>
      </c>
      <c r="X127" s="1695">
        <f>W127/V127</f>
        <v>3.32338117380616E-2</v>
      </c>
      <c r="Y127" s="1684">
        <v>666673</v>
      </c>
      <c r="Z127" s="1685">
        <v>21218</v>
      </c>
      <c r="AA127" s="1695">
        <f>Z127/Y127</f>
        <v>3.1826697646372359E-2</v>
      </c>
      <c r="AB127" s="1684">
        <v>683414</v>
      </c>
      <c r="AC127" s="1685">
        <v>29041</v>
      </c>
      <c r="AD127" s="1695">
        <f>AC127/AB127</f>
        <v>4.2494008024418578E-2</v>
      </c>
      <c r="AE127" s="1684">
        <v>677676</v>
      </c>
      <c r="AF127" s="1685">
        <v>51186</v>
      </c>
      <c r="AG127" s="1695">
        <f>AF127/AE127</f>
        <v>7.5531670001593679E-2</v>
      </c>
      <c r="AH127" s="1684">
        <v>684576</v>
      </c>
      <c r="AI127" s="1685">
        <v>56058</v>
      </c>
      <c r="AJ127" s="1695">
        <f>AI127/AH127</f>
        <v>8.1887182723320712E-2</v>
      </c>
      <c r="AK127" s="1684">
        <v>690528</v>
      </c>
      <c r="AL127" s="1685">
        <v>50498</v>
      </c>
      <c r="AM127" s="1695">
        <f>AL127/AK127</f>
        <v>7.3129547245006726E-2</v>
      </c>
      <c r="AN127" s="1684">
        <v>694423</v>
      </c>
      <c r="AO127" s="1685">
        <v>44878</v>
      </c>
      <c r="AP127" s="1695">
        <f>AO127/AN127</f>
        <v>6.4626315660627598E-2</v>
      </c>
      <c r="AQ127" s="1684">
        <v>699685</v>
      </c>
      <c r="AR127" s="860">
        <v>41567</v>
      </c>
      <c r="AS127" s="1695">
        <f>AR127/AQ127</f>
        <v>5.9408162244438567E-2</v>
      </c>
      <c r="AT127" s="1705">
        <v>709894</v>
      </c>
      <c r="AU127" s="1715">
        <v>38479</v>
      </c>
      <c r="AV127" s="1695">
        <f>AU127/AT127</f>
        <v>5.4203867056208395E-2</v>
      </c>
      <c r="AW127" s="1705">
        <v>710989</v>
      </c>
      <c r="AX127" s="1715">
        <v>32693</v>
      </c>
      <c r="AY127" s="1695">
        <f>AX127/AW127</f>
        <v>4.5982427294937053E-2</v>
      </c>
      <c r="AZ127" s="1705">
        <v>717845</v>
      </c>
      <c r="BA127" s="1715">
        <v>29415</v>
      </c>
      <c r="BB127" s="1695">
        <f>BA127/AZ127</f>
        <v>4.0976812543097742E-2</v>
      </c>
      <c r="BC127" s="1948">
        <v>730570</v>
      </c>
      <c r="BD127" s="982">
        <v>28185</v>
      </c>
      <c r="BE127" s="1664">
        <f>BD127/BC127</f>
        <v>3.8579465348974086E-2</v>
      </c>
      <c r="BF127" s="1948">
        <v>735988</v>
      </c>
      <c r="BG127" s="982">
        <v>23085</v>
      </c>
      <c r="BH127" s="1664">
        <f>BG127/BF127</f>
        <v>3.1366000532617379E-2</v>
      </c>
      <c r="BI127" s="1948">
        <v>746693</v>
      </c>
      <c r="BJ127" s="982">
        <v>21246</v>
      </c>
      <c r="BK127" s="1664">
        <f>BJ127/BI127</f>
        <v>2.8453460793123813E-2</v>
      </c>
      <c r="BL127" s="1948">
        <v>733716</v>
      </c>
      <c r="BM127" s="982">
        <v>48593</v>
      </c>
      <c r="BN127" s="1664">
        <f>BM127/BL127</f>
        <v>6.6228622518794744E-2</v>
      </c>
    </row>
    <row r="128" spans="1:66" ht="15" customHeight="1" x14ac:dyDescent="0.3">
      <c r="A128" s="344" t="s">
        <v>251</v>
      </c>
      <c r="B128" s="205"/>
      <c r="C128" s="85"/>
      <c r="D128" s="1684">
        <v>794912</v>
      </c>
      <c r="E128" s="1685">
        <v>20435</v>
      </c>
      <c r="F128" s="1667">
        <f>E128/D128</f>
        <v>2.570724809790266E-2</v>
      </c>
      <c r="G128" s="1684">
        <v>812604</v>
      </c>
      <c r="H128" s="1685">
        <v>27141</v>
      </c>
      <c r="I128" s="1695">
        <f>H128/G128</f>
        <v>3.3400032488149212E-2</v>
      </c>
      <c r="J128" s="1684">
        <v>830273</v>
      </c>
      <c r="K128" s="1685">
        <v>34732</v>
      </c>
      <c r="L128" s="1695">
        <f>K128/J128</f>
        <v>4.1832023924660927E-2</v>
      </c>
      <c r="M128" s="1684">
        <v>837233</v>
      </c>
      <c r="N128" s="1685">
        <v>35992</v>
      </c>
      <c r="O128" s="1695">
        <f>N128/M128</f>
        <v>4.2989227610474023E-2</v>
      </c>
      <c r="P128" s="1684">
        <v>843563</v>
      </c>
      <c r="Q128" s="1685">
        <v>35497</v>
      </c>
      <c r="R128" s="1695">
        <f>Q128/P128</f>
        <v>4.2079844658905144E-2</v>
      </c>
      <c r="S128" s="1684">
        <v>860038</v>
      </c>
      <c r="T128" s="1685">
        <v>34891</v>
      </c>
      <c r="U128" s="1695">
        <f>T128/S128</f>
        <v>4.0569137642755319E-2</v>
      </c>
      <c r="V128" s="1684">
        <v>870462</v>
      </c>
      <c r="W128" s="1685">
        <v>30116</v>
      </c>
      <c r="X128" s="1695">
        <f>W128/V128</f>
        <v>3.4597719372011643E-2</v>
      </c>
      <c r="Y128" s="1684">
        <v>882356</v>
      </c>
      <c r="Z128" s="1685">
        <v>28985</v>
      </c>
      <c r="AA128" s="1695">
        <f>Z128/Y128</f>
        <v>3.2849552788217003E-2</v>
      </c>
      <c r="AB128" s="1684">
        <v>896978</v>
      </c>
      <c r="AC128" s="1685">
        <v>38261</v>
      </c>
      <c r="AD128" s="1695">
        <f>AC128/AB128</f>
        <v>4.265544974347197E-2</v>
      </c>
      <c r="AE128" s="1684">
        <v>887779</v>
      </c>
      <c r="AF128" s="1685">
        <v>62012</v>
      </c>
      <c r="AG128" s="1695">
        <f>AF128/AE128</f>
        <v>6.9850717351953584E-2</v>
      </c>
      <c r="AH128" s="1684">
        <v>903535</v>
      </c>
      <c r="AI128" s="1685">
        <v>71369</v>
      </c>
      <c r="AJ128" s="1695">
        <f>AI128/AH128</f>
        <v>7.8988639067662014E-2</v>
      </c>
      <c r="AK128" s="1684">
        <v>906807</v>
      </c>
      <c r="AL128" s="1685">
        <v>67074</v>
      </c>
      <c r="AM128" s="1695">
        <f>AL128/AK128</f>
        <v>7.3967227866569188E-2</v>
      </c>
      <c r="AN128" s="1684">
        <v>905117</v>
      </c>
      <c r="AO128" s="1685">
        <v>61090</v>
      </c>
      <c r="AP128" s="1695">
        <f>AO128/AN128</f>
        <v>6.7494036682550426E-2</v>
      </c>
      <c r="AQ128" s="1684">
        <v>909757</v>
      </c>
      <c r="AR128" s="860">
        <v>56402</v>
      </c>
      <c r="AS128" s="1695">
        <f>AR128/AQ128</f>
        <v>6.199677496298462E-2</v>
      </c>
      <c r="AT128" s="1705">
        <v>913683</v>
      </c>
      <c r="AU128" s="1715">
        <v>51559</v>
      </c>
      <c r="AV128" s="1695">
        <f>AU128/AT128</f>
        <v>5.6429855869048674E-2</v>
      </c>
      <c r="AW128" s="1705">
        <v>903350</v>
      </c>
      <c r="AX128" s="1715">
        <v>44320</v>
      </c>
      <c r="AY128" s="1695">
        <f>AX128/AW128</f>
        <v>4.9061825427575138E-2</v>
      </c>
      <c r="AZ128" s="1705">
        <v>903213</v>
      </c>
      <c r="BA128" s="1715">
        <v>41329</v>
      </c>
      <c r="BB128" s="1695">
        <f>BA128/AZ128</f>
        <v>4.5757755922467898E-2</v>
      </c>
      <c r="BC128" s="1948">
        <v>917774</v>
      </c>
      <c r="BD128" s="982">
        <v>37630</v>
      </c>
      <c r="BE128" s="1664">
        <f>BD128/BC128</f>
        <v>4.1001379424564215E-2</v>
      </c>
      <c r="BF128" s="1948">
        <v>920270</v>
      </c>
      <c r="BG128" s="982">
        <v>30082</v>
      </c>
      <c r="BH128" s="1664">
        <f>BG128/BF128</f>
        <v>3.2688232801243111E-2</v>
      </c>
      <c r="BI128" s="1948">
        <v>928896</v>
      </c>
      <c r="BJ128" s="982">
        <v>27836</v>
      </c>
      <c r="BK128" s="1664">
        <f>BJ128/BI128</f>
        <v>2.9966756235358962E-2</v>
      </c>
      <c r="BL128" s="1948">
        <v>914452</v>
      </c>
      <c r="BM128" s="982">
        <v>65002</v>
      </c>
      <c r="BN128" s="1664">
        <f>BM128/BL128</f>
        <v>7.1083009277687625E-2</v>
      </c>
    </row>
    <row r="129" spans="1:66" ht="15" customHeight="1" x14ac:dyDescent="0.3">
      <c r="A129" s="344" t="s">
        <v>254</v>
      </c>
      <c r="B129" s="205"/>
      <c r="C129" s="85"/>
      <c r="D129" s="1684">
        <v>1410965</v>
      </c>
      <c r="E129" s="1685">
        <v>24098</v>
      </c>
      <c r="F129" s="1667">
        <f>E129/D129</f>
        <v>1.7079091260236788E-2</v>
      </c>
      <c r="G129" s="1684">
        <v>1444456</v>
      </c>
      <c r="H129" s="1685">
        <v>36437</v>
      </c>
      <c r="I129" s="1695">
        <f>H129/G129</f>
        <v>2.5225413581306734E-2</v>
      </c>
      <c r="J129" s="1684">
        <v>1467358</v>
      </c>
      <c r="K129" s="1685">
        <v>50471</v>
      </c>
      <c r="L129" s="1695">
        <f>K129/J129</f>
        <v>3.4395832509857852E-2</v>
      </c>
      <c r="M129" s="1684">
        <v>1483125</v>
      </c>
      <c r="N129" s="1685">
        <v>48016</v>
      </c>
      <c r="O129" s="1695">
        <f>N129/M129</f>
        <v>3.2374884112937208E-2</v>
      </c>
      <c r="P129" s="1684">
        <v>1523407</v>
      </c>
      <c r="Q129" s="1685">
        <v>44267</v>
      </c>
      <c r="R129" s="1695">
        <f>Q129/P129</f>
        <v>2.9057894574463686E-2</v>
      </c>
      <c r="S129" s="1684">
        <v>1579205</v>
      </c>
      <c r="T129" s="1685">
        <v>42791</v>
      </c>
      <c r="U129" s="1695">
        <f>T129/S129</f>
        <v>2.7096545413673335E-2</v>
      </c>
      <c r="V129" s="1684">
        <v>1627354</v>
      </c>
      <c r="W129" s="1685">
        <v>38780</v>
      </c>
      <c r="X129" s="1695">
        <f>W129/V129</f>
        <v>2.3830094742754188E-2</v>
      </c>
      <c r="Y129" s="1684">
        <v>1653678</v>
      </c>
      <c r="Z129" s="1685">
        <v>39588</v>
      </c>
      <c r="AA129" s="1695">
        <f>Z129/Y129</f>
        <v>2.3939364253500378E-2</v>
      </c>
      <c r="AB129" s="1684">
        <v>1700093</v>
      </c>
      <c r="AC129" s="1685">
        <v>54187</v>
      </c>
      <c r="AD129" s="1695">
        <f>AC129/AB129</f>
        <v>3.187296224383019E-2</v>
      </c>
      <c r="AE129" s="1684">
        <v>1698354</v>
      </c>
      <c r="AF129" s="1685">
        <v>91187</v>
      </c>
      <c r="AG129" s="1695">
        <f>AF129/AE129</f>
        <v>5.3691397670921376E-2</v>
      </c>
      <c r="AH129" s="1684">
        <v>1727382</v>
      </c>
      <c r="AI129" s="1685">
        <v>101591</v>
      </c>
      <c r="AJ129" s="1695">
        <f>AI129/AH129</f>
        <v>5.8812121464736807E-2</v>
      </c>
      <c r="AK129" s="1684">
        <v>1761176</v>
      </c>
      <c r="AL129" s="1685">
        <v>92771</v>
      </c>
      <c r="AM129" s="1695">
        <f>AL129/AK129</f>
        <v>5.2675598577314249E-2</v>
      </c>
      <c r="AN129" s="1684">
        <v>1777924</v>
      </c>
      <c r="AO129" s="1685">
        <v>85771</v>
      </c>
      <c r="AP129" s="1695">
        <f>AO129/AN129</f>
        <v>4.8242219577439759E-2</v>
      </c>
      <c r="AQ129" s="1684">
        <v>1792066</v>
      </c>
      <c r="AR129" s="860">
        <v>83075</v>
      </c>
      <c r="AS129" s="1695">
        <f>AR129/AQ129</f>
        <v>4.6357109615382468E-2</v>
      </c>
      <c r="AT129" s="1705">
        <v>1798874</v>
      </c>
      <c r="AU129" s="1715">
        <v>78667</v>
      </c>
      <c r="AV129" s="1695">
        <f>AU129/AT129</f>
        <v>4.3731245212282797E-2</v>
      </c>
      <c r="AW129" s="1705">
        <v>1794308</v>
      </c>
      <c r="AX129" s="1715">
        <v>67187</v>
      </c>
      <c r="AY129" s="1695">
        <f>AX129/AW129</f>
        <v>3.7444519001197121E-2</v>
      </c>
      <c r="AZ129" s="1705">
        <v>1813712</v>
      </c>
      <c r="BA129" s="1715">
        <v>60468</v>
      </c>
      <c r="BB129" s="1695">
        <f>BA129/AZ129</f>
        <v>3.3339361486277863E-2</v>
      </c>
      <c r="BC129" s="1948">
        <v>1852544</v>
      </c>
      <c r="BD129" s="982">
        <v>58312</v>
      </c>
      <c r="BE129" s="1664">
        <f>BD129/BC129</f>
        <v>3.147671526290334E-2</v>
      </c>
      <c r="BF129" s="1948">
        <v>1875547</v>
      </c>
      <c r="BG129" s="982">
        <v>47591</v>
      </c>
      <c r="BH129" s="1664">
        <f>BG129/BF129</f>
        <v>2.5374464089676238E-2</v>
      </c>
      <c r="BI129" s="1948">
        <v>1913824</v>
      </c>
      <c r="BJ129" s="982">
        <v>44062</v>
      </c>
      <c r="BK129" s="1664">
        <f>BJ129/BI129</f>
        <v>2.3023015700503285E-2</v>
      </c>
      <c r="BL129" s="1948">
        <v>1879396</v>
      </c>
      <c r="BM129" s="982">
        <v>106221</v>
      </c>
      <c r="BN129" s="1664">
        <f>BM129/BL129</f>
        <v>5.651869004722794E-2</v>
      </c>
    </row>
    <row r="130" spans="1:66" ht="15" customHeight="1" x14ac:dyDescent="0.3">
      <c r="A130" s="344" t="s">
        <v>252</v>
      </c>
      <c r="B130" s="205"/>
      <c r="C130" s="85"/>
      <c r="D130" s="1684">
        <v>546819</v>
      </c>
      <c r="E130" s="1685">
        <v>14852</v>
      </c>
      <c r="F130" s="1667">
        <f>E130/D130</f>
        <v>2.7160724115292263E-2</v>
      </c>
      <c r="G130" s="1684">
        <v>548806</v>
      </c>
      <c r="H130" s="1685">
        <v>21759</v>
      </c>
      <c r="I130" s="1695">
        <f>H130/G130</f>
        <v>3.9647890146973612E-2</v>
      </c>
      <c r="J130" s="1684">
        <v>553842</v>
      </c>
      <c r="K130" s="1685">
        <v>30207</v>
      </c>
      <c r="L130" s="1695">
        <f>K130/J130</f>
        <v>5.4540825722859586E-2</v>
      </c>
      <c r="M130" s="1684">
        <v>549253</v>
      </c>
      <c r="N130" s="1685">
        <v>29058</v>
      </c>
      <c r="O130" s="1695">
        <f>N130/M130</f>
        <v>5.2904581313165333E-2</v>
      </c>
      <c r="P130" s="1684">
        <v>540542</v>
      </c>
      <c r="Q130" s="1685">
        <v>26238</v>
      </c>
      <c r="R130" s="1695">
        <f>Q130/P130</f>
        <v>4.8540168941543858E-2</v>
      </c>
      <c r="S130" s="1684">
        <v>550374</v>
      </c>
      <c r="T130" s="1685">
        <v>24300</v>
      </c>
      <c r="U130" s="1695">
        <f>T130/S130</f>
        <v>4.4151794961244537E-2</v>
      </c>
      <c r="V130" s="1684">
        <v>558417</v>
      </c>
      <c r="W130" s="1685">
        <v>20866</v>
      </c>
      <c r="X130" s="1695">
        <f>W130/V130</f>
        <v>3.736634092443461E-2</v>
      </c>
      <c r="Y130" s="1684">
        <v>564980</v>
      </c>
      <c r="Z130" s="1685">
        <v>20949</v>
      </c>
      <c r="AA130" s="1695">
        <f>Z130/Y130</f>
        <v>3.7079188643845802E-2</v>
      </c>
      <c r="AB130" s="1684">
        <v>576940</v>
      </c>
      <c r="AC130" s="1685">
        <v>27134</v>
      </c>
      <c r="AD130" s="1695">
        <f>AC130/AB130</f>
        <v>4.7030887093978575E-2</v>
      </c>
      <c r="AE130" s="1684">
        <v>574746</v>
      </c>
      <c r="AF130" s="1685">
        <v>46587</v>
      </c>
      <c r="AG130" s="1695">
        <f>AF130/AE130</f>
        <v>8.1056675470555686E-2</v>
      </c>
      <c r="AH130" s="1684">
        <v>578479</v>
      </c>
      <c r="AI130" s="1685">
        <v>50349</v>
      </c>
      <c r="AJ130" s="1695">
        <f>AI130/AH130</f>
        <v>8.7036867371157817E-2</v>
      </c>
      <c r="AK130" s="1684">
        <v>576865</v>
      </c>
      <c r="AL130" s="1685">
        <v>43918</v>
      </c>
      <c r="AM130" s="1695">
        <f>AL130/AK130</f>
        <v>7.6132197307862332E-2</v>
      </c>
      <c r="AN130" s="1684">
        <v>572892</v>
      </c>
      <c r="AO130" s="1685">
        <v>38548</v>
      </c>
      <c r="AP130" s="1695">
        <f>AO130/AN130</f>
        <v>6.7286678815553363E-2</v>
      </c>
      <c r="AQ130" s="1684">
        <v>571746</v>
      </c>
      <c r="AR130" s="860">
        <v>35478</v>
      </c>
      <c r="AS130" s="1695">
        <f>AR130/AQ130</f>
        <v>6.2052030097280962E-2</v>
      </c>
      <c r="AT130" s="1705">
        <v>571768</v>
      </c>
      <c r="AU130" s="1715">
        <v>31714</v>
      </c>
      <c r="AV130" s="1695">
        <f>AU130/AT130</f>
        <v>5.546655286759665E-2</v>
      </c>
      <c r="AW130" s="1705">
        <v>564928</v>
      </c>
      <c r="AX130" s="1715">
        <v>26877</v>
      </c>
      <c r="AY130" s="1695">
        <f>AX130/AW130</f>
        <v>4.7575974283448508E-2</v>
      </c>
      <c r="AZ130" s="1705">
        <v>562362</v>
      </c>
      <c r="BA130" s="1715">
        <v>24062</v>
      </c>
      <c r="BB130" s="1695">
        <f>BA130/AZ130</f>
        <v>4.2787386060935836E-2</v>
      </c>
      <c r="BC130" s="1948">
        <v>572107</v>
      </c>
      <c r="BD130" s="982">
        <v>22845</v>
      </c>
      <c r="BE130" s="1664">
        <f>BD130/BC130</f>
        <v>3.993134151478657E-2</v>
      </c>
      <c r="BF130" s="1948">
        <v>571831</v>
      </c>
      <c r="BG130" s="982">
        <v>18339</v>
      </c>
      <c r="BH130" s="1664">
        <f>BG130/BF130</f>
        <v>3.2070664234712706E-2</v>
      </c>
      <c r="BI130" s="1948">
        <v>578555</v>
      </c>
      <c r="BJ130" s="982">
        <v>16811</v>
      </c>
      <c r="BK130" s="1664">
        <f>BJ130/BI130</f>
        <v>2.9056874454459817E-2</v>
      </c>
      <c r="BL130" s="1948">
        <v>565494</v>
      </c>
      <c r="BM130" s="982">
        <v>35123</v>
      </c>
      <c r="BN130" s="1664">
        <f>BM130/BL130</f>
        <v>6.2110296484135998E-2</v>
      </c>
    </row>
    <row r="131" spans="1:66" ht="15" customHeight="1" x14ac:dyDescent="0.3">
      <c r="A131" s="344" t="s">
        <v>255</v>
      </c>
      <c r="B131" s="205"/>
      <c r="C131" s="85"/>
      <c r="D131" s="1684">
        <v>263011</v>
      </c>
      <c r="E131" s="1685">
        <v>10636</v>
      </c>
      <c r="F131" s="1667">
        <f>E131/D131</f>
        <v>4.0439373258152701E-2</v>
      </c>
      <c r="G131" s="1684">
        <v>264890</v>
      </c>
      <c r="H131" s="1685">
        <v>14155</v>
      </c>
      <c r="I131" s="1695">
        <f>H131/G131</f>
        <v>5.3437275850352975E-2</v>
      </c>
      <c r="J131" s="1684">
        <v>267734</v>
      </c>
      <c r="K131" s="1685">
        <v>16076</v>
      </c>
      <c r="L131" s="1695">
        <f>K131/J131</f>
        <v>6.0044671203507961E-2</v>
      </c>
      <c r="M131" s="1684">
        <v>271644</v>
      </c>
      <c r="N131" s="1685">
        <v>15303</v>
      </c>
      <c r="O131" s="1695">
        <f>N131/M131</f>
        <v>5.633476167336661E-2</v>
      </c>
      <c r="P131" s="1684">
        <v>265023</v>
      </c>
      <c r="Q131" s="1685">
        <v>13633</v>
      </c>
      <c r="R131" s="1695">
        <f>Q131/P131</f>
        <v>5.1440818344068252E-2</v>
      </c>
      <c r="S131" s="1684">
        <v>268072</v>
      </c>
      <c r="T131" s="1685">
        <v>12699</v>
      </c>
      <c r="U131" s="1695">
        <f>T131/S131</f>
        <v>4.7371601659255726E-2</v>
      </c>
      <c r="V131" s="1684">
        <v>268865</v>
      </c>
      <c r="W131" s="1685">
        <v>11539</v>
      </c>
      <c r="X131" s="1695">
        <f>W131/V131</f>
        <v>4.2917449277518456E-2</v>
      </c>
      <c r="Y131" s="1684">
        <v>271755</v>
      </c>
      <c r="Z131" s="1685">
        <v>12128</v>
      </c>
      <c r="AA131" s="1695">
        <f>Z131/Y131</f>
        <v>4.4628433699471948E-2</v>
      </c>
      <c r="AB131" s="1684">
        <v>278725</v>
      </c>
      <c r="AC131" s="1685">
        <v>14543</v>
      </c>
      <c r="AD131" s="1695">
        <f>AC131/AB131</f>
        <v>5.2176876849941697E-2</v>
      </c>
      <c r="AE131" s="1684">
        <v>282292</v>
      </c>
      <c r="AF131" s="1685">
        <v>24947</v>
      </c>
      <c r="AG131" s="1695">
        <f>AF131/AE131</f>
        <v>8.8373032179445393E-2</v>
      </c>
      <c r="AH131" s="1684">
        <v>271875</v>
      </c>
      <c r="AI131" s="1685">
        <v>25721</v>
      </c>
      <c r="AJ131" s="1695">
        <f>AI131/AH131</f>
        <v>9.4605977011494258E-2</v>
      </c>
      <c r="AK131" s="1684">
        <v>272294</v>
      </c>
      <c r="AL131" s="1685">
        <v>22131</v>
      </c>
      <c r="AM131" s="1695">
        <f>AL131/AK131</f>
        <v>8.1276120663694384E-2</v>
      </c>
      <c r="AN131" s="1684">
        <v>269552</v>
      </c>
      <c r="AO131" s="1685">
        <v>20307</v>
      </c>
      <c r="AP131" s="1695">
        <f>AO131/AN131</f>
        <v>7.5336113254585391E-2</v>
      </c>
      <c r="AQ131" s="1684">
        <v>267503</v>
      </c>
      <c r="AR131" s="860">
        <v>19996</v>
      </c>
      <c r="AS131" s="1695">
        <f>AR131/AQ131</f>
        <v>7.4750563545081736E-2</v>
      </c>
      <c r="AT131" s="1705">
        <v>264642</v>
      </c>
      <c r="AU131" s="1715">
        <v>17530</v>
      </c>
      <c r="AV131" s="1695">
        <f>AU131/AT131</f>
        <v>6.6240430468330808E-2</v>
      </c>
      <c r="AW131" s="1705">
        <v>260403</v>
      </c>
      <c r="AX131" s="1715">
        <v>14824</v>
      </c>
      <c r="AY131" s="1695">
        <f>AX131/AW131</f>
        <v>5.6927147536702728E-2</v>
      </c>
      <c r="AZ131" s="1705">
        <v>257229</v>
      </c>
      <c r="BA131" s="1715">
        <v>14254</v>
      </c>
      <c r="BB131" s="1695">
        <f>BA131/AZ131</f>
        <v>5.5413658646575617E-2</v>
      </c>
      <c r="BC131" s="1948">
        <v>260568</v>
      </c>
      <c r="BD131" s="982">
        <v>12140</v>
      </c>
      <c r="BE131" s="1664">
        <f>BD131/BC131</f>
        <v>4.6590525313929571E-2</v>
      </c>
      <c r="BF131" s="1948">
        <v>257749</v>
      </c>
      <c r="BG131" s="982">
        <v>9311</v>
      </c>
      <c r="BH131" s="1664">
        <f>BG131/BF131</f>
        <v>3.6124291461848541E-2</v>
      </c>
      <c r="BI131" s="1948">
        <v>259392</v>
      </c>
      <c r="BJ131" s="982">
        <v>8771</v>
      </c>
      <c r="BK131" s="1664">
        <f>BJ131/BI131</f>
        <v>3.3813687392055265E-2</v>
      </c>
      <c r="BL131" s="1948">
        <v>253600</v>
      </c>
      <c r="BM131" s="982">
        <v>16473</v>
      </c>
      <c r="BN131" s="1664">
        <f>BM131/BL131</f>
        <v>6.4956624605678234E-2</v>
      </c>
    </row>
    <row r="132" spans="1:66" ht="15" customHeight="1" x14ac:dyDescent="0.3">
      <c r="A132" s="209"/>
      <c r="B132" s="205"/>
      <c r="C132" s="85"/>
      <c r="D132" s="85"/>
      <c r="E132" s="85"/>
      <c r="F132" s="85"/>
      <c r="G132" s="207"/>
      <c r="H132" s="207"/>
      <c r="I132" s="206"/>
      <c r="J132" s="207"/>
      <c r="K132" s="207"/>
      <c r="L132" s="206"/>
      <c r="M132" s="207"/>
      <c r="N132" s="207"/>
      <c r="O132" s="206"/>
      <c r="P132" s="207"/>
      <c r="Q132" s="207"/>
      <c r="R132" s="206"/>
      <c r="S132" s="207"/>
      <c r="T132" s="207"/>
      <c r="U132" s="206"/>
      <c r="V132" s="207"/>
      <c r="W132" s="207"/>
      <c r="X132" s="206"/>
      <c r="Y132" s="207"/>
      <c r="Z132" s="207"/>
      <c r="AA132" s="206"/>
      <c r="AB132" s="207"/>
      <c r="AC132" s="207"/>
      <c r="AD132" s="206"/>
      <c r="AE132" s="207"/>
      <c r="AF132" s="207"/>
      <c r="AG132" s="206"/>
      <c r="AH132" s="207"/>
      <c r="AI132" s="207"/>
      <c r="AJ132" s="206"/>
      <c r="AK132" s="208"/>
      <c r="AL132" s="208"/>
      <c r="AM132" s="82"/>
      <c r="AP132" s="82"/>
      <c r="AS132" s="82"/>
      <c r="AV132" s="82"/>
      <c r="AY132" s="82"/>
      <c r="BB132" s="82"/>
      <c r="BE132" s="82"/>
      <c r="BH132" s="82"/>
      <c r="BK132" s="82"/>
      <c r="BN132" s="82"/>
    </row>
    <row r="133" spans="1:66" ht="16.5" customHeight="1" x14ac:dyDescent="0.3">
      <c r="A133" s="1630" t="s">
        <v>521</v>
      </c>
      <c r="B133" s="1631"/>
      <c r="C133" s="1631"/>
      <c r="F133" s="1631"/>
      <c r="I133" s="1631"/>
      <c r="L133" s="1631"/>
      <c r="O133" s="1631"/>
      <c r="R133" s="1631"/>
      <c r="U133" s="1631"/>
      <c r="X133" s="1631"/>
      <c r="AA133" s="1631"/>
      <c r="AD133" s="1631"/>
      <c r="AG133" s="1631"/>
      <c r="AJ133" s="1631"/>
      <c r="AM133" s="1631"/>
      <c r="AP133" s="332"/>
      <c r="AS133" s="332"/>
      <c r="AV133" s="332"/>
      <c r="AY133" s="332"/>
      <c r="BB133" s="332"/>
      <c r="BE133" s="332"/>
      <c r="BF133" s="2209">
        <f>SUM(BF6:BF125)</f>
        <v>4361362</v>
      </c>
      <c r="BG133" s="2209">
        <f>SUM(BG6:BG125)</f>
        <v>128407</v>
      </c>
      <c r="BH133" s="332"/>
      <c r="BI133" s="2209">
        <f>SUM(BI6:BI125)</f>
        <v>4427394</v>
      </c>
      <c r="BJ133" s="2209">
        <f>SUM(BJ6:BJ125)</f>
        <v>118739</v>
      </c>
      <c r="BK133" s="332"/>
      <c r="BL133" s="2209">
        <f>SUM(BL6:BL125)</f>
        <v>4346658</v>
      </c>
      <c r="BM133" s="2209">
        <f>SUM(BM6:BM125)</f>
        <v>271412</v>
      </c>
      <c r="BN133" s="332"/>
    </row>
    <row r="134" spans="1:66" ht="16.5" customHeight="1" x14ac:dyDescent="0.3">
      <c r="A134" s="1631"/>
      <c r="B134" s="1631"/>
      <c r="C134" s="1631"/>
      <c r="F134" s="1631"/>
      <c r="I134" s="1631"/>
      <c r="L134" s="1631"/>
      <c r="O134" s="1631"/>
      <c r="R134" s="1631"/>
      <c r="U134" s="1631"/>
      <c r="X134" s="1631"/>
      <c r="AA134" s="1631"/>
      <c r="AD134" s="1631"/>
      <c r="AG134" s="1631"/>
      <c r="AJ134" s="1631"/>
      <c r="AM134" s="1631"/>
      <c r="AP134" s="253"/>
      <c r="AS134" s="253"/>
      <c r="AV134" s="253"/>
      <c r="AY134" s="253"/>
      <c r="BB134" s="253"/>
      <c r="BE134" s="253"/>
      <c r="BH134" s="253"/>
      <c r="BK134" s="253"/>
      <c r="BN134" s="253"/>
    </row>
    <row r="135" spans="1:66" ht="16.5" customHeight="1" x14ac:dyDescent="0.3">
      <c r="A135" s="1631"/>
      <c r="B135" s="1631"/>
      <c r="C135" s="1631"/>
      <c r="F135" s="1631"/>
      <c r="I135" s="1631"/>
      <c r="L135" s="1631"/>
      <c r="O135" s="1631"/>
      <c r="R135" s="1631"/>
      <c r="U135" s="1631"/>
      <c r="X135" s="1631"/>
      <c r="AA135" s="1631"/>
      <c r="AD135" s="1631"/>
      <c r="AG135" s="1631"/>
      <c r="AJ135" s="1631"/>
      <c r="AM135" s="1631"/>
      <c r="AP135" s="253"/>
      <c r="AS135" s="253"/>
      <c r="AV135" s="253"/>
      <c r="AY135" s="253"/>
      <c r="BB135" s="253"/>
      <c r="BE135" s="253"/>
      <c r="BH135" s="253"/>
      <c r="BK135" s="253"/>
      <c r="BN135" s="253"/>
    </row>
    <row r="136" spans="1:66" x14ac:dyDescent="0.3">
      <c r="A136" s="193" t="s">
        <v>1051</v>
      </c>
    </row>
    <row r="137" spans="1:66" x14ac:dyDescent="0.3">
      <c r="A137" s="194" t="s">
        <v>248</v>
      </c>
      <c r="B137" s="195" t="s">
        <v>249</v>
      </c>
    </row>
    <row r="138" spans="1:66" x14ac:dyDescent="0.3">
      <c r="G138" s="210"/>
      <c r="H138" s="210"/>
      <c r="J138" s="210"/>
      <c r="K138" s="210"/>
      <c r="M138" s="210"/>
      <c r="N138" s="210"/>
      <c r="P138" s="210"/>
      <c r="Q138" s="210"/>
      <c r="S138" s="210"/>
      <c r="T138" s="210"/>
      <c r="V138" s="210"/>
      <c r="W138" s="210"/>
      <c r="Y138" s="210"/>
      <c r="Z138" s="210"/>
      <c r="AB138" s="210"/>
      <c r="AC138" s="210"/>
      <c r="AE138" s="210"/>
      <c r="AF138" s="210"/>
      <c r="AH138" s="210"/>
      <c r="AI138" s="210"/>
    </row>
  </sheetData>
  <autoFilter ref="A4:C125"/>
  <sortState ref="A5:BH124">
    <sortCondition ref="A5:A124"/>
  </sortState>
  <mergeCells count="21">
    <mergeCell ref="D3:F3"/>
    <mergeCell ref="G3:I3"/>
    <mergeCell ref="J3:L3"/>
    <mergeCell ref="M3:O3"/>
    <mergeCell ref="P3:R3"/>
    <mergeCell ref="BL3:BN3"/>
    <mergeCell ref="AH3:AJ3"/>
    <mergeCell ref="S3:U3"/>
    <mergeCell ref="V3:X3"/>
    <mergeCell ref="Y3:AA3"/>
    <mergeCell ref="AB3:AD3"/>
    <mergeCell ref="AE3:AG3"/>
    <mergeCell ref="AZ3:BB3"/>
    <mergeCell ref="BC3:BE3"/>
    <mergeCell ref="AK3:AM3"/>
    <mergeCell ref="AN3:AP3"/>
    <mergeCell ref="BI3:BK3"/>
    <mergeCell ref="AQ3:AS3"/>
    <mergeCell ref="AT3:AV3"/>
    <mergeCell ref="AW3:AY3"/>
    <mergeCell ref="BF3:BH3"/>
  </mergeCells>
  <hyperlinks>
    <hyperlink ref="B137"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136"/>
  <sheetViews>
    <sheetView workbookViewId="0">
      <pane xSplit="3" ySplit="5" topLeftCell="D6" activePane="bottomRight" state="frozen"/>
      <selection pane="topRight" activeCell="D1" sqref="D1"/>
      <selection pane="bottomLeft" activeCell="A6" sqref="A6"/>
      <selection pane="bottomRight" sqref="A1:XFD1048576"/>
    </sheetView>
  </sheetViews>
  <sheetFormatPr defaultRowHeight="15.6" x14ac:dyDescent="0.3"/>
  <cols>
    <col min="1" max="1" width="7.69921875" style="41" customWidth="1"/>
    <col min="2" max="2" width="28.59765625" style="65" customWidth="1"/>
    <col min="3" max="3" width="10" style="65" customWidth="1"/>
    <col min="4" max="4" width="16.19921875" customWidth="1"/>
    <col min="5" max="5" width="12.796875" customWidth="1"/>
    <col min="7" max="11" width="12.59765625" customWidth="1"/>
    <col min="15" max="19" width="12" customWidth="1"/>
  </cols>
  <sheetData>
    <row r="1" spans="1:19" x14ac:dyDescent="0.3">
      <c r="A1" s="145" t="s">
        <v>994</v>
      </c>
      <c r="B1" s="145"/>
      <c r="C1" s="145"/>
    </row>
    <row r="2" spans="1:19" x14ac:dyDescent="0.3">
      <c r="A2" s="31"/>
      <c r="B2" s="43"/>
      <c r="C2" s="43"/>
    </row>
    <row r="3" spans="1:19" x14ac:dyDescent="0.3">
      <c r="A3" s="44"/>
      <c r="B3" s="45"/>
      <c r="C3" s="45"/>
    </row>
    <row r="4" spans="1:19" x14ac:dyDescent="0.3">
      <c r="A4" s="2506" t="s">
        <v>4</v>
      </c>
      <c r="B4" s="2508" t="s">
        <v>5</v>
      </c>
      <c r="C4" s="2508" t="s">
        <v>250</v>
      </c>
    </row>
    <row r="5" spans="1:19" ht="82.8" x14ac:dyDescent="0.3">
      <c r="A5" s="2507"/>
      <c r="B5" s="2509"/>
      <c r="C5" s="2509"/>
      <c r="D5" s="575" t="s">
        <v>990</v>
      </c>
      <c r="E5" s="575" t="s">
        <v>991</v>
      </c>
      <c r="F5" s="575" t="s">
        <v>992</v>
      </c>
      <c r="G5" s="2185" t="s">
        <v>993</v>
      </c>
      <c r="H5" s="2185" t="s">
        <v>999</v>
      </c>
      <c r="I5" s="2185" t="s">
        <v>1008</v>
      </c>
      <c r="J5" s="2185" t="s">
        <v>1000</v>
      </c>
      <c r="K5" s="2185" t="s">
        <v>1001</v>
      </c>
      <c r="L5" s="2185" t="s">
        <v>996</v>
      </c>
      <c r="M5" s="2185" t="s">
        <v>1006</v>
      </c>
      <c r="N5" s="2185" t="s">
        <v>997</v>
      </c>
      <c r="O5" s="2185" t="s">
        <v>998</v>
      </c>
      <c r="P5" s="2185" t="s">
        <v>1002</v>
      </c>
      <c r="Q5" s="2185" t="s">
        <v>1007</v>
      </c>
      <c r="R5" s="2185" t="s">
        <v>1003</v>
      </c>
      <c r="S5" s="2185" t="s">
        <v>1004</v>
      </c>
    </row>
    <row r="6" spans="1:19" x14ac:dyDescent="0.3">
      <c r="A6" s="53" t="s">
        <v>7</v>
      </c>
      <c r="B6" s="54" t="s">
        <v>8</v>
      </c>
      <c r="C6" s="55"/>
      <c r="D6" s="576">
        <v>8092283</v>
      </c>
      <c r="E6" s="576">
        <v>7345873</v>
      </c>
      <c r="F6" s="576">
        <v>746410</v>
      </c>
      <c r="G6" s="93">
        <f>F6/D6</f>
        <v>9.2237258632699826E-2</v>
      </c>
      <c r="H6" s="2184">
        <v>956501</v>
      </c>
      <c r="I6" s="2184">
        <v>795308</v>
      </c>
      <c r="J6" s="2184">
        <v>161193</v>
      </c>
      <c r="K6" s="93">
        <f>J6/H6</f>
        <v>0.16852360844369216</v>
      </c>
      <c r="L6" s="576">
        <v>1333546</v>
      </c>
      <c r="M6" s="576">
        <v>1124586</v>
      </c>
      <c r="N6" s="576">
        <v>208960</v>
      </c>
      <c r="O6" s="93">
        <f>N6/L6</f>
        <v>0.15669500714636014</v>
      </c>
      <c r="P6" s="2184">
        <v>1307097</v>
      </c>
      <c r="Q6" s="2184">
        <v>1163048</v>
      </c>
      <c r="R6" s="2184">
        <v>144049</v>
      </c>
      <c r="S6" s="93">
        <f>R6/P6</f>
        <v>0.11020528698329199</v>
      </c>
    </row>
    <row r="7" spans="1:19" x14ac:dyDescent="0.3">
      <c r="A7" s="56" t="s">
        <v>9</v>
      </c>
      <c r="B7" s="83" t="s">
        <v>10</v>
      </c>
      <c r="C7" s="57" t="s">
        <v>251</v>
      </c>
      <c r="D7" s="576">
        <v>31614</v>
      </c>
      <c r="E7" s="576">
        <v>26371</v>
      </c>
      <c r="F7" s="576">
        <v>5243</v>
      </c>
      <c r="G7" s="93">
        <f t="shared" ref="G7:G70" si="0">F7/D7</f>
        <v>0.16584424622002911</v>
      </c>
      <c r="H7" s="2184">
        <v>6625</v>
      </c>
      <c r="I7" s="2184">
        <v>5246</v>
      </c>
      <c r="J7" s="2184">
        <v>1379</v>
      </c>
      <c r="K7" s="93">
        <f t="shared" ref="K7:K70" si="1">J7/H7</f>
        <v>0.20815094339622642</v>
      </c>
      <c r="L7" s="576">
        <v>9150</v>
      </c>
      <c r="M7" s="576">
        <v>7016</v>
      </c>
      <c r="N7" s="576">
        <v>2134</v>
      </c>
      <c r="O7" s="93">
        <f t="shared" ref="O7:O70" si="2">N7/L7</f>
        <v>0.23322404371584698</v>
      </c>
      <c r="P7" s="2184">
        <v>6219</v>
      </c>
      <c r="Q7" s="2184">
        <v>5431</v>
      </c>
      <c r="R7" s="2184">
        <v>788</v>
      </c>
      <c r="S7" s="93">
        <f t="shared" ref="S7:S70" si="3">R7/P7</f>
        <v>0.12670847403119473</v>
      </c>
    </row>
    <row r="8" spans="1:19" x14ac:dyDescent="0.3">
      <c r="A8" s="56" t="s">
        <v>11</v>
      </c>
      <c r="B8" s="84" t="s">
        <v>12</v>
      </c>
      <c r="C8" s="57" t="s">
        <v>252</v>
      </c>
      <c r="D8" s="576">
        <v>98476</v>
      </c>
      <c r="E8" s="576">
        <v>91009</v>
      </c>
      <c r="F8" s="576">
        <v>7467</v>
      </c>
      <c r="G8" s="93">
        <f t="shared" si="0"/>
        <v>7.582558186766318E-2</v>
      </c>
      <c r="H8" s="2184">
        <v>10123</v>
      </c>
      <c r="I8" s="2184">
        <v>8757</v>
      </c>
      <c r="J8" s="2184">
        <v>1366</v>
      </c>
      <c r="K8" s="93">
        <f t="shared" si="1"/>
        <v>0.13494023510816952</v>
      </c>
      <c r="L8" s="576">
        <v>15809</v>
      </c>
      <c r="M8" s="576">
        <v>13499</v>
      </c>
      <c r="N8" s="576">
        <v>2310</v>
      </c>
      <c r="O8" s="93">
        <f t="shared" si="2"/>
        <v>0.14611929913340502</v>
      </c>
      <c r="P8" s="2184">
        <v>14892</v>
      </c>
      <c r="Q8" s="2184">
        <v>13420</v>
      </c>
      <c r="R8" s="2184">
        <v>1472</v>
      </c>
      <c r="S8" s="93">
        <f t="shared" si="3"/>
        <v>9.8845017459038412E-2</v>
      </c>
    </row>
    <row r="9" spans="1:19" x14ac:dyDescent="0.3">
      <c r="A9" s="56" t="s">
        <v>15</v>
      </c>
      <c r="B9" s="84" t="s">
        <v>273</v>
      </c>
      <c r="C9" s="57" t="s">
        <v>252</v>
      </c>
      <c r="D9" s="576">
        <v>20401</v>
      </c>
      <c r="E9" s="576">
        <v>18725</v>
      </c>
      <c r="F9" s="576">
        <v>1676</v>
      </c>
      <c r="G9" s="93">
        <f t="shared" si="0"/>
        <v>8.2152835645311506E-2</v>
      </c>
      <c r="H9" s="2184">
        <v>4508</v>
      </c>
      <c r="I9" s="2184">
        <v>4043</v>
      </c>
      <c r="J9" s="2184">
        <v>465</v>
      </c>
      <c r="K9" s="93">
        <f t="shared" si="1"/>
        <v>0.10314995563442768</v>
      </c>
      <c r="L9" s="576">
        <v>4959</v>
      </c>
      <c r="M9" s="576">
        <v>4276</v>
      </c>
      <c r="N9" s="576">
        <v>683</v>
      </c>
      <c r="O9" s="93">
        <f t="shared" si="2"/>
        <v>0.13772938092357331</v>
      </c>
      <c r="P9" s="2184">
        <v>3776</v>
      </c>
      <c r="Q9" s="2184">
        <v>3496</v>
      </c>
      <c r="R9" s="2184">
        <v>280</v>
      </c>
      <c r="S9" s="93">
        <f t="shared" si="3"/>
        <v>7.4152542372881353E-2</v>
      </c>
    </row>
    <row r="10" spans="1:19" x14ac:dyDescent="0.3">
      <c r="A10" s="56" t="s">
        <v>17</v>
      </c>
      <c r="B10" s="84" t="s">
        <v>18</v>
      </c>
      <c r="C10" s="57" t="s">
        <v>253</v>
      </c>
      <c r="D10" s="576">
        <v>12715</v>
      </c>
      <c r="E10" s="576">
        <v>11310</v>
      </c>
      <c r="F10" s="576">
        <v>1405</v>
      </c>
      <c r="G10" s="93">
        <f t="shared" si="0"/>
        <v>0.11049941014549744</v>
      </c>
      <c r="H10" s="2184">
        <v>1748</v>
      </c>
      <c r="I10" s="2184">
        <v>1490</v>
      </c>
      <c r="J10" s="2184">
        <v>258</v>
      </c>
      <c r="K10" s="93">
        <f t="shared" si="1"/>
        <v>0.14759725400457666</v>
      </c>
      <c r="L10" s="576">
        <v>2356</v>
      </c>
      <c r="M10" s="576">
        <v>2077</v>
      </c>
      <c r="N10" s="576">
        <v>279</v>
      </c>
      <c r="O10" s="93">
        <f t="shared" si="2"/>
        <v>0.11842105263157894</v>
      </c>
      <c r="P10" s="2184">
        <v>2731</v>
      </c>
      <c r="Q10" s="2184">
        <v>2426</v>
      </c>
      <c r="R10" s="2184">
        <v>305</v>
      </c>
      <c r="S10" s="93">
        <f t="shared" si="3"/>
        <v>0.11168070303917979</v>
      </c>
    </row>
    <row r="11" spans="1:19" x14ac:dyDescent="0.3">
      <c r="A11" s="56" t="s">
        <v>19</v>
      </c>
      <c r="B11" s="84" t="s">
        <v>20</v>
      </c>
      <c r="C11" s="57" t="s">
        <v>252</v>
      </c>
      <c r="D11" s="576">
        <v>30770</v>
      </c>
      <c r="E11" s="576">
        <v>27658</v>
      </c>
      <c r="F11" s="576">
        <v>3112</v>
      </c>
      <c r="G11" s="93">
        <f t="shared" si="0"/>
        <v>0.10113747156321092</v>
      </c>
      <c r="H11" s="2184">
        <v>4470</v>
      </c>
      <c r="I11" s="2184">
        <v>3735</v>
      </c>
      <c r="J11" s="2184">
        <v>735</v>
      </c>
      <c r="K11" s="93">
        <f t="shared" si="1"/>
        <v>0.16442953020134229</v>
      </c>
      <c r="L11" s="576">
        <v>7835</v>
      </c>
      <c r="M11" s="576">
        <v>6492</v>
      </c>
      <c r="N11" s="576">
        <v>1343</v>
      </c>
      <c r="O11" s="93">
        <f t="shared" si="2"/>
        <v>0.17141033822590937</v>
      </c>
      <c r="P11" s="2184">
        <v>6851</v>
      </c>
      <c r="Q11" s="2184">
        <v>6282</v>
      </c>
      <c r="R11" s="2184">
        <v>569</v>
      </c>
      <c r="S11" s="93">
        <f t="shared" si="3"/>
        <v>8.3053568822069768E-2</v>
      </c>
    </row>
    <row r="12" spans="1:19" x14ac:dyDescent="0.3">
      <c r="A12" s="56" t="s">
        <v>21</v>
      </c>
      <c r="B12" s="84" t="s">
        <v>22</v>
      </c>
      <c r="C12" s="57" t="s">
        <v>252</v>
      </c>
      <c r="D12" s="576">
        <v>15493</v>
      </c>
      <c r="E12" s="576">
        <v>14219</v>
      </c>
      <c r="F12" s="576">
        <v>1274</v>
      </c>
      <c r="G12" s="93">
        <f t="shared" si="0"/>
        <v>8.223068482540502E-2</v>
      </c>
      <c r="H12" s="2184">
        <v>2497</v>
      </c>
      <c r="I12" s="2184">
        <v>2084</v>
      </c>
      <c r="J12" s="2184">
        <v>413</v>
      </c>
      <c r="K12" s="93">
        <f t="shared" si="1"/>
        <v>0.16539847817380857</v>
      </c>
      <c r="L12" s="576">
        <v>3114</v>
      </c>
      <c r="M12" s="576">
        <v>2663</v>
      </c>
      <c r="N12" s="576">
        <v>451</v>
      </c>
      <c r="O12" s="93">
        <f t="shared" si="2"/>
        <v>0.14482980089916506</v>
      </c>
      <c r="P12" s="2184">
        <v>3172</v>
      </c>
      <c r="Q12" s="2184">
        <v>2924</v>
      </c>
      <c r="R12" s="2184">
        <v>248</v>
      </c>
      <c r="S12" s="93">
        <f t="shared" si="3"/>
        <v>7.8184110970996215E-2</v>
      </c>
    </row>
    <row r="13" spans="1:19" x14ac:dyDescent="0.3">
      <c r="A13" s="56" t="s">
        <v>23</v>
      </c>
      <c r="B13" s="84" t="s">
        <v>24</v>
      </c>
      <c r="C13" s="57" t="s">
        <v>254</v>
      </c>
      <c r="D13" s="576">
        <v>226288</v>
      </c>
      <c r="E13" s="576">
        <v>211386</v>
      </c>
      <c r="F13" s="576">
        <v>14902</v>
      </c>
      <c r="G13" s="93">
        <f t="shared" si="0"/>
        <v>6.5854132786537511E-2</v>
      </c>
      <c r="H13" s="2184">
        <v>14966</v>
      </c>
      <c r="I13" s="2184">
        <v>12236</v>
      </c>
      <c r="J13" s="2184">
        <v>2730</v>
      </c>
      <c r="K13" s="93">
        <f t="shared" si="1"/>
        <v>0.18241347053320861</v>
      </c>
      <c r="L13" s="576">
        <v>18904</v>
      </c>
      <c r="M13" s="576">
        <v>15426</v>
      </c>
      <c r="N13" s="576">
        <v>3478</v>
      </c>
      <c r="O13" s="93">
        <f t="shared" si="2"/>
        <v>0.18398222598391875</v>
      </c>
      <c r="P13" s="2184">
        <v>24605</v>
      </c>
      <c r="Q13" s="2184">
        <v>20836</v>
      </c>
      <c r="R13" s="2184">
        <v>3769</v>
      </c>
      <c r="S13" s="93">
        <f t="shared" si="3"/>
        <v>0.15318024791709003</v>
      </c>
    </row>
    <row r="14" spans="1:19" x14ac:dyDescent="0.3">
      <c r="A14" s="56" t="s">
        <v>25</v>
      </c>
      <c r="B14" s="84" t="s">
        <v>274</v>
      </c>
      <c r="C14" s="57" t="s">
        <v>252</v>
      </c>
      <c r="D14" s="576">
        <v>115591</v>
      </c>
      <c r="E14" s="576">
        <v>104131</v>
      </c>
      <c r="F14" s="576">
        <v>11460</v>
      </c>
      <c r="G14" s="93">
        <f t="shared" si="0"/>
        <v>9.9142666816620664E-2</v>
      </c>
      <c r="H14" s="2184">
        <v>16598</v>
      </c>
      <c r="I14" s="2184">
        <v>13963</v>
      </c>
      <c r="J14" s="2184">
        <v>2635</v>
      </c>
      <c r="K14" s="93">
        <f t="shared" si="1"/>
        <v>0.15875406675503073</v>
      </c>
      <c r="L14" s="576">
        <v>25279</v>
      </c>
      <c r="M14" s="576">
        <v>21964</v>
      </c>
      <c r="N14" s="576">
        <v>3315</v>
      </c>
      <c r="O14" s="93">
        <f t="shared" si="2"/>
        <v>0.13113651647612642</v>
      </c>
      <c r="P14" s="2184">
        <v>24461</v>
      </c>
      <c r="Q14" s="2184">
        <v>21856</v>
      </c>
      <c r="R14" s="2184">
        <v>2605</v>
      </c>
      <c r="S14" s="93">
        <f t="shared" si="3"/>
        <v>0.10649605494460569</v>
      </c>
    </row>
    <row r="15" spans="1:19" x14ac:dyDescent="0.3">
      <c r="A15" s="56" t="s">
        <v>26</v>
      </c>
      <c r="B15" s="84" t="s">
        <v>27</v>
      </c>
      <c r="C15" s="57" t="s">
        <v>252</v>
      </c>
      <c r="D15" s="576">
        <v>4218</v>
      </c>
      <c r="E15" s="576">
        <v>3584</v>
      </c>
      <c r="F15" s="576">
        <v>634</v>
      </c>
      <c r="G15" s="93">
        <f t="shared" si="0"/>
        <v>0.15030820293978189</v>
      </c>
      <c r="H15" s="2184">
        <v>752</v>
      </c>
      <c r="I15" s="2184">
        <v>488</v>
      </c>
      <c r="J15" s="2184">
        <v>264</v>
      </c>
      <c r="K15" s="93">
        <f t="shared" si="1"/>
        <v>0.35106382978723405</v>
      </c>
      <c r="L15" s="576">
        <v>1335</v>
      </c>
      <c r="M15" s="576">
        <v>1196</v>
      </c>
      <c r="N15" s="576">
        <v>139</v>
      </c>
      <c r="O15" s="93">
        <f t="shared" si="2"/>
        <v>0.10411985018726591</v>
      </c>
      <c r="P15" s="2184">
        <v>1065</v>
      </c>
      <c r="Q15" s="2184">
        <v>834</v>
      </c>
      <c r="R15" s="2184">
        <v>231</v>
      </c>
      <c r="S15" s="93">
        <f t="shared" si="3"/>
        <v>0.21690140845070421</v>
      </c>
    </row>
    <row r="16" spans="1:19" x14ac:dyDescent="0.3">
      <c r="A16" s="56" t="s">
        <v>28</v>
      </c>
      <c r="B16" s="84" t="s">
        <v>568</v>
      </c>
      <c r="C16" s="57" t="s">
        <v>252</v>
      </c>
      <c r="D16" s="576">
        <v>77408</v>
      </c>
      <c r="E16" s="576">
        <v>71170</v>
      </c>
      <c r="F16" s="576">
        <v>6238</v>
      </c>
      <c r="G16" s="93">
        <f t="shared" si="0"/>
        <v>8.0585985944605212E-2</v>
      </c>
      <c r="H16" s="2184">
        <v>9197</v>
      </c>
      <c r="I16" s="2184">
        <v>7381</v>
      </c>
      <c r="J16" s="2184">
        <v>1816</v>
      </c>
      <c r="K16" s="93">
        <f t="shared" si="1"/>
        <v>0.19745569207350222</v>
      </c>
      <c r="L16" s="576">
        <v>14213</v>
      </c>
      <c r="M16" s="576">
        <v>12822</v>
      </c>
      <c r="N16" s="576">
        <v>1391</v>
      </c>
      <c r="O16" s="93">
        <f t="shared" si="2"/>
        <v>9.7868148877787942E-2</v>
      </c>
      <c r="P16" s="2184">
        <v>17555</v>
      </c>
      <c r="Q16" s="2184">
        <v>16428</v>
      </c>
      <c r="R16" s="2184">
        <v>1127</v>
      </c>
      <c r="S16" s="93">
        <f t="shared" si="3"/>
        <v>6.419823412133295E-2</v>
      </c>
    </row>
    <row r="17" spans="1:19" x14ac:dyDescent="0.3">
      <c r="A17" s="56" t="s">
        <v>29</v>
      </c>
      <c r="B17" s="84" t="s">
        <v>30</v>
      </c>
      <c r="C17" s="57" t="s">
        <v>255</v>
      </c>
      <c r="D17" s="576">
        <v>5711</v>
      </c>
      <c r="E17" s="576">
        <v>5228</v>
      </c>
      <c r="F17" s="576">
        <v>483</v>
      </c>
      <c r="G17" s="93">
        <f t="shared" si="0"/>
        <v>8.4573629837156369E-2</v>
      </c>
      <c r="H17" s="2184">
        <v>936</v>
      </c>
      <c r="I17" s="2184">
        <v>812</v>
      </c>
      <c r="J17" s="2184">
        <v>124</v>
      </c>
      <c r="K17" s="93">
        <f t="shared" si="1"/>
        <v>0.13247863247863248</v>
      </c>
      <c r="L17" s="576">
        <v>1134</v>
      </c>
      <c r="M17" s="576">
        <v>1019</v>
      </c>
      <c r="N17" s="576">
        <v>115</v>
      </c>
      <c r="O17" s="93">
        <f t="shared" si="2"/>
        <v>0.10141093474426807</v>
      </c>
      <c r="P17" s="2184">
        <v>1055</v>
      </c>
      <c r="Q17" s="2184">
        <v>990</v>
      </c>
      <c r="R17" s="2184">
        <v>65</v>
      </c>
      <c r="S17" s="93">
        <f t="shared" si="3"/>
        <v>6.1611374407582936E-2</v>
      </c>
    </row>
    <row r="18" spans="1:19" x14ac:dyDescent="0.3">
      <c r="A18" s="56" t="s">
        <v>31</v>
      </c>
      <c r="B18" s="84" t="s">
        <v>32</v>
      </c>
      <c r="C18" s="57" t="s">
        <v>252</v>
      </c>
      <c r="D18" s="576">
        <v>32894</v>
      </c>
      <c r="E18" s="576">
        <v>31271</v>
      </c>
      <c r="F18" s="576">
        <v>1623</v>
      </c>
      <c r="G18" s="93">
        <f t="shared" si="0"/>
        <v>4.9340305222836993E-2</v>
      </c>
      <c r="H18" s="2184">
        <v>3480</v>
      </c>
      <c r="I18" s="2184">
        <v>2925</v>
      </c>
      <c r="J18" s="2184">
        <v>555</v>
      </c>
      <c r="K18" s="93">
        <f t="shared" si="1"/>
        <v>0.15948275862068967</v>
      </c>
      <c r="L18" s="576">
        <v>5677</v>
      </c>
      <c r="M18" s="576">
        <v>5294</v>
      </c>
      <c r="N18" s="576">
        <v>383</v>
      </c>
      <c r="O18" s="93">
        <f t="shared" si="2"/>
        <v>6.7465210498502737E-2</v>
      </c>
      <c r="P18" s="2184">
        <v>6141</v>
      </c>
      <c r="Q18" s="2184">
        <v>5943</v>
      </c>
      <c r="R18" s="2184">
        <v>198</v>
      </c>
      <c r="S18" s="93">
        <f t="shared" si="3"/>
        <v>3.2242305813385441E-2</v>
      </c>
    </row>
    <row r="19" spans="1:19" x14ac:dyDescent="0.3">
      <c r="A19" s="56" t="s">
        <v>35</v>
      </c>
      <c r="B19" s="84" t="s">
        <v>36</v>
      </c>
      <c r="C19" s="57" t="s">
        <v>251</v>
      </c>
      <c r="D19" s="576">
        <v>14409</v>
      </c>
      <c r="E19" s="576">
        <v>13189</v>
      </c>
      <c r="F19" s="576">
        <v>1220</v>
      </c>
      <c r="G19" s="93">
        <f t="shared" si="0"/>
        <v>8.4669303907280169E-2</v>
      </c>
      <c r="H19" s="2184">
        <v>3670</v>
      </c>
      <c r="I19" s="2184">
        <v>3337</v>
      </c>
      <c r="J19" s="2184">
        <v>333</v>
      </c>
      <c r="K19" s="93">
        <f t="shared" si="1"/>
        <v>9.0735694822888277E-2</v>
      </c>
      <c r="L19" s="576">
        <v>3587</v>
      </c>
      <c r="M19" s="576">
        <v>3104</v>
      </c>
      <c r="N19" s="576">
        <v>483</v>
      </c>
      <c r="O19" s="93">
        <f t="shared" si="2"/>
        <v>0.13465291329802062</v>
      </c>
      <c r="P19" s="2184">
        <v>2908</v>
      </c>
      <c r="Q19" s="2184">
        <v>2663</v>
      </c>
      <c r="R19" s="2184">
        <v>245</v>
      </c>
      <c r="S19" s="93">
        <f t="shared" si="3"/>
        <v>8.4250343878954609E-2</v>
      </c>
    </row>
    <row r="20" spans="1:19" x14ac:dyDescent="0.3">
      <c r="A20" s="56" t="s">
        <v>37</v>
      </c>
      <c r="B20" s="84" t="s">
        <v>38</v>
      </c>
      <c r="C20" s="57" t="s">
        <v>255</v>
      </c>
      <c r="D20" s="576">
        <v>21212</v>
      </c>
      <c r="E20" s="576">
        <v>18317</v>
      </c>
      <c r="F20" s="576">
        <v>2895</v>
      </c>
      <c r="G20" s="93">
        <f t="shared" si="0"/>
        <v>0.13647935131057892</v>
      </c>
      <c r="H20" s="2184">
        <v>7600</v>
      </c>
      <c r="I20" s="2184">
        <v>6461</v>
      </c>
      <c r="J20" s="2184">
        <v>1139</v>
      </c>
      <c r="K20" s="93">
        <f t="shared" si="1"/>
        <v>0.14986842105263157</v>
      </c>
      <c r="L20" s="576">
        <v>5038</v>
      </c>
      <c r="M20" s="576">
        <v>4312</v>
      </c>
      <c r="N20" s="576">
        <v>726</v>
      </c>
      <c r="O20" s="93">
        <f t="shared" si="2"/>
        <v>0.14410480349344978</v>
      </c>
      <c r="P20" s="2184">
        <v>3733</v>
      </c>
      <c r="Q20" s="2184">
        <v>3402</v>
      </c>
      <c r="R20" s="2184">
        <v>331</v>
      </c>
      <c r="S20" s="93">
        <f t="shared" si="3"/>
        <v>8.8668631127779271E-2</v>
      </c>
    </row>
    <row r="21" spans="1:19" x14ac:dyDescent="0.3">
      <c r="A21" s="56" t="s">
        <v>39</v>
      </c>
      <c r="B21" s="84" t="s">
        <v>40</v>
      </c>
      <c r="C21" s="57" t="s">
        <v>253</v>
      </c>
      <c r="D21" s="576">
        <v>14932</v>
      </c>
      <c r="E21" s="576">
        <v>13131</v>
      </c>
      <c r="F21" s="576">
        <v>1801</v>
      </c>
      <c r="G21" s="93">
        <f t="shared" si="0"/>
        <v>0.12061344762925261</v>
      </c>
      <c r="H21" s="2184">
        <v>2922</v>
      </c>
      <c r="I21" s="2184">
        <v>2278</v>
      </c>
      <c r="J21" s="2184">
        <v>644</v>
      </c>
      <c r="K21" s="93">
        <f t="shared" si="1"/>
        <v>0.22039698836413416</v>
      </c>
      <c r="L21" s="576">
        <v>3731</v>
      </c>
      <c r="M21" s="576">
        <v>3229</v>
      </c>
      <c r="N21" s="576">
        <v>502</v>
      </c>
      <c r="O21" s="93">
        <f t="shared" si="2"/>
        <v>0.13454837845081746</v>
      </c>
      <c r="P21" s="2184">
        <v>4213</v>
      </c>
      <c r="Q21" s="2184">
        <v>3796</v>
      </c>
      <c r="R21" s="2184">
        <v>417</v>
      </c>
      <c r="S21" s="93">
        <f t="shared" si="3"/>
        <v>9.8979349632091151E-2</v>
      </c>
    </row>
    <row r="22" spans="1:19" x14ac:dyDescent="0.3">
      <c r="A22" s="56" t="s">
        <v>41</v>
      </c>
      <c r="B22" s="84" t="s">
        <v>42</v>
      </c>
      <c r="C22" s="57" t="s">
        <v>252</v>
      </c>
      <c r="D22" s="576">
        <v>54629</v>
      </c>
      <c r="E22" s="576">
        <v>49299</v>
      </c>
      <c r="F22" s="576">
        <v>5330</v>
      </c>
      <c r="G22" s="93">
        <f t="shared" si="0"/>
        <v>9.7567226198539234E-2</v>
      </c>
      <c r="H22" s="2184">
        <v>8781</v>
      </c>
      <c r="I22" s="2184">
        <v>7601</v>
      </c>
      <c r="J22" s="2184">
        <v>1180</v>
      </c>
      <c r="K22" s="93">
        <f t="shared" si="1"/>
        <v>0.13438104999430589</v>
      </c>
      <c r="L22" s="576">
        <v>12695</v>
      </c>
      <c r="M22" s="576">
        <v>11154</v>
      </c>
      <c r="N22" s="576">
        <v>1541</v>
      </c>
      <c r="O22" s="93">
        <f t="shared" si="2"/>
        <v>0.12138637258763292</v>
      </c>
      <c r="P22" s="2184">
        <v>10217</v>
      </c>
      <c r="Q22" s="2184">
        <v>9179</v>
      </c>
      <c r="R22" s="2184">
        <v>1038</v>
      </c>
      <c r="S22" s="93">
        <f t="shared" si="3"/>
        <v>0.10159538024860526</v>
      </c>
    </row>
    <row r="23" spans="1:19" x14ac:dyDescent="0.3">
      <c r="A23" s="56" t="s">
        <v>43</v>
      </c>
      <c r="B23" s="84" t="s">
        <v>44</v>
      </c>
      <c r="C23" s="57" t="s">
        <v>253</v>
      </c>
      <c r="D23" s="576">
        <v>27960</v>
      </c>
      <c r="E23" s="576">
        <v>26020</v>
      </c>
      <c r="F23" s="576">
        <v>1940</v>
      </c>
      <c r="G23" s="93">
        <f t="shared" si="0"/>
        <v>6.9384835479256085E-2</v>
      </c>
      <c r="H23" s="2184">
        <v>2341</v>
      </c>
      <c r="I23" s="2184">
        <v>1925</v>
      </c>
      <c r="J23" s="2184">
        <v>416</v>
      </c>
      <c r="K23" s="93">
        <f t="shared" si="1"/>
        <v>0.17770183682187099</v>
      </c>
      <c r="L23" s="576">
        <v>5824</v>
      </c>
      <c r="M23" s="576">
        <v>5077</v>
      </c>
      <c r="N23" s="576">
        <v>747</v>
      </c>
      <c r="O23" s="93">
        <f t="shared" si="2"/>
        <v>0.12826236263736263</v>
      </c>
      <c r="P23" s="2184">
        <v>5466</v>
      </c>
      <c r="Q23" s="2184">
        <v>5157</v>
      </c>
      <c r="R23" s="2184">
        <v>309</v>
      </c>
      <c r="S23" s="93">
        <f t="shared" si="3"/>
        <v>5.6531284302963773E-2</v>
      </c>
    </row>
    <row r="24" spans="1:19" x14ac:dyDescent="0.3">
      <c r="A24" s="56" t="s">
        <v>45</v>
      </c>
      <c r="B24" s="84" t="s">
        <v>46</v>
      </c>
      <c r="C24" s="57" t="s">
        <v>255</v>
      </c>
      <c r="D24" s="576">
        <v>29552</v>
      </c>
      <c r="E24" s="576">
        <v>26021</v>
      </c>
      <c r="F24" s="576">
        <v>3531</v>
      </c>
      <c r="G24" s="93">
        <f t="shared" si="0"/>
        <v>0.11948429886302112</v>
      </c>
      <c r="H24" s="2184">
        <v>5924</v>
      </c>
      <c r="I24" s="2184">
        <v>4846</v>
      </c>
      <c r="J24" s="2184">
        <v>1078</v>
      </c>
      <c r="K24" s="93">
        <f t="shared" si="1"/>
        <v>0.18197164078325456</v>
      </c>
      <c r="L24" s="576">
        <v>7618</v>
      </c>
      <c r="M24" s="576">
        <v>6733</v>
      </c>
      <c r="N24" s="576">
        <v>885</v>
      </c>
      <c r="O24" s="93">
        <f t="shared" si="2"/>
        <v>0.11617222368075611</v>
      </c>
      <c r="P24" s="2184">
        <v>7560</v>
      </c>
      <c r="Q24" s="2184">
        <v>7062</v>
      </c>
      <c r="R24" s="2184">
        <v>498</v>
      </c>
      <c r="S24" s="93">
        <f t="shared" si="3"/>
        <v>6.5873015873015875E-2</v>
      </c>
    </row>
    <row r="25" spans="1:19" x14ac:dyDescent="0.3">
      <c r="A25" s="56" t="s">
        <v>47</v>
      </c>
      <c r="B25" s="84" t="s">
        <v>256</v>
      </c>
      <c r="C25" s="57" t="s">
        <v>253</v>
      </c>
      <c r="D25" s="576">
        <v>6975</v>
      </c>
      <c r="E25" s="576">
        <v>6343</v>
      </c>
      <c r="F25" s="576">
        <v>632</v>
      </c>
      <c r="G25" s="93">
        <f t="shared" si="0"/>
        <v>9.0609318996415777E-2</v>
      </c>
      <c r="H25" s="2184">
        <v>1218</v>
      </c>
      <c r="I25" s="2184">
        <v>1024</v>
      </c>
      <c r="J25" s="2184">
        <v>194</v>
      </c>
      <c r="K25" s="93">
        <f t="shared" si="1"/>
        <v>0.15927750410509031</v>
      </c>
      <c r="L25" s="576">
        <v>1213</v>
      </c>
      <c r="M25" s="576">
        <v>1078</v>
      </c>
      <c r="N25" s="576">
        <v>135</v>
      </c>
      <c r="O25" s="93">
        <f t="shared" si="2"/>
        <v>0.11129431162407255</v>
      </c>
      <c r="P25" s="2184">
        <v>1283</v>
      </c>
      <c r="Q25" s="2184">
        <v>1164</v>
      </c>
      <c r="R25" s="2184">
        <v>119</v>
      </c>
      <c r="S25" s="93">
        <f t="shared" si="3"/>
        <v>9.2751363990646915E-2</v>
      </c>
    </row>
    <row r="26" spans="1:19" x14ac:dyDescent="0.3">
      <c r="A26" s="56" t="s">
        <v>49</v>
      </c>
      <c r="B26" s="84" t="s">
        <v>50</v>
      </c>
      <c r="C26" s="57" t="s">
        <v>252</v>
      </c>
      <c r="D26" s="576">
        <v>11933</v>
      </c>
      <c r="E26" s="576">
        <v>10318</v>
      </c>
      <c r="F26" s="576">
        <v>1615</v>
      </c>
      <c r="G26" s="93">
        <f t="shared" si="0"/>
        <v>0.13533897594904887</v>
      </c>
      <c r="H26" s="2184">
        <v>3117</v>
      </c>
      <c r="I26" s="2184">
        <v>2573</v>
      </c>
      <c r="J26" s="2184">
        <v>544</v>
      </c>
      <c r="K26" s="93">
        <f t="shared" si="1"/>
        <v>0.17452678857876164</v>
      </c>
      <c r="L26" s="576">
        <v>3470</v>
      </c>
      <c r="M26" s="576">
        <v>2794</v>
      </c>
      <c r="N26" s="576">
        <v>676</v>
      </c>
      <c r="O26" s="93">
        <f t="shared" si="2"/>
        <v>0.19481268011527378</v>
      </c>
      <c r="P26" s="2184">
        <v>2557</v>
      </c>
      <c r="Q26" s="2184">
        <v>2363</v>
      </c>
      <c r="R26" s="2184">
        <v>194</v>
      </c>
      <c r="S26" s="93">
        <f t="shared" si="3"/>
        <v>7.5870160344153309E-2</v>
      </c>
    </row>
    <row r="27" spans="1:19" x14ac:dyDescent="0.3">
      <c r="A27" s="56" t="s">
        <v>55</v>
      </c>
      <c r="B27" s="84" t="s">
        <v>271</v>
      </c>
      <c r="C27" s="57" t="s">
        <v>253</v>
      </c>
      <c r="D27" s="576">
        <v>352095</v>
      </c>
      <c r="E27" s="576">
        <v>325392</v>
      </c>
      <c r="F27" s="576">
        <v>26703</v>
      </c>
      <c r="G27" s="93">
        <f t="shared" si="0"/>
        <v>7.5840327184424655E-2</v>
      </c>
      <c r="H27" s="2184">
        <v>25543</v>
      </c>
      <c r="I27" s="2184">
        <v>21276</v>
      </c>
      <c r="J27" s="2184">
        <v>4267</v>
      </c>
      <c r="K27" s="93">
        <f t="shared" si="1"/>
        <v>0.16705163841365542</v>
      </c>
      <c r="L27" s="576">
        <v>55313</v>
      </c>
      <c r="M27" s="576">
        <v>47210</v>
      </c>
      <c r="N27" s="576">
        <v>8103</v>
      </c>
      <c r="O27" s="93">
        <f t="shared" si="2"/>
        <v>0.14649359101838627</v>
      </c>
      <c r="P27" s="2184">
        <v>60014</v>
      </c>
      <c r="Q27" s="2184">
        <v>54431</v>
      </c>
      <c r="R27" s="2184">
        <v>5583</v>
      </c>
      <c r="S27" s="93">
        <f t="shared" si="3"/>
        <v>9.302829339820709E-2</v>
      </c>
    </row>
    <row r="28" spans="1:19" x14ac:dyDescent="0.3">
      <c r="A28" s="56" t="s">
        <v>57</v>
      </c>
      <c r="B28" s="84" t="s">
        <v>58</v>
      </c>
      <c r="C28" s="57" t="s">
        <v>254</v>
      </c>
      <c r="D28" s="576">
        <v>14170</v>
      </c>
      <c r="E28" s="576">
        <v>12165</v>
      </c>
      <c r="F28" s="576">
        <v>2005</v>
      </c>
      <c r="G28" s="93">
        <f t="shared" si="0"/>
        <v>0.14149611856033875</v>
      </c>
      <c r="H28" s="2184">
        <v>1311</v>
      </c>
      <c r="I28" s="2184">
        <v>938</v>
      </c>
      <c r="J28" s="2184">
        <v>373</v>
      </c>
      <c r="K28" s="93">
        <f t="shared" si="1"/>
        <v>0.28451563691838294</v>
      </c>
      <c r="L28" s="576">
        <v>2206</v>
      </c>
      <c r="M28" s="576">
        <v>1569</v>
      </c>
      <c r="N28" s="576">
        <v>637</v>
      </c>
      <c r="O28" s="93">
        <f t="shared" si="2"/>
        <v>0.28875793291024476</v>
      </c>
      <c r="P28" s="2184">
        <v>2018</v>
      </c>
      <c r="Q28" s="2184">
        <v>1736</v>
      </c>
      <c r="R28" s="2184">
        <v>282</v>
      </c>
      <c r="S28" s="93">
        <f t="shared" si="3"/>
        <v>0.13974231912784935</v>
      </c>
    </row>
    <row r="29" spans="1:19" x14ac:dyDescent="0.3">
      <c r="A29" s="56" t="s">
        <v>59</v>
      </c>
      <c r="B29" s="84" t="s">
        <v>60</v>
      </c>
      <c r="C29" s="57" t="s">
        <v>252</v>
      </c>
      <c r="D29" s="576">
        <v>5096</v>
      </c>
      <c r="E29" s="576">
        <v>4899</v>
      </c>
      <c r="F29" s="576">
        <v>197</v>
      </c>
      <c r="G29" s="93">
        <f t="shared" si="0"/>
        <v>3.8657770800627947E-2</v>
      </c>
      <c r="H29" s="2184">
        <v>639</v>
      </c>
      <c r="I29" s="2184">
        <v>555</v>
      </c>
      <c r="J29" s="2184">
        <v>84</v>
      </c>
      <c r="K29" s="93">
        <f t="shared" si="1"/>
        <v>0.13145539906103287</v>
      </c>
      <c r="L29" s="576">
        <v>1074</v>
      </c>
      <c r="M29" s="576">
        <v>1070</v>
      </c>
      <c r="N29" s="576">
        <v>4</v>
      </c>
      <c r="O29" s="93">
        <f t="shared" si="2"/>
        <v>3.7243947858472998E-3</v>
      </c>
      <c r="P29" s="2184">
        <v>829</v>
      </c>
      <c r="Q29" s="2184">
        <v>748</v>
      </c>
      <c r="R29" s="2184">
        <v>81</v>
      </c>
      <c r="S29" s="93">
        <f t="shared" si="3"/>
        <v>9.7708082026537996E-2</v>
      </c>
    </row>
    <row r="30" spans="1:19" x14ac:dyDescent="0.3">
      <c r="A30" s="56" t="s">
        <v>61</v>
      </c>
      <c r="B30" s="84" t="s">
        <v>62</v>
      </c>
      <c r="C30" s="57" t="s">
        <v>254</v>
      </c>
      <c r="D30" s="576">
        <v>48975</v>
      </c>
      <c r="E30" s="576">
        <v>44410</v>
      </c>
      <c r="F30" s="576">
        <v>4565</v>
      </c>
      <c r="G30" s="93">
        <f t="shared" si="0"/>
        <v>9.321082184788157E-2</v>
      </c>
      <c r="H30" s="2184">
        <v>4189</v>
      </c>
      <c r="I30" s="2184">
        <v>3490</v>
      </c>
      <c r="J30" s="2184">
        <v>699</v>
      </c>
      <c r="K30" s="93">
        <f t="shared" si="1"/>
        <v>0.16686560038195272</v>
      </c>
      <c r="L30" s="576">
        <v>8126</v>
      </c>
      <c r="M30" s="576">
        <v>6541</v>
      </c>
      <c r="N30" s="576">
        <v>1585</v>
      </c>
      <c r="O30" s="93">
        <f t="shared" si="2"/>
        <v>0.19505291656411519</v>
      </c>
      <c r="P30" s="2184">
        <v>8393</v>
      </c>
      <c r="Q30" s="2184">
        <v>7564</v>
      </c>
      <c r="R30" s="2184">
        <v>829</v>
      </c>
      <c r="S30" s="93">
        <f t="shared" si="3"/>
        <v>9.8772786846181349E-2</v>
      </c>
    </row>
    <row r="31" spans="1:19" x14ac:dyDescent="0.3">
      <c r="A31" s="56" t="s">
        <v>63</v>
      </c>
      <c r="B31" s="84" t="s">
        <v>64</v>
      </c>
      <c r="C31" s="57" t="s">
        <v>253</v>
      </c>
      <c r="D31" s="576">
        <v>9733</v>
      </c>
      <c r="E31" s="576">
        <v>8390</v>
      </c>
      <c r="F31" s="576">
        <v>1343</v>
      </c>
      <c r="G31" s="93">
        <f t="shared" si="0"/>
        <v>0.13798417754032671</v>
      </c>
      <c r="H31" s="2184">
        <v>2157</v>
      </c>
      <c r="I31" s="2184">
        <v>1911</v>
      </c>
      <c r="J31" s="2184">
        <v>246</v>
      </c>
      <c r="K31" s="93">
        <f t="shared" si="1"/>
        <v>0.11404728789986092</v>
      </c>
      <c r="L31" s="576">
        <v>2056</v>
      </c>
      <c r="M31" s="576">
        <v>1722</v>
      </c>
      <c r="N31" s="576">
        <v>334</v>
      </c>
      <c r="O31" s="93">
        <f t="shared" si="2"/>
        <v>0.16245136186770429</v>
      </c>
      <c r="P31" s="2184">
        <v>1935</v>
      </c>
      <c r="Q31" s="2184">
        <v>1720</v>
      </c>
      <c r="R31" s="2184">
        <v>215</v>
      </c>
      <c r="S31" s="93">
        <f t="shared" si="3"/>
        <v>0.1111111111111111</v>
      </c>
    </row>
    <row r="32" spans="1:19" x14ac:dyDescent="0.3">
      <c r="A32" s="56" t="s">
        <v>67</v>
      </c>
      <c r="B32" s="84" t="s">
        <v>68</v>
      </c>
      <c r="C32" s="57" t="s">
        <v>255</v>
      </c>
      <c r="D32" s="576">
        <v>14487</v>
      </c>
      <c r="E32" s="576">
        <v>13103</v>
      </c>
      <c r="F32" s="576">
        <v>1384</v>
      </c>
      <c r="G32" s="93">
        <f t="shared" si="0"/>
        <v>9.5533926969006699E-2</v>
      </c>
      <c r="H32" s="2184">
        <v>4903</v>
      </c>
      <c r="I32" s="2184">
        <v>4108</v>
      </c>
      <c r="J32" s="2184">
        <v>795</v>
      </c>
      <c r="K32" s="93">
        <f t="shared" si="1"/>
        <v>0.16214562512747296</v>
      </c>
      <c r="L32" s="576">
        <v>3643</v>
      </c>
      <c r="M32" s="576">
        <v>3221</v>
      </c>
      <c r="N32" s="576">
        <v>422</v>
      </c>
      <c r="O32" s="93">
        <f t="shared" si="2"/>
        <v>0.11583859456491902</v>
      </c>
      <c r="P32" s="2184">
        <v>2117</v>
      </c>
      <c r="Q32" s="2184">
        <v>2071</v>
      </c>
      <c r="R32" s="2184">
        <v>46</v>
      </c>
      <c r="S32" s="93">
        <f t="shared" si="3"/>
        <v>2.172886159659896E-2</v>
      </c>
    </row>
    <row r="33" spans="1:19" x14ac:dyDescent="0.3">
      <c r="A33" s="56" t="s">
        <v>69</v>
      </c>
      <c r="B33" s="84" t="s">
        <v>70</v>
      </c>
      <c r="C33" s="57" t="s">
        <v>251</v>
      </c>
      <c r="D33" s="576">
        <v>27531</v>
      </c>
      <c r="E33" s="576">
        <v>24820</v>
      </c>
      <c r="F33" s="576">
        <v>2711</v>
      </c>
      <c r="G33" s="93">
        <f t="shared" si="0"/>
        <v>9.8470814717954311E-2</v>
      </c>
      <c r="H33" s="2184">
        <v>4106</v>
      </c>
      <c r="I33" s="2184">
        <v>3372</v>
      </c>
      <c r="J33" s="2184">
        <v>734</v>
      </c>
      <c r="K33" s="93">
        <f t="shared" si="1"/>
        <v>0.17876278616658547</v>
      </c>
      <c r="L33" s="576">
        <v>5753</v>
      </c>
      <c r="M33" s="576">
        <v>5002</v>
      </c>
      <c r="N33" s="576">
        <v>751</v>
      </c>
      <c r="O33" s="93">
        <f t="shared" si="2"/>
        <v>0.13054058751955502</v>
      </c>
      <c r="P33" s="2184">
        <v>6090</v>
      </c>
      <c r="Q33" s="2184">
        <v>5293</v>
      </c>
      <c r="R33" s="2184">
        <v>797</v>
      </c>
      <c r="S33" s="93">
        <f t="shared" si="3"/>
        <v>0.13087027914614122</v>
      </c>
    </row>
    <row r="34" spans="1:19" x14ac:dyDescent="0.3">
      <c r="A34" s="56" t="s">
        <v>71</v>
      </c>
      <c r="B34" s="84" t="s">
        <v>72</v>
      </c>
      <c r="C34" s="57" t="s">
        <v>253</v>
      </c>
      <c r="D34" s="576">
        <v>10844</v>
      </c>
      <c r="E34" s="576">
        <v>9916</v>
      </c>
      <c r="F34" s="576">
        <v>928</v>
      </c>
      <c r="G34" s="93">
        <f t="shared" si="0"/>
        <v>8.5577277757285131E-2</v>
      </c>
      <c r="H34" s="2184">
        <v>1868</v>
      </c>
      <c r="I34" s="2184">
        <v>1551</v>
      </c>
      <c r="J34" s="2184">
        <v>317</v>
      </c>
      <c r="K34" s="93">
        <f t="shared" si="1"/>
        <v>0.16970021413276232</v>
      </c>
      <c r="L34" s="576">
        <v>2202</v>
      </c>
      <c r="M34" s="576">
        <v>1920</v>
      </c>
      <c r="N34" s="576">
        <v>282</v>
      </c>
      <c r="O34" s="93">
        <f t="shared" si="2"/>
        <v>0.12806539509536785</v>
      </c>
      <c r="P34" s="2184">
        <v>2945</v>
      </c>
      <c r="Q34" s="2184">
        <v>2719</v>
      </c>
      <c r="R34" s="2184">
        <v>226</v>
      </c>
      <c r="S34" s="93">
        <f t="shared" si="3"/>
        <v>7.6740237691001703E-2</v>
      </c>
    </row>
    <row r="35" spans="1:19" x14ac:dyDescent="0.3">
      <c r="A35" s="56" t="s">
        <v>73</v>
      </c>
      <c r="B35" s="84" t="s">
        <v>405</v>
      </c>
      <c r="C35" s="57" t="s">
        <v>254</v>
      </c>
      <c r="D35" s="576">
        <v>1161716</v>
      </c>
      <c r="E35" s="576">
        <v>1062546</v>
      </c>
      <c r="F35" s="576">
        <v>99170</v>
      </c>
      <c r="G35" s="93">
        <f t="shared" si="0"/>
        <v>8.5365097838025816E-2</v>
      </c>
      <c r="H35" s="2184">
        <v>59901</v>
      </c>
      <c r="I35" s="2184">
        <v>47959</v>
      </c>
      <c r="J35" s="2184">
        <v>11942</v>
      </c>
      <c r="K35" s="93">
        <f t="shared" si="1"/>
        <v>0.19936228109714363</v>
      </c>
      <c r="L35" s="576">
        <v>98644</v>
      </c>
      <c r="M35" s="576">
        <v>76558</v>
      </c>
      <c r="N35" s="576">
        <v>22086</v>
      </c>
      <c r="O35" s="93">
        <f t="shared" si="2"/>
        <v>0.2238960301690929</v>
      </c>
      <c r="P35" s="2184">
        <v>115702</v>
      </c>
      <c r="Q35" s="2184">
        <v>96570</v>
      </c>
      <c r="R35" s="2184">
        <v>19132</v>
      </c>
      <c r="S35" s="93">
        <f t="shared" si="3"/>
        <v>0.16535582790271561</v>
      </c>
    </row>
    <row r="36" spans="1:19" x14ac:dyDescent="0.3">
      <c r="A36" s="56" t="s">
        <v>75</v>
      </c>
      <c r="B36" s="84" t="s">
        <v>76</v>
      </c>
      <c r="C36" s="57" t="s">
        <v>254</v>
      </c>
      <c r="D36" s="576">
        <v>68655</v>
      </c>
      <c r="E36" s="576">
        <v>63226</v>
      </c>
      <c r="F36" s="576">
        <v>5429</v>
      </c>
      <c r="G36" s="93">
        <f t="shared" si="0"/>
        <v>7.9076542130944574E-2</v>
      </c>
      <c r="H36" s="2184">
        <v>4352</v>
      </c>
      <c r="I36" s="2184">
        <v>3428</v>
      </c>
      <c r="J36" s="2184">
        <v>924</v>
      </c>
      <c r="K36" s="93">
        <f t="shared" si="1"/>
        <v>0.21231617647058823</v>
      </c>
      <c r="L36" s="576">
        <v>6441</v>
      </c>
      <c r="M36" s="576">
        <v>5209</v>
      </c>
      <c r="N36" s="576">
        <v>1232</v>
      </c>
      <c r="O36" s="93">
        <f t="shared" si="2"/>
        <v>0.1912746467939761</v>
      </c>
      <c r="P36" s="2184">
        <v>9074</v>
      </c>
      <c r="Q36" s="2184">
        <v>8203</v>
      </c>
      <c r="R36" s="2184">
        <v>871</v>
      </c>
      <c r="S36" s="93">
        <f t="shared" si="3"/>
        <v>9.5988538681948427E-2</v>
      </c>
    </row>
    <row r="37" spans="1:19" x14ac:dyDescent="0.3">
      <c r="A37" s="56" t="s">
        <v>77</v>
      </c>
      <c r="B37" s="84" t="s">
        <v>78</v>
      </c>
      <c r="C37" s="57" t="s">
        <v>255</v>
      </c>
      <c r="D37" s="576">
        <v>15559</v>
      </c>
      <c r="E37" s="576">
        <v>14499</v>
      </c>
      <c r="F37" s="576">
        <v>1060</v>
      </c>
      <c r="G37" s="93">
        <f t="shared" si="0"/>
        <v>6.8127771707693296E-2</v>
      </c>
      <c r="H37" s="2184">
        <v>2344</v>
      </c>
      <c r="I37" s="2184">
        <v>2122</v>
      </c>
      <c r="J37" s="2184">
        <v>222</v>
      </c>
      <c r="K37" s="93">
        <f t="shared" si="1"/>
        <v>9.4709897610921495E-2</v>
      </c>
      <c r="L37" s="576">
        <v>4158</v>
      </c>
      <c r="M37" s="576">
        <v>3653</v>
      </c>
      <c r="N37" s="576">
        <v>505</v>
      </c>
      <c r="O37" s="93">
        <f t="shared" si="2"/>
        <v>0.12145262145262145</v>
      </c>
      <c r="P37" s="2184">
        <v>3115</v>
      </c>
      <c r="Q37" s="2184">
        <v>2990</v>
      </c>
      <c r="R37" s="2184">
        <v>125</v>
      </c>
      <c r="S37" s="93">
        <f t="shared" si="3"/>
        <v>4.0128410914927769E-2</v>
      </c>
    </row>
    <row r="38" spans="1:19" x14ac:dyDescent="0.3">
      <c r="A38" s="56" t="s">
        <v>79</v>
      </c>
      <c r="B38" s="84" t="s">
        <v>80</v>
      </c>
      <c r="C38" s="57" t="s">
        <v>253</v>
      </c>
      <c r="D38" s="576">
        <v>24976</v>
      </c>
      <c r="E38" s="576">
        <v>23181</v>
      </c>
      <c r="F38" s="576">
        <v>1795</v>
      </c>
      <c r="G38" s="93">
        <f t="shared" si="0"/>
        <v>7.1868994234465092E-2</v>
      </c>
      <c r="H38" s="2184">
        <v>1885</v>
      </c>
      <c r="I38" s="2184">
        <v>1586</v>
      </c>
      <c r="J38" s="2184">
        <v>299</v>
      </c>
      <c r="K38" s="93">
        <f t="shared" si="1"/>
        <v>0.15862068965517243</v>
      </c>
      <c r="L38" s="576">
        <v>3627</v>
      </c>
      <c r="M38" s="576">
        <v>3135</v>
      </c>
      <c r="N38" s="576">
        <v>492</v>
      </c>
      <c r="O38" s="93">
        <f t="shared" si="2"/>
        <v>0.13564929693961952</v>
      </c>
      <c r="P38" s="2184">
        <v>4687</v>
      </c>
      <c r="Q38" s="2184">
        <v>4346</v>
      </c>
      <c r="R38" s="2184">
        <v>341</v>
      </c>
      <c r="S38" s="93">
        <f t="shared" si="3"/>
        <v>7.2754427138894809E-2</v>
      </c>
    </row>
    <row r="39" spans="1:19" x14ac:dyDescent="0.3">
      <c r="A39" s="56" t="s">
        <v>83</v>
      </c>
      <c r="B39" s="84" t="s">
        <v>84</v>
      </c>
      <c r="C39" s="57" t="s">
        <v>252</v>
      </c>
      <c r="D39" s="576">
        <v>54652</v>
      </c>
      <c r="E39" s="576">
        <v>48989</v>
      </c>
      <c r="F39" s="576">
        <v>5663</v>
      </c>
      <c r="G39" s="93">
        <f t="shared" si="0"/>
        <v>0.10361926370489644</v>
      </c>
      <c r="H39" s="2184">
        <v>9703</v>
      </c>
      <c r="I39" s="2184">
        <v>8051</v>
      </c>
      <c r="J39" s="2184">
        <v>1652</v>
      </c>
      <c r="K39" s="93">
        <f t="shared" si="1"/>
        <v>0.17025662166340308</v>
      </c>
      <c r="L39" s="576">
        <v>12656</v>
      </c>
      <c r="M39" s="576">
        <v>11195</v>
      </c>
      <c r="N39" s="576">
        <v>1461</v>
      </c>
      <c r="O39" s="93">
        <f t="shared" si="2"/>
        <v>0.11543931731984829</v>
      </c>
      <c r="P39" s="2184">
        <v>11907</v>
      </c>
      <c r="Q39" s="2184">
        <v>10735</v>
      </c>
      <c r="R39" s="2184">
        <v>1172</v>
      </c>
      <c r="S39" s="93">
        <f t="shared" si="3"/>
        <v>9.8429495254892085E-2</v>
      </c>
    </row>
    <row r="40" spans="1:19" x14ac:dyDescent="0.3">
      <c r="A40" s="56" t="s">
        <v>85</v>
      </c>
      <c r="B40" s="84" t="s">
        <v>86</v>
      </c>
      <c r="C40" s="57" t="s">
        <v>254</v>
      </c>
      <c r="D40" s="576">
        <v>83723</v>
      </c>
      <c r="E40" s="576">
        <v>75495</v>
      </c>
      <c r="F40" s="576">
        <v>8228</v>
      </c>
      <c r="G40" s="93">
        <f t="shared" si="0"/>
        <v>9.827645927642345E-2</v>
      </c>
      <c r="H40" s="2184">
        <v>6077</v>
      </c>
      <c r="I40" s="2184">
        <v>5038</v>
      </c>
      <c r="J40" s="2184">
        <v>1039</v>
      </c>
      <c r="K40" s="93">
        <f t="shared" si="1"/>
        <v>0.17097251933519828</v>
      </c>
      <c r="L40" s="576">
        <v>13406</v>
      </c>
      <c r="M40" s="576">
        <v>10777</v>
      </c>
      <c r="N40" s="576">
        <v>2629</v>
      </c>
      <c r="O40" s="93">
        <f t="shared" si="2"/>
        <v>0.19610622109503206</v>
      </c>
      <c r="P40" s="2184">
        <v>16302</v>
      </c>
      <c r="Q40" s="2184">
        <v>14365</v>
      </c>
      <c r="R40" s="2184">
        <v>1937</v>
      </c>
      <c r="S40" s="93">
        <f t="shared" si="3"/>
        <v>0.11881977671451356</v>
      </c>
    </row>
    <row r="41" spans="1:19" x14ac:dyDescent="0.3">
      <c r="A41" s="56" t="s">
        <v>91</v>
      </c>
      <c r="B41" s="84" t="s">
        <v>92</v>
      </c>
      <c r="C41" s="57" t="s">
        <v>255</v>
      </c>
      <c r="D41" s="576">
        <v>16679</v>
      </c>
      <c r="E41" s="576">
        <v>15200</v>
      </c>
      <c r="F41" s="576">
        <v>1479</v>
      </c>
      <c r="G41" s="93">
        <f t="shared" si="0"/>
        <v>8.8674380958091006E-2</v>
      </c>
      <c r="H41" s="2184">
        <v>2696</v>
      </c>
      <c r="I41" s="2184">
        <v>2232</v>
      </c>
      <c r="J41" s="2184">
        <v>464</v>
      </c>
      <c r="K41" s="93">
        <f t="shared" si="1"/>
        <v>0.17210682492581603</v>
      </c>
      <c r="L41" s="576">
        <v>3788</v>
      </c>
      <c r="M41" s="576">
        <v>3435</v>
      </c>
      <c r="N41" s="576">
        <v>353</v>
      </c>
      <c r="O41" s="93">
        <f t="shared" si="2"/>
        <v>9.3189017951425548E-2</v>
      </c>
      <c r="P41" s="2184">
        <v>4613</v>
      </c>
      <c r="Q41" s="2184">
        <v>4391</v>
      </c>
      <c r="R41" s="2184">
        <v>222</v>
      </c>
      <c r="S41" s="93">
        <f t="shared" si="3"/>
        <v>4.8124864513331887E-2</v>
      </c>
    </row>
    <row r="42" spans="1:19" x14ac:dyDescent="0.3">
      <c r="A42" s="56" t="s">
        <v>93</v>
      </c>
      <c r="B42" s="84" t="s">
        <v>94</v>
      </c>
      <c r="C42" s="57" t="s">
        <v>251</v>
      </c>
      <c r="D42" s="576">
        <v>36547</v>
      </c>
      <c r="E42" s="576">
        <v>33444</v>
      </c>
      <c r="F42" s="576">
        <v>3103</v>
      </c>
      <c r="G42" s="93">
        <f t="shared" si="0"/>
        <v>8.4904369715708541E-2</v>
      </c>
      <c r="H42" s="2184">
        <v>3601</v>
      </c>
      <c r="I42" s="2184">
        <v>2915</v>
      </c>
      <c r="J42" s="2184">
        <v>686</v>
      </c>
      <c r="K42" s="93">
        <f t="shared" si="1"/>
        <v>0.19050263815606777</v>
      </c>
      <c r="L42" s="576">
        <v>6612</v>
      </c>
      <c r="M42" s="576">
        <v>5883</v>
      </c>
      <c r="N42" s="576">
        <v>729</v>
      </c>
      <c r="O42" s="93">
        <f t="shared" si="2"/>
        <v>0.11025408348457351</v>
      </c>
      <c r="P42" s="2184">
        <v>6895</v>
      </c>
      <c r="Q42" s="2184">
        <v>6138</v>
      </c>
      <c r="R42" s="2184">
        <v>757</v>
      </c>
      <c r="S42" s="93">
        <f t="shared" si="3"/>
        <v>0.1097897026831037</v>
      </c>
    </row>
    <row r="43" spans="1:19" x14ac:dyDescent="0.3">
      <c r="A43" s="56" t="s">
        <v>95</v>
      </c>
      <c r="B43" s="84" t="s">
        <v>96</v>
      </c>
      <c r="C43" s="57" t="s">
        <v>253</v>
      </c>
      <c r="D43" s="576">
        <v>21299</v>
      </c>
      <c r="E43" s="576">
        <v>20332</v>
      </c>
      <c r="F43" s="576">
        <v>967</v>
      </c>
      <c r="G43" s="93">
        <f t="shared" si="0"/>
        <v>4.5401192544250901E-2</v>
      </c>
      <c r="H43" s="2184">
        <v>1665</v>
      </c>
      <c r="I43" s="2184">
        <v>1467</v>
      </c>
      <c r="J43" s="2184">
        <v>198</v>
      </c>
      <c r="K43" s="93">
        <f t="shared" si="1"/>
        <v>0.11891891891891893</v>
      </c>
      <c r="L43" s="576">
        <v>2603</v>
      </c>
      <c r="M43" s="576">
        <v>2355</v>
      </c>
      <c r="N43" s="576">
        <v>248</v>
      </c>
      <c r="O43" s="93">
        <f t="shared" si="2"/>
        <v>9.5274683058009985E-2</v>
      </c>
      <c r="P43" s="2184">
        <v>3002</v>
      </c>
      <c r="Q43" s="2184">
        <v>2861</v>
      </c>
      <c r="R43" s="2184">
        <v>141</v>
      </c>
      <c r="S43" s="93">
        <f t="shared" si="3"/>
        <v>4.6968687541638909E-2</v>
      </c>
    </row>
    <row r="44" spans="1:19" x14ac:dyDescent="0.3">
      <c r="A44" s="56" t="s">
        <v>97</v>
      </c>
      <c r="B44" s="84" t="s">
        <v>98</v>
      </c>
      <c r="C44" s="57" t="s">
        <v>255</v>
      </c>
      <c r="D44" s="576">
        <v>14881</v>
      </c>
      <c r="E44" s="576">
        <v>13202</v>
      </c>
      <c r="F44" s="576">
        <v>1679</v>
      </c>
      <c r="G44" s="93">
        <f t="shared" si="0"/>
        <v>0.11282843894899536</v>
      </c>
      <c r="H44" s="2184">
        <v>3764</v>
      </c>
      <c r="I44" s="2184">
        <v>3180</v>
      </c>
      <c r="J44" s="2184">
        <v>584</v>
      </c>
      <c r="K44" s="93">
        <f t="shared" si="1"/>
        <v>0.15515409139213601</v>
      </c>
      <c r="L44" s="576">
        <v>4820</v>
      </c>
      <c r="M44" s="576">
        <v>4087</v>
      </c>
      <c r="N44" s="576">
        <v>733</v>
      </c>
      <c r="O44" s="93">
        <f t="shared" si="2"/>
        <v>0.15207468879668049</v>
      </c>
      <c r="P44" s="2184">
        <v>2544</v>
      </c>
      <c r="Q44" s="2184">
        <v>2333</v>
      </c>
      <c r="R44" s="2184">
        <v>211</v>
      </c>
      <c r="S44" s="93">
        <f t="shared" si="3"/>
        <v>8.2940251572327039E-2</v>
      </c>
    </row>
    <row r="45" spans="1:19" x14ac:dyDescent="0.3">
      <c r="A45" s="56" t="s">
        <v>99</v>
      </c>
      <c r="B45" s="84" t="s">
        <v>100</v>
      </c>
      <c r="C45" s="57" t="s">
        <v>254</v>
      </c>
      <c r="D45" s="576">
        <v>19203</v>
      </c>
      <c r="E45" s="576">
        <v>16953</v>
      </c>
      <c r="F45" s="576">
        <v>2250</v>
      </c>
      <c r="G45" s="93">
        <f t="shared" si="0"/>
        <v>0.11716919231370099</v>
      </c>
      <c r="H45" s="2184">
        <v>2136</v>
      </c>
      <c r="I45" s="2184">
        <v>1328</v>
      </c>
      <c r="J45" s="2184">
        <v>808</v>
      </c>
      <c r="K45" s="93">
        <f t="shared" si="1"/>
        <v>0.37827715355805241</v>
      </c>
      <c r="L45" s="576">
        <v>3571</v>
      </c>
      <c r="M45" s="576">
        <v>2745</v>
      </c>
      <c r="N45" s="576">
        <v>826</v>
      </c>
      <c r="O45" s="93">
        <f t="shared" si="2"/>
        <v>0.23130775693083169</v>
      </c>
      <c r="P45" s="2184">
        <v>3514</v>
      </c>
      <c r="Q45" s="2184">
        <v>3401</v>
      </c>
      <c r="R45" s="2184">
        <v>113</v>
      </c>
      <c r="S45" s="93">
        <f t="shared" si="3"/>
        <v>3.2157085941946502E-2</v>
      </c>
    </row>
    <row r="46" spans="1:19" x14ac:dyDescent="0.3">
      <c r="A46" s="56" t="s">
        <v>101</v>
      </c>
      <c r="B46" s="84" t="s">
        <v>263</v>
      </c>
      <c r="C46" s="57" t="s">
        <v>251</v>
      </c>
      <c r="D46" s="576">
        <v>13585</v>
      </c>
      <c r="E46" s="576">
        <v>11634</v>
      </c>
      <c r="F46" s="576">
        <v>1951</v>
      </c>
      <c r="G46" s="93">
        <f t="shared" si="0"/>
        <v>0.14361428045638572</v>
      </c>
      <c r="H46" s="2184">
        <v>4021</v>
      </c>
      <c r="I46" s="2184">
        <v>3269</v>
      </c>
      <c r="J46" s="2184">
        <v>752</v>
      </c>
      <c r="K46" s="93">
        <f t="shared" si="1"/>
        <v>0.18701815468788857</v>
      </c>
      <c r="L46" s="576">
        <v>3565</v>
      </c>
      <c r="M46" s="576">
        <v>2988</v>
      </c>
      <c r="N46" s="576">
        <v>577</v>
      </c>
      <c r="O46" s="93">
        <f t="shared" si="2"/>
        <v>0.16185133239831698</v>
      </c>
      <c r="P46" s="2184">
        <v>2359</v>
      </c>
      <c r="Q46" s="2184">
        <v>2111</v>
      </c>
      <c r="R46" s="2184">
        <v>248</v>
      </c>
      <c r="S46" s="93">
        <f t="shared" si="3"/>
        <v>0.10512929207291224</v>
      </c>
    </row>
    <row r="47" spans="1:19" x14ac:dyDescent="0.3">
      <c r="A47" s="56" t="s">
        <v>103</v>
      </c>
      <c r="B47" s="84" t="s">
        <v>104</v>
      </c>
      <c r="C47" s="57" t="s">
        <v>252</v>
      </c>
      <c r="D47" s="576">
        <v>33985</v>
      </c>
      <c r="E47" s="576">
        <v>30752</v>
      </c>
      <c r="F47" s="576">
        <v>3233</v>
      </c>
      <c r="G47" s="93">
        <f t="shared" si="0"/>
        <v>9.5130204501986171E-2</v>
      </c>
      <c r="H47" s="2184">
        <v>7394</v>
      </c>
      <c r="I47" s="2184">
        <v>6077</v>
      </c>
      <c r="J47" s="2184">
        <v>1317</v>
      </c>
      <c r="K47" s="93">
        <f t="shared" si="1"/>
        <v>0.17811739248038949</v>
      </c>
      <c r="L47" s="576">
        <v>8335</v>
      </c>
      <c r="M47" s="576">
        <v>7488</v>
      </c>
      <c r="N47" s="576">
        <v>847</v>
      </c>
      <c r="O47" s="93">
        <f t="shared" si="2"/>
        <v>0.10161967606478704</v>
      </c>
      <c r="P47" s="2184">
        <v>7599</v>
      </c>
      <c r="Q47" s="2184">
        <v>7014</v>
      </c>
      <c r="R47" s="2184">
        <v>585</v>
      </c>
      <c r="S47" s="93">
        <f t="shared" si="3"/>
        <v>7.6983813659692063E-2</v>
      </c>
    </row>
    <row r="48" spans="1:19" x14ac:dyDescent="0.3">
      <c r="A48" s="56" t="s">
        <v>107</v>
      </c>
      <c r="B48" s="84" t="s">
        <v>108</v>
      </c>
      <c r="C48" s="57" t="s">
        <v>253</v>
      </c>
      <c r="D48" s="576">
        <v>102562</v>
      </c>
      <c r="E48" s="576">
        <v>97360</v>
      </c>
      <c r="F48" s="576">
        <v>5202</v>
      </c>
      <c r="G48" s="93">
        <f t="shared" si="0"/>
        <v>5.0720539771065304E-2</v>
      </c>
      <c r="H48" s="2184">
        <v>6379</v>
      </c>
      <c r="I48" s="2184">
        <v>5668</v>
      </c>
      <c r="J48" s="2184">
        <v>711</v>
      </c>
      <c r="K48" s="93">
        <f t="shared" si="1"/>
        <v>0.11145947640696034</v>
      </c>
      <c r="L48" s="576">
        <v>11985</v>
      </c>
      <c r="M48" s="576">
        <v>10578</v>
      </c>
      <c r="N48" s="576">
        <v>1407</v>
      </c>
      <c r="O48" s="93">
        <f t="shared" si="2"/>
        <v>0.11739674593241552</v>
      </c>
      <c r="P48" s="2184">
        <v>15816</v>
      </c>
      <c r="Q48" s="2184">
        <v>14728</v>
      </c>
      <c r="R48" s="2184">
        <v>1088</v>
      </c>
      <c r="S48" s="93">
        <f t="shared" si="3"/>
        <v>6.8791097622660599E-2</v>
      </c>
    </row>
    <row r="49" spans="1:19" x14ac:dyDescent="0.3">
      <c r="A49" s="56" t="s">
        <v>109</v>
      </c>
      <c r="B49" s="84" t="s">
        <v>110</v>
      </c>
      <c r="C49" s="57" t="s">
        <v>253</v>
      </c>
      <c r="D49" s="576">
        <v>322862</v>
      </c>
      <c r="E49" s="576">
        <v>296241</v>
      </c>
      <c r="F49" s="576">
        <v>26621</v>
      </c>
      <c r="G49" s="93">
        <f t="shared" si="0"/>
        <v>8.2453184332625079E-2</v>
      </c>
      <c r="H49" s="2184">
        <v>36753</v>
      </c>
      <c r="I49" s="2184">
        <v>30722</v>
      </c>
      <c r="J49" s="2184">
        <v>6031</v>
      </c>
      <c r="K49" s="93">
        <f t="shared" si="1"/>
        <v>0.16409544799064021</v>
      </c>
      <c r="L49" s="576">
        <v>55137</v>
      </c>
      <c r="M49" s="576">
        <v>48084</v>
      </c>
      <c r="N49" s="576">
        <v>7053</v>
      </c>
      <c r="O49" s="93">
        <f t="shared" si="2"/>
        <v>0.12791773219435226</v>
      </c>
      <c r="P49" s="2184">
        <v>53978</v>
      </c>
      <c r="Q49" s="2184">
        <v>48189</v>
      </c>
      <c r="R49" s="2184">
        <v>5789</v>
      </c>
      <c r="S49" s="93">
        <f t="shared" si="3"/>
        <v>0.1072473970877024</v>
      </c>
    </row>
    <row r="50" spans="1:19" x14ac:dyDescent="0.3">
      <c r="A50" s="56" t="s">
        <v>111</v>
      </c>
      <c r="B50" s="84" t="s">
        <v>275</v>
      </c>
      <c r="C50" s="57" t="s">
        <v>252</v>
      </c>
      <c r="D50" s="576">
        <v>63553</v>
      </c>
      <c r="E50" s="576">
        <v>55967</v>
      </c>
      <c r="F50" s="576">
        <v>7586</v>
      </c>
      <c r="G50" s="93">
        <f t="shared" si="0"/>
        <v>0.11936493949931554</v>
      </c>
      <c r="H50" s="2184">
        <v>16757</v>
      </c>
      <c r="I50" s="2184">
        <v>14052</v>
      </c>
      <c r="J50" s="2184">
        <v>2705</v>
      </c>
      <c r="K50" s="93">
        <f t="shared" si="1"/>
        <v>0.16142507608760517</v>
      </c>
      <c r="L50" s="576">
        <v>18105</v>
      </c>
      <c r="M50" s="576">
        <v>15380</v>
      </c>
      <c r="N50" s="576">
        <v>2725</v>
      </c>
      <c r="O50" s="93">
        <f t="shared" si="2"/>
        <v>0.15051090858878763</v>
      </c>
      <c r="P50" s="2184">
        <v>13085</v>
      </c>
      <c r="Q50" s="2184">
        <v>11620</v>
      </c>
      <c r="R50" s="2184">
        <v>1465</v>
      </c>
      <c r="S50" s="93">
        <f t="shared" si="3"/>
        <v>0.11196025983951088</v>
      </c>
    </row>
    <row r="51" spans="1:19" x14ac:dyDescent="0.3">
      <c r="A51" s="56" t="s">
        <v>113</v>
      </c>
      <c r="B51" s="84" t="s">
        <v>114</v>
      </c>
      <c r="C51" s="57" t="s">
        <v>252</v>
      </c>
      <c r="D51" s="576">
        <v>2214</v>
      </c>
      <c r="E51" s="576">
        <v>2015</v>
      </c>
      <c r="F51" s="576">
        <v>199</v>
      </c>
      <c r="G51" s="93">
        <f t="shared" si="0"/>
        <v>8.9882565492321584E-2</v>
      </c>
      <c r="H51" s="2184">
        <v>434</v>
      </c>
      <c r="I51" s="2184">
        <v>345</v>
      </c>
      <c r="J51" s="2184">
        <v>89</v>
      </c>
      <c r="K51" s="93">
        <f t="shared" si="1"/>
        <v>0.20506912442396313</v>
      </c>
      <c r="L51" s="576">
        <v>739</v>
      </c>
      <c r="M51" s="576">
        <v>672</v>
      </c>
      <c r="N51" s="576">
        <v>67</v>
      </c>
      <c r="O51" s="93">
        <f t="shared" si="2"/>
        <v>9.0663058186738837E-2</v>
      </c>
      <c r="P51" s="2184">
        <v>369</v>
      </c>
      <c r="Q51" s="2184">
        <v>369</v>
      </c>
      <c r="R51" s="2184">
        <v>0</v>
      </c>
      <c r="S51" s="93">
        <f t="shared" si="3"/>
        <v>0</v>
      </c>
    </row>
    <row r="52" spans="1:19" x14ac:dyDescent="0.3">
      <c r="A52" s="56" t="s">
        <v>117</v>
      </c>
      <c r="B52" s="84" t="s">
        <v>257</v>
      </c>
      <c r="C52" s="57" t="s">
        <v>251</v>
      </c>
      <c r="D52" s="576">
        <v>35882</v>
      </c>
      <c r="E52" s="576">
        <v>33275</v>
      </c>
      <c r="F52" s="576">
        <v>2607</v>
      </c>
      <c r="G52" s="93">
        <f t="shared" si="0"/>
        <v>7.2654812998160637E-2</v>
      </c>
      <c r="H52" s="2184">
        <v>4466</v>
      </c>
      <c r="I52" s="2184">
        <v>3309</v>
      </c>
      <c r="J52" s="2184">
        <v>1157</v>
      </c>
      <c r="K52" s="93">
        <f t="shared" si="1"/>
        <v>0.25906851768920736</v>
      </c>
      <c r="L52" s="576">
        <v>5502</v>
      </c>
      <c r="M52" s="576">
        <v>4882</v>
      </c>
      <c r="N52" s="576">
        <v>620</v>
      </c>
      <c r="O52" s="93">
        <f t="shared" si="2"/>
        <v>0.11268629589240277</v>
      </c>
      <c r="P52" s="2184">
        <v>5817</v>
      </c>
      <c r="Q52" s="2184">
        <v>5455</v>
      </c>
      <c r="R52" s="2184">
        <v>362</v>
      </c>
      <c r="S52" s="93">
        <f t="shared" si="3"/>
        <v>6.2231390751246347E-2</v>
      </c>
    </row>
    <row r="53" spans="1:19" x14ac:dyDescent="0.3">
      <c r="A53" s="56" t="s">
        <v>119</v>
      </c>
      <c r="B53" s="84" t="s">
        <v>120</v>
      </c>
      <c r="C53" s="57" t="s">
        <v>251</v>
      </c>
      <c r="D53" s="576">
        <v>72433</v>
      </c>
      <c r="E53" s="576">
        <v>67623</v>
      </c>
      <c r="F53" s="576">
        <v>4810</v>
      </c>
      <c r="G53" s="93">
        <f t="shared" si="0"/>
        <v>6.6406196070851686E-2</v>
      </c>
      <c r="H53" s="2184">
        <v>7192</v>
      </c>
      <c r="I53" s="2184">
        <v>6162</v>
      </c>
      <c r="J53" s="2184">
        <v>1030</v>
      </c>
      <c r="K53" s="93">
        <f t="shared" si="1"/>
        <v>0.14321468298109011</v>
      </c>
      <c r="L53" s="576">
        <v>9148</v>
      </c>
      <c r="M53" s="576">
        <v>7835</v>
      </c>
      <c r="N53" s="576">
        <v>1313</v>
      </c>
      <c r="O53" s="93">
        <f t="shared" si="2"/>
        <v>0.14352864013992128</v>
      </c>
      <c r="P53" s="2184">
        <v>11661</v>
      </c>
      <c r="Q53" s="2184">
        <v>10659</v>
      </c>
      <c r="R53" s="2184">
        <v>1002</v>
      </c>
      <c r="S53" s="93">
        <f t="shared" si="3"/>
        <v>8.5927450475945466E-2</v>
      </c>
    </row>
    <row r="54" spans="1:19" x14ac:dyDescent="0.3">
      <c r="A54" s="56" t="s">
        <v>121</v>
      </c>
      <c r="B54" s="84" t="s">
        <v>258</v>
      </c>
      <c r="C54" s="57" t="s">
        <v>253</v>
      </c>
      <c r="D54" s="576">
        <v>7052</v>
      </c>
      <c r="E54" s="576">
        <v>6185</v>
      </c>
      <c r="F54" s="576">
        <v>867</v>
      </c>
      <c r="G54" s="93">
        <f t="shared" si="0"/>
        <v>0.12294384571752694</v>
      </c>
      <c r="H54" s="2184">
        <v>1290</v>
      </c>
      <c r="I54" s="2184">
        <v>985</v>
      </c>
      <c r="J54" s="2184">
        <v>305</v>
      </c>
      <c r="K54" s="93">
        <f t="shared" si="1"/>
        <v>0.23643410852713179</v>
      </c>
      <c r="L54" s="576">
        <v>1517</v>
      </c>
      <c r="M54" s="576">
        <v>1394</v>
      </c>
      <c r="N54" s="576">
        <v>123</v>
      </c>
      <c r="O54" s="93">
        <f t="shared" si="2"/>
        <v>8.1081081081081086E-2</v>
      </c>
      <c r="P54" s="2184">
        <v>1330</v>
      </c>
      <c r="Q54" s="2184">
        <v>1192</v>
      </c>
      <c r="R54" s="2184">
        <v>138</v>
      </c>
      <c r="S54" s="93">
        <f t="shared" si="3"/>
        <v>0.10375939849624061</v>
      </c>
    </row>
    <row r="55" spans="1:19" x14ac:dyDescent="0.3">
      <c r="A55" s="56" t="s">
        <v>123</v>
      </c>
      <c r="B55" s="84" t="s">
        <v>124</v>
      </c>
      <c r="C55" s="57" t="s">
        <v>254</v>
      </c>
      <c r="D55" s="576">
        <v>25370</v>
      </c>
      <c r="E55" s="576">
        <v>23958</v>
      </c>
      <c r="F55" s="576">
        <v>1412</v>
      </c>
      <c r="G55" s="93">
        <f t="shared" si="0"/>
        <v>5.5656286953094207E-2</v>
      </c>
      <c r="H55" s="2184">
        <v>1294</v>
      </c>
      <c r="I55" s="2184">
        <v>1101</v>
      </c>
      <c r="J55" s="2184">
        <v>193</v>
      </c>
      <c r="K55" s="93">
        <f t="shared" si="1"/>
        <v>0.1491499227202473</v>
      </c>
      <c r="L55" s="576">
        <v>3699</v>
      </c>
      <c r="M55" s="576">
        <v>3376</v>
      </c>
      <c r="N55" s="576">
        <v>323</v>
      </c>
      <c r="O55" s="93">
        <f t="shared" si="2"/>
        <v>8.7320897539875639E-2</v>
      </c>
      <c r="P55" s="2184">
        <v>4124</v>
      </c>
      <c r="Q55" s="2184">
        <v>3842</v>
      </c>
      <c r="R55" s="2184">
        <v>282</v>
      </c>
      <c r="S55" s="93">
        <f t="shared" si="3"/>
        <v>6.8380213385063046E-2</v>
      </c>
    </row>
    <row r="56" spans="1:19" x14ac:dyDescent="0.3">
      <c r="A56" s="56" t="s">
        <v>125</v>
      </c>
      <c r="B56" s="84" t="s">
        <v>126</v>
      </c>
      <c r="C56" s="57" t="s">
        <v>253</v>
      </c>
      <c r="D56" s="576">
        <v>16442</v>
      </c>
      <c r="E56" s="576">
        <v>15302</v>
      </c>
      <c r="F56" s="576">
        <v>1140</v>
      </c>
      <c r="G56" s="93">
        <f t="shared" si="0"/>
        <v>6.933463082350079E-2</v>
      </c>
      <c r="H56" s="2184">
        <v>1565</v>
      </c>
      <c r="I56" s="2184">
        <v>1393</v>
      </c>
      <c r="J56" s="2184">
        <v>172</v>
      </c>
      <c r="K56" s="93">
        <f t="shared" si="1"/>
        <v>0.10990415335463259</v>
      </c>
      <c r="L56" s="576">
        <v>2857</v>
      </c>
      <c r="M56" s="576">
        <v>2377</v>
      </c>
      <c r="N56" s="576">
        <v>480</v>
      </c>
      <c r="O56" s="93">
        <f t="shared" si="2"/>
        <v>0.16800840042002099</v>
      </c>
      <c r="P56" s="2184">
        <v>3698</v>
      </c>
      <c r="Q56" s="2184">
        <v>3348</v>
      </c>
      <c r="R56" s="2184">
        <v>350</v>
      </c>
      <c r="S56" s="93">
        <f t="shared" si="3"/>
        <v>9.4645754461871276E-2</v>
      </c>
    </row>
    <row r="57" spans="1:19" x14ac:dyDescent="0.3">
      <c r="A57" s="56" t="s">
        <v>127</v>
      </c>
      <c r="B57" s="84" t="s">
        <v>128</v>
      </c>
      <c r="C57" s="57" t="s">
        <v>253</v>
      </c>
      <c r="D57" s="576">
        <v>10690</v>
      </c>
      <c r="E57" s="576">
        <v>9565</v>
      </c>
      <c r="F57" s="576">
        <v>1125</v>
      </c>
      <c r="G57" s="93">
        <f t="shared" si="0"/>
        <v>0.10523854069223573</v>
      </c>
      <c r="H57" s="2184">
        <v>1815</v>
      </c>
      <c r="I57" s="2184">
        <v>1428</v>
      </c>
      <c r="J57" s="2184">
        <v>387</v>
      </c>
      <c r="K57" s="93">
        <f t="shared" si="1"/>
        <v>0.21322314049586777</v>
      </c>
      <c r="L57" s="576">
        <v>2730</v>
      </c>
      <c r="M57" s="576">
        <v>2378</v>
      </c>
      <c r="N57" s="576">
        <v>352</v>
      </c>
      <c r="O57" s="93">
        <f t="shared" si="2"/>
        <v>0.12893772893772895</v>
      </c>
      <c r="P57" s="2184">
        <v>1772</v>
      </c>
      <c r="Q57" s="2184">
        <v>1663</v>
      </c>
      <c r="R57" s="2184">
        <v>109</v>
      </c>
      <c r="S57" s="93">
        <f t="shared" si="3"/>
        <v>6.1512415349887134E-2</v>
      </c>
    </row>
    <row r="58" spans="1:19" x14ac:dyDescent="0.3">
      <c r="A58" s="56" t="s">
        <v>129</v>
      </c>
      <c r="B58" s="84" t="s">
        <v>130</v>
      </c>
      <c r="C58" s="57" t="s">
        <v>255</v>
      </c>
      <c r="D58" s="576">
        <v>22608</v>
      </c>
      <c r="E58" s="576">
        <v>19634</v>
      </c>
      <c r="F58" s="576">
        <v>2974</v>
      </c>
      <c r="G58" s="93">
        <f t="shared" si="0"/>
        <v>0.13154635527246991</v>
      </c>
      <c r="H58" s="2184">
        <v>7450</v>
      </c>
      <c r="I58" s="2184">
        <v>6184</v>
      </c>
      <c r="J58" s="2184">
        <v>1266</v>
      </c>
      <c r="K58" s="93">
        <f t="shared" si="1"/>
        <v>0.16993288590604028</v>
      </c>
      <c r="L58" s="576">
        <v>5187</v>
      </c>
      <c r="M58" s="576">
        <v>4435</v>
      </c>
      <c r="N58" s="576">
        <v>752</v>
      </c>
      <c r="O58" s="93">
        <f t="shared" si="2"/>
        <v>0.1449778291883555</v>
      </c>
      <c r="P58" s="2184">
        <v>4485</v>
      </c>
      <c r="Q58" s="2184">
        <v>3790</v>
      </c>
      <c r="R58" s="2184">
        <v>695</v>
      </c>
      <c r="S58" s="93">
        <f t="shared" si="3"/>
        <v>0.15496098104793757</v>
      </c>
    </row>
    <row r="59" spans="1:19" x14ac:dyDescent="0.3">
      <c r="A59" s="56" t="s">
        <v>131</v>
      </c>
      <c r="B59" s="84" t="s">
        <v>132</v>
      </c>
      <c r="C59" s="57" t="s">
        <v>254</v>
      </c>
      <c r="D59" s="576">
        <v>381766</v>
      </c>
      <c r="E59" s="576">
        <v>358205</v>
      </c>
      <c r="F59" s="576">
        <v>23561</v>
      </c>
      <c r="G59" s="93">
        <f t="shared" si="0"/>
        <v>6.1715815447158734E-2</v>
      </c>
      <c r="H59" s="2184">
        <v>11109</v>
      </c>
      <c r="I59" s="2184">
        <v>9362</v>
      </c>
      <c r="J59" s="2184">
        <v>1747</v>
      </c>
      <c r="K59" s="93">
        <f t="shared" si="1"/>
        <v>0.15725987937708163</v>
      </c>
      <c r="L59" s="576">
        <v>27126</v>
      </c>
      <c r="M59" s="576">
        <v>20894</v>
      </c>
      <c r="N59" s="576">
        <v>6232</v>
      </c>
      <c r="O59" s="93">
        <f t="shared" si="2"/>
        <v>0.22974268229742684</v>
      </c>
      <c r="P59" s="2184">
        <v>33030</v>
      </c>
      <c r="Q59" s="2184">
        <v>28805</v>
      </c>
      <c r="R59" s="2184">
        <v>4225</v>
      </c>
      <c r="S59" s="93">
        <f t="shared" si="3"/>
        <v>0.12791401755979412</v>
      </c>
    </row>
    <row r="60" spans="1:19" x14ac:dyDescent="0.3">
      <c r="A60" s="56" t="s">
        <v>133</v>
      </c>
      <c r="B60" s="84" t="s">
        <v>134</v>
      </c>
      <c r="C60" s="57" t="s">
        <v>254</v>
      </c>
      <c r="D60" s="576">
        <v>35262</v>
      </c>
      <c r="E60" s="576">
        <v>31399</v>
      </c>
      <c r="F60" s="576">
        <v>3863</v>
      </c>
      <c r="G60" s="93">
        <f t="shared" si="0"/>
        <v>0.10955135840281323</v>
      </c>
      <c r="H60" s="2184">
        <v>4741</v>
      </c>
      <c r="I60" s="2184">
        <v>3913</v>
      </c>
      <c r="J60" s="2184">
        <v>828</v>
      </c>
      <c r="K60" s="93">
        <f t="shared" si="1"/>
        <v>0.17464669900864796</v>
      </c>
      <c r="L60" s="576">
        <v>7079</v>
      </c>
      <c r="M60" s="576">
        <v>5333</v>
      </c>
      <c r="N60" s="576">
        <v>1746</v>
      </c>
      <c r="O60" s="93">
        <f t="shared" si="2"/>
        <v>0.24664500635683007</v>
      </c>
      <c r="P60" s="2184">
        <v>7355</v>
      </c>
      <c r="Q60" s="2184">
        <v>6730</v>
      </c>
      <c r="R60" s="2184">
        <v>625</v>
      </c>
      <c r="S60" s="93">
        <f t="shared" si="3"/>
        <v>8.4976206662134596E-2</v>
      </c>
    </row>
    <row r="61" spans="1:19" x14ac:dyDescent="0.3">
      <c r="A61" s="56" t="s">
        <v>135</v>
      </c>
      <c r="B61" s="84" t="s">
        <v>136</v>
      </c>
      <c r="C61" s="57" t="s">
        <v>253</v>
      </c>
      <c r="D61" s="576">
        <v>11310</v>
      </c>
      <c r="E61" s="576">
        <v>9803</v>
      </c>
      <c r="F61" s="576">
        <v>1507</v>
      </c>
      <c r="G61" s="93">
        <f t="shared" si="0"/>
        <v>0.13324491600353669</v>
      </c>
      <c r="H61" s="2184">
        <v>2227</v>
      </c>
      <c r="I61" s="2184">
        <v>1781</v>
      </c>
      <c r="J61" s="2184">
        <v>446</v>
      </c>
      <c r="K61" s="93">
        <f t="shared" si="1"/>
        <v>0.20026942074539739</v>
      </c>
      <c r="L61" s="576">
        <v>3877</v>
      </c>
      <c r="M61" s="576">
        <v>3338</v>
      </c>
      <c r="N61" s="576">
        <v>539</v>
      </c>
      <c r="O61" s="93">
        <f t="shared" si="2"/>
        <v>0.13902501934485426</v>
      </c>
      <c r="P61" s="2184">
        <v>2263</v>
      </c>
      <c r="Q61" s="2184">
        <v>2003</v>
      </c>
      <c r="R61" s="2184">
        <v>260</v>
      </c>
      <c r="S61" s="93">
        <f t="shared" si="3"/>
        <v>0.11489173663278833</v>
      </c>
    </row>
    <row r="62" spans="1:19" x14ac:dyDescent="0.3">
      <c r="A62" s="56" t="s">
        <v>139</v>
      </c>
      <c r="B62" s="84" t="s">
        <v>140</v>
      </c>
      <c r="C62" s="57" t="s">
        <v>254</v>
      </c>
      <c r="D62" s="576">
        <v>12911</v>
      </c>
      <c r="E62" s="576">
        <v>11303</v>
      </c>
      <c r="F62" s="576">
        <v>1608</v>
      </c>
      <c r="G62" s="93">
        <f t="shared" si="0"/>
        <v>0.12454496166059949</v>
      </c>
      <c r="H62" s="2184">
        <v>1638</v>
      </c>
      <c r="I62" s="2184">
        <v>1210</v>
      </c>
      <c r="J62" s="2184">
        <v>428</v>
      </c>
      <c r="K62" s="93">
        <f t="shared" si="1"/>
        <v>0.26129426129426131</v>
      </c>
      <c r="L62" s="576">
        <v>3464</v>
      </c>
      <c r="M62" s="576">
        <v>3095</v>
      </c>
      <c r="N62" s="576">
        <v>369</v>
      </c>
      <c r="O62" s="93">
        <f t="shared" si="2"/>
        <v>0.10652424942263279</v>
      </c>
      <c r="P62" s="2184">
        <v>2856</v>
      </c>
      <c r="Q62" s="2184">
        <v>2208</v>
      </c>
      <c r="R62" s="2184">
        <v>648</v>
      </c>
      <c r="S62" s="93">
        <f t="shared" si="3"/>
        <v>0.22689075630252101</v>
      </c>
    </row>
    <row r="63" spans="1:19" x14ac:dyDescent="0.3">
      <c r="A63" s="56" t="s">
        <v>145</v>
      </c>
      <c r="B63" s="84" t="s">
        <v>146</v>
      </c>
      <c r="C63" s="57" t="s">
        <v>251</v>
      </c>
      <c r="D63" s="576">
        <v>8652</v>
      </c>
      <c r="E63" s="576">
        <v>7782</v>
      </c>
      <c r="F63" s="576">
        <v>870</v>
      </c>
      <c r="G63" s="93">
        <f t="shared" si="0"/>
        <v>0.10055478502080444</v>
      </c>
      <c r="H63" s="2184">
        <v>1417</v>
      </c>
      <c r="I63" s="2184">
        <v>1179</v>
      </c>
      <c r="J63" s="2184">
        <v>238</v>
      </c>
      <c r="K63" s="93">
        <f t="shared" si="1"/>
        <v>0.1679604798870854</v>
      </c>
      <c r="L63" s="576">
        <v>1165</v>
      </c>
      <c r="M63" s="576">
        <v>1111</v>
      </c>
      <c r="N63" s="576">
        <v>54</v>
      </c>
      <c r="O63" s="93">
        <f t="shared" si="2"/>
        <v>4.63519313304721E-2</v>
      </c>
      <c r="P63" s="2184">
        <v>1616</v>
      </c>
      <c r="Q63" s="2184">
        <v>1466</v>
      </c>
      <c r="R63" s="2184">
        <v>150</v>
      </c>
      <c r="S63" s="93">
        <f t="shared" si="3"/>
        <v>9.2821782178217821E-2</v>
      </c>
    </row>
    <row r="64" spans="1:19" x14ac:dyDescent="0.3">
      <c r="A64" s="56" t="s">
        <v>147</v>
      </c>
      <c r="B64" s="84" t="s">
        <v>148</v>
      </c>
      <c r="C64" s="57" t="s">
        <v>252</v>
      </c>
      <c r="D64" s="576">
        <v>29835</v>
      </c>
      <c r="E64" s="576">
        <v>26352</v>
      </c>
      <c r="F64" s="576">
        <v>3483</v>
      </c>
      <c r="G64" s="93">
        <f t="shared" si="0"/>
        <v>0.1167420814479638</v>
      </c>
      <c r="H64" s="2184">
        <v>6526</v>
      </c>
      <c r="I64" s="2184">
        <v>5440</v>
      </c>
      <c r="J64" s="2184">
        <v>1086</v>
      </c>
      <c r="K64" s="93">
        <f t="shared" si="1"/>
        <v>0.16641127796506283</v>
      </c>
      <c r="L64" s="576">
        <v>8070</v>
      </c>
      <c r="M64" s="576">
        <v>7049</v>
      </c>
      <c r="N64" s="576">
        <v>1021</v>
      </c>
      <c r="O64" s="93">
        <f t="shared" si="2"/>
        <v>0.1265179677819083</v>
      </c>
      <c r="P64" s="2184">
        <v>6038</v>
      </c>
      <c r="Q64" s="2184">
        <v>5194</v>
      </c>
      <c r="R64" s="2184">
        <v>844</v>
      </c>
      <c r="S64" s="93">
        <f t="shared" si="3"/>
        <v>0.13978138456442529</v>
      </c>
    </row>
    <row r="65" spans="1:19" x14ac:dyDescent="0.3">
      <c r="A65" s="56" t="s">
        <v>149</v>
      </c>
      <c r="B65" s="84" t="s">
        <v>150</v>
      </c>
      <c r="C65" s="57" t="s">
        <v>253</v>
      </c>
      <c r="D65" s="576">
        <v>10304</v>
      </c>
      <c r="E65" s="576">
        <v>9405</v>
      </c>
      <c r="F65" s="576">
        <v>899</v>
      </c>
      <c r="G65" s="93">
        <f t="shared" si="0"/>
        <v>8.7247670807453423E-2</v>
      </c>
      <c r="H65" s="2184">
        <v>1483</v>
      </c>
      <c r="I65" s="2184">
        <v>1236</v>
      </c>
      <c r="J65" s="2184">
        <v>247</v>
      </c>
      <c r="K65" s="93">
        <f t="shared" si="1"/>
        <v>0.16655428186109239</v>
      </c>
      <c r="L65" s="576">
        <v>2277</v>
      </c>
      <c r="M65" s="576">
        <v>2050</v>
      </c>
      <c r="N65" s="576">
        <v>227</v>
      </c>
      <c r="O65" s="93">
        <f t="shared" si="2"/>
        <v>9.969257795344752E-2</v>
      </c>
      <c r="P65" s="2184">
        <v>2164</v>
      </c>
      <c r="Q65" s="2184">
        <v>1940</v>
      </c>
      <c r="R65" s="2184">
        <v>224</v>
      </c>
      <c r="S65" s="93">
        <f t="shared" si="3"/>
        <v>0.10351201478743069</v>
      </c>
    </row>
    <row r="66" spans="1:19" x14ac:dyDescent="0.3">
      <c r="A66" s="56" t="s">
        <v>151</v>
      </c>
      <c r="B66" s="84" t="s">
        <v>152</v>
      </c>
      <c r="C66" s="57" t="s">
        <v>255</v>
      </c>
      <c r="D66" s="576">
        <v>88535</v>
      </c>
      <c r="E66" s="576">
        <v>82441</v>
      </c>
      <c r="F66" s="576">
        <v>6094</v>
      </c>
      <c r="G66" s="93">
        <f t="shared" si="0"/>
        <v>6.8831535550912065E-2</v>
      </c>
      <c r="H66" s="2184">
        <v>20654</v>
      </c>
      <c r="I66" s="2184">
        <v>19066</v>
      </c>
      <c r="J66" s="2184">
        <v>1588</v>
      </c>
      <c r="K66" s="93">
        <f t="shared" si="1"/>
        <v>7.6885833252638716E-2</v>
      </c>
      <c r="L66" s="576">
        <v>15394</v>
      </c>
      <c r="M66" s="576">
        <v>13525</v>
      </c>
      <c r="N66" s="576">
        <v>1869</v>
      </c>
      <c r="O66" s="93">
        <f t="shared" si="2"/>
        <v>0.12141093932701053</v>
      </c>
      <c r="P66" s="2184">
        <v>14822</v>
      </c>
      <c r="Q66" s="2184">
        <v>13196</v>
      </c>
      <c r="R66" s="2184">
        <v>1626</v>
      </c>
      <c r="S66" s="93">
        <f t="shared" si="3"/>
        <v>0.10970179462960464</v>
      </c>
    </row>
    <row r="67" spans="1:19" x14ac:dyDescent="0.3">
      <c r="A67" s="56" t="s">
        <v>153</v>
      </c>
      <c r="B67" s="84" t="s">
        <v>154</v>
      </c>
      <c r="C67" s="57" t="s">
        <v>252</v>
      </c>
      <c r="D67" s="576">
        <v>14705</v>
      </c>
      <c r="E67" s="576">
        <v>13029</v>
      </c>
      <c r="F67" s="576">
        <v>1676</v>
      </c>
      <c r="G67" s="93">
        <f t="shared" si="0"/>
        <v>0.11397483849030941</v>
      </c>
      <c r="H67" s="2184">
        <v>2167</v>
      </c>
      <c r="I67" s="2184">
        <v>1722</v>
      </c>
      <c r="J67" s="2184">
        <v>445</v>
      </c>
      <c r="K67" s="93">
        <f t="shared" si="1"/>
        <v>0.20535302261190586</v>
      </c>
      <c r="L67" s="576">
        <v>2808</v>
      </c>
      <c r="M67" s="576">
        <v>2401</v>
      </c>
      <c r="N67" s="576">
        <v>407</v>
      </c>
      <c r="O67" s="93">
        <f t="shared" si="2"/>
        <v>0.14494301994301995</v>
      </c>
      <c r="P67" s="2184">
        <v>2873</v>
      </c>
      <c r="Q67" s="2184">
        <v>2460</v>
      </c>
      <c r="R67" s="2184">
        <v>413</v>
      </c>
      <c r="S67" s="93">
        <f t="shared" si="3"/>
        <v>0.14375217542638358</v>
      </c>
    </row>
    <row r="68" spans="1:19" x14ac:dyDescent="0.3">
      <c r="A68" s="56" t="s">
        <v>155</v>
      </c>
      <c r="B68" s="84" t="s">
        <v>156</v>
      </c>
      <c r="C68" s="57" t="s">
        <v>253</v>
      </c>
      <c r="D68" s="576">
        <v>20517</v>
      </c>
      <c r="E68" s="576">
        <v>19346</v>
      </c>
      <c r="F68" s="576">
        <v>1171</v>
      </c>
      <c r="G68" s="93">
        <f t="shared" si="0"/>
        <v>5.7074621045961886E-2</v>
      </c>
      <c r="H68" s="2184">
        <v>1271</v>
      </c>
      <c r="I68" s="2184">
        <v>1059</v>
      </c>
      <c r="J68" s="2184">
        <v>212</v>
      </c>
      <c r="K68" s="93">
        <f t="shared" si="1"/>
        <v>0.16679779701022818</v>
      </c>
      <c r="L68" s="576">
        <v>2413</v>
      </c>
      <c r="M68" s="576">
        <v>2234</v>
      </c>
      <c r="N68" s="576">
        <v>179</v>
      </c>
      <c r="O68" s="93">
        <f t="shared" si="2"/>
        <v>7.4181516784086202E-2</v>
      </c>
      <c r="P68" s="2184">
        <v>3784</v>
      </c>
      <c r="Q68" s="2184">
        <v>3461</v>
      </c>
      <c r="R68" s="2184">
        <v>323</v>
      </c>
      <c r="S68" s="93">
        <f t="shared" si="3"/>
        <v>8.5359408033826634E-2</v>
      </c>
    </row>
    <row r="69" spans="1:19" x14ac:dyDescent="0.3">
      <c r="A69" s="56" t="s">
        <v>161</v>
      </c>
      <c r="B69" s="84" t="s">
        <v>162</v>
      </c>
      <c r="C69" s="57" t="s">
        <v>251</v>
      </c>
      <c r="D69" s="576">
        <v>11623</v>
      </c>
      <c r="E69" s="576">
        <v>10093</v>
      </c>
      <c r="F69" s="576">
        <v>1530</v>
      </c>
      <c r="G69" s="93">
        <f t="shared" si="0"/>
        <v>0.13163555020218531</v>
      </c>
      <c r="H69" s="2184">
        <v>2571</v>
      </c>
      <c r="I69" s="2184">
        <v>2046</v>
      </c>
      <c r="J69" s="2184">
        <v>525</v>
      </c>
      <c r="K69" s="93">
        <f t="shared" si="1"/>
        <v>0.20420070011668612</v>
      </c>
      <c r="L69" s="576">
        <v>3142</v>
      </c>
      <c r="M69" s="576">
        <v>2538</v>
      </c>
      <c r="N69" s="576">
        <v>604</v>
      </c>
      <c r="O69" s="93">
        <f t="shared" si="2"/>
        <v>0.19223424570337364</v>
      </c>
      <c r="P69" s="2184">
        <v>2311</v>
      </c>
      <c r="Q69" s="2184">
        <v>2198</v>
      </c>
      <c r="R69" s="2184">
        <v>113</v>
      </c>
      <c r="S69" s="93">
        <f t="shared" si="3"/>
        <v>4.889658156642146E-2</v>
      </c>
    </row>
    <row r="70" spans="1:19" x14ac:dyDescent="0.3">
      <c r="A70" s="56" t="s">
        <v>163</v>
      </c>
      <c r="B70" s="84" t="s">
        <v>164</v>
      </c>
      <c r="C70" s="57" t="s">
        <v>253</v>
      </c>
      <c r="D70" s="576">
        <v>12223</v>
      </c>
      <c r="E70" s="576">
        <v>10938</v>
      </c>
      <c r="F70" s="576">
        <v>1285</v>
      </c>
      <c r="G70" s="93">
        <f t="shared" si="0"/>
        <v>0.1051296735662276</v>
      </c>
      <c r="H70" s="2184">
        <v>1942</v>
      </c>
      <c r="I70" s="2184">
        <v>1296</v>
      </c>
      <c r="J70" s="2184">
        <v>646</v>
      </c>
      <c r="K70" s="93">
        <f t="shared" si="1"/>
        <v>0.33264675592173015</v>
      </c>
      <c r="L70" s="576">
        <v>2895</v>
      </c>
      <c r="M70" s="576">
        <v>2418</v>
      </c>
      <c r="N70" s="576">
        <v>477</v>
      </c>
      <c r="O70" s="93">
        <f t="shared" si="2"/>
        <v>0.16476683937823836</v>
      </c>
      <c r="P70" s="2184">
        <v>2275</v>
      </c>
      <c r="Q70" s="2184">
        <v>2166</v>
      </c>
      <c r="R70" s="2184">
        <v>109</v>
      </c>
      <c r="S70" s="93">
        <f t="shared" si="3"/>
        <v>4.7912087912087911E-2</v>
      </c>
    </row>
    <row r="71" spans="1:19" x14ac:dyDescent="0.3">
      <c r="A71" s="56" t="s">
        <v>167</v>
      </c>
      <c r="B71" s="84" t="s">
        <v>168</v>
      </c>
      <c r="C71" s="57" t="s">
        <v>253</v>
      </c>
      <c r="D71" s="576">
        <v>13571</v>
      </c>
      <c r="E71" s="576">
        <v>12204</v>
      </c>
      <c r="F71" s="576">
        <v>1367</v>
      </c>
      <c r="G71" s="93">
        <f t="shared" ref="G71:G132" si="4">F71/D71</f>
        <v>0.10072949672094908</v>
      </c>
      <c r="H71" s="2184">
        <v>2819</v>
      </c>
      <c r="I71" s="2184">
        <v>2510</v>
      </c>
      <c r="J71" s="2184">
        <v>309</v>
      </c>
      <c r="K71" s="93">
        <f t="shared" ref="K71:K132" si="5">J71/H71</f>
        <v>0.10961333806314295</v>
      </c>
      <c r="L71" s="576">
        <v>4018</v>
      </c>
      <c r="M71" s="576">
        <v>3825</v>
      </c>
      <c r="N71" s="576">
        <v>193</v>
      </c>
      <c r="O71" s="93">
        <f t="shared" ref="O71:O132" si="6">N71/L71</f>
        <v>4.8033847685415632E-2</v>
      </c>
      <c r="P71" s="2184">
        <v>2622</v>
      </c>
      <c r="Q71" s="2184">
        <v>2390</v>
      </c>
      <c r="R71" s="2184">
        <v>232</v>
      </c>
      <c r="S71" s="93">
        <f t="shared" ref="S71:S132" si="7">R71/P71</f>
        <v>8.8482074752097642E-2</v>
      </c>
    </row>
    <row r="72" spans="1:19" x14ac:dyDescent="0.3">
      <c r="A72" s="56" t="s">
        <v>169</v>
      </c>
      <c r="B72" s="84" t="s">
        <v>170</v>
      </c>
      <c r="C72" s="57" t="s">
        <v>254</v>
      </c>
      <c r="D72" s="576">
        <v>35025</v>
      </c>
      <c r="E72" s="576">
        <v>31530</v>
      </c>
      <c r="F72" s="576">
        <v>3495</v>
      </c>
      <c r="G72" s="93">
        <f t="shared" si="4"/>
        <v>9.978586723768737E-2</v>
      </c>
      <c r="H72" s="2184">
        <v>3708</v>
      </c>
      <c r="I72" s="2184">
        <v>3210</v>
      </c>
      <c r="J72" s="2184">
        <v>498</v>
      </c>
      <c r="K72" s="93">
        <f t="shared" si="5"/>
        <v>0.13430420711974109</v>
      </c>
      <c r="L72" s="576">
        <v>6953</v>
      </c>
      <c r="M72" s="576">
        <v>5663</v>
      </c>
      <c r="N72" s="576">
        <v>1290</v>
      </c>
      <c r="O72" s="93">
        <f t="shared" si="6"/>
        <v>0.18553142528405006</v>
      </c>
      <c r="P72" s="2184">
        <v>6292</v>
      </c>
      <c r="Q72" s="2184">
        <v>5817</v>
      </c>
      <c r="R72" s="2184">
        <v>475</v>
      </c>
      <c r="S72" s="93">
        <f t="shared" si="7"/>
        <v>7.549268912905277E-2</v>
      </c>
    </row>
    <row r="73" spans="1:19" x14ac:dyDescent="0.3">
      <c r="A73" s="56" t="s">
        <v>171</v>
      </c>
      <c r="B73" s="84" t="s">
        <v>172</v>
      </c>
      <c r="C73" s="57" t="s">
        <v>254</v>
      </c>
      <c r="D73" s="576">
        <v>23529</v>
      </c>
      <c r="E73" s="576">
        <v>20586</v>
      </c>
      <c r="F73" s="576">
        <v>2943</v>
      </c>
      <c r="G73" s="93">
        <f t="shared" si="4"/>
        <v>0.12507968889455565</v>
      </c>
      <c r="H73" s="2184">
        <v>4506</v>
      </c>
      <c r="I73" s="2184">
        <v>3572</v>
      </c>
      <c r="J73" s="2184">
        <v>934</v>
      </c>
      <c r="K73" s="93">
        <f t="shared" si="5"/>
        <v>0.2072791833111407</v>
      </c>
      <c r="L73" s="576">
        <v>5936</v>
      </c>
      <c r="M73" s="576">
        <v>4879</v>
      </c>
      <c r="N73" s="576">
        <v>1057</v>
      </c>
      <c r="O73" s="93">
        <f t="shared" si="6"/>
        <v>0.17806603773584906</v>
      </c>
      <c r="P73" s="2184">
        <v>5322</v>
      </c>
      <c r="Q73" s="2184">
        <v>4897</v>
      </c>
      <c r="R73" s="2184">
        <v>425</v>
      </c>
      <c r="S73" s="93">
        <f t="shared" si="7"/>
        <v>7.9857196542653136E-2</v>
      </c>
    </row>
    <row r="74" spans="1:19" x14ac:dyDescent="0.3">
      <c r="A74" s="56" t="s">
        <v>173</v>
      </c>
      <c r="B74" s="84" t="s">
        <v>174</v>
      </c>
      <c r="C74" s="57" t="s">
        <v>255</v>
      </c>
      <c r="D74" s="576">
        <v>17519</v>
      </c>
      <c r="E74" s="576">
        <v>15447</v>
      </c>
      <c r="F74" s="576">
        <v>2072</v>
      </c>
      <c r="G74" s="93">
        <f t="shared" si="4"/>
        <v>0.11827159084422627</v>
      </c>
      <c r="H74" s="2184">
        <v>4834</v>
      </c>
      <c r="I74" s="2184">
        <v>4040</v>
      </c>
      <c r="J74" s="2184">
        <v>794</v>
      </c>
      <c r="K74" s="93">
        <f t="shared" si="5"/>
        <v>0.16425320645428218</v>
      </c>
      <c r="L74" s="576">
        <v>3655</v>
      </c>
      <c r="M74" s="576">
        <v>2910</v>
      </c>
      <c r="N74" s="576">
        <v>745</v>
      </c>
      <c r="O74" s="93">
        <f t="shared" si="6"/>
        <v>0.20383036935704515</v>
      </c>
      <c r="P74" s="2184">
        <v>3996</v>
      </c>
      <c r="Q74" s="2184">
        <v>3634</v>
      </c>
      <c r="R74" s="2184">
        <v>362</v>
      </c>
      <c r="S74" s="93">
        <f t="shared" si="7"/>
        <v>9.0590590590590589E-2</v>
      </c>
    </row>
    <row r="75" spans="1:19" x14ac:dyDescent="0.3">
      <c r="A75" s="56" t="s">
        <v>177</v>
      </c>
      <c r="B75" s="84" t="s">
        <v>178</v>
      </c>
      <c r="C75" s="57" t="s">
        <v>252</v>
      </c>
      <c r="D75" s="576">
        <v>60358</v>
      </c>
      <c r="E75" s="576">
        <v>54562</v>
      </c>
      <c r="F75" s="576">
        <v>5796</v>
      </c>
      <c r="G75" s="93">
        <f t="shared" si="4"/>
        <v>9.602703866927334E-2</v>
      </c>
      <c r="H75" s="2184">
        <v>11552</v>
      </c>
      <c r="I75" s="2184">
        <v>9446</v>
      </c>
      <c r="J75" s="2184">
        <v>2106</v>
      </c>
      <c r="K75" s="93">
        <f t="shared" si="5"/>
        <v>0.18230609418282548</v>
      </c>
      <c r="L75" s="576">
        <v>17257</v>
      </c>
      <c r="M75" s="576">
        <v>15270</v>
      </c>
      <c r="N75" s="576">
        <v>1987</v>
      </c>
      <c r="O75" s="93">
        <f t="shared" si="6"/>
        <v>0.11514168163643738</v>
      </c>
      <c r="P75" s="2184">
        <v>12302</v>
      </c>
      <c r="Q75" s="2184">
        <v>11230</v>
      </c>
      <c r="R75" s="2184">
        <v>1072</v>
      </c>
      <c r="S75" s="93">
        <f t="shared" si="7"/>
        <v>8.7140302389855304E-2</v>
      </c>
    </row>
    <row r="76" spans="1:19" x14ac:dyDescent="0.3">
      <c r="A76" s="56" t="s">
        <v>181</v>
      </c>
      <c r="B76" s="84" t="s">
        <v>182</v>
      </c>
      <c r="C76" s="57" t="s">
        <v>253</v>
      </c>
      <c r="D76" s="576">
        <v>25865</v>
      </c>
      <c r="E76" s="576">
        <v>24233</v>
      </c>
      <c r="F76" s="576">
        <v>1632</v>
      </c>
      <c r="G76" s="93">
        <f t="shared" si="4"/>
        <v>6.309684902377731E-2</v>
      </c>
      <c r="H76" s="2184">
        <v>1602</v>
      </c>
      <c r="I76" s="2184">
        <v>1422</v>
      </c>
      <c r="J76" s="2184">
        <v>180</v>
      </c>
      <c r="K76" s="93">
        <f t="shared" si="5"/>
        <v>0.11235955056179775</v>
      </c>
      <c r="L76" s="576">
        <v>3084</v>
      </c>
      <c r="M76" s="576">
        <v>2611</v>
      </c>
      <c r="N76" s="576">
        <v>473</v>
      </c>
      <c r="O76" s="93">
        <f t="shared" si="6"/>
        <v>0.15337224383916992</v>
      </c>
      <c r="P76" s="2184">
        <v>4545</v>
      </c>
      <c r="Q76" s="2184">
        <v>4128</v>
      </c>
      <c r="R76" s="2184">
        <v>417</v>
      </c>
      <c r="S76" s="93">
        <f t="shared" si="7"/>
        <v>9.1749174917491752E-2</v>
      </c>
    </row>
    <row r="77" spans="1:19" x14ac:dyDescent="0.3">
      <c r="A77" s="56" t="s">
        <v>183</v>
      </c>
      <c r="B77" s="84" t="s">
        <v>184</v>
      </c>
      <c r="C77" s="57" t="s">
        <v>253</v>
      </c>
      <c r="D77" s="576">
        <v>18042</v>
      </c>
      <c r="E77" s="576">
        <v>16212</v>
      </c>
      <c r="F77" s="576">
        <v>1830</v>
      </c>
      <c r="G77" s="93">
        <f t="shared" si="4"/>
        <v>0.10142999667442634</v>
      </c>
      <c r="H77" s="2184">
        <v>4031</v>
      </c>
      <c r="I77" s="2184">
        <v>3372</v>
      </c>
      <c r="J77" s="2184">
        <v>659</v>
      </c>
      <c r="K77" s="93">
        <f t="shared" si="5"/>
        <v>0.16348300669808979</v>
      </c>
      <c r="L77" s="576">
        <v>4718</v>
      </c>
      <c r="M77" s="576">
        <v>4118</v>
      </c>
      <c r="N77" s="576">
        <v>600</v>
      </c>
      <c r="O77" s="93">
        <f t="shared" si="6"/>
        <v>0.1271725307333616</v>
      </c>
      <c r="P77" s="2184">
        <v>3433</v>
      </c>
      <c r="Q77" s="2184">
        <v>3158</v>
      </c>
      <c r="R77" s="2184">
        <v>275</v>
      </c>
      <c r="S77" s="93">
        <f t="shared" si="7"/>
        <v>8.0104864549956301E-2</v>
      </c>
    </row>
    <row r="78" spans="1:19" x14ac:dyDescent="0.3">
      <c r="A78" s="56" t="s">
        <v>185</v>
      </c>
      <c r="B78" s="84" t="s">
        <v>186</v>
      </c>
      <c r="C78" s="57" t="s">
        <v>251</v>
      </c>
      <c r="D78" s="576">
        <v>33034</v>
      </c>
      <c r="E78" s="576">
        <v>30611</v>
      </c>
      <c r="F78" s="576">
        <v>2423</v>
      </c>
      <c r="G78" s="93">
        <f t="shared" si="4"/>
        <v>7.3348671066174251E-2</v>
      </c>
      <c r="H78" s="2184">
        <v>3468</v>
      </c>
      <c r="I78" s="2184">
        <v>2849</v>
      </c>
      <c r="J78" s="2184">
        <v>619</v>
      </c>
      <c r="K78" s="93">
        <f t="shared" si="5"/>
        <v>0.17848904267589388</v>
      </c>
      <c r="L78" s="576">
        <v>5523</v>
      </c>
      <c r="M78" s="576">
        <v>4873</v>
      </c>
      <c r="N78" s="576">
        <v>650</v>
      </c>
      <c r="O78" s="93">
        <f t="shared" si="6"/>
        <v>0.11768966141589715</v>
      </c>
      <c r="P78" s="2184">
        <v>7047</v>
      </c>
      <c r="Q78" s="2184">
        <v>6550</v>
      </c>
      <c r="R78" s="2184">
        <v>497</v>
      </c>
      <c r="S78" s="93">
        <f t="shared" si="7"/>
        <v>7.0526465162480484E-2</v>
      </c>
    </row>
    <row r="79" spans="1:19" x14ac:dyDescent="0.3">
      <c r="A79" s="56" t="s">
        <v>187</v>
      </c>
      <c r="B79" s="84" t="s">
        <v>188</v>
      </c>
      <c r="C79" s="57" t="s">
        <v>254</v>
      </c>
      <c r="D79" s="576">
        <v>448603</v>
      </c>
      <c r="E79" s="576">
        <v>397433</v>
      </c>
      <c r="F79" s="576">
        <v>51170</v>
      </c>
      <c r="G79" s="93">
        <f t="shared" si="4"/>
        <v>0.11406522025042186</v>
      </c>
      <c r="H79" s="2184">
        <v>23242</v>
      </c>
      <c r="I79" s="2184">
        <v>17364</v>
      </c>
      <c r="J79" s="2184">
        <v>5878</v>
      </c>
      <c r="K79" s="93">
        <f t="shared" si="5"/>
        <v>0.25290422510971516</v>
      </c>
      <c r="L79" s="576">
        <v>49062</v>
      </c>
      <c r="M79" s="576">
        <v>37061</v>
      </c>
      <c r="N79" s="576">
        <v>12001</v>
      </c>
      <c r="O79" s="93">
        <f t="shared" si="6"/>
        <v>0.24460886225592107</v>
      </c>
      <c r="P79" s="2184">
        <v>56823</v>
      </c>
      <c r="Q79" s="2184">
        <v>47706</v>
      </c>
      <c r="R79" s="2184">
        <v>9117</v>
      </c>
      <c r="S79" s="93">
        <f t="shared" si="7"/>
        <v>0.16044559421361068</v>
      </c>
    </row>
    <row r="80" spans="1:19" x14ac:dyDescent="0.3">
      <c r="A80" s="56" t="s">
        <v>189</v>
      </c>
      <c r="B80" s="84" t="s">
        <v>190</v>
      </c>
      <c r="C80" s="57" t="s">
        <v>255</v>
      </c>
      <c r="D80" s="576">
        <v>33122</v>
      </c>
      <c r="E80" s="576">
        <v>30712</v>
      </c>
      <c r="F80" s="576">
        <v>2410</v>
      </c>
      <c r="G80" s="93">
        <f t="shared" si="4"/>
        <v>7.2761306684378968E-2</v>
      </c>
      <c r="H80" s="2184">
        <v>5687</v>
      </c>
      <c r="I80" s="2184">
        <v>4884</v>
      </c>
      <c r="J80" s="2184">
        <v>803</v>
      </c>
      <c r="K80" s="93">
        <f t="shared" si="5"/>
        <v>0.14119922630560927</v>
      </c>
      <c r="L80" s="576">
        <v>6755</v>
      </c>
      <c r="M80" s="576">
        <v>6002</v>
      </c>
      <c r="N80" s="576">
        <v>753</v>
      </c>
      <c r="O80" s="93">
        <f t="shared" si="6"/>
        <v>0.11147298297557365</v>
      </c>
      <c r="P80" s="2184">
        <v>8085</v>
      </c>
      <c r="Q80" s="2184">
        <v>7525</v>
      </c>
      <c r="R80" s="2184">
        <v>560</v>
      </c>
      <c r="S80" s="93">
        <f t="shared" si="7"/>
        <v>6.9264069264069264E-2</v>
      </c>
    </row>
    <row r="81" spans="1:19" x14ac:dyDescent="0.3">
      <c r="A81" s="56" t="s">
        <v>193</v>
      </c>
      <c r="B81" s="84" t="s">
        <v>194</v>
      </c>
      <c r="C81" s="57" t="s">
        <v>254</v>
      </c>
      <c r="D81" s="576">
        <v>7315</v>
      </c>
      <c r="E81" s="576">
        <v>6343</v>
      </c>
      <c r="F81" s="576">
        <v>972</v>
      </c>
      <c r="G81" s="93">
        <f t="shared" si="4"/>
        <v>0.13287764866712234</v>
      </c>
      <c r="H81" s="2184">
        <v>737</v>
      </c>
      <c r="I81" s="2184">
        <v>514</v>
      </c>
      <c r="J81" s="2184">
        <v>223</v>
      </c>
      <c r="K81" s="93">
        <f t="shared" si="5"/>
        <v>0.30257801899592945</v>
      </c>
      <c r="L81" s="576">
        <v>1193</v>
      </c>
      <c r="M81" s="576">
        <v>876</v>
      </c>
      <c r="N81" s="576">
        <v>317</v>
      </c>
      <c r="O81" s="93">
        <f t="shared" si="6"/>
        <v>0.26571668063704945</v>
      </c>
      <c r="P81" s="2184">
        <v>1444</v>
      </c>
      <c r="Q81" s="2184">
        <v>1305</v>
      </c>
      <c r="R81" s="2184">
        <v>139</v>
      </c>
      <c r="S81" s="93">
        <f t="shared" si="7"/>
        <v>9.6260387811634346E-2</v>
      </c>
    </row>
    <row r="82" spans="1:19" x14ac:dyDescent="0.3">
      <c r="A82" s="56" t="s">
        <v>197</v>
      </c>
      <c r="B82" s="84" t="s">
        <v>259</v>
      </c>
      <c r="C82" s="57" t="s">
        <v>253</v>
      </c>
      <c r="D82" s="576">
        <v>7201</v>
      </c>
      <c r="E82" s="576">
        <v>6553</v>
      </c>
      <c r="F82" s="576">
        <v>648</v>
      </c>
      <c r="G82" s="93">
        <f t="shared" si="4"/>
        <v>8.9987501735870015E-2</v>
      </c>
      <c r="H82" s="2184">
        <v>1555</v>
      </c>
      <c r="I82" s="2184">
        <v>1325</v>
      </c>
      <c r="J82" s="2184">
        <v>230</v>
      </c>
      <c r="K82" s="93">
        <f t="shared" si="5"/>
        <v>0.14790996784565916</v>
      </c>
      <c r="L82" s="576">
        <v>1661</v>
      </c>
      <c r="M82" s="576">
        <v>1443</v>
      </c>
      <c r="N82" s="576">
        <v>218</v>
      </c>
      <c r="O82" s="93">
        <f t="shared" si="6"/>
        <v>0.13124623720650211</v>
      </c>
      <c r="P82" s="2184">
        <v>1734</v>
      </c>
      <c r="Q82" s="2184">
        <v>1640</v>
      </c>
      <c r="R82" s="2184">
        <v>94</v>
      </c>
      <c r="S82" s="93">
        <f t="shared" si="7"/>
        <v>5.4209919261822379E-2</v>
      </c>
    </row>
    <row r="83" spans="1:19" x14ac:dyDescent="0.3">
      <c r="A83" s="56" t="s">
        <v>201</v>
      </c>
      <c r="B83" s="84" t="s">
        <v>276</v>
      </c>
      <c r="C83" s="57" t="s">
        <v>252</v>
      </c>
      <c r="D83" s="576">
        <v>114407</v>
      </c>
      <c r="E83" s="576">
        <v>107931</v>
      </c>
      <c r="F83" s="576">
        <v>6476</v>
      </c>
      <c r="G83" s="93">
        <f t="shared" si="4"/>
        <v>5.6604928020138626E-2</v>
      </c>
      <c r="H83" s="2184">
        <v>11574</v>
      </c>
      <c r="I83" s="2184">
        <v>10090</v>
      </c>
      <c r="J83" s="2184">
        <v>1484</v>
      </c>
      <c r="K83" s="93">
        <f t="shared" si="5"/>
        <v>0.12821842059789182</v>
      </c>
      <c r="L83" s="576">
        <v>19253</v>
      </c>
      <c r="M83" s="576">
        <v>17570</v>
      </c>
      <c r="N83" s="576">
        <v>1683</v>
      </c>
      <c r="O83" s="93">
        <f t="shared" si="6"/>
        <v>8.7414948319742378E-2</v>
      </c>
      <c r="P83" s="2184">
        <v>24211</v>
      </c>
      <c r="Q83" s="2184">
        <v>22473</v>
      </c>
      <c r="R83" s="2184">
        <v>1738</v>
      </c>
      <c r="S83" s="93">
        <f t="shared" si="7"/>
        <v>7.1785552021808266E-2</v>
      </c>
    </row>
    <row r="84" spans="1:19" x14ac:dyDescent="0.3">
      <c r="A84" s="56" t="s">
        <v>203</v>
      </c>
      <c r="B84" s="84" t="s">
        <v>269</v>
      </c>
      <c r="C84" s="57" t="s">
        <v>252</v>
      </c>
      <c r="D84" s="576">
        <v>31944</v>
      </c>
      <c r="E84" s="576">
        <v>28686</v>
      </c>
      <c r="F84" s="576">
        <v>3258</v>
      </c>
      <c r="G84" s="93">
        <f t="shared" si="4"/>
        <v>0.10199098422238918</v>
      </c>
      <c r="H84" s="2184">
        <v>6040</v>
      </c>
      <c r="I84" s="2184">
        <v>5319</v>
      </c>
      <c r="J84" s="2184">
        <v>721</v>
      </c>
      <c r="K84" s="93">
        <f t="shared" si="5"/>
        <v>0.11937086092715232</v>
      </c>
      <c r="L84" s="576">
        <v>8441</v>
      </c>
      <c r="M84" s="576">
        <v>6913</v>
      </c>
      <c r="N84" s="576">
        <v>1528</v>
      </c>
      <c r="O84" s="93">
        <f t="shared" si="6"/>
        <v>0.18102120601824429</v>
      </c>
      <c r="P84" s="2184">
        <v>6222</v>
      </c>
      <c r="Q84" s="2184">
        <v>5628</v>
      </c>
      <c r="R84" s="2184">
        <v>594</v>
      </c>
      <c r="S84" s="93">
        <f t="shared" si="7"/>
        <v>9.5467695274831246E-2</v>
      </c>
    </row>
    <row r="85" spans="1:19" x14ac:dyDescent="0.3">
      <c r="A85" s="56" t="s">
        <v>205</v>
      </c>
      <c r="B85" s="84" t="s">
        <v>270</v>
      </c>
      <c r="C85" s="57" t="s">
        <v>254</v>
      </c>
      <c r="D85" s="576">
        <v>123604</v>
      </c>
      <c r="E85" s="576">
        <v>107524</v>
      </c>
      <c r="F85" s="576">
        <v>16080</v>
      </c>
      <c r="G85" s="93">
        <f t="shared" si="4"/>
        <v>0.13009287725316332</v>
      </c>
      <c r="H85" s="2184">
        <v>20045</v>
      </c>
      <c r="I85" s="2184">
        <v>16625</v>
      </c>
      <c r="J85" s="2184">
        <v>3420</v>
      </c>
      <c r="K85" s="93">
        <f t="shared" si="5"/>
        <v>0.17061611374407584</v>
      </c>
      <c r="L85" s="576">
        <v>28555</v>
      </c>
      <c r="M85" s="576">
        <v>23737</v>
      </c>
      <c r="N85" s="576">
        <v>4818</v>
      </c>
      <c r="O85" s="93">
        <f t="shared" si="6"/>
        <v>0.16872701803537032</v>
      </c>
      <c r="P85" s="2184">
        <v>24700</v>
      </c>
      <c r="Q85" s="2184">
        <v>21081</v>
      </c>
      <c r="R85" s="2184">
        <v>3619</v>
      </c>
      <c r="S85" s="93">
        <f t="shared" si="7"/>
        <v>0.14651821862348177</v>
      </c>
    </row>
    <row r="86" spans="1:19" x14ac:dyDescent="0.3">
      <c r="A86" s="56" t="s">
        <v>207</v>
      </c>
      <c r="B86" s="84" t="s">
        <v>208</v>
      </c>
      <c r="C86" s="57" t="s">
        <v>255</v>
      </c>
      <c r="D86" s="576">
        <v>26908</v>
      </c>
      <c r="E86" s="576">
        <v>24151</v>
      </c>
      <c r="F86" s="576">
        <v>2757</v>
      </c>
      <c r="G86" s="93">
        <f t="shared" si="4"/>
        <v>0.1024602348743868</v>
      </c>
      <c r="H86" s="2184">
        <v>6617</v>
      </c>
      <c r="I86" s="2184">
        <v>5767</v>
      </c>
      <c r="J86" s="2184">
        <v>850</v>
      </c>
      <c r="K86" s="93">
        <f t="shared" si="5"/>
        <v>0.12845700468490254</v>
      </c>
      <c r="L86" s="576">
        <v>6898</v>
      </c>
      <c r="M86" s="576">
        <v>6121</v>
      </c>
      <c r="N86" s="576">
        <v>777</v>
      </c>
      <c r="O86" s="93">
        <f t="shared" si="6"/>
        <v>0.11264134531748334</v>
      </c>
      <c r="P86" s="2184">
        <v>5817</v>
      </c>
      <c r="Q86" s="2184">
        <v>5046</v>
      </c>
      <c r="R86" s="2184">
        <v>771</v>
      </c>
      <c r="S86" s="93">
        <f t="shared" si="7"/>
        <v>0.13254254770500257</v>
      </c>
    </row>
    <row r="87" spans="1:19" x14ac:dyDescent="0.3">
      <c r="A87" s="56" t="s">
        <v>209</v>
      </c>
      <c r="B87" s="84" t="s">
        <v>210</v>
      </c>
      <c r="C87" s="57" t="s">
        <v>255</v>
      </c>
      <c r="D87" s="576">
        <v>21248</v>
      </c>
      <c r="E87" s="576">
        <v>18933</v>
      </c>
      <c r="F87" s="576">
        <v>2315</v>
      </c>
      <c r="G87" s="93">
        <f t="shared" si="4"/>
        <v>0.10895143072289157</v>
      </c>
      <c r="H87" s="2184">
        <v>5256</v>
      </c>
      <c r="I87" s="2184">
        <v>4439</v>
      </c>
      <c r="J87" s="2184">
        <v>817</v>
      </c>
      <c r="K87" s="93">
        <f t="shared" si="5"/>
        <v>0.155441400304414</v>
      </c>
      <c r="L87" s="576">
        <v>5711</v>
      </c>
      <c r="M87" s="576">
        <v>5035</v>
      </c>
      <c r="N87" s="576">
        <v>676</v>
      </c>
      <c r="O87" s="93">
        <f t="shared" si="6"/>
        <v>0.11836806163544038</v>
      </c>
      <c r="P87" s="2184">
        <v>3657</v>
      </c>
      <c r="Q87" s="2184">
        <v>3272</v>
      </c>
      <c r="R87" s="2184">
        <v>385</v>
      </c>
      <c r="S87" s="93">
        <f t="shared" si="7"/>
        <v>0.10527754990429314</v>
      </c>
    </row>
    <row r="88" spans="1:19" x14ac:dyDescent="0.3">
      <c r="A88" s="56" t="s">
        <v>211</v>
      </c>
      <c r="B88" s="84" t="s">
        <v>212</v>
      </c>
      <c r="C88" s="57" t="s">
        <v>254</v>
      </c>
      <c r="D88" s="576">
        <v>42596</v>
      </c>
      <c r="E88" s="576">
        <v>38709</v>
      </c>
      <c r="F88" s="576">
        <v>3887</v>
      </c>
      <c r="G88" s="93">
        <f t="shared" si="4"/>
        <v>9.1252699784017274E-2</v>
      </c>
      <c r="H88" s="2184">
        <v>6039</v>
      </c>
      <c r="I88" s="2184">
        <v>4964</v>
      </c>
      <c r="J88" s="2184">
        <v>1075</v>
      </c>
      <c r="K88" s="93">
        <f t="shared" si="5"/>
        <v>0.17800960423911244</v>
      </c>
      <c r="L88" s="576">
        <v>9646</v>
      </c>
      <c r="M88" s="576">
        <v>8480</v>
      </c>
      <c r="N88" s="576">
        <v>1166</v>
      </c>
      <c r="O88" s="93">
        <f t="shared" si="6"/>
        <v>0.12087912087912088</v>
      </c>
      <c r="P88" s="2184">
        <v>9077</v>
      </c>
      <c r="Q88" s="2184">
        <v>8302</v>
      </c>
      <c r="R88" s="2184">
        <v>775</v>
      </c>
      <c r="S88" s="93">
        <f t="shared" si="7"/>
        <v>8.5380632367522302E-2</v>
      </c>
    </row>
    <row r="89" spans="1:19" x14ac:dyDescent="0.3">
      <c r="A89" s="56" t="s">
        <v>213</v>
      </c>
      <c r="B89" s="84" t="s">
        <v>214</v>
      </c>
      <c r="C89" s="57" t="s">
        <v>255</v>
      </c>
      <c r="D89" s="576">
        <v>30324</v>
      </c>
      <c r="E89" s="576">
        <v>27064</v>
      </c>
      <c r="F89" s="576">
        <v>3260</v>
      </c>
      <c r="G89" s="93">
        <f t="shared" si="4"/>
        <v>0.10750560612056458</v>
      </c>
      <c r="H89" s="2184">
        <v>6900</v>
      </c>
      <c r="I89" s="2184">
        <v>5741</v>
      </c>
      <c r="J89" s="2184">
        <v>1159</v>
      </c>
      <c r="K89" s="93">
        <f t="shared" si="5"/>
        <v>0.16797101449275362</v>
      </c>
      <c r="L89" s="576">
        <v>8867</v>
      </c>
      <c r="M89" s="576">
        <v>7770</v>
      </c>
      <c r="N89" s="576">
        <v>1097</v>
      </c>
      <c r="O89" s="93">
        <f t="shared" si="6"/>
        <v>0.12371715349047029</v>
      </c>
      <c r="P89" s="2184">
        <v>6159</v>
      </c>
      <c r="Q89" s="2184">
        <v>5611</v>
      </c>
      <c r="R89" s="2184">
        <v>548</v>
      </c>
      <c r="S89" s="93">
        <f t="shared" si="7"/>
        <v>8.8975483032959893E-2</v>
      </c>
    </row>
    <row r="90" spans="1:19" x14ac:dyDescent="0.3">
      <c r="A90" s="56" t="s">
        <v>215</v>
      </c>
      <c r="B90" s="84" t="s">
        <v>216</v>
      </c>
      <c r="C90" s="57" t="s">
        <v>251</v>
      </c>
      <c r="D90" s="576">
        <v>16335</v>
      </c>
      <c r="E90" s="576">
        <v>15202</v>
      </c>
      <c r="F90" s="576">
        <v>1133</v>
      </c>
      <c r="G90" s="93">
        <f t="shared" si="4"/>
        <v>6.9360269360269358E-2</v>
      </c>
      <c r="H90" s="2184">
        <v>2451</v>
      </c>
      <c r="I90" s="2184">
        <v>2129</v>
      </c>
      <c r="J90" s="2184">
        <v>322</v>
      </c>
      <c r="K90" s="93">
        <f t="shared" si="5"/>
        <v>0.131374949000408</v>
      </c>
      <c r="L90" s="576">
        <v>3485</v>
      </c>
      <c r="M90" s="576">
        <v>3247</v>
      </c>
      <c r="N90" s="576">
        <v>238</v>
      </c>
      <c r="O90" s="93">
        <f t="shared" si="6"/>
        <v>6.8292682926829273E-2</v>
      </c>
      <c r="P90" s="2184">
        <v>2940</v>
      </c>
      <c r="Q90" s="2184">
        <v>2692</v>
      </c>
      <c r="R90" s="2184">
        <v>248</v>
      </c>
      <c r="S90" s="93">
        <f t="shared" si="7"/>
        <v>8.4353741496598633E-2</v>
      </c>
    </row>
    <row r="91" spans="1:19" x14ac:dyDescent="0.3">
      <c r="A91" s="56" t="s">
        <v>217</v>
      </c>
      <c r="B91" s="84" t="s">
        <v>218</v>
      </c>
      <c r="C91" s="57" t="s">
        <v>254</v>
      </c>
      <c r="D91" s="576">
        <v>130571</v>
      </c>
      <c r="E91" s="576">
        <v>119850</v>
      </c>
      <c r="F91" s="576">
        <v>10721</v>
      </c>
      <c r="G91" s="93">
        <f t="shared" si="4"/>
        <v>8.2108584601481183E-2</v>
      </c>
      <c r="H91" s="2184">
        <v>9442</v>
      </c>
      <c r="I91" s="2184">
        <v>7870</v>
      </c>
      <c r="J91" s="2184">
        <v>1572</v>
      </c>
      <c r="K91" s="93">
        <f t="shared" si="5"/>
        <v>0.16649015039186613</v>
      </c>
      <c r="L91" s="576">
        <v>17191</v>
      </c>
      <c r="M91" s="576">
        <v>14386</v>
      </c>
      <c r="N91" s="576">
        <v>2805</v>
      </c>
      <c r="O91" s="93">
        <f t="shared" si="6"/>
        <v>0.16316677331161655</v>
      </c>
      <c r="P91" s="2184">
        <v>20528</v>
      </c>
      <c r="Q91" s="2184">
        <v>18671</v>
      </c>
      <c r="R91" s="2184">
        <v>1857</v>
      </c>
      <c r="S91" s="93">
        <f t="shared" si="7"/>
        <v>9.0461808261886198E-2</v>
      </c>
    </row>
    <row r="92" spans="1:19" x14ac:dyDescent="0.3">
      <c r="A92" s="56" t="s">
        <v>219</v>
      </c>
      <c r="B92" s="84" t="s">
        <v>220</v>
      </c>
      <c r="C92" s="57" t="s">
        <v>254</v>
      </c>
      <c r="D92" s="576">
        <v>138478</v>
      </c>
      <c r="E92" s="576">
        <v>128267</v>
      </c>
      <c r="F92" s="576">
        <v>10211</v>
      </c>
      <c r="G92" s="93">
        <f t="shared" si="4"/>
        <v>7.3737344560146745E-2</v>
      </c>
      <c r="H92" s="2184">
        <v>6339</v>
      </c>
      <c r="I92" s="2184">
        <v>5197</v>
      </c>
      <c r="J92" s="2184">
        <v>1142</v>
      </c>
      <c r="K92" s="93">
        <f t="shared" si="5"/>
        <v>0.18015459851711627</v>
      </c>
      <c r="L92" s="576">
        <v>12738</v>
      </c>
      <c r="M92" s="576">
        <v>10801</v>
      </c>
      <c r="N92" s="576">
        <v>1937</v>
      </c>
      <c r="O92" s="93">
        <f t="shared" si="6"/>
        <v>0.15206468833411838</v>
      </c>
      <c r="P92" s="2184">
        <v>18350</v>
      </c>
      <c r="Q92" s="2184">
        <v>15713</v>
      </c>
      <c r="R92" s="2184">
        <v>2637</v>
      </c>
      <c r="S92" s="93">
        <f t="shared" si="7"/>
        <v>0.1437057220708447</v>
      </c>
    </row>
    <row r="93" spans="1:19" x14ac:dyDescent="0.3">
      <c r="A93" s="56" t="s">
        <v>223</v>
      </c>
      <c r="B93" s="84" t="s">
        <v>224</v>
      </c>
      <c r="C93" s="57" t="s">
        <v>251</v>
      </c>
      <c r="D93" s="576">
        <v>6594</v>
      </c>
      <c r="E93" s="576">
        <v>5820</v>
      </c>
      <c r="F93" s="576">
        <v>774</v>
      </c>
      <c r="G93" s="93">
        <f t="shared" si="4"/>
        <v>0.11737943585077343</v>
      </c>
      <c r="H93" s="2184">
        <v>1063</v>
      </c>
      <c r="I93" s="2184">
        <v>821</v>
      </c>
      <c r="J93" s="2184">
        <v>242</v>
      </c>
      <c r="K93" s="93">
        <f t="shared" si="5"/>
        <v>0.22765757290686736</v>
      </c>
      <c r="L93" s="576">
        <v>1319</v>
      </c>
      <c r="M93" s="576">
        <v>1188</v>
      </c>
      <c r="N93" s="576">
        <v>131</v>
      </c>
      <c r="O93" s="93">
        <f t="shared" si="6"/>
        <v>9.9317664897649732E-2</v>
      </c>
      <c r="P93" s="2184">
        <v>1675</v>
      </c>
      <c r="Q93" s="2184">
        <v>1452</v>
      </c>
      <c r="R93" s="2184">
        <v>223</v>
      </c>
      <c r="S93" s="93">
        <f t="shared" si="7"/>
        <v>0.13313432835820896</v>
      </c>
    </row>
    <row r="94" spans="1:19" x14ac:dyDescent="0.3">
      <c r="A94" s="56" t="s">
        <v>225</v>
      </c>
      <c r="B94" s="84" t="s">
        <v>226</v>
      </c>
      <c r="C94" s="57" t="s">
        <v>251</v>
      </c>
      <c r="D94" s="576">
        <v>7851</v>
      </c>
      <c r="E94" s="576">
        <v>7288</v>
      </c>
      <c r="F94" s="576">
        <v>563</v>
      </c>
      <c r="G94" s="93">
        <f t="shared" si="4"/>
        <v>7.1710610113361356E-2</v>
      </c>
      <c r="H94" s="2184">
        <v>1812</v>
      </c>
      <c r="I94" s="2184">
        <v>1681</v>
      </c>
      <c r="J94" s="2184">
        <v>131</v>
      </c>
      <c r="K94" s="93">
        <f t="shared" si="5"/>
        <v>7.2295805739514343E-2</v>
      </c>
      <c r="L94" s="576">
        <v>1810</v>
      </c>
      <c r="M94" s="576">
        <v>1683</v>
      </c>
      <c r="N94" s="576">
        <v>127</v>
      </c>
      <c r="O94" s="93">
        <f t="shared" si="6"/>
        <v>7.0165745856353587E-2</v>
      </c>
      <c r="P94" s="2184">
        <v>1625</v>
      </c>
      <c r="Q94" s="2184">
        <v>1398</v>
      </c>
      <c r="R94" s="2184">
        <v>227</v>
      </c>
      <c r="S94" s="93">
        <f t="shared" si="7"/>
        <v>0.1396923076923077</v>
      </c>
    </row>
    <row r="95" spans="1:19" x14ac:dyDescent="0.3">
      <c r="A95" s="56" t="s">
        <v>227</v>
      </c>
      <c r="B95" s="84" t="s">
        <v>228</v>
      </c>
      <c r="C95" s="57" t="s">
        <v>255</v>
      </c>
      <c r="D95" s="576">
        <v>40544</v>
      </c>
      <c r="E95" s="576">
        <v>36263</v>
      </c>
      <c r="F95" s="576">
        <v>4281</v>
      </c>
      <c r="G95" s="93">
        <f t="shared" si="4"/>
        <v>0.10558898973954223</v>
      </c>
      <c r="H95" s="2184">
        <v>8401</v>
      </c>
      <c r="I95" s="2184">
        <v>7167</v>
      </c>
      <c r="J95" s="2184">
        <v>1234</v>
      </c>
      <c r="K95" s="93">
        <f t="shared" si="5"/>
        <v>0.14688727532436616</v>
      </c>
      <c r="L95" s="576">
        <v>11963</v>
      </c>
      <c r="M95" s="576">
        <v>10471</v>
      </c>
      <c r="N95" s="576">
        <v>1492</v>
      </c>
      <c r="O95" s="93">
        <f t="shared" si="6"/>
        <v>0.12471788013040207</v>
      </c>
      <c r="P95" s="2184">
        <v>8170</v>
      </c>
      <c r="Q95" s="2184">
        <v>7131</v>
      </c>
      <c r="R95" s="2184">
        <v>1039</v>
      </c>
      <c r="S95" s="93">
        <f t="shared" si="7"/>
        <v>0.12717258261933906</v>
      </c>
    </row>
    <row r="96" spans="1:19" x14ac:dyDescent="0.3">
      <c r="A96" s="56" t="s">
        <v>231</v>
      </c>
      <c r="B96" s="84" t="s">
        <v>232</v>
      </c>
      <c r="C96" s="57" t="s">
        <v>254</v>
      </c>
      <c r="D96" s="576">
        <v>38639</v>
      </c>
      <c r="E96" s="576">
        <v>34194</v>
      </c>
      <c r="F96" s="576">
        <v>4445</v>
      </c>
      <c r="G96" s="93">
        <f t="shared" si="4"/>
        <v>0.11503920908926214</v>
      </c>
      <c r="H96" s="2184">
        <v>4034</v>
      </c>
      <c r="I96" s="2184">
        <v>3299</v>
      </c>
      <c r="J96" s="2184">
        <v>735</v>
      </c>
      <c r="K96" s="93">
        <f t="shared" si="5"/>
        <v>0.18220128904313337</v>
      </c>
      <c r="L96" s="576">
        <v>6758</v>
      </c>
      <c r="M96" s="576">
        <v>5879</v>
      </c>
      <c r="N96" s="576">
        <v>879</v>
      </c>
      <c r="O96" s="93">
        <f t="shared" si="6"/>
        <v>0.1300680674755845</v>
      </c>
      <c r="P96" s="2184">
        <v>7067</v>
      </c>
      <c r="Q96" s="2184">
        <v>6032</v>
      </c>
      <c r="R96" s="2184">
        <v>1035</v>
      </c>
      <c r="S96" s="93">
        <f t="shared" si="7"/>
        <v>0.14645535587943964</v>
      </c>
    </row>
    <row r="97" spans="1:19" x14ac:dyDescent="0.3">
      <c r="A97" s="56" t="s">
        <v>233</v>
      </c>
      <c r="B97" s="84" t="s">
        <v>234</v>
      </c>
      <c r="C97" s="57" t="s">
        <v>255</v>
      </c>
      <c r="D97" s="576">
        <v>52590</v>
      </c>
      <c r="E97" s="576">
        <v>47754</v>
      </c>
      <c r="F97" s="576">
        <v>4836</v>
      </c>
      <c r="G97" s="93">
        <f t="shared" si="4"/>
        <v>9.1956645750142618E-2</v>
      </c>
      <c r="H97" s="2184">
        <v>9653</v>
      </c>
      <c r="I97" s="2184">
        <v>8210</v>
      </c>
      <c r="J97" s="2184">
        <v>1443</v>
      </c>
      <c r="K97" s="93">
        <f t="shared" si="5"/>
        <v>0.14948720604993265</v>
      </c>
      <c r="L97" s="576">
        <v>13845</v>
      </c>
      <c r="M97" s="576">
        <v>11958</v>
      </c>
      <c r="N97" s="576">
        <v>1887</v>
      </c>
      <c r="O97" s="93">
        <f t="shared" si="6"/>
        <v>0.13629469122426868</v>
      </c>
      <c r="P97" s="2184">
        <v>9993</v>
      </c>
      <c r="Q97" s="2184">
        <v>9250</v>
      </c>
      <c r="R97" s="2184">
        <v>743</v>
      </c>
      <c r="S97" s="93">
        <f t="shared" si="7"/>
        <v>7.4352046432502747E-2</v>
      </c>
    </row>
    <row r="98" spans="1:19" x14ac:dyDescent="0.3">
      <c r="A98" s="56" t="s">
        <v>235</v>
      </c>
      <c r="B98" s="84" t="s">
        <v>236</v>
      </c>
      <c r="C98" s="57" t="s">
        <v>253</v>
      </c>
      <c r="D98" s="576">
        <v>17370</v>
      </c>
      <c r="E98" s="576">
        <v>15149</v>
      </c>
      <c r="F98" s="576">
        <v>2221</v>
      </c>
      <c r="G98" s="93">
        <f t="shared" si="4"/>
        <v>0.12786413356361542</v>
      </c>
      <c r="H98" s="2184">
        <v>2447</v>
      </c>
      <c r="I98" s="2184">
        <v>1976</v>
      </c>
      <c r="J98" s="2184">
        <v>471</v>
      </c>
      <c r="K98" s="93">
        <f t="shared" si="5"/>
        <v>0.1924805884756845</v>
      </c>
      <c r="L98" s="576">
        <v>3878</v>
      </c>
      <c r="M98" s="576">
        <v>3342</v>
      </c>
      <c r="N98" s="576">
        <v>536</v>
      </c>
      <c r="O98" s="93">
        <f t="shared" si="6"/>
        <v>0.13821557503867973</v>
      </c>
      <c r="P98" s="2184">
        <v>3675</v>
      </c>
      <c r="Q98" s="2184">
        <v>3018</v>
      </c>
      <c r="R98" s="2184">
        <v>657</v>
      </c>
      <c r="S98" s="93">
        <f t="shared" si="7"/>
        <v>0.17877551020408164</v>
      </c>
    </row>
    <row r="99" spans="1:19" x14ac:dyDescent="0.3">
      <c r="A99" s="56" t="s">
        <v>241</v>
      </c>
      <c r="B99" s="84" t="s">
        <v>242</v>
      </c>
      <c r="C99" s="57" t="s">
        <v>255</v>
      </c>
      <c r="D99" s="576">
        <v>35960</v>
      </c>
      <c r="E99" s="576">
        <v>31989</v>
      </c>
      <c r="F99" s="576">
        <v>3971</v>
      </c>
      <c r="G99" s="93">
        <f t="shared" si="4"/>
        <v>0.11042825361512792</v>
      </c>
      <c r="H99" s="2184">
        <v>9646</v>
      </c>
      <c r="I99" s="2184">
        <v>8071</v>
      </c>
      <c r="J99" s="2184">
        <v>1575</v>
      </c>
      <c r="K99" s="93">
        <f t="shared" si="5"/>
        <v>0.1632801161103048</v>
      </c>
      <c r="L99" s="576">
        <v>9726</v>
      </c>
      <c r="M99" s="576">
        <v>8526</v>
      </c>
      <c r="N99" s="576">
        <v>1200</v>
      </c>
      <c r="O99" s="93">
        <f t="shared" si="6"/>
        <v>0.12338062924120913</v>
      </c>
      <c r="P99" s="2184">
        <v>7324</v>
      </c>
      <c r="Q99" s="2184">
        <v>6739</v>
      </c>
      <c r="R99" s="2184">
        <v>585</v>
      </c>
      <c r="S99" s="93">
        <f t="shared" si="7"/>
        <v>7.9874385581649374E-2</v>
      </c>
    </row>
    <row r="100" spans="1:19" x14ac:dyDescent="0.3">
      <c r="A100" s="56" t="s">
        <v>243</v>
      </c>
      <c r="B100" s="84" t="s">
        <v>244</v>
      </c>
      <c r="C100" s="57" t="s">
        <v>255</v>
      </c>
      <c r="D100" s="576">
        <v>28701</v>
      </c>
      <c r="E100" s="576">
        <v>26054</v>
      </c>
      <c r="F100" s="576">
        <v>2647</v>
      </c>
      <c r="G100" s="93">
        <f t="shared" si="4"/>
        <v>9.2226751681126096E-2</v>
      </c>
      <c r="H100" s="2184">
        <v>5404</v>
      </c>
      <c r="I100" s="2184">
        <v>4564</v>
      </c>
      <c r="J100" s="2184">
        <v>840</v>
      </c>
      <c r="K100" s="93">
        <f t="shared" si="5"/>
        <v>0.15544041450777202</v>
      </c>
      <c r="L100" s="576">
        <v>6989</v>
      </c>
      <c r="M100" s="576">
        <v>6181</v>
      </c>
      <c r="N100" s="576">
        <v>808</v>
      </c>
      <c r="O100" s="93">
        <f t="shared" si="6"/>
        <v>0.11561024467019602</v>
      </c>
      <c r="P100" s="2184">
        <v>6209</v>
      </c>
      <c r="Q100" s="2184">
        <v>5813</v>
      </c>
      <c r="R100" s="2184">
        <v>396</v>
      </c>
      <c r="S100" s="93">
        <f t="shared" si="7"/>
        <v>6.3778386213560953E-2</v>
      </c>
    </row>
    <row r="101" spans="1:19" x14ac:dyDescent="0.3">
      <c r="A101" s="56" t="s">
        <v>245</v>
      </c>
      <c r="B101" s="84" t="s">
        <v>246</v>
      </c>
      <c r="C101" s="57" t="s">
        <v>251</v>
      </c>
      <c r="D101" s="576">
        <v>75791</v>
      </c>
      <c r="E101" s="576">
        <v>72142</v>
      </c>
      <c r="F101" s="576">
        <v>3649</v>
      </c>
      <c r="G101" s="93">
        <f t="shared" si="4"/>
        <v>4.8145558179731103E-2</v>
      </c>
      <c r="H101" s="2184">
        <v>4507</v>
      </c>
      <c r="I101" s="2184">
        <v>4212</v>
      </c>
      <c r="J101" s="2184">
        <v>295</v>
      </c>
      <c r="K101" s="93">
        <f t="shared" si="5"/>
        <v>6.5453738628799649E-2</v>
      </c>
      <c r="L101" s="576">
        <v>9103</v>
      </c>
      <c r="M101" s="576">
        <v>8416</v>
      </c>
      <c r="N101" s="576">
        <v>687</v>
      </c>
      <c r="O101" s="93">
        <f t="shared" si="6"/>
        <v>7.5469625398220372E-2</v>
      </c>
      <c r="P101" s="2184">
        <v>11901</v>
      </c>
      <c r="Q101" s="2184">
        <v>11286</v>
      </c>
      <c r="R101" s="2184">
        <v>615</v>
      </c>
      <c r="S101" s="93">
        <f t="shared" si="7"/>
        <v>5.167632972019158E-2</v>
      </c>
    </row>
    <row r="102" spans="1:19" x14ac:dyDescent="0.3">
      <c r="A102" s="56" t="s">
        <v>13</v>
      </c>
      <c r="B102" s="84" t="s">
        <v>14</v>
      </c>
      <c r="C102" s="57" t="s">
        <v>254</v>
      </c>
      <c r="D102" s="576">
        <v>152537</v>
      </c>
      <c r="E102" s="576">
        <v>133806</v>
      </c>
      <c r="F102" s="576">
        <v>18731</v>
      </c>
      <c r="G102" s="93">
        <f t="shared" si="4"/>
        <v>0.12279643627447767</v>
      </c>
      <c r="H102" s="2184">
        <v>14154</v>
      </c>
      <c r="I102" s="2184">
        <v>10720</v>
      </c>
      <c r="J102" s="2184">
        <v>3434</v>
      </c>
      <c r="K102" s="93">
        <f t="shared" si="5"/>
        <v>0.24261692807686874</v>
      </c>
      <c r="L102" s="576">
        <v>21421</v>
      </c>
      <c r="M102" s="576">
        <v>15292</v>
      </c>
      <c r="N102" s="576">
        <v>6129</v>
      </c>
      <c r="O102" s="93">
        <f t="shared" si="6"/>
        <v>0.2861210961206293</v>
      </c>
      <c r="P102" s="2184">
        <v>20200</v>
      </c>
      <c r="Q102" s="2184">
        <v>16969</v>
      </c>
      <c r="R102" s="2184">
        <v>3231</v>
      </c>
      <c r="S102" s="93">
        <f t="shared" si="7"/>
        <v>0.15995049504950495</v>
      </c>
    </row>
    <row r="103" spans="1:19" x14ac:dyDescent="0.3">
      <c r="A103" s="56" t="s">
        <v>33</v>
      </c>
      <c r="B103" s="84" t="s">
        <v>34</v>
      </c>
      <c r="C103" s="57" t="s">
        <v>255</v>
      </c>
      <c r="D103" s="576">
        <v>16435</v>
      </c>
      <c r="E103" s="576">
        <v>14520</v>
      </c>
      <c r="F103" s="576">
        <v>1915</v>
      </c>
      <c r="G103" s="93">
        <f t="shared" si="4"/>
        <v>0.11651962275631275</v>
      </c>
      <c r="H103" s="2184">
        <v>4451</v>
      </c>
      <c r="I103" s="2184">
        <v>3708</v>
      </c>
      <c r="J103" s="2184">
        <v>743</v>
      </c>
      <c r="K103" s="93">
        <f t="shared" si="5"/>
        <v>0.1669287800494271</v>
      </c>
      <c r="L103" s="576">
        <v>4686</v>
      </c>
      <c r="M103" s="576">
        <v>3944</v>
      </c>
      <c r="N103" s="576">
        <v>742</v>
      </c>
      <c r="O103" s="93">
        <f t="shared" si="6"/>
        <v>0.15834400341442595</v>
      </c>
      <c r="P103" s="2184">
        <v>3699</v>
      </c>
      <c r="Q103" s="2184">
        <v>3376</v>
      </c>
      <c r="R103" s="2184">
        <v>323</v>
      </c>
      <c r="S103" s="93">
        <f t="shared" si="7"/>
        <v>8.7320897539875639E-2</v>
      </c>
    </row>
    <row r="104" spans="1:19" x14ac:dyDescent="0.3">
      <c r="A104" s="56" t="s">
        <v>51</v>
      </c>
      <c r="B104" s="84" t="s">
        <v>52</v>
      </c>
      <c r="C104" s="57" t="s">
        <v>252</v>
      </c>
      <c r="D104" s="576">
        <v>43969</v>
      </c>
      <c r="E104" s="576">
        <v>39959</v>
      </c>
      <c r="F104" s="576">
        <v>4010</v>
      </c>
      <c r="G104" s="93">
        <f t="shared" si="4"/>
        <v>9.1200618617662446E-2</v>
      </c>
      <c r="H104" s="2184">
        <v>9843</v>
      </c>
      <c r="I104" s="2184">
        <v>8439</v>
      </c>
      <c r="J104" s="2184">
        <v>1404</v>
      </c>
      <c r="K104" s="93">
        <f t="shared" si="5"/>
        <v>0.14263943919536726</v>
      </c>
      <c r="L104" s="576">
        <v>8032</v>
      </c>
      <c r="M104" s="576">
        <v>7075</v>
      </c>
      <c r="N104" s="576">
        <v>957</v>
      </c>
      <c r="O104" s="93">
        <f t="shared" si="6"/>
        <v>0.119148406374502</v>
      </c>
      <c r="P104" s="2184">
        <v>6663</v>
      </c>
      <c r="Q104" s="2184">
        <v>6086</v>
      </c>
      <c r="R104" s="2184">
        <v>577</v>
      </c>
      <c r="S104" s="93">
        <f t="shared" si="7"/>
        <v>8.6597628695782677E-2</v>
      </c>
    </row>
    <row r="105" spans="1:19" x14ac:dyDescent="0.3">
      <c r="A105" s="56" t="s">
        <v>53</v>
      </c>
      <c r="B105" s="84" t="s">
        <v>54</v>
      </c>
      <c r="C105" s="57" t="s">
        <v>251</v>
      </c>
      <c r="D105" s="576">
        <v>225114</v>
      </c>
      <c r="E105" s="576">
        <v>208116</v>
      </c>
      <c r="F105" s="576">
        <v>16998</v>
      </c>
      <c r="G105" s="93">
        <f t="shared" si="4"/>
        <v>7.5508409072736482E-2</v>
      </c>
      <c r="H105" s="2184">
        <v>22050</v>
      </c>
      <c r="I105" s="2184">
        <v>18461</v>
      </c>
      <c r="J105" s="2184">
        <v>3589</v>
      </c>
      <c r="K105" s="93">
        <f t="shared" si="5"/>
        <v>0.16276643990929704</v>
      </c>
      <c r="L105" s="576">
        <v>34618</v>
      </c>
      <c r="M105" s="576">
        <v>30373</v>
      </c>
      <c r="N105" s="576">
        <v>4245</v>
      </c>
      <c r="O105" s="93">
        <f t="shared" si="6"/>
        <v>0.1226240684037206</v>
      </c>
      <c r="P105" s="2184">
        <v>38278</v>
      </c>
      <c r="Q105" s="2184">
        <v>35369</v>
      </c>
      <c r="R105" s="2184">
        <v>2909</v>
      </c>
      <c r="S105" s="93">
        <f t="shared" si="7"/>
        <v>7.599665604263546E-2</v>
      </c>
    </row>
    <row r="106" spans="1:19" x14ac:dyDescent="0.3">
      <c r="A106" s="56" t="s">
        <v>65</v>
      </c>
      <c r="B106" s="84" t="s">
        <v>66</v>
      </c>
      <c r="C106" s="57" t="s">
        <v>252</v>
      </c>
      <c r="D106" s="576">
        <v>39861</v>
      </c>
      <c r="E106" s="576">
        <v>35721</v>
      </c>
      <c r="F106" s="576">
        <v>4140</v>
      </c>
      <c r="G106" s="93">
        <f t="shared" si="4"/>
        <v>0.10386091668548204</v>
      </c>
      <c r="H106" s="2184">
        <v>10625</v>
      </c>
      <c r="I106" s="2184">
        <v>9386</v>
      </c>
      <c r="J106" s="2184">
        <v>1239</v>
      </c>
      <c r="K106" s="93">
        <f t="shared" si="5"/>
        <v>0.11661176470588236</v>
      </c>
      <c r="L106" s="576">
        <v>12341</v>
      </c>
      <c r="M106" s="576">
        <v>10697</v>
      </c>
      <c r="N106" s="576">
        <v>1644</v>
      </c>
      <c r="O106" s="93">
        <f t="shared" si="6"/>
        <v>0.13321448829106231</v>
      </c>
      <c r="P106" s="2184">
        <v>6745</v>
      </c>
      <c r="Q106" s="2184">
        <v>6156</v>
      </c>
      <c r="R106" s="2184">
        <v>589</v>
      </c>
      <c r="S106" s="93">
        <f t="shared" si="7"/>
        <v>8.7323943661971826E-2</v>
      </c>
    </row>
    <row r="107" spans="1:19" x14ac:dyDescent="0.3">
      <c r="A107" s="56" t="s">
        <v>81</v>
      </c>
      <c r="B107" s="84" t="s">
        <v>82</v>
      </c>
      <c r="C107" s="57" t="s">
        <v>251</v>
      </c>
      <c r="D107" s="576">
        <v>8081</v>
      </c>
      <c r="E107" s="576">
        <v>7341</v>
      </c>
      <c r="F107" s="576">
        <v>740</v>
      </c>
      <c r="G107" s="93">
        <f t="shared" si="4"/>
        <v>9.1572825145402797E-2</v>
      </c>
      <c r="H107" s="2184">
        <v>1631</v>
      </c>
      <c r="I107" s="2184">
        <v>1395</v>
      </c>
      <c r="J107" s="2184">
        <v>236</v>
      </c>
      <c r="K107" s="93">
        <f t="shared" si="5"/>
        <v>0.14469650521152666</v>
      </c>
      <c r="L107" s="576">
        <v>2418</v>
      </c>
      <c r="M107" s="576">
        <v>2117</v>
      </c>
      <c r="N107" s="576">
        <v>301</v>
      </c>
      <c r="O107" s="93">
        <f t="shared" si="6"/>
        <v>0.12448304383788254</v>
      </c>
      <c r="P107" s="2184">
        <v>1280</v>
      </c>
      <c r="Q107" s="2184">
        <v>1183</v>
      </c>
      <c r="R107" s="2184">
        <v>97</v>
      </c>
      <c r="S107" s="93">
        <f t="shared" si="7"/>
        <v>7.5781249999999994E-2</v>
      </c>
    </row>
    <row r="108" spans="1:19" x14ac:dyDescent="0.3">
      <c r="A108" s="56" t="s">
        <v>87</v>
      </c>
      <c r="B108" s="84" t="s">
        <v>88</v>
      </c>
      <c r="C108" s="57" t="s">
        <v>254</v>
      </c>
      <c r="D108" s="576">
        <v>25725</v>
      </c>
      <c r="E108" s="576">
        <v>22801</v>
      </c>
      <c r="F108" s="576">
        <v>2924</v>
      </c>
      <c r="G108" s="93">
        <f t="shared" si="4"/>
        <v>0.11366375121477162</v>
      </c>
      <c r="H108" s="2184">
        <v>3954</v>
      </c>
      <c r="I108" s="2184">
        <v>3292</v>
      </c>
      <c r="J108" s="2184">
        <v>662</v>
      </c>
      <c r="K108" s="93">
        <f t="shared" si="5"/>
        <v>0.16742539200809306</v>
      </c>
      <c r="L108" s="576">
        <v>4333</v>
      </c>
      <c r="M108" s="576">
        <v>3416</v>
      </c>
      <c r="N108" s="576">
        <v>917</v>
      </c>
      <c r="O108" s="93">
        <f t="shared" si="6"/>
        <v>0.21163166397415187</v>
      </c>
      <c r="P108" s="2184">
        <v>3933</v>
      </c>
      <c r="Q108" s="2184">
        <v>3583</v>
      </c>
      <c r="R108" s="2184">
        <v>350</v>
      </c>
      <c r="S108" s="93">
        <f t="shared" si="7"/>
        <v>8.8990592423086698E-2</v>
      </c>
    </row>
    <row r="109" spans="1:19" x14ac:dyDescent="0.3">
      <c r="A109" s="56" t="s">
        <v>89</v>
      </c>
      <c r="B109" s="84" t="s">
        <v>90</v>
      </c>
      <c r="C109" s="57" t="s">
        <v>255</v>
      </c>
      <c r="D109" s="576">
        <v>6255</v>
      </c>
      <c r="E109" s="576">
        <v>5306</v>
      </c>
      <c r="F109" s="576">
        <v>949</v>
      </c>
      <c r="G109" s="93">
        <f t="shared" si="4"/>
        <v>0.15171862509992007</v>
      </c>
      <c r="H109" s="2184">
        <v>2050</v>
      </c>
      <c r="I109" s="2184">
        <v>1521</v>
      </c>
      <c r="J109" s="2184">
        <v>529</v>
      </c>
      <c r="K109" s="93">
        <f t="shared" si="5"/>
        <v>0.25804878048780489</v>
      </c>
      <c r="L109" s="576">
        <v>1551</v>
      </c>
      <c r="M109" s="576">
        <v>1335</v>
      </c>
      <c r="N109" s="576">
        <v>216</v>
      </c>
      <c r="O109" s="93">
        <f t="shared" si="6"/>
        <v>0.13926499032882012</v>
      </c>
      <c r="P109" s="2184">
        <v>932</v>
      </c>
      <c r="Q109" s="2184">
        <v>778</v>
      </c>
      <c r="R109" s="2184">
        <v>154</v>
      </c>
      <c r="S109" s="93">
        <f t="shared" si="7"/>
        <v>0.16523605150214593</v>
      </c>
    </row>
    <row r="110" spans="1:19" x14ac:dyDescent="0.3">
      <c r="A110" s="56" t="s">
        <v>105</v>
      </c>
      <c r="B110" s="84" t="s">
        <v>106</v>
      </c>
      <c r="C110" s="57" t="s">
        <v>251</v>
      </c>
      <c r="D110" s="576">
        <v>127624</v>
      </c>
      <c r="E110" s="576">
        <v>115373</v>
      </c>
      <c r="F110" s="576">
        <v>12251</v>
      </c>
      <c r="G110" s="93">
        <f t="shared" si="4"/>
        <v>9.5992916692785063E-2</v>
      </c>
      <c r="H110" s="2184">
        <v>22203</v>
      </c>
      <c r="I110" s="2184">
        <v>18456</v>
      </c>
      <c r="J110" s="2184">
        <v>3747</v>
      </c>
      <c r="K110" s="93">
        <f t="shared" si="5"/>
        <v>0.16876097824618294</v>
      </c>
      <c r="L110" s="576">
        <v>26857</v>
      </c>
      <c r="M110" s="576">
        <v>23466</v>
      </c>
      <c r="N110" s="576">
        <v>3391</v>
      </c>
      <c r="O110" s="93">
        <f t="shared" si="6"/>
        <v>0.12626130990058457</v>
      </c>
      <c r="P110" s="2184">
        <v>24813</v>
      </c>
      <c r="Q110" s="2184">
        <v>22564</v>
      </c>
      <c r="R110" s="2184">
        <v>2249</v>
      </c>
      <c r="S110" s="93">
        <f t="shared" si="7"/>
        <v>9.0637972030790312E-2</v>
      </c>
    </row>
    <row r="111" spans="1:19" x14ac:dyDescent="0.3">
      <c r="A111" s="56" t="s">
        <v>115</v>
      </c>
      <c r="B111" s="84" t="s">
        <v>116</v>
      </c>
      <c r="C111" s="57" t="s">
        <v>253</v>
      </c>
      <c r="D111" s="576">
        <v>22046</v>
      </c>
      <c r="E111" s="576">
        <v>19734</v>
      </c>
      <c r="F111" s="576">
        <v>2312</v>
      </c>
      <c r="G111" s="93">
        <f t="shared" si="4"/>
        <v>0.10487163204209381</v>
      </c>
      <c r="H111" s="2184">
        <v>4710</v>
      </c>
      <c r="I111" s="2184">
        <v>3975</v>
      </c>
      <c r="J111" s="2184">
        <v>735</v>
      </c>
      <c r="K111" s="93">
        <f t="shared" si="5"/>
        <v>0.15605095541401273</v>
      </c>
      <c r="L111" s="576">
        <v>6770</v>
      </c>
      <c r="M111" s="576">
        <v>5903</v>
      </c>
      <c r="N111" s="576">
        <v>867</v>
      </c>
      <c r="O111" s="93">
        <f t="shared" si="6"/>
        <v>0.12806499261447563</v>
      </c>
      <c r="P111" s="2184">
        <v>3951</v>
      </c>
      <c r="Q111" s="2184">
        <v>3543</v>
      </c>
      <c r="R111" s="2184">
        <v>408</v>
      </c>
      <c r="S111" s="93">
        <f t="shared" si="7"/>
        <v>0.10326499620349279</v>
      </c>
    </row>
    <row r="112" spans="1:19" x14ac:dyDescent="0.3">
      <c r="A112" s="56" t="s">
        <v>137</v>
      </c>
      <c r="B112" s="84" t="s">
        <v>138</v>
      </c>
      <c r="C112" s="57" t="s">
        <v>252</v>
      </c>
      <c r="D112" s="576">
        <v>69361</v>
      </c>
      <c r="E112" s="576">
        <v>62695</v>
      </c>
      <c r="F112" s="576">
        <v>6666</v>
      </c>
      <c r="G112" s="93">
        <f t="shared" si="4"/>
        <v>9.6105880826401008E-2</v>
      </c>
      <c r="H112" s="2184">
        <v>15565</v>
      </c>
      <c r="I112" s="2184">
        <v>13594</v>
      </c>
      <c r="J112" s="2184">
        <v>1971</v>
      </c>
      <c r="K112" s="93">
        <f t="shared" si="5"/>
        <v>0.12663026019916479</v>
      </c>
      <c r="L112" s="576">
        <v>18696</v>
      </c>
      <c r="M112" s="576">
        <v>16017</v>
      </c>
      <c r="N112" s="576">
        <v>2679</v>
      </c>
      <c r="O112" s="93">
        <f t="shared" si="6"/>
        <v>0.14329268292682926</v>
      </c>
      <c r="P112" s="2184">
        <v>11491</v>
      </c>
      <c r="Q112" s="2184">
        <v>10598</v>
      </c>
      <c r="R112" s="2184">
        <v>893</v>
      </c>
      <c r="S112" s="93">
        <f t="shared" si="7"/>
        <v>7.7712992776955883E-2</v>
      </c>
    </row>
    <row r="113" spans="1:19" x14ac:dyDescent="0.3">
      <c r="A113" s="56" t="s">
        <v>141</v>
      </c>
      <c r="B113" s="84" t="s">
        <v>260</v>
      </c>
      <c r="C113" s="57" t="s">
        <v>254</v>
      </c>
      <c r="D113" s="576">
        <v>41287</v>
      </c>
      <c r="E113" s="576">
        <v>34855</v>
      </c>
      <c r="F113" s="576">
        <v>6432</v>
      </c>
      <c r="G113" s="93">
        <f t="shared" si="4"/>
        <v>0.15578753602828976</v>
      </c>
      <c r="H113" s="2184">
        <v>3017</v>
      </c>
      <c r="I113" s="2184">
        <v>2385</v>
      </c>
      <c r="J113" s="2184">
        <v>632</v>
      </c>
      <c r="K113" s="93">
        <f t="shared" si="5"/>
        <v>0.20947961551209812</v>
      </c>
      <c r="L113" s="576">
        <v>6696</v>
      </c>
      <c r="M113" s="576">
        <v>4858</v>
      </c>
      <c r="N113" s="576">
        <v>1838</v>
      </c>
      <c r="O113" s="93">
        <f t="shared" si="6"/>
        <v>0.27449223416965352</v>
      </c>
      <c r="P113" s="2184">
        <v>7806</v>
      </c>
      <c r="Q113" s="2184">
        <v>6136</v>
      </c>
      <c r="R113" s="2184">
        <v>1670</v>
      </c>
      <c r="S113" s="93">
        <f t="shared" si="7"/>
        <v>0.21393799641301564</v>
      </c>
    </row>
    <row r="114" spans="1:19" x14ac:dyDescent="0.3">
      <c r="A114" s="56" t="s">
        <v>143</v>
      </c>
      <c r="B114" s="84" t="s">
        <v>144</v>
      </c>
      <c r="C114" s="57" t="s">
        <v>254</v>
      </c>
      <c r="D114" s="576">
        <v>16399</v>
      </c>
      <c r="E114" s="576">
        <v>13326</v>
      </c>
      <c r="F114" s="576">
        <v>3073</v>
      </c>
      <c r="G114" s="93">
        <f t="shared" si="4"/>
        <v>0.18738947496798586</v>
      </c>
      <c r="H114" s="2184">
        <v>1409</v>
      </c>
      <c r="I114" s="2184">
        <v>936</v>
      </c>
      <c r="J114" s="2184">
        <v>473</v>
      </c>
      <c r="K114" s="93">
        <f t="shared" si="5"/>
        <v>0.33569907735982968</v>
      </c>
      <c r="L114" s="576">
        <v>2089</v>
      </c>
      <c r="M114" s="576">
        <v>1693</v>
      </c>
      <c r="N114" s="576">
        <v>396</v>
      </c>
      <c r="O114" s="93">
        <f t="shared" si="6"/>
        <v>0.18956438487314506</v>
      </c>
      <c r="P114" s="2184">
        <v>3129</v>
      </c>
      <c r="Q114" s="2184">
        <v>2301</v>
      </c>
      <c r="R114" s="2184">
        <v>828</v>
      </c>
      <c r="S114" s="93">
        <f t="shared" si="7"/>
        <v>0.26462128475551294</v>
      </c>
    </row>
    <row r="115" spans="1:19" x14ac:dyDescent="0.3">
      <c r="A115" s="56" t="s">
        <v>157</v>
      </c>
      <c r="B115" s="84" t="s">
        <v>158</v>
      </c>
      <c r="C115" s="57" t="s">
        <v>251</v>
      </c>
      <c r="D115" s="576">
        <v>167429</v>
      </c>
      <c r="E115" s="576">
        <v>147952</v>
      </c>
      <c r="F115" s="576">
        <v>19477</v>
      </c>
      <c r="G115" s="93">
        <f t="shared" si="4"/>
        <v>0.11632990700535749</v>
      </c>
      <c r="H115" s="2184">
        <v>29592</v>
      </c>
      <c r="I115" s="2184">
        <v>23984</v>
      </c>
      <c r="J115" s="2184">
        <v>5608</v>
      </c>
      <c r="K115" s="93">
        <f t="shared" si="5"/>
        <v>0.18951067856177345</v>
      </c>
      <c r="L115" s="576">
        <v>38073</v>
      </c>
      <c r="M115" s="576">
        <v>32192</v>
      </c>
      <c r="N115" s="576">
        <v>5881</v>
      </c>
      <c r="O115" s="93">
        <f t="shared" si="6"/>
        <v>0.15446641977254222</v>
      </c>
      <c r="P115" s="2184">
        <v>35170</v>
      </c>
      <c r="Q115" s="2184">
        <v>31787</v>
      </c>
      <c r="R115" s="2184">
        <v>3383</v>
      </c>
      <c r="S115" s="93">
        <f t="shared" si="7"/>
        <v>9.6189934603355134E-2</v>
      </c>
    </row>
    <row r="116" spans="1:19" x14ac:dyDescent="0.3">
      <c r="A116" s="56" t="s">
        <v>159</v>
      </c>
      <c r="B116" s="84" t="s">
        <v>160</v>
      </c>
      <c r="C116" s="57" t="s">
        <v>251</v>
      </c>
      <c r="D116" s="576">
        <v>209739</v>
      </c>
      <c r="E116" s="576">
        <v>182361</v>
      </c>
      <c r="F116" s="576">
        <v>27378</v>
      </c>
      <c r="G116" s="93">
        <f t="shared" si="4"/>
        <v>0.13053366326720353</v>
      </c>
      <c r="H116" s="2184">
        <v>45404</v>
      </c>
      <c r="I116" s="2184">
        <v>37590</v>
      </c>
      <c r="J116" s="2184">
        <v>7814</v>
      </c>
      <c r="K116" s="93">
        <f t="shared" si="5"/>
        <v>0.17209937450444895</v>
      </c>
      <c r="L116" s="576">
        <v>48154</v>
      </c>
      <c r="M116" s="576">
        <v>39953</v>
      </c>
      <c r="N116" s="576">
        <v>8201</v>
      </c>
      <c r="O116" s="93">
        <f t="shared" si="6"/>
        <v>0.17030776259500768</v>
      </c>
      <c r="P116" s="2184">
        <v>39953</v>
      </c>
      <c r="Q116" s="2184">
        <v>34725</v>
      </c>
      <c r="R116" s="2184">
        <v>5228</v>
      </c>
      <c r="S116" s="93">
        <f t="shared" si="7"/>
        <v>0.13085375315996295</v>
      </c>
    </row>
    <row r="117" spans="1:19" x14ac:dyDescent="0.3">
      <c r="A117" s="56" t="s">
        <v>165</v>
      </c>
      <c r="B117" s="84" t="s">
        <v>166</v>
      </c>
      <c r="C117" s="57" t="s">
        <v>255</v>
      </c>
      <c r="D117" s="576">
        <v>3935</v>
      </c>
      <c r="E117" s="576">
        <v>3538</v>
      </c>
      <c r="F117" s="576">
        <v>397</v>
      </c>
      <c r="G117" s="93">
        <f t="shared" si="4"/>
        <v>0.10088945362134688</v>
      </c>
      <c r="H117" s="2184">
        <v>1373</v>
      </c>
      <c r="I117" s="2184">
        <v>1221</v>
      </c>
      <c r="J117" s="2184">
        <v>152</v>
      </c>
      <c r="K117" s="93">
        <f t="shared" si="5"/>
        <v>0.11070648215586307</v>
      </c>
      <c r="L117" s="576">
        <v>860</v>
      </c>
      <c r="M117" s="576">
        <v>677</v>
      </c>
      <c r="N117" s="576">
        <v>183</v>
      </c>
      <c r="O117" s="93">
        <f t="shared" si="6"/>
        <v>0.21279069767441861</v>
      </c>
      <c r="P117" s="2184">
        <v>796</v>
      </c>
      <c r="Q117" s="2184">
        <v>777</v>
      </c>
      <c r="R117" s="2184">
        <v>19</v>
      </c>
      <c r="S117" s="93">
        <f t="shared" si="7"/>
        <v>2.3869346733668341E-2</v>
      </c>
    </row>
    <row r="118" spans="1:19" x14ac:dyDescent="0.3">
      <c r="A118" s="56" t="s">
        <v>175</v>
      </c>
      <c r="B118" s="84" t="s">
        <v>176</v>
      </c>
      <c r="C118" s="57" t="s">
        <v>253</v>
      </c>
      <c r="D118" s="576">
        <v>30640</v>
      </c>
      <c r="E118" s="576">
        <v>26608</v>
      </c>
      <c r="F118" s="576">
        <v>4032</v>
      </c>
      <c r="G118" s="93">
        <f t="shared" si="4"/>
        <v>0.13159268929503917</v>
      </c>
      <c r="H118" s="2184">
        <v>8667</v>
      </c>
      <c r="I118" s="2184">
        <v>7264</v>
      </c>
      <c r="J118" s="2184">
        <v>1403</v>
      </c>
      <c r="K118" s="93">
        <f t="shared" si="5"/>
        <v>0.1618783892927195</v>
      </c>
      <c r="L118" s="576">
        <v>8872</v>
      </c>
      <c r="M118" s="576">
        <v>7587</v>
      </c>
      <c r="N118" s="576">
        <v>1285</v>
      </c>
      <c r="O118" s="93">
        <f t="shared" si="6"/>
        <v>0.14483769161406673</v>
      </c>
      <c r="P118" s="2184">
        <v>5692</v>
      </c>
      <c r="Q118" s="2184">
        <v>5196</v>
      </c>
      <c r="R118" s="2184">
        <v>496</v>
      </c>
      <c r="S118" s="93">
        <f t="shared" si="7"/>
        <v>8.7139845397048485E-2</v>
      </c>
    </row>
    <row r="119" spans="1:19" x14ac:dyDescent="0.3">
      <c r="A119" s="56" t="s">
        <v>179</v>
      </c>
      <c r="B119" s="84" t="s">
        <v>180</v>
      </c>
      <c r="C119" s="57" t="s">
        <v>251</v>
      </c>
      <c r="D119" s="576">
        <v>90037</v>
      </c>
      <c r="E119" s="576">
        <v>80241</v>
      </c>
      <c r="F119" s="576">
        <v>9796</v>
      </c>
      <c r="G119" s="93">
        <f t="shared" si="4"/>
        <v>0.10879971567244577</v>
      </c>
      <c r="H119" s="2184">
        <v>17605</v>
      </c>
      <c r="I119" s="2184">
        <v>15025</v>
      </c>
      <c r="J119" s="2184">
        <v>2580</v>
      </c>
      <c r="K119" s="93">
        <f t="shared" si="5"/>
        <v>0.14654927577392787</v>
      </c>
      <c r="L119" s="576">
        <v>21905</v>
      </c>
      <c r="M119" s="576">
        <v>19105</v>
      </c>
      <c r="N119" s="576">
        <v>2800</v>
      </c>
      <c r="O119" s="93">
        <f t="shared" si="6"/>
        <v>0.12782469755763523</v>
      </c>
      <c r="P119" s="2184">
        <v>18705</v>
      </c>
      <c r="Q119" s="2184">
        <v>16939</v>
      </c>
      <c r="R119" s="2184">
        <v>1766</v>
      </c>
      <c r="S119" s="93">
        <f t="shared" si="7"/>
        <v>9.4413258487035551E-2</v>
      </c>
    </row>
    <row r="120" spans="1:19" x14ac:dyDescent="0.3">
      <c r="A120" s="56" t="s">
        <v>191</v>
      </c>
      <c r="B120" s="84" t="s">
        <v>192</v>
      </c>
      <c r="C120" s="57" t="s">
        <v>255</v>
      </c>
      <c r="D120" s="576">
        <v>14531</v>
      </c>
      <c r="E120" s="576">
        <v>13463</v>
      </c>
      <c r="F120" s="576">
        <v>1068</v>
      </c>
      <c r="G120" s="93">
        <f t="shared" si="4"/>
        <v>7.3498038675934213E-2</v>
      </c>
      <c r="H120" s="2184">
        <v>5221</v>
      </c>
      <c r="I120" s="2184">
        <v>4912</v>
      </c>
      <c r="J120" s="2184">
        <v>309</v>
      </c>
      <c r="K120" s="93">
        <f t="shared" si="5"/>
        <v>5.9184064355487453E-2</v>
      </c>
      <c r="L120" s="576">
        <v>3041</v>
      </c>
      <c r="M120" s="576">
        <v>2582</v>
      </c>
      <c r="N120" s="576">
        <v>459</v>
      </c>
      <c r="O120" s="93">
        <f t="shared" si="6"/>
        <v>0.15093719171325223</v>
      </c>
      <c r="P120" s="2184">
        <v>2275</v>
      </c>
      <c r="Q120" s="2184">
        <v>2124</v>
      </c>
      <c r="R120" s="2184">
        <v>151</v>
      </c>
      <c r="S120" s="93">
        <f t="shared" si="7"/>
        <v>6.6373626373626371E-2</v>
      </c>
    </row>
    <row r="121" spans="1:19" x14ac:dyDescent="0.3">
      <c r="A121" s="56" t="s">
        <v>195</v>
      </c>
      <c r="B121" s="84" t="s">
        <v>196</v>
      </c>
      <c r="C121" s="57" t="s">
        <v>253</v>
      </c>
      <c r="D121" s="576">
        <v>212204</v>
      </c>
      <c r="E121" s="576">
        <v>183668</v>
      </c>
      <c r="F121" s="576">
        <v>28536</v>
      </c>
      <c r="G121" s="93">
        <f t="shared" si="4"/>
        <v>0.13447437371585833</v>
      </c>
      <c r="H121" s="2184">
        <v>52830</v>
      </c>
      <c r="I121" s="2184">
        <v>44112</v>
      </c>
      <c r="J121" s="2184">
        <v>8718</v>
      </c>
      <c r="K121" s="93">
        <f t="shared" si="5"/>
        <v>0.1650198750709824</v>
      </c>
      <c r="L121" s="576">
        <v>50972</v>
      </c>
      <c r="M121" s="576">
        <v>41663</v>
      </c>
      <c r="N121" s="576">
        <v>9309</v>
      </c>
      <c r="O121" s="93">
        <f t="shared" si="6"/>
        <v>0.18262967903947266</v>
      </c>
      <c r="P121" s="2184">
        <v>35448</v>
      </c>
      <c r="Q121" s="2184">
        <v>30896</v>
      </c>
      <c r="R121" s="2184">
        <v>4552</v>
      </c>
      <c r="S121" s="93">
        <f t="shared" si="7"/>
        <v>0.12841345068833221</v>
      </c>
    </row>
    <row r="122" spans="1:19" x14ac:dyDescent="0.3">
      <c r="A122" s="56" t="s">
        <v>199</v>
      </c>
      <c r="B122" s="84" t="s">
        <v>200</v>
      </c>
      <c r="C122" s="57" t="s">
        <v>252</v>
      </c>
      <c r="D122" s="576">
        <v>97521</v>
      </c>
      <c r="E122" s="576">
        <v>85612</v>
      </c>
      <c r="F122" s="576">
        <v>11909</v>
      </c>
      <c r="G122" s="93">
        <f t="shared" si="4"/>
        <v>0.12211728755857713</v>
      </c>
      <c r="H122" s="2184">
        <v>21974</v>
      </c>
      <c r="I122" s="2184">
        <v>17555</v>
      </c>
      <c r="J122" s="2184">
        <v>4419</v>
      </c>
      <c r="K122" s="93">
        <f t="shared" si="5"/>
        <v>0.20110130153818148</v>
      </c>
      <c r="L122" s="576">
        <v>24314</v>
      </c>
      <c r="M122" s="576">
        <v>21115</v>
      </c>
      <c r="N122" s="576">
        <v>3199</v>
      </c>
      <c r="O122" s="93">
        <f t="shared" si="6"/>
        <v>0.13157028872254667</v>
      </c>
      <c r="P122" s="2184">
        <v>20589</v>
      </c>
      <c r="Q122" s="2184">
        <v>18079</v>
      </c>
      <c r="R122" s="2184">
        <v>2510</v>
      </c>
      <c r="S122" s="93">
        <f t="shared" si="7"/>
        <v>0.12190975763757346</v>
      </c>
    </row>
    <row r="123" spans="1:19" x14ac:dyDescent="0.3">
      <c r="A123" s="56" t="s">
        <v>221</v>
      </c>
      <c r="B123" s="84" t="s">
        <v>222</v>
      </c>
      <c r="C123" s="57" t="s">
        <v>251</v>
      </c>
      <c r="D123" s="576">
        <v>86774</v>
      </c>
      <c r="E123" s="576">
        <v>80472</v>
      </c>
      <c r="F123" s="576">
        <v>6302</v>
      </c>
      <c r="G123" s="93">
        <f t="shared" si="4"/>
        <v>7.2625440800239707E-2</v>
      </c>
      <c r="H123" s="2184">
        <v>11208</v>
      </c>
      <c r="I123" s="2184">
        <v>9780</v>
      </c>
      <c r="J123" s="2184">
        <v>1428</v>
      </c>
      <c r="K123" s="93">
        <f t="shared" si="5"/>
        <v>0.12740899357601712</v>
      </c>
      <c r="L123" s="576">
        <v>13368</v>
      </c>
      <c r="M123" s="576">
        <v>11480</v>
      </c>
      <c r="N123" s="576">
        <v>1888</v>
      </c>
      <c r="O123" s="93">
        <f t="shared" si="6"/>
        <v>0.14123279473369241</v>
      </c>
      <c r="P123" s="2184">
        <v>15140</v>
      </c>
      <c r="Q123" s="2184">
        <v>14046</v>
      </c>
      <c r="R123" s="2184">
        <v>1094</v>
      </c>
      <c r="S123" s="93">
        <f t="shared" si="7"/>
        <v>7.2258916776750337E-2</v>
      </c>
    </row>
    <row r="124" spans="1:19" x14ac:dyDescent="0.3">
      <c r="A124" s="56" t="s">
        <v>229</v>
      </c>
      <c r="B124" s="84" t="s">
        <v>230</v>
      </c>
      <c r="C124" s="57" t="s">
        <v>251</v>
      </c>
      <c r="D124" s="576">
        <v>423069</v>
      </c>
      <c r="E124" s="576">
        <v>388338</v>
      </c>
      <c r="F124" s="576">
        <v>34731</v>
      </c>
      <c r="G124" s="93">
        <f t="shared" si="4"/>
        <v>8.2092991923303285E-2</v>
      </c>
      <c r="H124" s="2184">
        <v>37062</v>
      </c>
      <c r="I124" s="2184">
        <v>30838</v>
      </c>
      <c r="J124" s="2184">
        <v>6224</v>
      </c>
      <c r="K124" s="93">
        <f t="shared" si="5"/>
        <v>0.16793481193675464</v>
      </c>
      <c r="L124" s="576">
        <v>65689</v>
      </c>
      <c r="M124" s="576">
        <v>57153</v>
      </c>
      <c r="N124" s="576">
        <v>8536</v>
      </c>
      <c r="O124" s="93">
        <f t="shared" si="6"/>
        <v>0.12994565300126354</v>
      </c>
      <c r="P124" s="2184">
        <v>77503</v>
      </c>
      <c r="Q124" s="2184">
        <v>69398</v>
      </c>
      <c r="R124" s="2184">
        <v>8105</v>
      </c>
      <c r="S124" s="93">
        <f t="shared" si="7"/>
        <v>0.10457659703495349</v>
      </c>
    </row>
    <row r="125" spans="1:19" x14ac:dyDescent="0.3">
      <c r="A125" s="56" t="s">
        <v>237</v>
      </c>
      <c r="B125" s="84" t="s">
        <v>238</v>
      </c>
      <c r="C125" s="57" t="s">
        <v>251</v>
      </c>
      <c r="D125" s="576">
        <v>10450</v>
      </c>
      <c r="E125" s="576">
        <v>9669</v>
      </c>
      <c r="F125" s="576">
        <v>781</v>
      </c>
      <c r="G125" s="93">
        <f t="shared" si="4"/>
        <v>7.4736842105263157E-2</v>
      </c>
      <c r="H125" s="2184">
        <v>2272</v>
      </c>
      <c r="I125" s="2184">
        <v>2089</v>
      </c>
      <c r="J125" s="2184">
        <v>183</v>
      </c>
      <c r="K125" s="93">
        <f t="shared" si="5"/>
        <v>8.0545774647887328E-2</v>
      </c>
      <c r="L125" s="576">
        <v>2175</v>
      </c>
      <c r="M125" s="576">
        <v>1745</v>
      </c>
      <c r="N125" s="576">
        <v>430</v>
      </c>
      <c r="O125" s="93">
        <f t="shared" si="6"/>
        <v>0.19770114942528735</v>
      </c>
      <c r="P125" s="2184">
        <v>1489</v>
      </c>
      <c r="Q125" s="2184">
        <v>1461</v>
      </c>
      <c r="R125" s="2184">
        <v>28</v>
      </c>
      <c r="S125" s="93">
        <f t="shared" si="7"/>
        <v>1.880456682337139E-2</v>
      </c>
    </row>
    <row r="126" spans="1:19" x14ac:dyDescent="0.3">
      <c r="A126" s="62" t="s">
        <v>239</v>
      </c>
      <c r="B126" s="86" t="s">
        <v>240</v>
      </c>
      <c r="C126" s="63" t="s">
        <v>254</v>
      </c>
      <c r="D126" s="89">
        <v>26738</v>
      </c>
      <c r="E126" s="89">
        <v>22533</v>
      </c>
      <c r="F126" s="89">
        <v>4205</v>
      </c>
      <c r="G126" s="93">
        <f t="shared" si="4"/>
        <v>0.15726681127982647</v>
      </c>
      <c r="H126" s="2184">
        <v>3351</v>
      </c>
      <c r="I126" s="2184">
        <v>2303</v>
      </c>
      <c r="J126" s="2184">
        <v>1048</v>
      </c>
      <c r="K126" s="93">
        <f t="shared" si="5"/>
        <v>0.31274246493584007</v>
      </c>
      <c r="L126" s="576">
        <v>7768</v>
      </c>
      <c r="M126" s="576">
        <v>5548</v>
      </c>
      <c r="N126" s="576">
        <v>2220</v>
      </c>
      <c r="O126" s="93">
        <f t="shared" si="6"/>
        <v>0.28578784757981462</v>
      </c>
      <c r="P126" s="2184">
        <v>4836</v>
      </c>
      <c r="Q126" s="2184">
        <v>4316</v>
      </c>
      <c r="R126" s="2184">
        <v>520</v>
      </c>
      <c r="S126" s="93">
        <f t="shared" si="7"/>
        <v>0.10752688172043011</v>
      </c>
    </row>
    <row r="127" spans="1:19" x14ac:dyDescent="0.3">
      <c r="A127" s="116"/>
      <c r="B127" s="90"/>
      <c r="C127" s="117"/>
      <c r="D127" s="89"/>
      <c r="E127" s="89"/>
      <c r="F127" s="89"/>
      <c r="G127" s="89"/>
      <c r="H127" s="89"/>
      <c r="I127" s="89"/>
      <c r="J127" s="89"/>
      <c r="K127" s="89"/>
      <c r="L127" s="89"/>
      <c r="M127" s="89"/>
      <c r="N127" s="89"/>
      <c r="O127" s="89"/>
      <c r="P127" s="89"/>
      <c r="Q127" s="89"/>
      <c r="R127" s="89"/>
      <c r="S127" s="89"/>
    </row>
    <row r="128" spans="1:19" x14ac:dyDescent="0.3">
      <c r="A128" s="116" t="s">
        <v>253</v>
      </c>
      <c r="B128" s="90"/>
      <c r="C128" s="117"/>
      <c r="D128" s="576">
        <v>1342430</v>
      </c>
      <c r="E128" s="576">
        <v>1222521</v>
      </c>
      <c r="F128" s="576">
        <v>119909</v>
      </c>
      <c r="G128" s="93">
        <f t="shared" si="4"/>
        <v>8.9322348278867425E-2</v>
      </c>
      <c r="H128" s="576">
        <v>174733</v>
      </c>
      <c r="I128" s="576">
        <v>146032</v>
      </c>
      <c r="J128" s="576">
        <v>28701</v>
      </c>
      <c r="K128" s="93">
        <f t="shared" si="5"/>
        <v>0.16425632250347674</v>
      </c>
      <c r="L128" s="576">
        <v>248586</v>
      </c>
      <c r="M128" s="576">
        <v>213146</v>
      </c>
      <c r="N128" s="576">
        <v>35440</v>
      </c>
      <c r="O128" s="93">
        <f t="shared" si="6"/>
        <v>0.14256635530560852</v>
      </c>
      <c r="P128" s="2184">
        <v>234456</v>
      </c>
      <c r="Q128" s="2184">
        <v>211279</v>
      </c>
      <c r="R128" s="2184">
        <v>23177</v>
      </c>
      <c r="S128" s="93">
        <f t="shared" si="7"/>
        <v>9.8854369263315936E-2</v>
      </c>
    </row>
    <row r="129" spans="1:19" x14ac:dyDescent="0.3">
      <c r="A129" s="116" t="s">
        <v>251</v>
      </c>
      <c r="B129" s="90"/>
      <c r="C129" s="117"/>
      <c r="D129" s="576">
        <v>1740198</v>
      </c>
      <c r="E129" s="576">
        <v>1579157</v>
      </c>
      <c r="F129" s="576">
        <v>161041</v>
      </c>
      <c r="G129" s="93">
        <f t="shared" si="4"/>
        <v>9.2541768235568603E-2</v>
      </c>
      <c r="H129" s="576">
        <v>239997</v>
      </c>
      <c r="I129" s="576">
        <v>200145</v>
      </c>
      <c r="J129" s="576">
        <v>39852</v>
      </c>
      <c r="K129" s="93">
        <f t="shared" si="5"/>
        <v>0.16605207565094562</v>
      </c>
      <c r="L129" s="576">
        <v>322121</v>
      </c>
      <c r="M129" s="576">
        <v>277350</v>
      </c>
      <c r="N129" s="576">
        <v>44771</v>
      </c>
      <c r="O129" s="93">
        <f t="shared" si="6"/>
        <v>0.1389881442066801</v>
      </c>
      <c r="P129" s="2184">
        <v>323395</v>
      </c>
      <c r="Q129" s="2184">
        <v>292264</v>
      </c>
      <c r="R129" s="2184">
        <v>31131</v>
      </c>
      <c r="S129" s="93">
        <f t="shared" si="7"/>
        <v>9.6263083844833716E-2</v>
      </c>
    </row>
    <row r="130" spans="1:19" x14ac:dyDescent="0.3">
      <c r="A130" s="116" t="s">
        <v>254</v>
      </c>
      <c r="B130" s="90"/>
      <c r="C130" s="117"/>
      <c r="D130" s="576">
        <v>3329085</v>
      </c>
      <c r="E130" s="576">
        <v>3022803</v>
      </c>
      <c r="F130" s="576">
        <v>306282</v>
      </c>
      <c r="G130" s="93">
        <f t="shared" si="4"/>
        <v>9.2001856365938384E-2</v>
      </c>
      <c r="H130" s="576">
        <v>215691</v>
      </c>
      <c r="I130" s="576">
        <v>172254</v>
      </c>
      <c r="J130" s="576">
        <v>43437</v>
      </c>
      <c r="K130" s="93">
        <f t="shared" si="5"/>
        <v>0.2013853151035509</v>
      </c>
      <c r="L130" s="576">
        <v>373005</v>
      </c>
      <c r="M130" s="576">
        <v>294092</v>
      </c>
      <c r="N130" s="576">
        <v>78913</v>
      </c>
      <c r="O130" s="93">
        <f t="shared" si="6"/>
        <v>0.21156016675379685</v>
      </c>
      <c r="P130" s="2184">
        <v>416480</v>
      </c>
      <c r="Q130" s="2184">
        <v>357089</v>
      </c>
      <c r="R130" s="2184">
        <v>59391</v>
      </c>
      <c r="S130" s="93">
        <f t="shared" si="7"/>
        <v>0.14260228582404919</v>
      </c>
    </row>
    <row r="131" spans="1:19" x14ac:dyDescent="0.3">
      <c r="A131" s="116" t="s">
        <v>252</v>
      </c>
      <c r="B131" s="90"/>
      <c r="C131" s="117"/>
      <c r="D131" s="576">
        <v>1123274</v>
      </c>
      <c r="E131" s="576">
        <v>1018553</v>
      </c>
      <c r="F131" s="576">
        <v>104721</v>
      </c>
      <c r="G131" s="93">
        <f t="shared" si="4"/>
        <v>9.3228366364751611E-2</v>
      </c>
      <c r="H131" s="576">
        <v>194316</v>
      </c>
      <c r="I131" s="576">
        <v>163621</v>
      </c>
      <c r="J131" s="576">
        <v>30695</v>
      </c>
      <c r="K131" s="93">
        <f t="shared" si="5"/>
        <v>0.15796434673418555</v>
      </c>
      <c r="L131" s="576">
        <v>254507</v>
      </c>
      <c r="M131" s="576">
        <v>222066</v>
      </c>
      <c r="N131" s="576">
        <v>32441</v>
      </c>
      <c r="O131" s="93">
        <f t="shared" si="6"/>
        <v>0.12746604219137392</v>
      </c>
      <c r="P131" s="2184">
        <v>221610</v>
      </c>
      <c r="Q131" s="2184">
        <v>201115</v>
      </c>
      <c r="R131" s="2184">
        <v>20495</v>
      </c>
      <c r="S131" s="93">
        <f t="shared" si="7"/>
        <v>9.2482288705383331E-2</v>
      </c>
    </row>
    <row r="132" spans="1:19" x14ac:dyDescent="0.3">
      <c r="A132" s="116" t="s">
        <v>255</v>
      </c>
      <c r="B132" s="90"/>
      <c r="C132" s="117"/>
      <c r="D132" s="576">
        <v>557296</v>
      </c>
      <c r="E132" s="576">
        <v>502839</v>
      </c>
      <c r="F132" s="576">
        <v>54457</v>
      </c>
      <c r="G132" s="93">
        <f t="shared" si="4"/>
        <v>9.7716473830782927E-2</v>
      </c>
      <c r="H132" s="576">
        <v>131764</v>
      </c>
      <c r="I132" s="576">
        <v>113256</v>
      </c>
      <c r="J132" s="576">
        <v>18508</v>
      </c>
      <c r="K132" s="93">
        <f t="shared" si="5"/>
        <v>0.14046325248170971</v>
      </c>
      <c r="L132" s="576">
        <v>135327</v>
      </c>
      <c r="M132" s="576">
        <v>117932</v>
      </c>
      <c r="N132" s="576">
        <v>17395</v>
      </c>
      <c r="O132" s="93">
        <f t="shared" si="6"/>
        <v>0.12854049820065472</v>
      </c>
      <c r="P132" s="2184">
        <v>111156</v>
      </c>
      <c r="Q132" s="2184">
        <v>101301</v>
      </c>
      <c r="R132" s="2184">
        <v>9855</v>
      </c>
      <c r="S132" s="93">
        <f t="shared" si="7"/>
        <v>8.8659181690597E-2</v>
      </c>
    </row>
    <row r="133" spans="1:19" x14ac:dyDescent="0.3">
      <c r="A133" s="116"/>
      <c r="B133" s="90"/>
      <c r="C133" s="117"/>
    </row>
    <row r="134" spans="1:19" x14ac:dyDescent="0.3">
      <c r="A134" s="772" t="s">
        <v>995</v>
      </c>
      <c r="B134"/>
      <c r="C134"/>
    </row>
    <row r="135" spans="1:19" x14ac:dyDescent="0.3">
      <c r="A135" s="81" t="s">
        <v>247</v>
      </c>
      <c r="B135" s="81"/>
      <c r="C135" s="81"/>
    </row>
    <row r="136" spans="1:19" x14ac:dyDescent="0.3">
      <c r="A136" s="87" t="s">
        <v>248</v>
      </c>
      <c r="B136" s="71" t="s">
        <v>249</v>
      </c>
      <c r="C136" s="81"/>
    </row>
  </sheetData>
  <mergeCells count="3">
    <mergeCell ref="A4:A5"/>
    <mergeCell ref="B4:B5"/>
    <mergeCell ref="C4:C5"/>
  </mergeCells>
  <hyperlinks>
    <hyperlink ref="B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7" activePane="bottomLeft" state="frozen"/>
      <selection pane="bottomLeft" sqref="A1:C1048576"/>
    </sheetView>
  </sheetViews>
  <sheetFormatPr defaultColWidth="9" defaultRowHeight="15.6" x14ac:dyDescent="0.3"/>
  <cols>
    <col min="1" max="1" width="7.69921875" style="41" customWidth="1"/>
    <col min="2" max="2" width="28.59765625" style="65" customWidth="1"/>
    <col min="3" max="3" width="10" style="65" customWidth="1"/>
    <col min="4" max="4" width="8.296875" style="65" customWidth="1"/>
    <col min="5" max="7" width="8.296875" style="64" customWidth="1"/>
    <col min="8" max="11" width="6.796875" style="41" customWidth="1"/>
    <col min="12" max="15" width="6.796875" style="42" customWidth="1"/>
    <col min="16" max="16384" width="9" style="41"/>
  </cols>
  <sheetData>
    <row r="1" spans="1:15" x14ac:dyDescent="0.3">
      <c r="A1" s="145" t="s">
        <v>894</v>
      </c>
      <c r="B1" s="145"/>
      <c r="C1" s="145"/>
      <c r="D1" s="145"/>
      <c r="E1" s="145"/>
      <c r="F1" s="145"/>
      <c r="G1" s="145"/>
      <c r="H1" s="145"/>
      <c r="I1" s="146"/>
      <c r="J1" s="146"/>
      <c r="K1" s="146"/>
      <c r="L1" s="146"/>
      <c r="M1" s="146"/>
      <c r="N1" s="146"/>
      <c r="O1" s="146"/>
    </row>
    <row r="2" spans="1:15" x14ac:dyDescent="0.3">
      <c r="A2" s="31"/>
      <c r="B2" s="43"/>
      <c r="C2" s="43"/>
      <c r="D2" s="43"/>
      <c r="E2" s="2523"/>
      <c r="F2" s="2523"/>
      <c r="G2" s="2523"/>
    </row>
    <row r="3" spans="1:15" s="49" customFormat="1" ht="15.75" customHeight="1" x14ac:dyDescent="0.3">
      <c r="A3" s="44"/>
      <c r="B3" s="45"/>
      <c r="C3" s="45"/>
      <c r="D3" s="46" t="s">
        <v>417</v>
      </c>
      <c r="E3" s="47"/>
      <c r="F3" s="47"/>
      <c r="G3" s="48"/>
      <c r="H3" s="2520" t="s">
        <v>418</v>
      </c>
      <c r="I3" s="2521"/>
      <c r="J3" s="2521"/>
      <c r="K3" s="2521"/>
      <c r="L3" s="2521"/>
      <c r="M3" s="2521"/>
      <c r="N3" s="2521"/>
      <c r="O3" s="2521"/>
    </row>
    <row r="4" spans="1:15" s="49" customFormat="1" ht="24.75" customHeight="1" x14ac:dyDescent="0.3">
      <c r="A4" s="2524" t="s">
        <v>4</v>
      </c>
      <c r="B4" s="2526" t="s">
        <v>5</v>
      </c>
      <c r="C4" s="2526" t="s">
        <v>250</v>
      </c>
      <c r="D4" s="2520" t="s">
        <v>419</v>
      </c>
      <c r="E4" s="2521"/>
      <c r="F4" s="2521"/>
      <c r="G4" s="2522"/>
      <c r="H4" s="2520" t="s">
        <v>420</v>
      </c>
      <c r="I4" s="2521"/>
      <c r="J4" s="2521"/>
      <c r="K4" s="2522"/>
      <c r="L4" s="2520" t="s">
        <v>421</v>
      </c>
      <c r="M4" s="2521"/>
      <c r="N4" s="2521"/>
      <c r="O4" s="2522"/>
    </row>
    <row r="5" spans="1:15" s="49" customFormat="1" ht="15" customHeight="1" x14ac:dyDescent="0.3">
      <c r="A5" s="2525"/>
      <c r="B5" s="2527"/>
      <c r="C5" s="2527"/>
      <c r="D5" s="50" t="s">
        <v>422</v>
      </c>
      <c r="E5" s="51" t="s">
        <v>385</v>
      </c>
      <c r="F5" s="51" t="s">
        <v>386</v>
      </c>
      <c r="G5" s="130" t="s">
        <v>423</v>
      </c>
      <c r="H5" s="50" t="s">
        <v>422</v>
      </c>
      <c r="I5" s="51" t="s">
        <v>385</v>
      </c>
      <c r="J5" s="51" t="s">
        <v>386</v>
      </c>
      <c r="K5" s="130" t="s">
        <v>423</v>
      </c>
      <c r="L5" s="50" t="s">
        <v>422</v>
      </c>
      <c r="M5" s="51" t="s">
        <v>385</v>
      </c>
      <c r="N5" s="51" t="s">
        <v>386</v>
      </c>
      <c r="O5" s="52" t="s">
        <v>423</v>
      </c>
    </row>
    <row r="6" spans="1:15" s="49" customFormat="1" ht="15.75" customHeight="1" x14ac:dyDescent="0.3">
      <c r="A6" s="53" t="s">
        <v>7</v>
      </c>
      <c r="B6" s="54" t="s">
        <v>8</v>
      </c>
      <c r="C6" s="55"/>
      <c r="D6" s="131">
        <v>97434</v>
      </c>
      <c r="E6" s="132">
        <v>60094</v>
      </c>
      <c r="F6" s="132">
        <v>21293</v>
      </c>
      <c r="G6" s="133">
        <v>16047</v>
      </c>
      <c r="H6" s="1644">
        <v>34196</v>
      </c>
      <c r="I6" s="692">
        <v>15686</v>
      </c>
      <c r="J6" s="692">
        <v>13641</v>
      </c>
      <c r="K6" s="1645">
        <v>4869</v>
      </c>
      <c r="L6" s="120">
        <f>(H6/D6)</f>
        <v>0.35096578196522776</v>
      </c>
      <c r="M6" s="120">
        <f>(I6/E6)</f>
        <v>0.26102439511432091</v>
      </c>
      <c r="N6" s="120">
        <f>(J6/F6)</f>
        <v>0.64063307190156393</v>
      </c>
      <c r="O6" s="120">
        <f>(K6/G6)</f>
        <v>0.30342120022434099</v>
      </c>
    </row>
    <row r="7" spans="1:15" s="49" customFormat="1" ht="15.75" customHeight="1" x14ac:dyDescent="0.3">
      <c r="A7" s="56" t="s">
        <v>9</v>
      </c>
      <c r="B7" s="83" t="s">
        <v>10</v>
      </c>
      <c r="C7" s="57" t="s">
        <v>251</v>
      </c>
      <c r="D7" s="681">
        <v>340</v>
      </c>
      <c r="E7" s="682">
        <v>185</v>
      </c>
      <c r="F7" s="683">
        <v>145</v>
      </c>
      <c r="G7" s="680">
        <v>10</v>
      </c>
      <c r="H7" s="681">
        <v>190</v>
      </c>
      <c r="I7" s="682">
        <v>69</v>
      </c>
      <c r="J7" s="683">
        <v>113</v>
      </c>
      <c r="K7" s="680">
        <v>8</v>
      </c>
      <c r="L7" s="121">
        <f t="shared" ref="L7:L38" si="0">IF(D7=0,"NA",(H7/D7))</f>
        <v>0.55882352941176472</v>
      </c>
      <c r="M7" s="122">
        <f t="shared" ref="M7:M38" si="1">IF(E7=0,"NA",(I7/E7))</f>
        <v>0.37297297297297299</v>
      </c>
      <c r="N7" s="122">
        <f t="shared" ref="N7:N38" si="2">IF(F7=0,"NA",(J7/F7))</f>
        <v>0.77931034482758621</v>
      </c>
      <c r="O7" s="123">
        <f t="shared" ref="O7:O38" si="3">IF(G7=0,"NA",(K7/G7))</f>
        <v>0.8</v>
      </c>
    </row>
    <row r="8" spans="1:15" s="49" customFormat="1" ht="15.75" customHeight="1" x14ac:dyDescent="0.3">
      <c r="A8" s="56" t="s">
        <v>11</v>
      </c>
      <c r="B8" s="84" t="s">
        <v>12</v>
      </c>
      <c r="C8" s="57" t="s">
        <v>252</v>
      </c>
      <c r="D8" s="681">
        <v>1026</v>
      </c>
      <c r="E8" s="682">
        <v>817</v>
      </c>
      <c r="F8" s="683">
        <v>107</v>
      </c>
      <c r="G8" s="680">
        <v>102</v>
      </c>
      <c r="H8" s="681">
        <v>263</v>
      </c>
      <c r="I8" s="682">
        <v>185</v>
      </c>
      <c r="J8" s="683">
        <v>66</v>
      </c>
      <c r="K8" s="680">
        <v>12</v>
      </c>
      <c r="L8" s="121">
        <f t="shared" si="0"/>
        <v>0.25633528265107214</v>
      </c>
      <c r="M8" s="122">
        <f t="shared" si="1"/>
        <v>0.22643818849449204</v>
      </c>
      <c r="N8" s="122">
        <f t="shared" si="2"/>
        <v>0.61682242990654201</v>
      </c>
      <c r="O8" s="123">
        <f t="shared" si="3"/>
        <v>0.11764705882352941</v>
      </c>
    </row>
    <row r="9" spans="1:15" s="49" customFormat="1" ht="15.75" customHeight="1" x14ac:dyDescent="0.3">
      <c r="A9" s="56" t="s">
        <v>15</v>
      </c>
      <c r="B9" s="84" t="s">
        <v>273</v>
      </c>
      <c r="C9" s="57" t="s">
        <v>252</v>
      </c>
      <c r="D9" s="681">
        <v>192</v>
      </c>
      <c r="E9" s="682">
        <v>174</v>
      </c>
      <c r="F9" s="683">
        <v>15</v>
      </c>
      <c r="G9" s="680">
        <v>3</v>
      </c>
      <c r="H9" s="681">
        <v>94</v>
      </c>
      <c r="I9" s="682">
        <v>82</v>
      </c>
      <c r="J9" s="683">
        <v>11</v>
      </c>
      <c r="K9" s="680">
        <v>1</v>
      </c>
      <c r="L9" s="121">
        <f t="shared" si="0"/>
        <v>0.48958333333333331</v>
      </c>
      <c r="M9" s="122">
        <f t="shared" si="1"/>
        <v>0.47126436781609193</v>
      </c>
      <c r="N9" s="122">
        <f t="shared" si="2"/>
        <v>0.73333333333333328</v>
      </c>
      <c r="O9" s="123">
        <f t="shared" si="3"/>
        <v>0.33333333333333331</v>
      </c>
    </row>
    <row r="10" spans="1:15" s="49" customFormat="1" ht="15.75" customHeight="1" x14ac:dyDescent="0.3">
      <c r="A10" s="56" t="s">
        <v>17</v>
      </c>
      <c r="B10" s="84" t="s">
        <v>18</v>
      </c>
      <c r="C10" s="57" t="s">
        <v>253</v>
      </c>
      <c r="D10" s="681">
        <v>117</v>
      </c>
      <c r="E10" s="682">
        <v>98</v>
      </c>
      <c r="F10" s="683">
        <v>19</v>
      </c>
      <c r="G10" s="680">
        <v>0</v>
      </c>
      <c r="H10" s="681">
        <v>51</v>
      </c>
      <c r="I10" s="682">
        <v>35</v>
      </c>
      <c r="J10" s="683">
        <v>16</v>
      </c>
      <c r="K10" s="680">
        <v>0</v>
      </c>
      <c r="L10" s="121">
        <f t="shared" si="0"/>
        <v>0.4358974358974359</v>
      </c>
      <c r="M10" s="122">
        <f t="shared" si="1"/>
        <v>0.35714285714285715</v>
      </c>
      <c r="N10" s="122">
        <f t="shared" si="2"/>
        <v>0.84210526315789469</v>
      </c>
      <c r="O10" s="123" t="str">
        <f t="shared" si="3"/>
        <v>NA</v>
      </c>
    </row>
    <row r="11" spans="1:15" s="49" customFormat="1" ht="13.5" customHeight="1" x14ac:dyDescent="0.3">
      <c r="A11" s="56" t="s">
        <v>19</v>
      </c>
      <c r="B11" s="84" t="s">
        <v>20</v>
      </c>
      <c r="C11" s="57" t="s">
        <v>252</v>
      </c>
      <c r="D11" s="681">
        <v>297</v>
      </c>
      <c r="E11" s="682">
        <v>239</v>
      </c>
      <c r="F11" s="683">
        <v>56</v>
      </c>
      <c r="G11" s="680">
        <v>2</v>
      </c>
      <c r="H11" s="681">
        <v>115</v>
      </c>
      <c r="I11" s="682">
        <v>80</v>
      </c>
      <c r="J11" s="683">
        <v>35</v>
      </c>
      <c r="K11" s="680">
        <v>0</v>
      </c>
      <c r="L11" s="121">
        <f t="shared" si="0"/>
        <v>0.38720538720538722</v>
      </c>
      <c r="M11" s="122">
        <f t="shared" si="1"/>
        <v>0.33472803347280333</v>
      </c>
      <c r="N11" s="122">
        <f t="shared" si="2"/>
        <v>0.625</v>
      </c>
      <c r="O11" s="123">
        <f t="shared" si="3"/>
        <v>0</v>
      </c>
    </row>
    <row r="12" spans="1:15" s="49" customFormat="1" ht="13.5" customHeight="1" x14ac:dyDescent="0.3">
      <c r="A12" s="56" t="s">
        <v>21</v>
      </c>
      <c r="B12" s="84" t="s">
        <v>22</v>
      </c>
      <c r="C12" s="57" t="s">
        <v>252</v>
      </c>
      <c r="D12" s="681">
        <v>203</v>
      </c>
      <c r="E12" s="682">
        <v>161</v>
      </c>
      <c r="F12" s="683">
        <v>38</v>
      </c>
      <c r="G12" s="680">
        <v>4</v>
      </c>
      <c r="H12" s="681">
        <v>88</v>
      </c>
      <c r="I12" s="682">
        <v>53</v>
      </c>
      <c r="J12" s="683">
        <v>32</v>
      </c>
      <c r="K12" s="680">
        <v>3</v>
      </c>
      <c r="L12" s="121">
        <f t="shared" si="0"/>
        <v>0.43349753694581283</v>
      </c>
      <c r="M12" s="122">
        <f t="shared" si="1"/>
        <v>0.32919254658385094</v>
      </c>
      <c r="N12" s="122">
        <f t="shared" si="2"/>
        <v>0.84210526315789469</v>
      </c>
      <c r="O12" s="123">
        <f t="shared" si="3"/>
        <v>0.75</v>
      </c>
    </row>
    <row r="13" spans="1:15" s="49" customFormat="1" ht="13.5" customHeight="1" x14ac:dyDescent="0.3">
      <c r="A13" s="56" t="s">
        <v>23</v>
      </c>
      <c r="B13" s="84" t="s">
        <v>24</v>
      </c>
      <c r="C13" s="57" t="s">
        <v>254</v>
      </c>
      <c r="D13" s="681">
        <v>2652</v>
      </c>
      <c r="E13" s="682">
        <v>1849</v>
      </c>
      <c r="F13" s="683">
        <v>224</v>
      </c>
      <c r="G13" s="680">
        <v>579</v>
      </c>
      <c r="H13" s="681">
        <v>436</v>
      </c>
      <c r="I13" s="682">
        <v>249</v>
      </c>
      <c r="J13" s="683">
        <v>96</v>
      </c>
      <c r="K13" s="680">
        <v>91</v>
      </c>
      <c r="L13" s="121">
        <f t="shared" si="0"/>
        <v>0.16440422322775264</v>
      </c>
      <c r="M13" s="122">
        <f t="shared" si="1"/>
        <v>0.13466738777717685</v>
      </c>
      <c r="N13" s="122">
        <f t="shared" si="2"/>
        <v>0.42857142857142855</v>
      </c>
      <c r="O13" s="123">
        <f t="shared" si="3"/>
        <v>0.15716753022452504</v>
      </c>
    </row>
    <row r="14" spans="1:15" s="49" customFormat="1" ht="13.5" customHeight="1" x14ac:dyDescent="0.3">
      <c r="A14" s="56" t="s">
        <v>25</v>
      </c>
      <c r="B14" s="84" t="s">
        <v>274</v>
      </c>
      <c r="C14" s="57" t="s">
        <v>252</v>
      </c>
      <c r="D14" s="681">
        <v>1199</v>
      </c>
      <c r="E14" s="682">
        <v>1077</v>
      </c>
      <c r="F14" s="683">
        <v>95</v>
      </c>
      <c r="G14" s="680">
        <v>27</v>
      </c>
      <c r="H14" s="681">
        <v>485</v>
      </c>
      <c r="I14" s="682">
        <v>411</v>
      </c>
      <c r="J14" s="683">
        <v>68</v>
      </c>
      <c r="K14" s="680">
        <v>6</v>
      </c>
      <c r="L14" s="121">
        <f t="shared" si="0"/>
        <v>0.40450375312760634</v>
      </c>
      <c r="M14" s="122">
        <f t="shared" si="1"/>
        <v>0.38161559888579388</v>
      </c>
      <c r="N14" s="122">
        <f t="shared" si="2"/>
        <v>0.71578947368421053</v>
      </c>
      <c r="O14" s="123">
        <f t="shared" si="3"/>
        <v>0.22222222222222221</v>
      </c>
    </row>
    <row r="15" spans="1:15" s="49" customFormat="1" ht="13.5" customHeight="1" x14ac:dyDescent="0.3">
      <c r="A15" s="56" t="s">
        <v>26</v>
      </c>
      <c r="B15" s="84" t="s">
        <v>27</v>
      </c>
      <c r="C15" s="57" t="s">
        <v>252</v>
      </c>
      <c r="D15" s="681">
        <v>46</v>
      </c>
      <c r="E15" s="682">
        <v>45</v>
      </c>
      <c r="F15" s="683">
        <v>1</v>
      </c>
      <c r="G15" s="680">
        <v>0</v>
      </c>
      <c r="H15" s="681">
        <v>14</v>
      </c>
      <c r="I15" s="682">
        <v>14</v>
      </c>
      <c r="J15" s="683">
        <v>0</v>
      </c>
      <c r="K15" s="680">
        <v>0</v>
      </c>
      <c r="L15" s="121">
        <f t="shared" si="0"/>
        <v>0.30434782608695654</v>
      </c>
      <c r="M15" s="122">
        <f t="shared" si="1"/>
        <v>0.31111111111111112</v>
      </c>
      <c r="N15" s="122">
        <f t="shared" si="2"/>
        <v>0</v>
      </c>
      <c r="O15" s="123" t="str">
        <f t="shared" si="3"/>
        <v>NA</v>
      </c>
    </row>
    <row r="16" spans="1:15" s="49" customFormat="1" ht="13.5" customHeight="1" x14ac:dyDescent="0.3">
      <c r="A16" s="56" t="s">
        <v>28</v>
      </c>
      <c r="B16" s="84" t="s">
        <v>568</v>
      </c>
      <c r="C16" s="57" t="s">
        <v>252</v>
      </c>
      <c r="D16" s="681">
        <v>646</v>
      </c>
      <c r="E16" s="682">
        <v>587</v>
      </c>
      <c r="F16" s="683">
        <v>48</v>
      </c>
      <c r="G16" s="680">
        <v>11</v>
      </c>
      <c r="H16" s="681">
        <v>212</v>
      </c>
      <c r="I16" s="682">
        <v>178</v>
      </c>
      <c r="J16" s="683">
        <v>32</v>
      </c>
      <c r="K16" s="680">
        <v>2</v>
      </c>
      <c r="L16" s="121">
        <f t="shared" si="0"/>
        <v>0.32817337461300311</v>
      </c>
      <c r="M16" s="122">
        <f t="shared" si="1"/>
        <v>0.30323679727427599</v>
      </c>
      <c r="N16" s="122">
        <f t="shared" si="2"/>
        <v>0.66666666666666663</v>
      </c>
      <c r="O16" s="123">
        <f t="shared" si="3"/>
        <v>0.18181818181818182</v>
      </c>
    </row>
    <row r="17" spans="1:15" s="49" customFormat="1" ht="13.5" customHeight="1" x14ac:dyDescent="0.3">
      <c r="A17" s="56" t="s">
        <v>29</v>
      </c>
      <c r="B17" s="84" t="s">
        <v>30</v>
      </c>
      <c r="C17" s="57" t="s">
        <v>255</v>
      </c>
      <c r="D17" s="681">
        <v>52</v>
      </c>
      <c r="E17" s="682">
        <v>51</v>
      </c>
      <c r="F17" s="683">
        <v>1</v>
      </c>
      <c r="G17" s="680">
        <v>0</v>
      </c>
      <c r="H17" s="681">
        <v>18</v>
      </c>
      <c r="I17" s="682">
        <v>17</v>
      </c>
      <c r="J17" s="683">
        <v>1</v>
      </c>
      <c r="K17" s="680">
        <v>0</v>
      </c>
      <c r="L17" s="121">
        <f t="shared" si="0"/>
        <v>0.34615384615384615</v>
      </c>
      <c r="M17" s="122">
        <f t="shared" si="1"/>
        <v>0.33333333333333331</v>
      </c>
      <c r="N17" s="122">
        <f t="shared" si="2"/>
        <v>1</v>
      </c>
      <c r="O17" s="123" t="str">
        <f t="shared" si="3"/>
        <v>NA</v>
      </c>
    </row>
    <row r="18" spans="1:15" s="49" customFormat="1" ht="13.5" customHeight="1" x14ac:dyDescent="0.3">
      <c r="A18" s="56" t="s">
        <v>31</v>
      </c>
      <c r="B18" s="84" t="s">
        <v>32</v>
      </c>
      <c r="C18" s="57" t="s">
        <v>252</v>
      </c>
      <c r="D18" s="681">
        <v>232</v>
      </c>
      <c r="E18" s="682">
        <v>227</v>
      </c>
      <c r="F18" s="683">
        <v>3</v>
      </c>
      <c r="G18" s="680">
        <v>2</v>
      </c>
      <c r="H18" s="681">
        <v>58</v>
      </c>
      <c r="I18" s="682">
        <v>57</v>
      </c>
      <c r="J18" s="683">
        <v>1</v>
      </c>
      <c r="K18" s="680">
        <v>0</v>
      </c>
      <c r="L18" s="121">
        <f t="shared" si="0"/>
        <v>0.25</v>
      </c>
      <c r="M18" s="122">
        <f t="shared" si="1"/>
        <v>0.25110132158590309</v>
      </c>
      <c r="N18" s="122">
        <f t="shared" si="2"/>
        <v>0.33333333333333331</v>
      </c>
      <c r="O18" s="123">
        <f t="shared" si="3"/>
        <v>0</v>
      </c>
    </row>
    <row r="19" spans="1:15" s="49" customFormat="1" ht="13.5" customHeight="1" x14ac:dyDescent="0.3">
      <c r="A19" s="56" t="s">
        <v>35</v>
      </c>
      <c r="B19" s="84" t="s">
        <v>36</v>
      </c>
      <c r="C19" s="57" t="s">
        <v>251</v>
      </c>
      <c r="D19" s="681">
        <v>116</v>
      </c>
      <c r="E19" s="682">
        <v>44</v>
      </c>
      <c r="F19" s="683">
        <v>69</v>
      </c>
      <c r="G19" s="680">
        <v>3</v>
      </c>
      <c r="H19" s="681">
        <v>88</v>
      </c>
      <c r="I19" s="682">
        <v>27</v>
      </c>
      <c r="J19" s="683">
        <v>60</v>
      </c>
      <c r="K19" s="680">
        <v>1</v>
      </c>
      <c r="L19" s="121">
        <f t="shared" si="0"/>
        <v>0.75862068965517238</v>
      </c>
      <c r="M19" s="122">
        <f t="shared" si="1"/>
        <v>0.61363636363636365</v>
      </c>
      <c r="N19" s="122">
        <f t="shared" si="2"/>
        <v>0.86956521739130432</v>
      </c>
      <c r="O19" s="123">
        <f t="shared" si="3"/>
        <v>0.33333333333333331</v>
      </c>
    </row>
    <row r="20" spans="1:15" s="49" customFormat="1" ht="13.5" customHeight="1" x14ac:dyDescent="0.3">
      <c r="A20" s="56" t="s">
        <v>37</v>
      </c>
      <c r="B20" s="84" t="s">
        <v>38</v>
      </c>
      <c r="C20" s="57" t="s">
        <v>255</v>
      </c>
      <c r="D20" s="681">
        <v>173</v>
      </c>
      <c r="E20" s="682">
        <v>170</v>
      </c>
      <c r="F20" s="683">
        <v>0</v>
      </c>
      <c r="G20" s="680">
        <v>3</v>
      </c>
      <c r="H20" s="681">
        <v>72</v>
      </c>
      <c r="I20" s="682">
        <v>72</v>
      </c>
      <c r="J20" s="683">
        <v>0</v>
      </c>
      <c r="K20" s="680">
        <v>0</v>
      </c>
      <c r="L20" s="121">
        <f t="shared" si="0"/>
        <v>0.41618497109826591</v>
      </c>
      <c r="M20" s="122">
        <f t="shared" si="1"/>
        <v>0.42352941176470588</v>
      </c>
      <c r="N20" s="122" t="str">
        <f t="shared" si="2"/>
        <v>NA</v>
      </c>
      <c r="O20" s="123">
        <f t="shared" si="3"/>
        <v>0</v>
      </c>
    </row>
    <row r="21" spans="1:15" s="49" customFormat="1" ht="13.5" customHeight="1" x14ac:dyDescent="0.3">
      <c r="A21" s="56" t="s">
        <v>39</v>
      </c>
      <c r="B21" s="84" t="s">
        <v>40</v>
      </c>
      <c r="C21" s="57" t="s">
        <v>253</v>
      </c>
      <c r="D21" s="681">
        <v>148</v>
      </c>
      <c r="E21" s="682">
        <v>103</v>
      </c>
      <c r="F21" s="683">
        <v>44</v>
      </c>
      <c r="G21" s="680">
        <v>1</v>
      </c>
      <c r="H21" s="681">
        <v>69</v>
      </c>
      <c r="I21" s="682">
        <v>33</v>
      </c>
      <c r="J21" s="683">
        <v>35</v>
      </c>
      <c r="K21" s="680">
        <v>1</v>
      </c>
      <c r="L21" s="121">
        <f t="shared" si="0"/>
        <v>0.46621621621621623</v>
      </c>
      <c r="M21" s="122">
        <f t="shared" si="1"/>
        <v>0.32038834951456313</v>
      </c>
      <c r="N21" s="122">
        <f t="shared" si="2"/>
        <v>0.79545454545454541</v>
      </c>
      <c r="O21" s="123">
        <f t="shared" si="3"/>
        <v>1</v>
      </c>
    </row>
    <row r="22" spans="1:15" s="49" customFormat="1" ht="13.5" customHeight="1" x14ac:dyDescent="0.3">
      <c r="A22" s="56" t="s">
        <v>41</v>
      </c>
      <c r="B22" s="84" t="s">
        <v>42</v>
      </c>
      <c r="C22" s="57" t="s">
        <v>252</v>
      </c>
      <c r="D22" s="681">
        <v>501</v>
      </c>
      <c r="E22" s="682">
        <v>426</v>
      </c>
      <c r="F22" s="683">
        <v>68</v>
      </c>
      <c r="G22" s="680">
        <v>7</v>
      </c>
      <c r="H22" s="681">
        <v>200</v>
      </c>
      <c r="I22" s="682">
        <v>149</v>
      </c>
      <c r="J22" s="683">
        <v>50</v>
      </c>
      <c r="K22" s="680">
        <v>1</v>
      </c>
      <c r="L22" s="121">
        <f t="shared" si="0"/>
        <v>0.39920159680638723</v>
      </c>
      <c r="M22" s="122">
        <f t="shared" si="1"/>
        <v>0.34976525821596244</v>
      </c>
      <c r="N22" s="122">
        <f t="shared" si="2"/>
        <v>0.73529411764705888</v>
      </c>
      <c r="O22" s="123">
        <f t="shared" si="3"/>
        <v>0.14285714285714285</v>
      </c>
    </row>
    <row r="23" spans="1:15" s="49" customFormat="1" ht="13.5" customHeight="1" x14ac:dyDescent="0.3">
      <c r="A23" s="56" t="s">
        <v>43</v>
      </c>
      <c r="B23" s="84" t="s">
        <v>44</v>
      </c>
      <c r="C23" s="57" t="s">
        <v>253</v>
      </c>
      <c r="D23" s="681">
        <v>323</v>
      </c>
      <c r="E23" s="682">
        <v>242</v>
      </c>
      <c r="F23" s="683">
        <v>63</v>
      </c>
      <c r="G23" s="680">
        <v>18</v>
      </c>
      <c r="H23" s="681">
        <v>129</v>
      </c>
      <c r="I23" s="682">
        <v>83</v>
      </c>
      <c r="J23" s="683">
        <v>38</v>
      </c>
      <c r="K23" s="680">
        <v>8</v>
      </c>
      <c r="L23" s="121">
        <f t="shared" si="0"/>
        <v>0.39938080495356038</v>
      </c>
      <c r="M23" s="122">
        <f t="shared" si="1"/>
        <v>0.34297520661157027</v>
      </c>
      <c r="N23" s="122">
        <f t="shared" si="2"/>
        <v>0.60317460317460314</v>
      </c>
      <c r="O23" s="123">
        <f t="shared" si="3"/>
        <v>0.44444444444444442</v>
      </c>
    </row>
    <row r="24" spans="1:15" s="49" customFormat="1" ht="13.5" customHeight="1" x14ac:dyDescent="0.3">
      <c r="A24" s="56" t="s">
        <v>45</v>
      </c>
      <c r="B24" s="84" t="s">
        <v>46</v>
      </c>
      <c r="C24" s="57" t="s">
        <v>255</v>
      </c>
      <c r="D24" s="681">
        <v>251</v>
      </c>
      <c r="E24" s="682">
        <v>230</v>
      </c>
      <c r="F24" s="683">
        <v>4</v>
      </c>
      <c r="G24" s="680">
        <v>17</v>
      </c>
      <c r="H24" s="681">
        <v>98</v>
      </c>
      <c r="I24" s="682">
        <v>86</v>
      </c>
      <c r="J24" s="683">
        <v>3</v>
      </c>
      <c r="K24" s="680">
        <v>9</v>
      </c>
      <c r="L24" s="121">
        <f t="shared" si="0"/>
        <v>0.39043824701195218</v>
      </c>
      <c r="M24" s="122">
        <f t="shared" si="1"/>
        <v>0.37391304347826088</v>
      </c>
      <c r="N24" s="122">
        <f t="shared" si="2"/>
        <v>0.75</v>
      </c>
      <c r="O24" s="123">
        <f t="shared" si="3"/>
        <v>0.52941176470588236</v>
      </c>
    </row>
    <row r="25" spans="1:15" s="49" customFormat="1" ht="13.5" customHeight="1" x14ac:dyDescent="0.3">
      <c r="A25" s="56" t="s">
        <v>47</v>
      </c>
      <c r="B25" s="84" t="s">
        <v>256</v>
      </c>
      <c r="C25" s="57" t="s">
        <v>253</v>
      </c>
      <c r="D25" s="681">
        <v>46</v>
      </c>
      <c r="E25" s="682">
        <v>28</v>
      </c>
      <c r="F25" s="683">
        <v>16</v>
      </c>
      <c r="G25" s="680">
        <v>2</v>
      </c>
      <c r="H25" s="681">
        <v>25</v>
      </c>
      <c r="I25" s="682">
        <v>12</v>
      </c>
      <c r="J25" s="683">
        <v>12</v>
      </c>
      <c r="K25" s="680">
        <v>1</v>
      </c>
      <c r="L25" s="121">
        <f t="shared" si="0"/>
        <v>0.54347826086956519</v>
      </c>
      <c r="M25" s="122">
        <f t="shared" si="1"/>
        <v>0.42857142857142855</v>
      </c>
      <c r="N25" s="122">
        <f t="shared" si="2"/>
        <v>0.75</v>
      </c>
      <c r="O25" s="123">
        <f t="shared" si="3"/>
        <v>0.5</v>
      </c>
    </row>
    <row r="26" spans="1:15" s="49" customFormat="1" ht="13.5" customHeight="1" x14ac:dyDescent="0.3">
      <c r="A26" s="56" t="s">
        <v>49</v>
      </c>
      <c r="B26" s="84" t="s">
        <v>50</v>
      </c>
      <c r="C26" s="57" t="s">
        <v>252</v>
      </c>
      <c r="D26" s="681">
        <v>126</v>
      </c>
      <c r="E26" s="682">
        <v>92</v>
      </c>
      <c r="F26" s="683">
        <v>31</v>
      </c>
      <c r="G26" s="680">
        <v>3</v>
      </c>
      <c r="H26" s="681">
        <v>50</v>
      </c>
      <c r="I26" s="682">
        <v>25</v>
      </c>
      <c r="J26" s="683">
        <v>24</v>
      </c>
      <c r="K26" s="680">
        <v>1</v>
      </c>
      <c r="L26" s="121">
        <f t="shared" si="0"/>
        <v>0.3968253968253968</v>
      </c>
      <c r="M26" s="122">
        <f t="shared" si="1"/>
        <v>0.27173913043478259</v>
      </c>
      <c r="N26" s="122">
        <f t="shared" si="2"/>
        <v>0.77419354838709675</v>
      </c>
      <c r="O26" s="123">
        <f t="shared" si="3"/>
        <v>0.33333333333333331</v>
      </c>
    </row>
    <row r="27" spans="1:15" s="49" customFormat="1" ht="13.5" customHeight="1" x14ac:dyDescent="0.3">
      <c r="A27" s="56" t="s">
        <v>55</v>
      </c>
      <c r="B27" s="84" t="s">
        <v>271</v>
      </c>
      <c r="C27" s="57" t="s">
        <v>253</v>
      </c>
      <c r="D27" s="681">
        <v>4180</v>
      </c>
      <c r="E27" s="682">
        <v>2684</v>
      </c>
      <c r="F27" s="683">
        <v>1061</v>
      </c>
      <c r="G27" s="680">
        <v>435</v>
      </c>
      <c r="H27" s="681">
        <v>1546</v>
      </c>
      <c r="I27" s="682">
        <v>703</v>
      </c>
      <c r="J27" s="683">
        <v>663</v>
      </c>
      <c r="K27" s="680">
        <v>180</v>
      </c>
      <c r="L27" s="121">
        <f t="shared" si="0"/>
        <v>0.36985645933014355</v>
      </c>
      <c r="M27" s="122">
        <f t="shared" si="1"/>
        <v>0.26192250372578241</v>
      </c>
      <c r="N27" s="122">
        <f t="shared" si="2"/>
        <v>0.6248821866163996</v>
      </c>
      <c r="O27" s="123">
        <f t="shared" si="3"/>
        <v>0.41379310344827586</v>
      </c>
    </row>
    <row r="28" spans="1:15" s="49" customFormat="1" ht="13.5" customHeight="1" x14ac:dyDescent="0.3">
      <c r="A28" s="56" t="s">
        <v>57</v>
      </c>
      <c r="B28" s="84" t="s">
        <v>58</v>
      </c>
      <c r="C28" s="57" t="s">
        <v>254</v>
      </c>
      <c r="D28" s="681">
        <v>142</v>
      </c>
      <c r="E28" s="682">
        <v>126</v>
      </c>
      <c r="F28" s="683">
        <v>6</v>
      </c>
      <c r="G28" s="680">
        <v>10</v>
      </c>
      <c r="H28" s="681">
        <v>44</v>
      </c>
      <c r="I28" s="682">
        <v>34</v>
      </c>
      <c r="J28" s="683">
        <v>6</v>
      </c>
      <c r="K28" s="680">
        <v>4</v>
      </c>
      <c r="L28" s="121">
        <f t="shared" si="0"/>
        <v>0.30985915492957744</v>
      </c>
      <c r="M28" s="122">
        <f t="shared" si="1"/>
        <v>0.26984126984126983</v>
      </c>
      <c r="N28" s="122">
        <f t="shared" si="2"/>
        <v>1</v>
      </c>
      <c r="O28" s="123">
        <f t="shared" si="3"/>
        <v>0.4</v>
      </c>
    </row>
    <row r="29" spans="1:15" s="49" customFormat="1" ht="13.5" customHeight="1" x14ac:dyDescent="0.3">
      <c r="A29" s="56" t="s">
        <v>59</v>
      </c>
      <c r="B29" s="84" t="s">
        <v>60</v>
      </c>
      <c r="C29" s="57" t="s">
        <v>252</v>
      </c>
      <c r="D29" s="681">
        <v>39</v>
      </c>
      <c r="E29" s="682">
        <v>39</v>
      </c>
      <c r="F29" s="683">
        <v>0</v>
      </c>
      <c r="G29" s="680">
        <v>0</v>
      </c>
      <c r="H29" s="681">
        <v>19</v>
      </c>
      <c r="I29" s="682">
        <v>19</v>
      </c>
      <c r="J29" s="683">
        <v>0</v>
      </c>
      <c r="K29" s="680">
        <v>0</v>
      </c>
      <c r="L29" s="121">
        <f t="shared" si="0"/>
        <v>0.48717948717948717</v>
      </c>
      <c r="M29" s="122">
        <f t="shared" si="1"/>
        <v>0.48717948717948717</v>
      </c>
      <c r="N29" s="122" t="str">
        <f t="shared" si="2"/>
        <v>NA</v>
      </c>
      <c r="O29" s="123" t="str">
        <f t="shared" si="3"/>
        <v>NA</v>
      </c>
    </row>
    <row r="30" spans="1:15" s="49" customFormat="1" ht="13.5" customHeight="1" x14ac:dyDescent="0.3">
      <c r="A30" s="56" t="s">
        <v>61</v>
      </c>
      <c r="B30" s="84" t="s">
        <v>62</v>
      </c>
      <c r="C30" s="57" t="s">
        <v>254</v>
      </c>
      <c r="D30" s="681">
        <v>646</v>
      </c>
      <c r="E30" s="682">
        <v>547</v>
      </c>
      <c r="F30" s="683">
        <v>72</v>
      </c>
      <c r="G30" s="680">
        <v>27</v>
      </c>
      <c r="H30" s="681">
        <v>302</v>
      </c>
      <c r="I30" s="682">
        <v>242</v>
      </c>
      <c r="J30" s="683">
        <v>51</v>
      </c>
      <c r="K30" s="680">
        <v>9</v>
      </c>
      <c r="L30" s="121">
        <f t="shared" si="0"/>
        <v>0.46749226006191952</v>
      </c>
      <c r="M30" s="122">
        <f t="shared" si="1"/>
        <v>0.44241316270566727</v>
      </c>
      <c r="N30" s="122">
        <f t="shared" si="2"/>
        <v>0.70833333333333337</v>
      </c>
      <c r="O30" s="123">
        <f t="shared" si="3"/>
        <v>0.33333333333333331</v>
      </c>
    </row>
    <row r="31" spans="1:15" s="49" customFormat="1" ht="13.5" customHeight="1" x14ac:dyDescent="0.3">
      <c r="A31" s="56" t="s">
        <v>63</v>
      </c>
      <c r="B31" s="84" t="s">
        <v>64</v>
      </c>
      <c r="C31" s="57" t="s">
        <v>253</v>
      </c>
      <c r="D31" s="681">
        <v>85</v>
      </c>
      <c r="E31" s="682">
        <v>63</v>
      </c>
      <c r="F31" s="683">
        <v>21</v>
      </c>
      <c r="G31" s="680">
        <v>1</v>
      </c>
      <c r="H31" s="681">
        <v>43</v>
      </c>
      <c r="I31" s="682">
        <v>28</v>
      </c>
      <c r="J31" s="683">
        <v>15</v>
      </c>
      <c r="K31" s="680">
        <v>0</v>
      </c>
      <c r="L31" s="121">
        <f t="shared" si="0"/>
        <v>0.50588235294117645</v>
      </c>
      <c r="M31" s="122">
        <f t="shared" si="1"/>
        <v>0.44444444444444442</v>
      </c>
      <c r="N31" s="122">
        <f t="shared" si="2"/>
        <v>0.7142857142857143</v>
      </c>
      <c r="O31" s="123">
        <f t="shared" si="3"/>
        <v>0</v>
      </c>
    </row>
    <row r="32" spans="1:15" s="49" customFormat="1" ht="13.5" customHeight="1" x14ac:dyDescent="0.3">
      <c r="A32" s="56" t="s">
        <v>67</v>
      </c>
      <c r="B32" s="84" t="s">
        <v>68</v>
      </c>
      <c r="C32" s="57" t="s">
        <v>255</v>
      </c>
      <c r="D32" s="681">
        <v>114</v>
      </c>
      <c r="E32" s="682">
        <v>111</v>
      </c>
      <c r="F32" s="683">
        <v>1</v>
      </c>
      <c r="G32" s="680">
        <v>2</v>
      </c>
      <c r="H32" s="681">
        <v>44</v>
      </c>
      <c r="I32" s="682">
        <v>44</v>
      </c>
      <c r="J32" s="683">
        <v>0</v>
      </c>
      <c r="K32" s="680">
        <v>0</v>
      </c>
      <c r="L32" s="121">
        <f t="shared" si="0"/>
        <v>0.38596491228070173</v>
      </c>
      <c r="M32" s="122">
        <f t="shared" si="1"/>
        <v>0.3963963963963964</v>
      </c>
      <c r="N32" s="122">
        <f t="shared" si="2"/>
        <v>0</v>
      </c>
      <c r="O32" s="123">
        <f t="shared" si="3"/>
        <v>0</v>
      </c>
    </row>
    <row r="33" spans="1:15" s="49" customFormat="1" ht="13.5" customHeight="1" x14ac:dyDescent="0.3">
      <c r="A33" s="56" t="s">
        <v>69</v>
      </c>
      <c r="B33" s="84" t="s">
        <v>70</v>
      </c>
      <c r="C33" s="57" t="s">
        <v>251</v>
      </c>
      <c r="D33" s="681">
        <v>165</v>
      </c>
      <c r="E33" s="682">
        <v>135</v>
      </c>
      <c r="F33" s="683">
        <v>28</v>
      </c>
      <c r="G33" s="680">
        <v>2</v>
      </c>
      <c r="H33" s="681">
        <v>73</v>
      </c>
      <c r="I33" s="682">
        <v>49</v>
      </c>
      <c r="J33" s="683">
        <v>23</v>
      </c>
      <c r="K33" s="680">
        <v>1</v>
      </c>
      <c r="L33" s="121">
        <f t="shared" si="0"/>
        <v>0.44242424242424244</v>
      </c>
      <c r="M33" s="122">
        <f t="shared" si="1"/>
        <v>0.36296296296296299</v>
      </c>
      <c r="N33" s="122">
        <f t="shared" si="2"/>
        <v>0.8214285714285714</v>
      </c>
      <c r="O33" s="123">
        <f t="shared" si="3"/>
        <v>0.5</v>
      </c>
    </row>
    <row r="34" spans="1:15" s="49" customFormat="1" ht="13.5" customHeight="1" x14ac:dyDescent="0.3">
      <c r="A34" s="56" t="s">
        <v>71</v>
      </c>
      <c r="B34" s="84" t="s">
        <v>72</v>
      </c>
      <c r="C34" s="57" t="s">
        <v>253</v>
      </c>
      <c r="D34" s="681">
        <v>122</v>
      </c>
      <c r="E34" s="682">
        <v>62</v>
      </c>
      <c r="F34" s="683">
        <v>55</v>
      </c>
      <c r="G34" s="680">
        <v>5</v>
      </c>
      <c r="H34" s="681">
        <v>78</v>
      </c>
      <c r="I34" s="682">
        <v>27</v>
      </c>
      <c r="J34" s="683">
        <v>48</v>
      </c>
      <c r="K34" s="680">
        <v>3</v>
      </c>
      <c r="L34" s="121">
        <f t="shared" si="0"/>
        <v>0.63934426229508201</v>
      </c>
      <c r="M34" s="122">
        <f t="shared" si="1"/>
        <v>0.43548387096774194</v>
      </c>
      <c r="N34" s="122">
        <f t="shared" si="2"/>
        <v>0.87272727272727268</v>
      </c>
      <c r="O34" s="123">
        <f t="shared" si="3"/>
        <v>0.6</v>
      </c>
    </row>
    <row r="35" spans="1:15" s="49" customFormat="1" ht="13.5" customHeight="1" x14ac:dyDescent="0.3">
      <c r="A35" s="56" t="s">
        <v>73</v>
      </c>
      <c r="B35" s="84" t="s">
        <v>405</v>
      </c>
      <c r="C35" s="57" t="s">
        <v>254</v>
      </c>
      <c r="D35" s="681">
        <v>14162</v>
      </c>
      <c r="E35" s="682">
        <v>6798</v>
      </c>
      <c r="F35" s="683">
        <v>1535</v>
      </c>
      <c r="G35" s="680">
        <v>5829</v>
      </c>
      <c r="H35" s="681">
        <v>3077</v>
      </c>
      <c r="I35" s="682">
        <v>697</v>
      </c>
      <c r="J35" s="683">
        <v>543</v>
      </c>
      <c r="K35" s="680">
        <v>1837</v>
      </c>
      <c r="L35" s="121">
        <f t="shared" si="0"/>
        <v>0.21727157181189097</v>
      </c>
      <c r="M35" s="122">
        <f t="shared" si="1"/>
        <v>0.10253015592821418</v>
      </c>
      <c r="N35" s="122">
        <f t="shared" si="2"/>
        <v>0.35374592833876223</v>
      </c>
      <c r="O35" s="123">
        <f t="shared" si="3"/>
        <v>0.31514839595127808</v>
      </c>
    </row>
    <row r="36" spans="1:15" s="49" customFormat="1" ht="13.5" customHeight="1" x14ac:dyDescent="0.3">
      <c r="A36" s="56" t="s">
        <v>75</v>
      </c>
      <c r="B36" s="84" t="s">
        <v>76</v>
      </c>
      <c r="C36" s="57" t="s">
        <v>254</v>
      </c>
      <c r="D36" s="681">
        <v>708</v>
      </c>
      <c r="E36" s="682">
        <v>622</v>
      </c>
      <c r="F36" s="683">
        <v>44</v>
      </c>
      <c r="G36" s="680">
        <v>42</v>
      </c>
      <c r="H36" s="681">
        <v>177</v>
      </c>
      <c r="I36" s="682">
        <v>136</v>
      </c>
      <c r="J36" s="683">
        <v>29</v>
      </c>
      <c r="K36" s="680">
        <v>12</v>
      </c>
      <c r="L36" s="121">
        <f t="shared" si="0"/>
        <v>0.25</v>
      </c>
      <c r="M36" s="122">
        <f t="shared" si="1"/>
        <v>0.21864951768488747</v>
      </c>
      <c r="N36" s="122">
        <f t="shared" si="2"/>
        <v>0.65909090909090906</v>
      </c>
      <c r="O36" s="123">
        <f t="shared" si="3"/>
        <v>0.2857142857142857</v>
      </c>
    </row>
    <row r="37" spans="1:15" s="49" customFormat="1" ht="13.5" customHeight="1" x14ac:dyDescent="0.3">
      <c r="A37" s="56" t="s">
        <v>77</v>
      </c>
      <c r="B37" s="84" t="s">
        <v>78</v>
      </c>
      <c r="C37" s="57" t="s">
        <v>255</v>
      </c>
      <c r="D37" s="681">
        <v>153</v>
      </c>
      <c r="E37" s="682">
        <v>151</v>
      </c>
      <c r="F37" s="683">
        <v>1</v>
      </c>
      <c r="G37" s="680">
        <v>1</v>
      </c>
      <c r="H37" s="681">
        <v>45</v>
      </c>
      <c r="I37" s="682">
        <v>44</v>
      </c>
      <c r="J37" s="683">
        <v>1</v>
      </c>
      <c r="K37" s="680">
        <v>0</v>
      </c>
      <c r="L37" s="121">
        <f t="shared" si="0"/>
        <v>0.29411764705882354</v>
      </c>
      <c r="M37" s="122">
        <f t="shared" si="1"/>
        <v>0.29139072847682118</v>
      </c>
      <c r="N37" s="122">
        <f t="shared" si="2"/>
        <v>1</v>
      </c>
      <c r="O37" s="123">
        <f t="shared" si="3"/>
        <v>0</v>
      </c>
    </row>
    <row r="38" spans="1:15" s="49" customFormat="1" ht="13.5" customHeight="1" x14ac:dyDescent="0.3">
      <c r="A38" s="56" t="s">
        <v>79</v>
      </c>
      <c r="B38" s="84" t="s">
        <v>80</v>
      </c>
      <c r="C38" s="57" t="s">
        <v>253</v>
      </c>
      <c r="D38" s="681">
        <v>226</v>
      </c>
      <c r="E38" s="682">
        <v>189</v>
      </c>
      <c r="F38" s="683">
        <v>30</v>
      </c>
      <c r="G38" s="680">
        <v>7</v>
      </c>
      <c r="H38" s="681">
        <v>72</v>
      </c>
      <c r="I38" s="682">
        <v>47</v>
      </c>
      <c r="J38" s="683">
        <v>21</v>
      </c>
      <c r="K38" s="680">
        <v>4</v>
      </c>
      <c r="L38" s="121">
        <f t="shared" si="0"/>
        <v>0.31858407079646017</v>
      </c>
      <c r="M38" s="122">
        <f t="shared" si="1"/>
        <v>0.24867724867724866</v>
      </c>
      <c r="N38" s="122">
        <f t="shared" si="2"/>
        <v>0.7</v>
      </c>
      <c r="O38" s="123">
        <f t="shared" si="3"/>
        <v>0.5714285714285714</v>
      </c>
    </row>
    <row r="39" spans="1:15" s="49" customFormat="1" ht="13.5" customHeight="1" x14ac:dyDescent="0.3">
      <c r="A39" s="56" t="s">
        <v>83</v>
      </c>
      <c r="B39" s="84" t="s">
        <v>84</v>
      </c>
      <c r="C39" s="57" t="s">
        <v>252</v>
      </c>
      <c r="D39" s="681">
        <v>507</v>
      </c>
      <c r="E39" s="682">
        <v>454</v>
      </c>
      <c r="F39" s="683">
        <v>49</v>
      </c>
      <c r="G39" s="680">
        <v>4</v>
      </c>
      <c r="H39" s="681">
        <v>218</v>
      </c>
      <c r="I39" s="682">
        <v>179</v>
      </c>
      <c r="J39" s="683">
        <v>38</v>
      </c>
      <c r="K39" s="680">
        <v>1</v>
      </c>
      <c r="L39" s="121">
        <f t="shared" ref="L39:L70" si="4">IF(D39=0,"NA",(H39/D39))</f>
        <v>0.42998027613412226</v>
      </c>
      <c r="M39" s="122">
        <f t="shared" ref="M39:M70" si="5">IF(E39=0,"NA",(I39/E39))</f>
        <v>0.39427312775330398</v>
      </c>
      <c r="N39" s="122">
        <f t="shared" ref="N39:N70" si="6">IF(F39=0,"NA",(J39/F39))</f>
        <v>0.77551020408163263</v>
      </c>
      <c r="O39" s="123">
        <f t="shared" ref="O39:O70" si="7">IF(G39=0,"NA",(K39/G39))</f>
        <v>0.25</v>
      </c>
    </row>
    <row r="40" spans="1:15" s="49" customFormat="1" ht="13.5" customHeight="1" x14ac:dyDescent="0.3">
      <c r="A40" s="56" t="s">
        <v>85</v>
      </c>
      <c r="B40" s="84" t="s">
        <v>86</v>
      </c>
      <c r="C40" s="57" t="s">
        <v>254</v>
      </c>
      <c r="D40" s="681">
        <v>918</v>
      </c>
      <c r="E40" s="682">
        <v>812</v>
      </c>
      <c r="F40" s="683">
        <v>46</v>
      </c>
      <c r="G40" s="680">
        <v>60</v>
      </c>
      <c r="H40" s="681">
        <v>307</v>
      </c>
      <c r="I40" s="682">
        <v>264</v>
      </c>
      <c r="J40" s="683">
        <v>25</v>
      </c>
      <c r="K40" s="680">
        <v>18</v>
      </c>
      <c r="L40" s="121">
        <f t="shared" si="4"/>
        <v>0.33442265795206971</v>
      </c>
      <c r="M40" s="122">
        <f t="shared" si="5"/>
        <v>0.3251231527093596</v>
      </c>
      <c r="N40" s="122">
        <f t="shared" si="6"/>
        <v>0.54347826086956519</v>
      </c>
      <c r="O40" s="123">
        <f t="shared" si="7"/>
        <v>0.3</v>
      </c>
    </row>
    <row r="41" spans="1:15" s="49" customFormat="1" ht="13.5" customHeight="1" x14ac:dyDescent="0.3">
      <c r="A41" s="56" t="s">
        <v>91</v>
      </c>
      <c r="B41" s="84" t="s">
        <v>92</v>
      </c>
      <c r="C41" s="57" t="s">
        <v>255</v>
      </c>
      <c r="D41" s="681">
        <v>155</v>
      </c>
      <c r="E41" s="682">
        <v>152</v>
      </c>
      <c r="F41" s="683">
        <v>2</v>
      </c>
      <c r="G41" s="680">
        <v>1</v>
      </c>
      <c r="H41" s="681">
        <v>66</v>
      </c>
      <c r="I41" s="682">
        <v>64</v>
      </c>
      <c r="J41" s="683">
        <v>2</v>
      </c>
      <c r="K41" s="680">
        <v>0</v>
      </c>
      <c r="L41" s="121">
        <f t="shared" si="4"/>
        <v>0.4258064516129032</v>
      </c>
      <c r="M41" s="122">
        <f t="shared" si="5"/>
        <v>0.42105263157894735</v>
      </c>
      <c r="N41" s="122">
        <f t="shared" si="6"/>
        <v>1</v>
      </c>
      <c r="O41" s="123">
        <f t="shared" si="7"/>
        <v>0</v>
      </c>
    </row>
    <row r="42" spans="1:15" s="49" customFormat="1" ht="13.5" customHeight="1" x14ac:dyDescent="0.3">
      <c r="A42" s="56" t="s">
        <v>93</v>
      </c>
      <c r="B42" s="84" t="s">
        <v>94</v>
      </c>
      <c r="C42" s="57" t="s">
        <v>251</v>
      </c>
      <c r="D42" s="681">
        <v>327</v>
      </c>
      <c r="E42" s="682">
        <v>295</v>
      </c>
      <c r="F42" s="683">
        <v>17</v>
      </c>
      <c r="G42" s="680">
        <v>15</v>
      </c>
      <c r="H42" s="681">
        <v>114</v>
      </c>
      <c r="I42" s="682">
        <v>96</v>
      </c>
      <c r="J42" s="683">
        <v>14</v>
      </c>
      <c r="K42" s="680">
        <v>4</v>
      </c>
      <c r="L42" s="121">
        <f t="shared" si="4"/>
        <v>0.34862385321100919</v>
      </c>
      <c r="M42" s="122">
        <f t="shared" si="5"/>
        <v>0.3254237288135593</v>
      </c>
      <c r="N42" s="122">
        <f t="shared" si="6"/>
        <v>0.82352941176470584</v>
      </c>
      <c r="O42" s="123">
        <f t="shared" si="7"/>
        <v>0.26666666666666666</v>
      </c>
    </row>
    <row r="43" spans="1:15" s="49" customFormat="1" ht="13.5" customHeight="1" x14ac:dyDescent="0.3">
      <c r="A43" s="56" t="s">
        <v>95</v>
      </c>
      <c r="B43" s="84" t="s">
        <v>96</v>
      </c>
      <c r="C43" s="57" t="s">
        <v>253</v>
      </c>
      <c r="D43" s="681">
        <v>181</v>
      </c>
      <c r="E43" s="682">
        <v>145</v>
      </c>
      <c r="F43" s="683">
        <v>28</v>
      </c>
      <c r="G43" s="680">
        <v>8</v>
      </c>
      <c r="H43" s="681">
        <v>39</v>
      </c>
      <c r="I43" s="682">
        <v>24</v>
      </c>
      <c r="J43" s="683">
        <v>15</v>
      </c>
      <c r="K43" s="680">
        <v>0</v>
      </c>
      <c r="L43" s="121">
        <f t="shared" si="4"/>
        <v>0.21546961325966851</v>
      </c>
      <c r="M43" s="122">
        <f t="shared" si="5"/>
        <v>0.16551724137931034</v>
      </c>
      <c r="N43" s="122">
        <f t="shared" si="6"/>
        <v>0.5357142857142857</v>
      </c>
      <c r="O43" s="123">
        <f t="shared" si="7"/>
        <v>0</v>
      </c>
    </row>
    <row r="44" spans="1:15" s="49" customFormat="1" ht="13.5" customHeight="1" x14ac:dyDescent="0.3">
      <c r="A44" s="56" t="s">
        <v>97</v>
      </c>
      <c r="B44" s="84" t="s">
        <v>98</v>
      </c>
      <c r="C44" s="57" t="s">
        <v>255</v>
      </c>
      <c r="D44" s="681">
        <v>117</v>
      </c>
      <c r="E44" s="682">
        <v>113</v>
      </c>
      <c r="F44" s="683">
        <v>2</v>
      </c>
      <c r="G44" s="680">
        <v>2</v>
      </c>
      <c r="H44" s="681">
        <v>56</v>
      </c>
      <c r="I44" s="682">
        <v>54</v>
      </c>
      <c r="J44" s="683">
        <v>1</v>
      </c>
      <c r="K44" s="680">
        <v>1</v>
      </c>
      <c r="L44" s="121">
        <f t="shared" si="4"/>
        <v>0.47863247863247865</v>
      </c>
      <c r="M44" s="122">
        <f t="shared" si="5"/>
        <v>0.47787610619469029</v>
      </c>
      <c r="N44" s="122">
        <f t="shared" si="6"/>
        <v>0.5</v>
      </c>
      <c r="O44" s="123">
        <f t="shared" si="7"/>
        <v>0.5</v>
      </c>
    </row>
    <row r="45" spans="1:15" s="49" customFormat="1" ht="13.5" customHeight="1" x14ac:dyDescent="0.3">
      <c r="A45" s="56" t="s">
        <v>99</v>
      </c>
      <c r="B45" s="84" t="s">
        <v>100</v>
      </c>
      <c r="C45" s="57" t="s">
        <v>254</v>
      </c>
      <c r="D45" s="681">
        <v>221</v>
      </c>
      <c r="E45" s="682">
        <v>198</v>
      </c>
      <c r="F45" s="683">
        <v>13</v>
      </c>
      <c r="G45" s="680">
        <v>10</v>
      </c>
      <c r="H45" s="681">
        <v>75</v>
      </c>
      <c r="I45" s="682">
        <v>64</v>
      </c>
      <c r="J45" s="683">
        <v>9</v>
      </c>
      <c r="K45" s="680">
        <v>2</v>
      </c>
      <c r="L45" s="121">
        <f t="shared" si="4"/>
        <v>0.33936651583710409</v>
      </c>
      <c r="M45" s="122">
        <f t="shared" si="5"/>
        <v>0.32323232323232326</v>
      </c>
      <c r="N45" s="122">
        <f t="shared" si="6"/>
        <v>0.69230769230769229</v>
      </c>
      <c r="O45" s="123">
        <f t="shared" si="7"/>
        <v>0.2</v>
      </c>
    </row>
    <row r="46" spans="1:15" s="49" customFormat="1" ht="13.5" customHeight="1" x14ac:dyDescent="0.3">
      <c r="A46" s="56" t="s">
        <v>101</v>
      </c>
      <c r="B46" s="84" t="s">
        <v>263</v>
      </c>
      <c r="C46" s="57" t="s">
        <v>251</v>
      </c>
      <c r="D46" s="681">
        <v>178</v>
      </c>
      <c r="E46" s="682">
        <v>55</v>
      </c>
      <c r="F46" s="683">
        <v>117</v>
      </c>
      <c r="G46" s="680">
        <v>6</v>
      </c>
      <c r="H46" s="681">
        <v>126</v>
      </c>
      <c r="I46" s="682">
        <v>19</v>
      </c>
      <c r="J46" s="683">
        <v>104</v>
      </c>
      <c r="K46" s="680">
        <v>3</v>
      </c>
      <c r="L46" s="121">
        <f t="shared" si="4"/>
        <v>0.7078651685393258</v>
      </c>
      <c r="M46" s="122">
        <f t="shared" si="5"/>
        <v>0.34545454545454546</v>
      </c>
      <c r="N46" s="122">
        <f t="shared" si="6"/>
        <v>0.88888888888888884</v>
      </c>
      <c r="O46" s="123">
        <f t="shared" si="7"/>
        <v>0.5</v>
      </c>
    </row>
    <row r="47" spans="1:15" s="49" customFormat="1" ht="13.5" customHeight="1" x14ac:dyDescent="0.3">
      <c r="A47" s="56" t="s">
        <v>103</v>
      </c>
      <c r="B47" s="84" t="s">
        <v>104</v>
      </c>
      <c r="C47" s="57" t="s">
        <v>252</v>
      </c>
      <c r="D47" s="681">
        <v>366</v>
      </c>
      <c r="E47" s="682">
        <v>211</v>
      </c>
      <c r="F47" s="683">
        <v>150</v>
      </c>
      <c r="G47" s="680">
        <v>5</v>
      </c>
      <c r="H47" s="681">
        <v>201</v>
      </c>
      <c r="I47" s="682">
        <v>79</v>
      </c>
      <c r="J47" s="683">
        <v>120</v>
      </c>
      <c r="K47" s="680">
        <v>2</v>
      </c>
      <c r="L47" s="121">
        <f t="shared" si="4"/>
        <v>0.54918032786885251</v>
      </c>
      <c r="M47" s="122">
        <f t="shared" si="5"/>
        <v>0.37440758293838861</v>
      </c>
      <c r="N47" s="122">
        <f t="shared" si="6"/>
        <v>0.8</v>
      </c>
      <c r="O47" s="123">
        <f t="shared" si="7"/>
        <v>0.4</v>
      </c>
    </row>
    <row r="48" spans="1:15" s="49" customFormat="1" ht="13.5" customHeight="1" x14ac:dyDescent="0.3">
      <c r="A48" s="56" t="s">
        <v>107</v>
      </c>
      <c r="B48" s="84" t="s">
        <v>108</v>
      </c>
      <c r="C48" s="57" t="s">
        <v>253</v>
      </c>
      <c r="D48" s="681">
        <v>934</v>
      </c>
      <c r="E48" s="682">
        <v>796</v>
      </c>
      <c r="F48" s="683">
        <v>82</v>
      </c>
      <c r="G48" s="680">
        <v>56</v>
      </c>
      <c r="H48" s="681">
        <v>234</v>
      </c>
      <c r="I48" s="682">
        <v>167</v>
      </c>
      <c r="J48" s="683">
        <v>53</v>
      </c>
      <c r="K48" s="680">
        <v>14</v>
      </c>
      <c r="L48" s="121">
        <f t="shared" si="4"/>
        <v>0.25053533190578159</v>
      </c>
      <c r="M48" s="122">
        <f t="shared" si="5"/>
        <v>0.20979899497487436</v>
      </c>
      <c r="N48" s="122">
        <f t="shared" si="6"/>
        <v>0.64634146341463417</v>
      </c>
      <c r="O48" s="123">
        <f t="shared" si="7"/>
        <v>0.25</v>
      </c>
    </row>
    <row r="49" spans="1:15" s="49" customFormat="1" ht="13.5" customHeight="1" x14ac:dyDescent="0.3">
      <c r="A49" s="56" t="s">
        <v>109</v>
      </c>
      <c r="B49" s="84" t="s">
        <v>110</v>
      </c>
      <c r="C49" s="57" t="s">
        <v>253</v>
      </c>
      <c r="D49" s="681">
        <v>3695</v>
      </c>
      <c r="E49" s="682">
        <v>2122</v>
      </c>
      <c r="F49" s="683">
        <v>1008</v>
      </c>
      <c r="G49" s="680">
        <v>565</v>
      </c>
      <c r="H49" s="681">
        <v>1256</v>
      </c>
      <c r="I49" s="682">
        <v>510</v>
      </c>
      <c r="J49" s="683">
        <v>681</v>
      </c>
      <c r="K49" s="680">
        <v>65</v>
      </c>
      <c r="L49" s="121">
        <f t="shared" si="4"/>
        <v>0.33991880920162382</v>
      </c>
      <c r="M49" s="122">
        <f t="shared" si="5"/>
        <v>0.2403393025447691</v>
      </c>
      <c r="N49" s="122">
        <f t="shared" si="6"/>
        <v>0.67559523809523814</v>
      </c>
      <c r="O49" s="123">
        <f t="shared" si="7"/>
        <v>0.11504424778761062</v>
      </c>
    </row>
    <row r="50" spans="1:15" s="49" customFormat="1" ht="13.5" customHeight="1" x14ac:dyDescent="0.3">
      <c r="A50" s="56" t="s">
        <v>111</v>
      </c>
      <c r="B50" s="84" t="s">
        <v>275</v>
      </c>
      <c r="C50" s="57" t="s">
        <v>252</v>
      </c>
      <c r="D50" s="681">
        <v>659</v>
      </c>
      <c r="E50" s="682">
        <v>449</v>
      </c>
      <c r="F50" s="683">
        <v>186</v>
      </c>
      <c r="G50" s="680">
        <v>24</v>
      </c>
      <c r="H50" s="681">
        <v>369</v>
      </c>
      <c r="I50" s="682">
        <v>217</v>
      </c>
      <c r="J50" s="683">
        <v>140</v>
      </c>
      <c r="K50" s="680">
        <v>12</v>
      </c>
      <c r="L50" s="121">
        <f t="shared" si="4"/>
        <v>0.55993930197268593</v>
      </c>
      <c r="M50" s="122">
        <f t="shared" si="5"/>
        <v>0.48329621380846327</v>
      </c>
      <c r="N50" s="122">
        <f t="shared" si="6"/>
        <v>0.75268817204301075</v>
      </c>
      <c r="O50" s="123">
        <f t="shared" si="7"/>
        <v>0.5</v>
      </c>
    </row>
    <row r="51" spans="1:15" s="49" customFormat="1" ht="13.5" customHeight="1" x14ac:dyDescent="0.3">
      <c r="A51" s="56" t="s">
        <v>113</v>
      </c>
      <c r="B51" s="84" t="s">
        <v>114</v>
      </c>
      <c r="C51" s="57" t="s">
        <v>252</v>
      </c>
      <c r="D51" s="681">
        <v>17</v>
      </c>
      <c r="E51" s="682">
        <v>17</v>
      </c>
      <c r="F51" s="683">
        <v>0</v>
      </c>
      <c r="G51" s="680">
        <v>0</v>
      </c>
      <c r="H51" s="681">
        <v>2</v>
      </c>
      <c r="I51" s="682">
        <v>2</v>
      </c>
      <c r="J51" s="683">
        <v>0</v>
      </c>
      <c r="K51" s="680">
        <v>0</v>
      </c>
      <c r="L51" s="121">
        <f t="shared" si="4"/>
        <v>0.11764705882352941</v>
      </c>
      <c r="M51" s="122">
        <f t="shared" si="5"/>
        <v>0.11764705882352941</v>
      </c>
      <c r="N51" s="122" t="str">
        <f t="shared" si="6"/>
        <v>NA</v>
      </c>
      <c r="O51" s="123" t="str">
        <f t="shared" si="7"/>
        <v>NA</v>
      </c>
    </row>
    <row r="52" spans="1:15" s="49" customFormat="1" ht="13.5" customHeight="1" x14ac:dyDescent="0.3">
      <c r="A52" s="56" t="s">
        <v>117</v>
      </c>
      <c r="B52" s="84" t="s">
        <v>257</v>
      </c>
      <c r="C52" s="57" t="s">
        <v>251</v>
      </c>
      <c r="D52" s="681">
        <v>353</v>
      </c>
      <c r="E52" s="682">
        <v>258</v>
      </c>
      <c r="F52" s="683">
        <v>80</v>
      </c>
      <c r="G52" s="680">
        <v>15</v>
      </c>
      <c r="H52" s="681">
        <v>121</v>
      </c>
      <c r="I52" s="682">
        <v>67</v>
      </c>
      <c r="J52" s="683">
        <v>51</v>
      </c>
      <c r="K52" s="680">
        <v>3</v>
      </c>
      <c r="L52" s="121">
        <f t="shared" si="4"/>
        <v>0.34277620396600567</v>
      </c>
      <c r="M52" s="122">
        <f t="shared" si="5"/>
        <v>0.25968992248062017</v>
      </c>
      <c r="N52" s="122">
        <f t="shared" si="6"/>
        <v>0.63749999999999996</v>
      </c>
      <c r="O52" s="123">
        <f t="shared" si="7"/>
        <v>0.2</v>
      </c>
    </row>
    <row r="53" spans="1:15" s="49" customFormat="1" ht="13.5" customHeight="1" x14ac:dyDescent="0.3">
      <c r="A53" s="56" t="s">
        <v>119</v>
      </c>
      <c r="B53" s="84" t="s">
        <v>120</v>
      </c>
      <c r="C53" s="57" t="s">
        <v>251</v>
      </c>
      <c r="D53" s="681">
        <v>767</v>
      </c>
      <c r="E53" s="682">
        <v>543</v>
      </c>
      <c r="F53" s="683">
        <v>124</v>
      </c>
      <c r="G53" s="680">
        <v>100</v>
      </c>
      <c r="H53" s="681">
        <v>217</v>
      </c>
      <c r="I53" s="682">
        <v>100</v>
      </c>
      <c r="J53" s="683">
        <v>75</v>
      </c>
      <c r="K53" s="680">
        <v>42</v>
      </c>
      <c r="L53" s="121">
        <f t="shared" si="4"/>
        <v>0.28292046936114734</v>
      </c>
      <c r="M53" s="122">
        <f t="shared" si="5"/>
        <v>0.18416206261510129</v>
      </c>
      <c r="N53" s="122">
        <f t="shared" si="6"/>
        <v>0.60483870967741937</v>
      </c>
      <c r="O53" s="123">
        <f t="shared" si="7"/>
        <v>0.42</v>
      </c>
    </row>
    <row r="54" spans="1:15" s="49" customFormat="1" ht="13.5" customHeight="1" x14ac:dyDescent="0.3">
      <c r="A54" s="56" t="s">
        <v>121</v>
      </c>
      <c r="B54" s="84" t="s">
        <v>258</v>
      </c>
      <c r="C54" s="57" t="s">
        <v>253</v>
      </c>
      <c r="D54" s="681">
        <v>70</v>
      </c>
      <c r="E54" s="682">
        <v>51</v>
      </c>
      <c r="F54" s="683">
        <v>17</v>
      </c>
      <c r="G54" s="680">
        <v>2</v>
      </c>
      <c r="H54" s="681">
        <v>38</v>
      </c>
      <c r="I54" s="682">
        <v>22</v>
      </c>
      <c r="J54" s="683">
        <v>14</v>
      </c>
      <c r="K54" s="680">
        <v>2</v>
      </c>
      <c r="L54" s="121">
        <f t="shared" si="4"/>
        <v>0.54285714285714282</v>
      </c>
      <c r="M54" s="122">
        <f t="shared" si="5"/>
        <v>0.43137254901960786</v>
      </c>
      <c r="N54" s="122">
        <f t="shared" si="6"/>
        <v>0.82352941176470584</v>
      </c>
      <c r="O54" s="123">
        <f t="shared" si="7"/>
        <v>1</v>
      </c>
    </row>
    <row r="55" spans="1:15" s="49" customFormat="1" ht="13.5" customHeight="1" x14ac:dyDescent="0.3">
      <c r="A55" s="56" t="s">
        <v>123</v>
      </c>
      <c r="B55" s="84" t="s">
        <v>124</v>
      </c>
      <c r="C55" s="57" t="s">
        <v>254</v>
      </c>
      <c r="D55" s="681">
        <v>300</v>
      </c>
      <c r="E55" s="682">
        <v>235</v>
      </c>
      <c r="F55" s="683">
        <v>54</v>
      </c>
      <c r="G55" s="680">
        <v>11</v>
      </c>
      <c r="H55" s="681">
        <v>104</v>
      </c>
      <c r="I55" s="682">
        <v>64</v>
      </c>
      <c r="J55" s="683">
        <v>36</v>
      </c>
      <c r="K55" s="680">
        <v>4</v>
      </c>
      <c r="L55" s="121">
        <f t="shared" si="4"/>
        <v>0.34666666666666668</v>
      </c>
      <c r="M55" s="122">
        <f t="shared" si="5"/>
        <v>0.2723404255319149</v>
      </c>
      <c r="N55" s="122">
        <f t="shared" si="6"/>
        <v>0.66666666666666663</v>
      </c>
      <c r="O55" s="123">
        <f t="shared" si="7"/>
        <v>0.36363636363636365</v>
      </c>
    </row>
    <row r="56" spans="1:15" s="49" customFormat="1" ht="13.5" customHeight="1" x14ac:dyDescent="0.3">
      <c r="A56" s="56" t="s">
        <v>125</v>
      </c>
      <c r="B56" s="84" t="s">
        <v>126</v>
      </c>
      <c r="C56" s="57" t="s">
        <v>253</v>
      </c>
      <c r="D56" s="681">
        <v>185</v>
      </c>
      <c r="E56" s="682">
        <v>163</v>
      </c>
      <c r="F56" s="683">
        <v>15</v>
      </c>
      <c r="G56" s="680">
        <v>7</v>
      </c>
      <c r="H56" s="681">
        <v>49</v>
      </c>
      <c r="I56" s="682">
        <v>38</v>
      </c>
      <c r="J56" s="683">
        <v>10</v>
      </c>
      <c r="K56" s="680">
        <v>1</v>
      </c>
      <c r="L56" s="121">
        <f t="shared" si="4"/>
        <v>0.26486486486486488</v>
      </c>
      <c r="M56" s="122">
        <f t="shared" si="5"/>
        <v>0.23312883435582821</v>
      </c>
      <c r="N56" s="122">
        <f t="shared" si="6"/>
        <v>0.66666666666666663</v>
      </c>
      <c r="O56" s="123">
        <f t="shared" si="7"/>
        <v>0.14285714285714285</v>
      </c>
    </row>
    <row r="57" spans="1:15" s="49" customFormat="1" ht="13.5" customHeight="1" x14ac:dyDescent="0.3">
      <c r="A57" s="56" t="s">
        <v>127</v>
      </c>
      <c r="B57" s="84" t="s">
        <v>128</v>
      </c>
      <c r="C57" s="57" t="s">
        <v>253</v>
      </c>
      <c r="D57" s="681">
        <v>77</v>
      </c>
      <c r="E57" s="682">
        <v>32</v>
      </c>
      <c r="F57" s="683">
        <v>42</v>
      </c>
      <c r="G57" s="680">
        <v>3</v>
      </c>
      <c r="H57" s="681">
        <v>44</v>
      </c>
      <c r="I57" s="682">
        <v>9</v>
      </c>
      <c r="J57" s="683">
        <v>34</v>
      </c>
      <c r="K57" s="680">
        <v>1</v>
      </c>
      <c r="L57" s="121">
        <f t="shared" si="4"/>
        <v>0.5714285714285714</v>
      </c>
      <c r="M57" s="122">
        <f t="shared" si="5"/>
        <v>0.28125</v>
      </c>
      <c r="N57" s="122">
        <f t="shared" si="6"/>
        <v>0.80952380952380953</v>
      </c>
      <c r="O57" s="123">
        <f t="shared" si="7"/>
        <v>0.33333333333333331</v>
      </c>
    </row>
    <row r="58" spans="1:15" s="49" customFormat="1" ht="13.5" customHeight="1" x14ac:dyDescent="0.3">
      <c r="A58" s="56" t="s">
        <v>129</v>
      </c>
      <c r="B58" s="84" t="s">
        <v>130</v>
      </c>
      <c r="C58" s="57" t="s">
        <v>255</v>
      </c>
      <c r="D58" s="681">
        <v>204</v>
      </c>
      <c r="E58" s="682">
        <v>202</v>
      </c>
      <c r="F58" s="683">
        <v>0</v>
      </c>
      <c r="G58" s="680">
        <v>2</v>
      </c>
      <c r="H58" s="681">
        <v>98</v>
      </c>
      <c r="I58" s="682">
        <v>97</v>
      </c>
      <c r="J58" s="683">
        <v>0</v>
      </c>
      <c r="K58" s="680">
        <v>1</v>
      </c>
      <c r="L58" s="121">
        <f t="shared" si="4"/>
        <v>0.48039215686274511</v>
      </c>
      <c r="M58" s="122">
        <f t="shared" si="5"/>
        <v>0.48019801980198018</v>
      </c>
      <c r="N58" s="122" t="str">
        <f t="shared" si="6"/>
        <v>NA</v>
      </c>
      <c r="O58" s="123">
        <f t="shared" si="7"/>
        <v>0.5</v>
      </c>
    </row>
    <row r="59" spans="1:15" s="49" customFormat="1" ht="13.5" customHeight="1" x14ac:dyDescent="0.3">
      <c r="A59" s="56" t="s">
        <v>131</v>
      </c>
      <c r="B59" s="84" t="s">
        <v>132</v>
      </c>
      <c r="C59" s="57" t="s">
        <v>254</v>
      </c>
      <c r="D59" s="681">
        <v>4913</v>
      </c>
      <c r="E59" s="682">
        <v>2723</v>
      </c>
      <c r="F59" s="683">
        <v>375</v>
      </c>
      <c r="G59" s="680">
        <v>1815</v>
      </c>
      <c r="H59" s="681">
        <v>757</v>
      </c>
      <c r="I59" s="682">
        <v>276</v>
      </c>
      <c r="J59" s="683">
        <v>106</v>
      </c>
      <c r="K59" s="680">
        <v>375</v>
      </c>
      <c r="L59" s="121">
        <f t="shared" si="4"/>
        <v>0.15408100956645635</v>
      </c>
      <c r="M59" s="122">
        <f t="shared" si="5"/>
        <v>0.10135879544619905</v>
      </c>
      <c r="N59" s="122">
        <f t="shared" si="6"/>
        <v>0.28266666666666668</v>
      </c>
      <c r="O59" s="123">
        <f t="shared" si="7"/>
        <v>0.20661157024793389</v>
      </c>
    </row>
    <row r="60" spans="1:15" s="49" customFormat="1" ht="13.5" customHeight="1" x14ac:dyDescent="0.3">
      <c r="A60" s="56" t="s">
        <v>133</v>
      </c>
      <c r="B60" s="84" t="s">
        <v>134</v>
      </c>
      <c r="C60" s="57" t="s">
        <v>254</v>
      </c>
      <c r="D60" s="681">
        <v>373</v>
      </c>
      <c r="E60" s="682">
        <v>313</v>
      </c>
      <c r="F60" s="683">
        <v>50</v>
      </c>
      <c r="G60" s="680">
        <v>10</v>
      </c>
      <c r="H60" s="681">
        <v>156</v>
      </c>
      <c r="I60" s="682">
        <v>116</v>
      </c>
      <c r="J60" s="683">
        <v>37</v>
      </c>
      <c r="K60" s="680">
        <v>3</v>
      </c>
      <c r="L60" s="121">
        <f t="shared" si="4"/>
        <v>0.41823056300268097</v>
      </c>
      <c r="M60" s="122">
        <f t="shared" si="5"/>
        <v>0.37060702875399359</v>
      </c>
      <c r="N60" s="122">
        <f t="shared" si="6"/>
        <v>0.74</v>
      </c>
      <c r="O60" s="123">
        <f t="shared" si="7"/>
        <v>0.3</v>
      </c>
    </row>
    <row r="61" spans="1:15" s="49" customFormat="1" ht="13.5" customHeight="1" x14ac:dyDescent="0.3">
      <c r="A61" s="56" t="s">
        <v>135</v>
      </c>
      <c r="B61" s="84" t="s">
        <v>136</v>
      </c>
      <c r="C61" s="57" t="s">
        <v>253</v>
      </c>
      <c r="D61" s="681">
        <v>102</v>
      </c>
      <c r="E61" s="682">
        <v>61</v>
      </c>
      <c r="F61" s="683">
        <v>35</v>
      </c>
      <c r="G61" s="680">
        <v>6</v>
      </c>
      <c r="H61" s="681">
        <v>67</v>
      </c>
      <c r="I61" s="682">
        <v>28</v>
      </c>
      <c r="J61" s="683">
        <v>33</v>
      </c>
      <c r="K61" s="680">
        <v>6</v>
      </c>
      <c r="L61" s="121">
        <f t="shared" si="4"/>
        <v>0.65686274509803921</v>
      </c>
      <c r="M61" s="122">
        <f t="shared" si="5"/>
        <v>0.45901639344262296</v>
      </c>
      <c r="N61" s="122">
        <f t="shared" si="6"/>
        <v>0.94285714285714284</v>
      </c>
      <c r="O61" s="123">
        <f t="shared" si="7"/>
        <v>1</v>
      </c>
    </row>
    <row r="62" spans="1:15" s="49" customFormat="1" ht="13.5" customHeight="1" x14ac:dyDescent="0.3">
      <c r="A62" s="56" t="s">
        <v>139</v>
      </c>
      <c r="B62" s="84" t="s">
        <v>140</v>
      </c>
      <c r="C62" s="57" t="s">
        <v>254</v>
      </c>
      <c r="D62" s="681">
        <v>135</v>
      </c>
      <c r="E62" s="682">
        <v>127</v>
      </c>
      <c r="F62" s="683">
        <v>7</v>
      </c>
      <c r="G62" s="680">
        <v>1</v>
      </c>
      <c r="H62" s="681">
        <v>53</v>
      </c>
      <c r="I62" s="682">
        <v>48</v>
      </c>
      <c r="J62" s="683">
        <v>4</v>
      </c>
      <c r="K62" s="680">
        <v>1</v>
      </c>
      <c r="L62" s="121">
        <f t="shared" si="4"/>
        <v>0.3925925925925926</v>
      </c>
      <c r="M62" s="122">
        <f t="shared" si="5"/>
        <v>0.37795275590551181</v>
      </c>
      <c r="N62" s="122">
        <f t="shared" si="6"/>
        <v>0.5714285714285714</v>
      </c>
      <c r="O62" s="123">
        <f t="shared" si="7"/>
        <v>1</v>
      </c>
    </row>
    <row r="63" spans="1:15" s="49" customFormat="1" ht="13.5" customHeight="1" x14ac:dyDescent="0.3">
      <c r="A63" s="56" t="s">
        <v>145</v>
      </c>
      <c r="B63" s="84" t="s">
        <v>146</v>
      </c>
      <c r="C63" s="57" t="s">
        <v>251</v>
      </c>
      <c r="D63" s="681">
        <v>66</v>
      </c>
      <c r="E63" s="682">
        <v>57</v>
      </c>
      <c r="F63" s="683">
        <v>7</v>
      </c>
      <c r="G63" s="680">
        <v>2</v>
      </c>
      <c r="H63" s="681">
        <v>30</v>
      </c>
      <c r="I63" s="682">
        <v>24</v>
      </c>
      <c r="J63" s="683">
        <v>4</v>
      </c>
      <c r="K63" s="680">
        <v>2</v>
      </c>
      <c r="L63" s="121">
        <f t="shared" si="4"/>
        <v>0.45454545454545453</v>
      </c>
      <c r="M63" s="122">
        <f t="shared" si="5"/>
        <v>0.42105263157894735</v>
      </c>
      <c r="N63" s="122">
        <f t="shared" si="6"/>
        <v>0.5714285714285714</v>
      </c>
      <c r="O63" s="123">
        <f t="shared" si="7"/>
        <v>1</v>
      </c>
    </row>
    <row r="64" spans="1:15" s="49" customFormat="1" ht="13.5" customHeight="1" x14ac:dyDescent="0.3">
      <c r="A64" s="56" t="s">
        <v>147</v>
      </c>
      <c r="B64" s="84" t="s">
        <v>148</v>
      </c>
      <c r="C64" s="57" t="s">
        <v>252</v>
      </c>
      <c r="D64" s="681">
        <v>294</v>
      </c>
      <c r="E64" s="682">
        <v>164</v>
      </c>
      <c r="F64" s="683">
        <v>118</v>
      </c>
      <c r="G64" s="680">
        <v>12</v>
      </c>
      <c r="H64" s="681">
        <v>154</v>
      </c>
      <c r="I64" s="682">
        <v>61</v>
      </c>
      <c r="J64" s="683">
        <v>90</v>
      </c>
      <c r="K64" s="680">
        <v>3</v>
      </c>
      <c r="L64" s="121">
        <f t="shared" si="4"/>
        <v>0.52380952380952384</v>
      </c>
      <c r="M64" s="122">
        <f t="shared" si="5"/>
        <v>0.37195121951219512</v>
      </c>
      <c r="N64" s="122">
        <f t="shared" si="6"/>
        <v>0.76271186440677963</v>
      </c>
      <c r="O64" s="123">
        <f t="shared" si="7"/>
        <v>0.25</v>
      </c>
    </row>
    <row r="65" spans="1:15" s="49" customFormat="1" ht="13.5" customHeight="1" x14ac:dyDescent="0.3">
      <c r="A65" s="56" t="s">
        <v>149</v>
      </c>
      <c r="B65" s="84" t="s">
        <v>150</v>
      </c>
      <c r="C65" s="57" t="s">
        <v>253</v>
      </c>
      <c r="D65" s="681">
        <v>86</v>
      </c>
      <c r="E65" s="682">
        <v>67</v>
      </c>
      <c r="F65" s="683">
        <v>15</v>
      </c>
      <c r="G65" s="680">
        <v>4</v>
      </c>
      <c r="H65" s="681">
        <v>45</v>
      </c>
      <c r="I65" s="682">
        <v>31</v>
      </c>
      <c r="J65" s="683">
        <v>12</v>
      </c>
      <c r="K65" s="680">
        <v>2</v>
      </c>
      <c r="L65" s="121">
        <f t="shared" si="4"/>
        <v>0.52325581395348841</v>
      </c>
      <c r="M65" s="122">
        <f t="shared" si="5"/>
        <v>0.46268656716417911</v>
      </c>
      <c r="N65" s="122">
        <f t="shared" si="6"/>
        <v>0.8</v>
      </c>
      <c r="O65" s="123">
        <f t="shared" si="7"/>
        <v>0.5</v>
      </c>
    </row>
    <row r="66" spans="1:15" s="49" customFormat="1" ht="13.5" customHeight="1" x14ac:dyDescent="0.3">
      <c r="A66" s="56" t="s">
        <v>151</v>
      </c>
      <c r="B66" s="84" t="s">
        <v>152</v>
      </c>
      <c r="C66" s="57" t="s">
        <v>255</v>
      </c>
      <c r="D66" s="681">
        <v>738</v>
      </c>
      <c r="E66" s="682">
        <v>641</v>
      </c>
      <c r="F66" s="683">
        <v>36</v>
      </c>
      <c r="G66" s="680">
        <v>61</v>
      </c>
      <c r="H66" s="681">
        <v>171</v>
      </c>
      <c r="I66" s="682">
        <v>150</v>
      </c>
      <c r="J66" s="683">
        <v>20</v>
      </c>
      <c r="K66" s="680">
        <v>1</v>
      </c>
      <c r="L66" s="121">
        <f t="shared" si="4"/>
        <v>0.23170731707317074</v>
      </c>
      <c r="M66" s="122">
        <f t="shared" si="5"/>
        <v>0.23400936037441497</v>
      </c>
      <c r="N66" s="122">
        <f t="shared" si="6"/>
        <v>0.55555555555555558</v>
      </c>
      <c r="O66" s="123">
        <f t="shared" si="7"/>
        <v>1.6393442622950821E-2</v>
      </c>
    </row>
    <row r="67" spans="1:15" s="49" customFormat="1" ht="13.5" customHeight="1" x14ac:dyDescent="0.3">
      <c r="A67" s="56" t="s">
        <v>153</v>
      </c>
      <c r="B67" s="84" t="s">
        <v>154</v>
      </c>
      <c r="C67" s="57" t="s">
        <v>252</v>
      </c>
      <c r="D67" s="681">
        <v>137</v>
      </c>
      <c r="E67" s="682">
        <v>117</v>
      </c>
      <c r="F67" s="683">
        <v>19</v>
      </c>
      <c r="G67" s="680">
        <v>1</v>
      </c>
      <c r="H67" s="681">
        <v>65</v>
      </c>
      <c r="I67" s="682">
        <v>47</v>
      </c>
      <c r="J67" s="683">
        <v>18</v>
      </c>
      <c r="K67" s="680">
        <v>0</v>
      </c>
      <c r="L67" s="121">
        <f t="shared" si="4"/>
        <v>0.47445255474452552</v>
      </c>
      <c r="M67" s="122">
        <f t="shared" si="5"/>
        <v>0.40170940170940173</v>
      </c>
      <c r="N67" s="122">
        <f t="shared" si="6"/>
        <v>0.94736842105263153</v>
      </c>
      <c r="O67" s="123">
        <f t="shared" si="7"/>
        <v>0</v>
      </c>
    </row>
    <row r="68" spans="1:15" s="49" customFormat="1" ht="13.5" customHeight="1" x14ac:dyDescent="0.3">
      <c r="A68" s="56" t="s">
        <v>155</v>
      </c>
      <c r="B68" s="84" t="s">
        <v>156</v>
      </c>
      <c r="C68" s="57" t="s">
        <v>253</v>
      </c>
      <c r="D68" s="681">
        <v>214</v>
      </c>
      <c r="E68" s="682">
        <v>187</v>
      </c>
      <c r="F68" s="683">
        <v>20</v>
      </c>
      <c r="G68" s="680">
        <v>7</v>
      </c>
      <c r="H68" s="681">
        <v>48</v>
      </c>
      <c r="I68" s="682">
        <v>39</v>
      </c>
      <c r="J68" s="683">
        <v>9</v>
      </c>
      <c r="K68" s="680">
        <v>0</v>
      </c>
      <c r="L68" s="121">
        <f t="shared" si="4"/>
        <v>0.22429906542056074</v>
      </c>
      <c r="M68" s="122">
        <f t="shared" si="5"/>
        <v>0.20855614973262032</v>
      </c>
      <c r="N68" s="122">
        <f t="shared" si="6"/>
        <v>0.45</v>
      </c>
      <c r="O68" s="123">
        <f t="shared" si="7"/>
        <v>0</v>
      </c>
    </row>
    <row r="69" spans="1:15" s="49" customFormat="1" ht="13.5" customHeight="1" x14ac:dyDescent="0.3">
      <c r="A69" s="56" t="s">
        <v>161</v>
      </c>
      <c r="B69" s="84" t="s">
        <v>162</v>
      </c>
      <c r="C69" s="57" t="s">
        <v>251</v>
      </c>
      <c r="D69" s="681">
        <v>105</v>
      </c>
      <c r="E69" s="682">
        <v>61</v>
      </c>
      <c r="F69" s="683">
        <v>40</v>
      </c>
      <c r="G69" s="680">
        <v>4</v>
      </c>
      <c r="H69" s="681">
        <v>62</v>
      </c>
      <c r="I69" s="682">
        <v>26</v>
      </c>
      <c r="J69" s="683">
        <v>36</v>
      </c>
      <c r="K69" s="680">
        <v>0</v>
      </c>
      <c r="L69" s="121">
        <f t="shared" si="4"/>
        <v>0.59047619047619049</v>
      </c>
      <c r="M69" s="122">
        <f t="shared" si="5"/>
        <v>0.42622950819672129</v>
      </c>
      <c r="N69" s="122">
        <f t="shared" si="6"/>
        <v>0.9</v>
      </c>
      <c r="O69" s="123">
        <f t="shared" si="7"/>
        <v>0</v>
      </c>
    </row>
    <row r="70" spans="1:15" s="49" customFormat="1" ht="13.5" customHeight="1" x14ac:dyDescent="0.3">
      <c r="A70" s="56" t="s">
        <v>163</v>
      </c>
      <c r="B70" s="84" t="s">
        <v>164</v>
      </c>
      <c r="C70" s="57" t="s">
        <v>253</v>
      </c>
      <c r="D70" s="681">
        <v>103</v>
      </c>
      <c r="E70" s="682">
        <v>57</v>
      </c>
      <c r="F70" s="683">
        <v>44</v>
      </c>
      <c r="G70" s="680">
        <v>2</v>
      </c>
      <c r="H70" s="681">
        <v>67</v>
      </c>
      <c r="I70" s="682">
        <v>28</v>
      </c>
      <c r="J70" s="683">
        <v>38</v>
      </c>
      <c r="K70" s="680">
        <v>1</v>
      </c>
      <c r="L70" s="121">
        <f t="shared" si="4"/>
        <v>0.65048543689320393</v>
      </c>
      <c r="M70" s="122">
        <f t="shared" si="5"/>
        <v>0.49122807017543857</v>
      </c>
      <c r="N70" s="122">
        <f t="shared" si="6"/>
        <v>0.86363636363636365</v>
      </c>
      <c r="O70" s="123">
        <f t="shared" si="7"/>
        <v>0.5</v>
      </c>
    </row>
    <row r="71" spans="1:15" s="49" customFormat="1" ht="13.5" customHeight="1" x14ac:dyDescent="0.3">
      <c r="A71" s="56" t="s">
        <v>167</v>
      </c>
      <c r="B71" s="84" t="s">
        <v>168</v>
      </c>
      <c r="C71" s="57" t="s">
        <v>253</v>
      </c>
      <c r="D71" s="681">
        <v>169</v>
      </c>
      <c r="E71" s="682">
        <v>110</v>
      </c>
      <c r="F71" s="683">
        <v>56</v>
      </c>
      <c r="G71" s="680">
        <v>3</v>
      </c>
      <c r="H71" s="681">
        <v>94</v>
      </c>
      <c r="I71" s="682">
        <v>46</v>
      </c>
      <c r="J71" s="683">
        <v>47</v>
      </c>
      <c r="K71" s="680">
        <v>1</v>
      </c>
      <c r="L71" s="121">
        <f t="shared" ref="L71:L102" si="8">IF(D71=0,"NA",(H71/D71))</f>
        <v>0.55621301775147924</v>
      </c>
      <c r="M71" s="122">
        <f t="shared" ref="M71:M102" si="9">IF(E71=0,"NA",(I71/E71))</f>
        <v>0.41818181818181815</v>
      </c>
      <c r="N71" s="122">
        <f t="shared" ref="N71:N102" si="10">IF(F71=0,"NA",(J71/F71))</f>
        <v>0.8392857142857143</v>
      </c>
      <c r="O71" s="123">
        <f t="shared" ref="O71:O102" si="11">IF(G71=0,"NA",(K71/G71))</f>
        <v>0.33333333333333331</v>
      </c>
    </row>
    <row r="72" spans="1:15" s="49" customFormat="1" ht="13.5" customHeight="1" x14ac:dyDescent="0.3">
      <c r="A72" s="56" t="s">
        <v>169</v>
      </c>
      <c r="B72" s="84" t="s">
        <v>170</v>
      </c>
      <c r="C72" s="57" t="s">
        <v>254</v>
      </c>
      <c r="D72" s="681">
        <v>399</v>
      </c>
      <c r="E72" s="682">
        <v>326</v>
      </c>
      <c r="F72" s="683">
        <v>51</v>
      </c>
      <c r="G72" s="680">
        <v>22</v>
      </c>
      <c r="H72" s="681">
        <v>162</v>
      </c>
      <c r="I72" s="682">
        <v>123</v>
      </c>
      <c r="J72" s="683">
        <v>31</v>
      </c>
      <c r="K72" s="680">
        <v>8</v>
      </c>
      <c r="L72" s="121">
        <f t="shared" si="8"/>
        <v>0.40601503759398494</v>
      </c>
      <c r="M72" s="122">
        <f t="shared" si="9"/>
        <v>0.3773006134969325</v>
      </c>
      <c r="N72" s="122">
        <f t="shared" si="10"/>
        <v>0.60784313725490191</v>
      </c>
      <c r="O72" s="123">
        <f t="shared" si="11"/>
        <v>0.36363636363636365</v>
      </c>
    </row>
    <row r="73" spans="1:15" s="49" customFormat="1" ht="13.5" customHeight="1" x14ac:dyDescent="0.3">
      <c r="A73" s="56" t="s">
        <v>171</v>
      </c>
      <c r="B73" s="84" t="s">
        <v>172</v>
      </c>
      <c r="C73" s="57" t="s">
        <v>254</v>
      </c>
      <c r="D73" s="681">
        <v>250</v>
      </c>
      <c r="E73" s="682">
        <v>239</v>
      </c>
      <c r="F73" s="683">
        <v>7</v>
      </c>
      <c r="G73" s="680">
        <v>4</v>
      </c>
      <c r="H73" s="681">
        <v>119</v>
      </c>
      <c r="I73" s="682">
        <v>113</v>
      </c>
      <c r="J73" s="683">
        <v>6</v>
      </c>
      <c r="K73" s="680">
        <v>0</v>
      </c>
      <c r="L73" s="121">
        <f t="shared" si="8"/>
        <v>0.47599999999999998</v>
      </c>
      <c r="M73" s="122">
        <f t="shared" si="9"/>
        <v>0.47280334728033474</v>
      </c>
      <c r="N73" s="122">
        <f t="shared" si="10"/>
        <v>0.8571428571428571</v>
      </c>
      <c r="O73" s="123">
        <f t="shared" si="11"/>
        <v>0</v>
      </c>
    </row>
    <row r="74" spans="1:15" s="49" customFormat="1" ht="13.5" customHeight="1" x14ac:dyDescent="0.3">
      <c r="A74" s="56" t="s">
        <v>173</v>
      </c>
      <c r="B74" s="84" t="s">
        <v>174</v>
      </c>
      <c r="C74" s="57" t="s">
        <v>255</v>
      </c>
      <c r="D74" s="681">
        <v>102</v>
      </c>
      <c r="E74" s="682">
        <v>99</v>
      </c>
      <c r="F74" s="683">
        <v>0</v>
      </c>
      <c r="G74" s="680">
        <v>3</v>
      </c>
      <c r="H74" s="681">
        <v>37</v>
      </c>
      <c r="I74" s="682">
        <v>36</v>
      </c>
      <c r="J74" s="683">
        <v>0</v>
      </c>
      <c r="K74" s="680">
        <v>1</v>
      </c>
      <c r="L74" s="121">
        <f t="shared" si="8"/>
        <v>0.36274509803921567</v>
      </c>
      <c r="M74" s="122">
        <f t="shared" si="9"/>
        <v>0.36363636363636365</v>
      </c>
      <c r="N74" s="122" t="str">
        <f t="shared" si="10"/>
        <v>NA</v>
      </c>
      <c r="O74" s="123">
        <f t="shared" si="11"/>
        <v>0.33333333333333331</v>
      </c>
    </row>
    <row r="75" spans="1:15" s="49" customFormat="1" ht="13.5" customHeight="1" x14ac:dyDescent="0.3">
      <c r="A75" s="56" t="s">
        <v>177</v>
      </c>
      <c r="B75" s="84" t="s">
        <v>178</v>
      </c>
      <c r="C75" s="57" t="s">
        <v>252</v>
      </c>
      <c r="D75" s="681">
        <v>513</v>
      </c>
      <c r="E75" s="682">
        <v>395</v>
      </c>
      <c r="F75" s="683">
        <v>105</v>
      </c>
      <c r="G75" s="680">
        <v>13</v>
      </c>
      <c r="H75" s="681">
        <v>231</v>
      </c>
      <c r="I75" s="682">
        <v>139</v>
      </c>
      <c r="J75" s="683">
        <v>85</v>
      </c>
      <c r="K75" s="680">
        <v>7</v>
      </c>
      <c r="L75" s="121">
        <f t="shared" si="8"/>
        <v>0.45029239766081869</v>
      </c>
      <c r="M75" s="122">
        <f t="shared" si="9"/>
        <v>0.35189873417721518</v>
      </c>
      <c r="N75" s="122">
        <f t="shared" si="10"/>
        <v>0.80952380952380953</v>
      </c>
      <c r="O75" s="123">
        <f t="shared" si="11"/>
        <v>0.53846153846153844</v>
      </c>
    </row>
    <row r="76" spans="1:15" s="49" customFormat="1" ht="13.5" customHeight="1" x14ac:dyDescent="0.3">
      <c r="A76" s="56" t="s">
        <v>181</v>
      </c>
      <c r="B76" s="84" t="s">
        <v>182</v>
      </c>
      <c r="C76" s="57" t="s">
        <v>253</v>
      </c>
      <c r="D76" s="681">
        <v>263</v>
      </c>
      <c r="E76" s="682">
        <v>251</v>
      </c>
      <c r="F76" s="683">
        <v>6</v>
      </c>
      <c r="G76" s="680">
        <v>6</v>
      </c>
      <c r="H76" s="681">
        <v>51</v>
      </c>
      <c r="I76" s="682">
        <v>46</v>
      </c>
      <c r="J76" s="683">
        <v>2</v>
      </c>
      <c r="K76" s="680">
        <v>3</v>
      </c>
      <c r="L76" s="121">
        <f t="shared" si="8"/>
        <v>0.19391634980988592</v>
      </c>
      <c r="M76" s="122">
        <f t="shared" si="9"/>
        <v>0.18326693227091634</v>
      </c>
      <c r="N76" s="122">
        <f t="shared" si="10"/>
        <v>0.33333333333333331</v>
      </c>
      <c r="O76" s="123">
        <f t="shared" si="11"/>
        <v>0.5</v>
      </c>
    </row>
    <row r="77" spans="1:15" s="49" customFormat="1" ht="13.5" customHeight="1" x14ac:dyDescent="0.3">
      <c r="A77" s="56" t="s">
        <v>183</v>
      </c>
      <c r="B77" s="84" t="s">
        <v>184</v>
      </c>
      <c r="C77" s="57" t="s">
        <v>253</v>
      </c>
      <c r="D77" s="681">
        <v>229</v>
      </c>
      <c r="E77" s="682">
        <v>133</v>
      </c>
      <c r="F77" s="683">
        <v>91</v>
      </c>
      <c r="G77" s="680">
        <v>5</v>
      </c>
      <c r="H77" s="681">
        <v>119</v>
      </c>
      <c r="I77" s="682">
        <v>44</v>
      </c>
      <c r="J77" s="683">
        <v>74</v>
      </c>
      <c r="K77" s="680">
        <v>1</v>
      </c>
      <c r="L77" s="121">
        <f t="shared" si="8"/>
        <v>0.51965065502183405</v>
      </c>
      <c r="M77" s="122">
        <f t="shared" si="9"/>
        <v>0.33082706766917291</v>
      </c>
      <c r="N77" s="122">
        <f t="shared" si="10"/>
        <v>0.81318681318681318</v>
      </c>
      <c r="O77" s="123">
        <f t="shared" si="11"/>
        <v>0.2</v>
      </c>
    </row>
    <row r="78" spans="1:15" s="49" customFormat="1" ht="13.5" customHeight="1" x14ac:dyDescent="0.3">
      <c r="A78" s="56" t="s">
        <v>185</v>
      </c>
      <c r="B78" s="84" t="s">
        <v>186</v>
      </c>
      <c r="C78" s="57" t="s">
        <v>251</v>
      </c>
      <c r="D78" s="681">
        <v>331</v>
      </c>
      <c r="E78" s="682">
        <v>215</v>
      </c>
      <c r="F78" s="683">
        <v>95</v>
      </c>
      <c r="G78" s="680">
        <v>21</v>
      </c>
      <c r="H78" s="681">
        <v>115</v>
      </c>
      <c r="I78" s="682">
        <v>52</v>
      </c>
      <c r="J78" s="683">
        <v>58</v>
      </c>
      <c r="K78" s="680">
        <v>5</v>
      </c>
      <c r="L78" s="121">
        <f t="shared" si="8"/>
        <v>0.34743202416918428</v>
      </c>
      <c r="M78" s="122">
        <f t="shared" si="9"/>
        <v>0.24186046511627907</v>
      </c>
      <c r="N78" s="122">
        <f t="shared" si="10"/>
        <v>0.61052631578947369</v>
      </c>
      <c r="O78" s="123">
        <f t="shared" si="11"/>
        <v>0.23809523809523808</v>
      </c>
    </row>
    <row r="79" spans="1:15" s="49" customFormat="1" ht="13.5" customHeight="1" x14ac:dyDescent="0.3">
      <c r="A79" s="56" t="s">
        <v>187</v>
      </c>
      <c r="B79" s="84" t="s">
        <v>188</v>
      </c>
      <c r="C79" s="57" t="s">
        <v>254</v>
      </c>
      <c r="D79" s="681">
        <v>6390</v>
      </c>
      <c r="E79" s="682">
        <v>3238</v>
      </c>
      <c r="F79" s="683">
        <v>1436</v>
      </c>
      <c r="G79" s="680">
        <v>1716</v>
      </c>
      <c r="H79" s="681">
        <v>1941</v>
      </c>
      <c r="I79" s="682">
        <v>816</v>
      </c>
      <c r="J79" s="683">
        <v>608</v>
      </c>
      <c r="K79" s="680">
        <v>517</v>
      </c>
      <c r="L79" s="121">
        <f t="shared" si="8"/>
        <v>0.30375586854460096</v>
      </c>
      <c r="M79" s="122">
        <f t="shared" si="9"/>
        <v>0.25200741198270538</v>
      </c>
      <c r="N79" s="122">
        <f t="shared" si="10"/>
        <v>0.42339832869080779</v>
      </c>
      <c r="O79" s="123">
        <f t="shared" si="11"/>
        <v>0.30128205128205127</v>
      </c>
    </row>
    <row r="80" spans="1:15" s="49" customFormat="1" ht="13.5" customHeight="1" x14ac:dyDescent="0.3">
      <c r="A80" s="56" t="s">
        <v>189</v>
      </c>
      <c r="B80" s="84" t="s">
        <v>190</v>
      </c>
      <c r="C80" s="57" t="s">
        <v>255</v>
      </c>
      <c r="D80" s="681">
        <v>308</v>
      </c>
      <c r="E80" s="682">
        <v>288</v>
      </c>
      <c r="F80" s="683">
        <v>18</v>
      </c>
      <c r="G80" s="680">
        <v>2</v>
      </c>
      <c r="H80" s="681">
        <v>162</v>
      </c>
      <c r="I80" s="682">
        <v>149</v>
      </c>
      <c r="J80" s="683">
        <v>13</v>
      </c>
      <c r="K80" s="680">
        <v>0</v>
      </c>
      <c r="L80" s="121">
        <f t="shared" si="8"/>
        <v>0.52597402597402598</v>
      </c>
      <c r="M80" s="122">
        <f t="shared" si="9"/>
        <v>0.51736111111111116</v>
      </c>
      <c r="N80" s="122">
        <f t="shared" si="10"/>
        <v>0.72222222222222221</v>
      </c>
      <c r="O80" s="123">
        <f t="shared" si="11"/>
        <v>0</v>
      </c>
    </row>
    <row r="81" spans="1:15" s="49" customFormat="1" ht="13.5" customHeight="1" x14ac:dyDescent="0.3">
      <c r="A81" s="56" t="s">
        <v>193</v>
      </c>
      <c r="B81" s="84" t="s">
        <v>194</v>
      </c>
      <c r="C81" s="57" t="s">
        <v>254</v>
      </c>
      <c r="D81" s="681">
        <v>48</v>
      </c>
      <c r="E81" s="682">
        <v>48</v>
      </c>
      <c r="F81" s="683">
        <v>0</v>
      </c>
      <c r="G81" s="680">
        <v>0</v>
      </c>
      <c r="H81" s="681">
        <v>17</v>
      </c>
      <c r="I81" s="682">
        <v>17</v>
      </c>
      <c r="J81" s="683">
        <v>0</v>
      </c>
      <c r="K81" s="680">
        <v>0</v>
      </c>
      <c r="L81" s="121">
        <f t="shared" si="8"/>
        <v>0.35416666666666669</v>
      </c>
      <c r="M81" s="122">
        <f t="shared" si="9"/>
        <v>0.35416666666666669</v>
      </c>
      <c r="N81" s="122" t="str">
        <f t="shared" si="10"/>
        <v>NA</v>
      </c>
      <c r="O81" s="123" t="str">
        <f t="shared" si="11"/>
        <v>NA</v>
      </c>
    </row>
    <row r="82" spans="1:15" s="49" customFormat="1" ht="13.5" customHeight="1" x14ac:dyDescent="0.3">
      <c r="A82" s="56" t="s">
        <v>197</v>
      </c>
      <c r="B82" s="84" t="s">
        <v>259</v>
      </c>
      <c r="C82" s="57" t="s">
        <v>253</v>
      </c>
      <c r="D82" s="681">
        <v>69</v>
      </c>
      <c r="E82" s="682">
        <v>42</v>
      </c>
      <c r="F82" s="683">
        <v>25</v>
      </c>
      <c r="G82" s="680">
        <v>2</v>
      </c>
      <c r="H82" s="681">
        <v>37</v>
      </c>
      <c r="I82" s="682">
        <v>17</v>
      </c>
      <c r="J82" s="683">
        <v>19</v>
      </c>
      <c r="K82" s="680">
        <v>1</v>
      </c>
      <c r="L82" s="121">
        <f t="shared" si="8"/>
        <v>0.53623188405797106</v>
      </c>
      <c r="M82" s="122">
        <f t="shared" si="9"/>
        <v>0.40476190476190477</v>
      </c>
      <c r="N82" s="122">
        <f t="shared" si="10"/>
        <v>0.76</v>
      </c>
      <c r="O82" s="123">
        <f t="shared" si="11"/>
        <v>0.5</v>
      </c>
    </row>
    <row r="83" spans="1:15" s="49" customFormat="1" ht="13.5" customHeight="1" x14ac:dyDescent="0.3">
      <c r="A83" s="56" t="s">
        <v>201</v>
      </c>
      <c r="B83" s="84" t="s">
        <v>276</v>
      </c>
      <c r="C83" s="57" t="s">
        <v>252</v>
      </c>
      <c r="D83" s="681">
        <v>968</v>
      </c>
      <c r="E83" s="682">
        <v>827</v>
      </c>
      <c r="F83" s="683">
        <v>78</v>
      </c>
      <c r="G83" s="680">
        <v>63</v>
      </c>
      <c r="H83" s="681">
        <v>288</v>
      </c>
      <c r="I83" s="682">
        <v>228</v>
      </c>
      <c r="J83" s="683">
        <v>49</v>
      </c>
      <c r="K83" s="680">
        <v>11</v>
      </c>
      <c r="L83" s="121">
        <f t="shared" si="8"/>
        <v>0.2975206611570248</v>
      </c>
      <c r="M83" s="122">
        <f t="shared" si="9"/>
        <v>0.27569528415961309</v>
      </c>
      <c r="N83" s="122">
        <f t="shared" si="10"/>
        <v>0.62820512820512819</v>
      </c>
      <c r="O83" s="123">
        <f t="shared" si="11"/>
        <v>0.17460317460317459</v>
      </c>
    </row>
    <row r="84" spans="1:15" s="49" customFormat="1" ht="13.5" customHeight="1" x14ac:dyDescent="0.3">
      <c r="A84" s="56" t="s">
        <v>203</v>
      </c>
      <c r="B84" s="84" t="s">
        <v>269</v>
      </c>
      <c r="C84" s="57" t="s">
        <v>252</v>
      </c>
      <c r="D84" s="681">
        <v>317</v>
      </c>
      <c r="E84" s="682">
        <v>301</v>
      </c>
      <c r="F84" s="683">
        <v>12</v>
      </c>
      <c r="G84" s="680">
        <v>4</v>
      </c>
      <c r="H84" s="681">
        <v>139</v>
      </c>
      <c r="I84" s="682">
        <v>127</v>
      </c>
      <c r="J84" s="683">
        <v>10</v>
      </c>
      <c r="K84" s="680">
        <v>2</v>
      </c>
      <c r="L84" s="121">
        <f t="shared" si="8"/>
        <v>0.43848580441640378</v>
      </c>
      <c r="M84" s="122">
        <f t="shared" si="9"/>
        <v>0.42192691029900331</v>
      </c>
      <c r="N84" s="122">
        <f t="shared" si="10"/>
        <v>0.83333333333333337</v>
      </c>
      <c r="O84" s="123">
        <f t="shared" si="11"/>
        <v>0.5</v>
      </c>
    </row>
    <row r="85" spans="1:15" s="49" customFormat="1" ht="13.5" customHeight="1" x14ac:dyDescent="0.3">
      <c r="A85" s="56" t="s">
        <v>205</v>
      </c>
      <c r="B85" s="84" t="s">
        <v>270</v>
      </c>
      <c r="C85" s="57" t="s">
        <v>254</v>
      </c>
      <c r="D85" s="681">
        <v>1459</v>
      </c>
      <c r="E85" s="682">
        <v>1213</v>
      </c>
      <c r="F85" s="683">
        <v>83</v>
      </c>
      <c r="G85" s="680">
        <v>163</v>
      </c>
      <c r="H85" s="681">
        <v>513</v>
      </c>
      <c r="I85" s="682">
        <v>380</v>
      </c>
      <c r="J85" s="683">
        <v>40</v>
      </c>
      <c r="K85" s="680">
        <v>93</v>
      </c>
      <c r="L85" s="121">
        <f t="shared" si="8"/>
        <v>0.35161069225496916</v>
      </c>
      <c r="M85" s="122">
        <f t="shared" si="9"/>
        <v>0.31327287716405605</v>
      </c>
      <c r="N85" s="122">
        <f t="shared" si="10"/>
        <v>0.48192771084337349</v>
      </c>
      <c r="O85" s="123">
        <f t="shared" si="11"/>
        <v>0.57055214723926384</v>
      </c>
    </row>
    <row r="86" spans="1:15" s="49" customFormat="1" ht="13.5" customHeight="1" x14ac:dyDescent="0.3">
      <c r="A86" s="56" t="s">
        <v>207</v>
      </c>
      <c r="B86" s="84" t="s">
        <v>208</v>
      </c>
      <c r="C86" s="57" t="s">
        <v>255</v>
      </c>
      <c r="D86" s="681">
        <v>271</v>
      </c>
      <c r="E86" s="682">
        <v>266</v>
      </c>
      <c r="F86" s="683">
        <v>1</v>
      </c>
      <c r="G86" s="680">
        <v>4</v>
      </c>
      <c r="H86" s="681">
        <v>99</v>
      </c>
      <c r="I86" s="682">
        <v>98</v>
      </c>
      <c r="J86" s="683">
        <v>1</v>
      </c>
      <c r="K86" s="680">
        <v>0</v>
      </c>
      <c r="L86" s="121">
        <f t="shared" si="8"/>
        <v>0.36531365313653136</v>
      </c>
      <c r="M86" s="122">
        <f t="shared" si="9"/>
        <v>0.36842105263157893</v>
      </c>
      <c r="N86" s="122">
        <f t="shared" si="10"/>
        <v>1</v>
      </c>
      <c r="O86" s="123">
        <f t="shared" si="11"/>
        <v>0</v>
      </c>
    </row>
    <row r="87" spans="1:15" s="49" customFormat="1" ht="13.5" customHeight="1" x14ac:dyDescent="0.3">
      <c r="A87" s="56" t="s">
        <v>209</v>
      </c>
      <c r="B87" s="84" t="s">
        <v>210</v>
      </c>
      <c r="C87" s="57" t="s">
        <v>255</v>
      </c>
      <c r="D87" s="681">
        <v>157</v>
      </c>
      <c r="E87" s="682">
        <v>154</v>
      </c>
      <c r="F87" s="683">
        <v>1</v>
      </c>
      <c r="G87" s="680">
        <v>2</v>
      </c>
      <c r="H87" s="681">
        <v>56</v>
      </c>
      <c r="I87" s="682">
        <v>55</v>
      </c>
      <c r="J87" s="683">
        <v>0</v>
      </c>
      <c r="K87" s="680">
        <v>1</v>
      </c>
      <c r="L87" s="121">
        <f t="shared" si="8"/>
        <v>0.35668789808917195</v>
      </c>
      <c r="M87" s="122">
        <f t="shared" si="9"/>
        <v>0.35714285714285715</v>
      </c>
      <c r="N87" s="122">
        <f t="shared" si="10"/>
        <v>0</v>
      </c>
      <c r="O87" s="123">
        <f t="shared" si="11"/>
        <v>0.5</v>
      </c>
    </row>
    <row r="88" spans="1:15" s="49" customFormat="1" ht="13.5" customHeight="1" x14ac:dyDescent="0.3">
      <c r="A88" s="56" t="s">
        <v>211</v>
      </c>
      <c r="B88" s="84" t="s">
        <v>212</v>
      </c>
      <c r="C88" s="57" t="s">
        <v>254</v>
      </c>
      <c r="D88" s="681">
        <v>478</v>
      </c>
      <c r="E88" s="682">
        <v>440</v>
      </c>
      <c r="F88" s="683">
        <v>20</v>
      </c>
      <c r="G88" s="680">
        <v>18</v>
      </c>
      <c r="H88" s="681">
        <v>198</v>
      </c>
      <c r="I88" s="682">
        <v>185</v>
      </c>
      <c r="J88" s="683">
        <v>7</v>
      </c>
      <c r="K88" s="680">
        <v>6</v>
      </c>
      <c r="L88" s="121">
        <f t="shared" si="8"/>
        <v>0.41422594142259417</v>
      </c>
      <c r="M88" s="122">
        <f t="shared" si="9"/>
        <v>0.42045454545454547</v>
      </c>
      <c r="N88" s="122">
        <f t="shared" si="10"/>
        <v>0.35</v>
      </c>
      <c r="O88" s="123">
        <f t="shared" si="11"/>
        <v>0.33333333333333331</v>
      </c>
    </row>
    <row r="89" spans="1:15" s="49" customFormat="1" ht="13.5" customHeight="1" x14ac:dyDescent="0.3">
      <c r="A89" s="56" t="s">
        <v>213</v>
      </c>
      <c r="B89" s="84" t="s">
        <v>214</v>
      </c>
      <c r="C89" s="57" t="s">
        <v>255</v>
      </c>
      <c r="D89" s="681">
        <v>233</v>
      </c>
      <c r="E89" s="682">
        <v>223</v>
      </c>
      <c r="F89" s="683">
        <v>4</v>
      </c>
      <c r="G89" s="680">
        <v>6</v>
      </c>
      <c r="H89" s="681">
        <v>93</v>
      </c>
      <c r="I89" s="682">
        <v>89</v>
      </c>
      <c r="J89" s="683">
        <v>3</v>
      </c>
      <c r="K89" s="680">
        <v>1</v>
      </c>
      <c r="L89" s="121">
        <f t="shared" si="8"/>
        <v>0.39914163090128757</v>
      </c>
      <c r="M89" s="122">
        <f t="shared" si="9"/>
        <v>0.3991031390134529</v>
      </c>
      <c r="N89" s="122">
        <f t="shared" si="10"/>
        <v>0.75</v>
      </c>
      <c r="O89" s="123">
        <f t="shared" si="11"/>
        <v>0.16666666666666666</v>
      </c>
    </row>
    <row r="90" spans="1:15" s="49" customFormat="1" ht="13.5" customHeight="1" x14ac:dyDescent="0.3">
      <c r="A90" s="56" t="s">
        <v>215</v>
      </c>
      <c r="B90" s="84" t="s">
        <v>216</v>
      </c>
      <c r="C90" s="57" t="s">
        <v>251</v>
      </c>
      <c r="D90" s="681">
        <v>122</v>
      </c>
      <c r="E90" s="682">
        <v>75</v>
      </c>
      <c r="F90" s="683">
        <v>46</v>
      </c>
      <c r="G90" s="680">
        <v>1</v>
      </c>
      <c r="H90" s="681">
        <v>64</v>
      </c>
      <c r="I90" s="682">
        <v>29</v>
      </c>
      <c r="J90" s="683">
        <v>35</v>
      </c>
      <c r="K90" s="680">
        <v>0</v>
      </c>
      <c r="L90" s="121">
        <f t="shared" si="8"/>
        <v>0.52459016393442626</v>
      </c>
      <c r="M90" s="122">
        <f t="shared" si="9"/>
        <v>0.38666666666666666</v>
      </c>
      <c r="N90" s="122">
        <f t="shared" si="10"/>
        <v>0.76086956521739135</v>
      </c>
      <c r="O90" s="123">
        <f t="shared" si="11"/>
        <v>0</v>
      </c>
    </row>
    <row r="91" spans="1:15" s="49" customFormat="1" ht="13.5" customHeight="1" x14ac:dyDescent="0.3">
      <c r="A91" s="56" t="s">
        <v>217</v>
      </c>
      <c r="B91" s="84" t="s">
        <v>218</v>
      </c>
      <c r="C91" s="57" t="s">
        <v>254</v>
      </c>
      <c r="D91" s="681">
        <v>1568</v>
      </c>
      <c r="E91" s="682">
        <v>1080</v>
      </c>
      <c r="F91" s="683">
        <v>268</v>
      </c>
      <c r="G91" s="680">
        <v>220</v>
      </c>
      <c r="H91" s="681">
        <v>575</v>
      </c>
      <c r="I91" s="682">
        <v>323</v>
      </c>
      <c r="J91" s="683">
        <v>156</v>
      </c>
      <c r="K91" s="680">
        <v>96</v>
      </c>
      <c r="L91" s="121">
        <f t="shared" si="8"/>
        <v>0.36670918367346939</v>
      </c>
      <c r="M91" s="122">
        <f t="shared" si="9"/>
        <v>0.29907407407407405</v>
      </c>
      <c r="N91" s="122">
        <f t="shared" si="10"/>
        <v>0.58208955223880599</v>
      </c>
      <c r="O91" s="123">
        <f t="shared" si="11"/>
        <v>0.43636363636363634</v>
      </c>
    </row>
    <row r="92" spans="1:15" s="49" customFormat="1" ht="13.5" customHeight="1" x14ac:dyDescent="0.3">
      <c r="A92" s="56" t="s">
        <v>219</v>
      </c>
      <c r="B92" s="84" t="s">
        <v>220</v>
      </c>
      <c r="C92" s="57" t="s">
        <v>254</v>
      </c>
      <c r="D92" s="681">
        <v>1764</v>
      </c>
      <c r="E92" s="682">
        <v>1086</v>
      </c>
      <c r="F92" s="683">
        <v>382</v>
      </c>
      <c r="G92" s="680">
        <v>296</v>
      </c>
      <c r="H92" s="681">
        <v>565</v>
      </c>
      <c r="I92" s="682">
        <v>279</v>
      </c>
      <c r="J92" s="683">
        <v>196</v>
      </c>
      <c r="K92" s="680">
        <v>90</v>
      </c>
      <c r="L92" s="121">
        <f t="shared" si="8"/>
        <v>0.32029478458049887</v>
      </c>
      <c r="M92" s="122">
        <f t="shared" si="9"/>
        <v>0.25690607734806631</v>
      </c>
      <c r="N92" s="122">
        <f t="shared" si="10"/>
        <v>0.51308900523560208</v>
      </c>
      <c r="O92" s="123">
        <f t="shared" si="11"/>
        <v>0.30405405405405406</v>
      </c>
    </row>
    <row r="93" spans="1:15" s="49" customFormat="1" ht="13.5" customHeight="1" x14ac:dyDescent="0.3">
      <c r="A93" s="56" t="s">
        <v>223</v>
      </c>
      <c r="B93" s="84" t="s">
        <v>224</v>
      </c>
      <c r="C93" s="57" t="s">
        <v>251</v>
      </c>
      <c r="D93" s="681">
        <v>64</v>
      </c>
      <c r="E93" s="682">
        <v>39</v>
      </c>
      <c r="F93" s="683">
        <v>25</v>
      </c>
      <c r="G93" s="680">
        <v>0</v>
      </c>
      <c r="H93" s="681">
        <v>35</v>
      </c>
      <c r="I93" s="682">
        <v>13</v>
      </c>
      <c r="J93" s="683">
        <v>22</v>
      </c>
      <c r="K93" s="680">
        <v>0</v>
      </c>
      <c r="L93" s="121">
        <f t="shared" si="8"/>
        <v>0.546875</v>
      </c>
      <c r="M93" s="122">
        <f t="shared" si="9"/>
        <v>0.33333333333333331</v>
      </c>
      <c r="N93" s="122">
        <f t="shared" si="10"/>
        <v>0.88</v>
      </c>
      <c r="O93" s="123" t="str">
        <f t="shared" si="11"/>
        <v>NA</v>
      </c>
    </row>
    <row r="94" spans="1:15" s="49" customFormat="1" ht="13.5" customHeight="1" x14ac:dyDescent="0.3">
      <c r="A94" s="56" t="s">
        <v>225</v>
      </c>
      <c r="B94" s="84" t="s">
        <v>226</v>
      </c>
      <c r="C94" s="57" t="s">
        <v>251</v>
      </c>
      <c r="D94" s="681">
        <v>79</v>
      </c>
      <c r="E94" s="682">
        <v>39</v>
      </c>
      <c r="F94" s="683">
        <v>39</v>
      </c>
      <c r="G94" s="680">
        <v>1</v>
      </c>
      <c r="H94" s="681">
        <v>54</v>
      </c>
      <c r="I94" s="682">
        <v>20</v>
      </c>
      <c r="J94" s="683">
        <v>34</v>
      </c>
      <c r="K94" s="680">
        <v>0</v>
      </c>
      <c r="L94" s="121">
        <f t="shared" si="8"/>
        <v>0.68354430379746833</v>
      </c>
      <c r="M94" s="122">
        <f t="shared" si="9"/>
        <v>0.51282051282051277</v>
      </c>
      <c r="N94" s="122">
        <f t="shared" si="10"/>
        <v>0.87179487179487181</v>
      </c>
      <c r="O94" s="123">
        <f t="shared" si="11"/>
        <v>0</v>
      </c>
    </row>
    <row r="95" spans="1:15" s="49" customFormat="1" ht="13.5" customHeight="1" x14ac:dyDescent="0.3">
      <c r="A95" s="56" t="s">
        <v>227</v>
      </c>
      <c r="B95" s="84" t="s">
        <v>228</v>
      </c>
      <c r="C95" s="57" t="s">
        <v>255</v>
      </c>
      <c r="D95" s="681">
        <v>372</v>
      </c>
      <c r="E95" s="682">
        <v>363</v>
      </c>
      <c r="F95" s="683">
        <v>5</v>
      </c>
      <c r="G95" s="680">
        <v>4</v>
      </c>
      <c r="H95" s="681">
        <v>147</v>
      </c>
      <c r="I95" s="682">
        <v>140</v>
      </c>
      <c r="J95" s="683">
        <v>5</v>
      </c>
      <c r="K95" s="680">
        <v>2</v>
      </c>
      <c r="L95" s="121">
        <f t="shared" si="8"/>
        <v>0.39516129032258063</v>
      </c>
      <c r="M95" s="122">
        <f t="shared" si="9"/>
        <v>0.38567493112947659</v>
      </c>
      <c r="N95" s="122">
        <f t="shared" si="10"/>
        <v>1</v>
      </c>
      <c r="O95" s="123">
        <f t="shared" si="11"/>
        <v>0.5</v>
      </c>
    </row>
    <row r="96" spans="1:15" s="49" customFormat="1" ht="13.5" customHeight="1" x14ac:dyDescent="0.3">
      <c r="A96" s="56" t="s">
        <v>231</v>
      </c>
      <c r="B96" s="84" t="s">
        <v>232</v>
      </c>
      <c r="C96" s="57" t="s">
        <v>254</v>
      </c>
      <c r="D96" s="681">
        <v>508</v>
      </c>
      <c r="E96" s="682">
        <v>463</v>
      </c>
      <c r="F96" s="683">
        <v>25</v>
      </c>
      <c r="G96" s="680">
        <v>20</v>
      </c>
      <c r="H96" s="681">
        <v>203</v>
      </c>
      <c r="I96" s="682">
        <v>179</v>
      </c>
      <c r="J96" s="683">
        <v>18</v>
      </c>
      <c r="K96" s="680">
        <v>6</v>
      </c>
      <c r="L96" s="121">
        <f t="shared" si="8"/>
        <v>0.39960629921259844</v>
      </c>
      <c r="M96" s="122">
        <f t="shared" si="9"/>
        <v>0.38660907127429806</v>
      </c>
      <c r="N96" s="122">
        <f t="shared" si="10"/>
        <v>0.72</v>
      </c>
      <c r="O96" s="123">
        <f t="shared" si="11"/>
        <v>0.3</v>
      </c>
    </row>
    <row r="97" spans="1:15" s="49" customFormat="1" ht="13.5" customHeight="1" x14ac:dyDescent="0.3">
      <c r="A97" s="56" t="s">
        <v>233</v>
      </c>
      <c r="B97" s="84" t="s">
        <v>234</v>
      </c>
      <c r="C97" s="57" t="s">
        <v>255</v>
      </c>
      <c r="D97" s="681">
        <v>461</v>
      </c>
      <c r="E97" s="682">
        <v>446</v>
      </c>
      <c r="F97" s="683">
        <v>10</v>
      </c>
      <c r="G97" s="680">
        <v>5</v>
      </c>
      <c r="H97" s="681">
        <v>181</v>
      </c>
      <c r="I97" s="682">
        <v>170</v>
      </c>
      <c r="J97" s="683">
        <v>9</v>
      </c>
      <c r="K97" s="680">
        <v>2</v>
      </c>
      <c r="L97" s="121">
        <f t="shared" si="8"/>
        <v>0.3926247288503254</v>
      </c>
      <c r="M97" s="122">
        <f t="shared" si="9"/>
        <v>0.3811659192825112</v>
      </c>
      <c r="N97" s="122">
        <f t="shared" si="10"/>
        <v>0.9</v>
      </c>
      <c r="O97" s="123">
        <f t="shared" si="11"/>
        <v>0.4</v>
      </c>
    </row>
    <row r="98" spans="1:15" s="49" customFormat="1" ht="13.5" customHeight="1" x14ac:dyDescent="0.3">
      <c r="A98" s="56" t="s">
        <v>235</v>
      </c>
      <c r="B98" s="84" t="s">
        <v>236</v>
      </c>
      <c r="C98" s="57" t="s">
        <v>253</v>
      </c>
      <c r="D98" s="681">
        <v>186</v>
      </c>
      <c r="E98" s="682">
        <v>122</v>
      </c>
      <c r="F98" s="683">
        <v>48</v>
      </c>
      <c r="G98" s="680">
        <v>16</v>
      </c>
      <c r="H98" s="681">
        <v>87</v>
      </c>
      <c r="I98" s="682">
        <v>48</v>
      </c>
      <c r="J98" s="683">
        <v>32</v>
      </c>
      <c r="K98" s="680">
        <v>7</v>
      </c>
      <c r="L98" s="121">
        <f t="shared" si="8"/>
        <v>0.46774193548387094</v>
      </c>
      <c r="M98" s="122">
        <f t="shared" si="9"/>
        <v>0.39344262295081966</v>
      </c>
      <c r="N98" s="122">
        <f t="shared" si="10"/>
        <v>0.66666666666666663</v>
      </c>
      <c r="O98" s="123">
        <f t="shared" si="11"/>
        <v>0.4375</v>
      </c>
    </row>
    <row r="99" spans="1:15" s="49" customFormat="1" ht="13.5" customHeight="1" x14ac:dyDescent="0.3">
      <c r="A99" s="56" t="s">
        <v>241</v>
      </c>
      <c r="B99" s="84" t="s">
        <v>242</v>
      </c>
      <c r="C99" s="57" t="s">
        <v>255</v>
      </c>
      <c r="D99" s="681">
        <v>373</v>
      </c>
      <c r="E99" s="682">
        <v>369</v>
      </c>
      <c r="F99" s="683">
        <v>2</v>
      </c>
      <c r="G99" s="680">
        <v>2</v>
      </c>
      <c r="H99" s="681">
        <v>181</v>
      </c>
      <c r="I99" s="682">
        <v>180</v>
      </c>
      <c r="J99" s="683">
        <v>1</v>
      </c>
      <c r="K99" s="680">
        <v>0</v>
      </c>
      <c r="L99" s="121">
        <f t="shared" si="8"/>
        <v>0.48525469168900803</v>
      </c>
      <c r="M99" s="122">
        <f t="shared" si="9"/>
        <v>0.48780487804878048</v>
      </c>
      <c r="N99" s="122">
        <f t="shared" si="10"/>
        <v>0.5</v>
      </c>
      <c r="O99" s="123">
        <f t="shared" si="11"/>
        <v>0</v>
      </c>
    </row>
    <row r="100" spans="1:15" s="49" customFormat="1" ht="13.5" customHeight="1" x14ac:dyDescent="0.3">
      <c r="A100" s="56" t="s">
        <v>243</v>
      </c>
      <c r="B100" s="84" t="s">
        <v>244</v>
      </c>
      <c r="C100" s="57" t="s">
        <v>255</v>
      </c>
      <c r="D100" s="681">
        <v>262</v>
      </c>
      <c r="E100" s="682">
        <v>252</v>
      </c>
      <c r="F100" s="683">
        <v>9</v>
      </c>
      <c r="G100" s="680">
        <v>1</v>
      </c>
      <c r="H100" s="681">
        <v>113</v>
      </c>
      <c r="I100" s="682">
        <v>106</v>
      </c>
      <c r="J100" s="683">
        <v>7</v>
      </c>
      <c r="K100" s="680">
        <v>0</v>
      </c>
      <c r="L100" s="121">
        <f t="shared" si="8"/>
        <v>0.43129770992366412</v>
      </c>
      <c r="M100" s="122">
        <f t="shared" si="9"/>
        <v>0.42063492063492064</v>
      </c>
      <c r="N100" s="122">
        <f t="shared" si="10"/>
        <v>0.77777777777777779</v>
      </c>
      <c r="O100" s="123">
        <f t="shared" si="11"/>
        <v>0</v>
      </c>
    </row>
    <row r="101" spans="1:15" s="49" customFormat="1" ht="13.5" customHeight="1" x14ac:dyDescent="0.3">
      <c r="A101" s="56" t="s">
        <v>245</v>
      </c>
      <c r="B101" s="84" t="s">
        <v>246</v>
      </c>
      <c r="C101" s="57" t="s">
        <v>251</v>
      </c>
      <c r="D101" s="681">
        <v>687</v>
      </c>
      <c r="E101" s="682">
        <v>528</v>
      </c>
      <c r="F101" s="683">
        <v>94</v>
      </c>
      <c r="G101" s="680">
        <v>65</v>
      </c>
      <c r="H101" s="681">
        <v>146</v>
      </c>
      <c r="I101" s="682">
        <v>102</v>
      </c>
      <c r="J101" s="683">
        <v>39</v>
      </c>
      <c r="K101" s="680">
        <v>5</v>
      </c>
      <c r="L101" s="121">
        <f t="shared" si="8"/>
        <v>0.21251819505094613</v>
      </c>
      <c r="M101" s="122">
        <f t="shared" si="9"/>
        <v>0.19318181818181818</v>
      </c>
      <c r="N101" s="122">
        <f t="shared" si="10"/>
        <v>0.41489361702127658</v>
      </c>
      <c r="O101" s="123">
        <f t="shared" si="11"/>
        <v>7.6923076923076927E-2</v>
      </c>
    </row>
    <row r="102" spans="1:15" s="49" customFormat="1" ht="13.5" customHeight="1" x14ac:dyDescent="0.3">
      <c r="A102" s="56" t="s">
        <v>13</v>
      </c>
      <c r="B102" s="84" t="s">
        <v>14</v>
      </c>
      <c r="C102" s="57" t="s">
        <v>254</v>
      </c>
      <c r="D102" s="681">
        <v>2496</v>
      </c>
      <c r="E102" s="682">
        <v>1323</v>
      </c>
      <c r="F102" s="683">
        <v>490</v>
      </c>
      <c r="G102" s="680">
        <v>683</v>
      </c>
      <c r="H102" s="681">
        <v>586</v>
      </c>
      <c r="I102" s="682">
        <v>115</v>
      </c>
      <c r="J102" s="683">
        <v>194</v>
      </c>
      <c r="K102" s="680">
        <v>277</v>
      </c>
      <c r="L102" s="121">
        <f t="shared" si="8"/>
        <v>0.23477564102564102</v>
      </c>
      <c r="M102" s="122">
        <f t="shared" si="9"/>
        <v>8.6923658352229774E-2</v>
      </c>
      <c r="N102" s="122">
        <f t="shared" si="10"/>
        <v>0.39591836734693875</v>
      </c>
      <c r="O102" s="123">
        <f t="shared" si="11"/>
        <v>0.4055636896046852</v>
      </c>
    </row>
    <row r="103" spans="1:15" s="49" customFormat="1" ht="13.5" customHeight="1" x14ac:dyDescent="0.3">
      <c r="A103" s="56" t="s">
        <v>33</v>
      </c>
      <c r="B103" s="84" t="s">
        <v>34</v>
      </c>
      <c r="C103" s="57" t="s">
        <v>255</v>
      </c>
      <c r="D103" s="681">
        <v>152</v>
      </c>
      <c r="E103" s="682">
        <v>138</v>
      </c>
      <c r="F103" s="683">
        <v>8</v>
      </c>
      <c r="G103" s="680">
        <v>6</v>
      </c>
      <c r="H103" s="681">
        <v>76</v>
      </c>
      <c r="I103" s="682">
        <v>69</v>
      </c>
      <c r="J103" s="683">
        <v>6</v>
      </c>
      <c r="K103" s="680">
        <v>1</v>
      </c>
      <c r="L103" s="121">
        <f t="shared" ref="L103:L126" si="12">IF(D103=0,"NA",(H103/D103))</f>
        <v>0.5</v>
      </c>
      <c r="M103" s="122">
        <f t="shared" ref="M103:M126" si="13">IF(E103=0,"NA",(I103/E103))</f>
        <v>0.5</v>
      </c>
      <c r="N103" s="122">
        <f t="shared" ref="N103:N126" si="14">IF(F103=0,"NA",(J103/F103))</f>
        <v>0.75</v>
      </c>
      <c r="O103" s="123">
        <f t="shared" ref="O103:O126" si="15">IF(G103=0,"NA",(K103/G103))</f>
        <v>0.16666666666666666</v>
      </c>
    </row>
    <row r="104" spans="1:15" s="49" customFormat="1" ht="13.5" customHeight="1" x14ac:dyDescent="0.3">
      <c r="A104" s="56" t="s">
        <v>51</v>
      </c>
      <c r="B104" s="84" t="s">
        <v>52</v>
      </c>
      <c r="C104" s="57" t="s">
        <v>252</v>
      </c>
      <c r="D104" s="681">
        <v>624</v>
      </c>
      <c r="E104" s="682">
        <v>449</v>
      </c>
      <c r="F104" s="683">
        <v>117</v>
      </c>
      <c r="G104" s="680">
        <v>58</v>
      </c>
      <c r="H104" s="681">
        <v>187</v>
      </c>
      <c r="I104" s="682">
        <v>93</v>
      </c>
      <c r="J104" s="683">
        <v>88</v>
      </c>
      <c r="K104" s="680">
        <v>6</v>
      </c>
      <c r="L104" s="121">
        <f t="shared" si="12"/>
        <v>0.29967948717948717</v>
      </c>
      <c r="M104" s="122">
        <f t="shared" si="13"/>
        <v>0.20712694877505569</v>
      </c>
      <c r="N104" s="122">
        <f t="shared" si="14"/>
        <v>0.75213675213675213</v>
      </c>
      <c r="O104" s="123">
        <f t="shared" si="15"/>
        <v>0.10344827586206896</v>
      </c>
    </row>
    <row r="105" spans="1:15" s="49" customFormat="1" ht="13.5" customHeight="1" x14ac:dyDescent="0.3">
      <c r="A105" s="56" t="s">
        <v>53</v>
      </c>
      <c r="B105" s="84" t="s">
        <v>54</v>
      </c>
      <c r="C105" s="57" t="s">
        <v>251</v>
      </c>
      <c r="D105" s="681">
        <v>2944</v>
      </c>
      <c r="E105" s="682">
        <v>1749</v>
      </c>
      <c r="F105" s="683">
        <v>921</v>
      </c>
      <c r="G105" s="680">
        <v>274</v>
      </c>
      <c r="H105" s="681">
        <v>1058</v>
      </c>
      <c r="I105" s="682">
        <v>407</v>
      </c>
      <c r="J105" s="683">
        <v>569</v>
      </c>
      <c r="K105" s="680">
        <v>82</v>
      </c>
      <c r="L105" s="121">
        <f t="shared" si="12"/>
        <v>0.359375</v>
      </c>
      <c r="M105" s="122">
        <f t="shared" si="13"/>
        <v>0.23270440251572327</v>
      </c>
      <c r="N105" s="122">
        <f t="shared" si="14"/>
        <v>0.61780673181324652</v>
      </c>
      <c r="O105" s="123">
        <f t="shared" si="15"/>
        <v>0.29927007299270075</v>
      </c>
    </row>
    <row r="106" spans="1:15" s="49" customFormat="1" ht="13.5" customHeight="1" x14ac:dyDescent="0.3">
      <c r="A106" s="56" t="s">
        <v>65</v>
      </c>
      <c r="B106" s="84" t="s">
        <v>66</v>
      </c>
      <c r="C106" s="57" t="s">
        <v>252</v>
      </c>
      <c r="D106" s="681">
        <v>431</v>
      </c>
      <c r="E106" s="682">
        <v>157</v>
      </c>
      <c r="F106" s="683">
        <v>247</v>
      </c>
      <c r="G106" s="680">
        <v>27</v>
      </c>
      <c r="H106" s="681">
        <v>293</v>
      </c>
      <c r="I106" s="682">
        <v>77</v>
      </c>
      <c r="J106" s="683">
        <v>202</v>
      </c>
      <c r="K106" s="680">
        <v>14</v>
      </c>
      <c r="L106" s="121">
        <f t="shared" si="12"/>
        <v>0.67981438515081205</v>
      </c>
      <c r="M106" s="122">
        <f t="shared" si="13"/>
        <v>0.49044585987261147</v>
      </c>
      <c r="N106" s="122">
        <f t="shared" si="14"/>
        <v>0.81781376518218618</v>
      </c>
      <c r="O106" s="123">
        <f t="shared" si="15"/>
        <v>0.51851851851851849</v>
      </c>
    </row>
    <row r="107" spans="1:15" s="49" customFormat="1" ht="13.5" customHeight="1" x14ac:dyDescent="0.3">
      <c r="A107" s="56" t="s">
        <v>81</v>
      </c>
      <c r="B107" s="84" t="s">
        <v>82</v>
      </c>
      <c r="C107" s="57" t="s">
        <v>251</v>
      </c>
      <c r="D107" s="681">
        <v>166</v>
      </c>
      <c r="E107" s="682">
        <v>67</v>
      </c>
      <c r="F107" s="683">
        <v>94</v>
      </c>
      <c r="G107" s="680">
        <v>5</v>
      </c>
      <c r="H107" s="681">
        <v>102</v>
      </c>
      <c r="I107" s="682">
        <v>22</v>
      </c>
      <c r="J107" s="683">
        <v>78</v>
      </c>
      <c r="K107" s="680">
        <v>2</v>
      </c>
      <c r="L107" s="121">
        <f t="shared" si="12"/>
        <v>0.61445783132530118</v>
      </c>
      <c r="M107" s="122">
        <f t="shared" si="13"/>
        <v>0.32835820895522388</v>
      </c>
      <c r="N107" s="122">
        <f t="shared" si="14"/>
        <v>0.82978723404255317</v>
      </c>
      <c r="O107" s="123">
        <f t="shared" si="15"/>
        <v>0.4</v>
      </c>
    </row>
    <row r="108" spans="1:15" s="49" customFormat="1" ht="13.5" customHeight="1" x14ac:dyDescent="0.3">
      <c r="A108" s="56" t="s">
        <v>87</v>
      </c>
      <c r="B108" s="84" t="s">
        <v>88</v>
      </c>
      <c r="C108" s="57" t="s">
        <v>254</v>
      </c>
      <c r="D108" s="681">
        <v>359</v>
      </c>
      <c r="E108" s="682">
        <v>197</v>
      </c>
      <c r="F108" s="683">
        <v>114</v>
      </c>
      <c r="G108" s="680">
        <v>48</v>
      </c>
      <c r="H108" s="681">
        <v>178</v>
      </c>
      <c r="I108" s="682">
        <v>66</v>
      </c>
      <c r="J108" s="683">
        <v>89</v>
      </c>
      <c r="K108" s="680">
        <v>23</v>
      </c>
      <c r="L108" s="121">
        <f t="shared" si="12"/>
        <v>0.49582172701949861</v>
      </c>
      <c r="M108" s="122">
        <f t="shared" si="13"/>
        <v>0.3350253807106599</v>
      </c>
      <c r="N108" s="122">
        <f t="shared" si="14"/>
        <v>0.7807017543859649</v>
      </c>
      <c r="O108" s="123">
        <f t="shared" si="15"/>
        <v>0.47916666666666669</v>
      </c>
    </row>
    <row r="109" spans="1:15" s="49" customFormat="1" ht="13.5" customHeight="1" x14ac:dyDescent="0.3">
      <c r="A109" s="56" t="s">
        <v>89</v>
      </c>
      <c r="B109" s="84" t="s">
        <v>90</v>
      </c>
      <c r="C109" s="57" t="s">
        <v>255</v>
      </c>
      <c r="D109" s="681">
        <v>102</v>
      </c>
      <c r="E109" s="682">
        <v>85</v>
      </c>
      <c r="F109" s="683">
        <v>3</v>
      </c>
      <c r="G109" s="680">
        <v>14</v>
      </c>
      <c r="H109" s="681">
        <v>55</v>
      </c>
      <c r="I109" s="682">
        <v>43</v>
      </c>
      <c r="J109" s="683">
        <v>3</v>
      </c>
      <c r="K109" s="680">
        <v>9</v>
      </c>
      <c r="L109" s="121">
        <f t="shared" si="12"/>
        <v>0.53921568627450978</v>
      </c>
      <c r="M109" s="122">
        <f t="shared" si="13"/>
        <v>0.50588235294117645</v>
      </c>
      <c r="N109" s="122">
        <f t="shared" si="14"/>
        <v>1</v>
      </c>
      <c r="O109" s="123">
        <f t="shared" si="15"/>
        <v>0.6428571428571429</v>
      </c>
    </row>
    <row r="110" spans="1:15" s="49" customFormat="1" ht="13.5" customHeight="1" x14ac:dyDescent="0.3">
      <c r="A110" s="56" t="s">
        <v>105</v>
      </c>
      <c r="B110" s="84" t="s">
        <v>106</v>
      </c>
      <c r="C110" s="57" t="s">
        <v>251</v>
      </c>
      <c r="D110" s="681">
        <v>1606</v>
      </c>
      <c r="E110" s="682">
        <v>606</v>
      </c>
      <c r="F110" s="683">
        <v>849</v>
      </c>
      <c r="G110" s="680">
        <v>151</v>
      </c>
      <c r="H110" s="681">
        <v>826</v>
      </c>
      <c r="I110" s="682">
        <v>187</v>
      </c>
      <c r="J110" s="683">
        <v>582</v>
      </c>
      <c r="K110" s="680">
        <v>57</v>
      </c>
      <c r="L110" s="121">
        <f t="shared" si="12"/>
        <v>0.5143212951432129</v>
      </c>
      <c r="M110" s="122">
        <f t="shared" si="13"/>
        <v>0.3085808580858086</v>
      </c>
      <c r="N110" s="122">
        <f t="shared" si="14"/>
        <v>0.68551236749116606</v>
      </c>
      <c r="O110" s="123">
        <f t="shared" si="15"/>
        <v>0.37748344370860926</v>
      </c>
    </row>
    <row r="111" spans="1:15" s="49" customFormat="1" ht="13.5" customHeight="1" x14ac:dyDescent="0.3">
      <c r="A111" s="56" t="s">
        <v>115</v>
      </c>
      <c r="B111" s="84" t="s">
        <v>116</v>
      </c>
      <c r="C111" s="57" t="s">
        <v>253</v>
      </c>
      <c r="D111" s="681">
        <v>353</v>
      </c>
      <c r="E111" s="682">
        <v>168</v>
      </c>
      <c r="F111" s="683">
        <v>176</v>
      </c>
      <c r="G111" s="680">
        <v>9</v>
      </c>
      <c r="H111" s="681">
        <v>226</v>
      </c>
      <c r="I111" s="682">
        <v>79</v>
      </c>
      <c r="J111" s="683">
        <v>144</v>
      </c>
      <c r="K111" s="680">
        <v>3</v>
      </c>
      <c r="L111" s="121">
        <f t="shared" si="12"/>
        <v>0.64022662889518411</v>
      </c>
      <c r="M111" s="122">
        <f t="shared" si="13"/>
        <v>0.47023809523809523</v>
      </c>
      <c r="N111" s="122">
        <f t="shared" si="14"/>
        <v>0.81818181818181823</v>
      </c>
      <c r="O111" s="123">
        <f t="shared" si="15"/>
        <v>0.33333333333333331</v>
      </c>
    </row>
    <row r="112" spans="1:15" s="49" customFormat="1" ht="13.5" customHeight="1" x14ac:dyDescent="0.3">
      <c r="A112" s="56" t="s">
        <v>137</v>
      </c>
      <c r="B112" s="84" t="s">
        <v>138</v>
      </c>
      <c r="C112" s="57" t="s">
        <v>252</v>
      </c>
      <c r="D112" s="681">
        <v>1130</v>
      </c>
      <c r="E112" s="682">
        <v>753</v>
      </c>
      <c r="F112" s="683">
        <v>336</v>
      </c>
      <c r="G112" s="680">
        <v>41</v>
      </c>
      <c r="H112" s="681">
        <v>454</v>
      </c>
      <c r="I112" s="683">
        <v>190</v>
      </c>
      <c r="J112" s="683">
        <v>256</v>
      </c>
      <c r="K112" s="680">
        <v>8</v>
      </c>
      <c r="L112" s="121">
        <f t="shared" si="12"/>
        <v>0.40176991150442476</v>
      </c>
      <c r="M112" s="122">
        <f t="shared" si="13"/>
        <v>0.25232403718459495</v>
      </c>
      <c r="N112" s="122">
        <f t="shared" si="14"/>
        <v>0.76190476190476186</v>
      </c>
      <c r="O112" s="123">
        <f t="shared" si="15"/>
        <v>0.1951219512195122</v>
      </c>
    </row>
    <row r="113" spans="1:15" s="49" customFormat="1" ht="13.5" customHeight="1" x14ac:dyDescent="0.3">
      <c r="A113" s="56" t="s">
        <v>141</v>
      </c>
      <c r="B113" s="84" t="s">
        <v>260</v>
      </c>
      <c r="C113" s="57" t="s">
        <v>254</v>
      </c>
      <c r="D113" s="681">
        <v>704</v>
      </c>
      <c r="E113" s="682">
        <v>492</v>
      </c>
      <c r="F113" s="683">
        <v>90</v>
      </c>
      <c r="G113" s="680">
        <v>122</v>
      </c>
      <c r="H113" s="681">
        <v>315</v>
      </c>
      <c r="I113" s="682">
        <v>221</v>
      </c>
      <c r="J113" s="683">
        <v>51</v>
      </c>
      <c r="K113" s="680">
        <v>43</v>
      </c>
      <c r="L113" s="121">
        <f t="shared" si="12"/>
        <v>0.44744318181818182</v>
      </c>
      <c r="M113" s="122">
        <f t="shared" si="13"/>
        <v>0.44918699186991867</v>
      </c>
      <c r="N113" s="122">
        <f t="shared" si="14"/>
        <v>0.56666666666666665</v>
      </c>
      <c r="O113" s="123">
        <f t="shared" si="15"/>
        <v>0.35245901639344263</v>
      </c>
    </row>
    <row r="114" spans="1:15" s="49" customFormat="1" ht="13.5" customHeight="1" x14ac:dyDescent="0.3">
      <c r="A114" s="56" t="s">
        <v>143</v>
      </c>
      <c r="B114" s="84" t="s">
        <v>144</v>
      </c>
      <c r="C114" s="57" t="s">
        <v>254</v>
      </c>
      <c r="D114" s="681">
        <v>37</v>
      </c>
      <c r="E114" s="682">
        <v>26</v>
      </c>
      <c r="F114" s="683">
        <v>4</v>
      </c>
      <c r="G114" s="680">
        <v>7</v>
      </c>
      <c r="H114" s="681">
        <v>14</v>
      </c>
      <c r="I114" s="682">
        <v>9</v>
      </c>
      <c r="J114" s="683">
        <v>0</v>
      </c>
      <c r="K114" s="680">
        <v>5</v>
      </c>
      <c r="L114" s="121">
        <f t="shared" si="12"/>
        <v>0.3783783783783784</v>
      </c>
      <c r="M114" s="122">
        <f t="shared" si="13"/>
        <v>0.34615384615384615</v>
      </c>
      <c r="N114" s="122">
        <f t="shared" si="14"/>
        <v>0</v>
      </c>
      <c r="O114" s="123">
        <f t="shared" si="15"/>
        <v>0.7142857142857143</v>
      </c>
    </row>
    <row r="115" spans="1:15" s="49" customFormat="1" ht="13.5" customHeight="1" x14ac:dyDescent="0.3">
      <c r="A115" s="56" t="s">
        <v>157</v>
      </c>
      <c r="B115" s="84" t="s">
        <v>158</v>
      </c>
      <c r="C115" s="57" t="s">
        <v>251</v>
      </c>
      <c r="D115" s="681">
        <v>2752</v>
      </c>
      <c r="E115" s="682">
        <v>1003</v>
      </c>
      <c r="F115" s="683">
        <v>1393</v>
      </c>
      <c r="G115" s="680">
        <v>356</v>
      </c>
      <c r="H115" s="681">
        <v>1381</v>
      </c>
      <c r="I115" s="682">
        <v>249</v>
      </c>
      <c r="J115" s="683">
        <v>970</v>
      </c>
      <c r="K115" s="680">
        <v>162</v>
      </c>
      <c r="L115" s="121">
        <f t="shared" si="12"/>
        <v>0.50181686046511631</v>
      </c>
      <c r="M115" s="122">
        <f t="shared" si="13"/>
        <v>0.24825523429710866</v>
      </c>
      <c r="N115" s="122">
        <f t="shared" si="14"/>
        <v>0.69633883704235466</v>
      </c>
      <c r="O115" s="123">
        <f t="shared" si="15"/>
        <v>0.4550561797752809</v>
      </c>
    </row>
    <row r="116" spans="1:15" s="49" customFormat="1" ht="13.5" customHeight="1" x14ac:dyDescent="0.3">
      <c r="A116" s="56" t="s">
        <v>159</v>
      </c>
      <c r="B116" s="84" t="s">
        <v>160</v>
      </c>
      <c r="C116" s="57" t="s">
        <v>251</v>
      </c>
      <c r="D116" s="681">
        <v>3339</v>
      </c>
      <c r="E116" s="682">
        <v>1474</v>
      </c>
      <c r="F116" s="683">
        <v>1519</v>
      </c>
      <c r="G116" s="680">
        <v>346</v>
      </c>
      <c r="H116" s="681">
        <v>1556</v>
      </c>
      <c r="I116" s="682">
        <v>340</v>
      </c>
      <c r="J116" s="683">
        <v>1078</v>
      </c>
      <c r="K116" s="680">
        <v>138</v>
      </c>
      <c r="L116" s="121">
        <f t="shared" si="12"/>
        <v>0.46600778676250376</v>
      </c>
      <c r="M116" s="122">
        <f t="shared" si="13"/>
        <v>0.23066485753052918</v>
      </c>
      <c r="N116" s="122">
        <f t="shared" si="14"/>
        <v>0.70967741935483875</v>
      </c>
      <c r="O116" s="123">
        <f t="shared" si="15"/>
        <v>0.39884393063583817</v>
      </c>
    </row>
    <row r="117" spans="1:15" s="49" customFormat="1" ht="13.5" customHeight="1" x14ac:dyDescent="0.3">
      <c r="A117" s="56" t="s">
        <v>165</v>
      </c>
      <c r="B117" s="84" t="s">
        <v>166</v>
      </c>
      <c r="C117" s="57" t="s">
        <v>255</v>
      </c>
      <c r="D117" s="681">
        <v>49</v>
      </c>
      <c r="E117" s="682">
        <v>46</v>
      </c>
      <c r="F117" s="683">
        <v>3</v>
      </c>
      <c r="G117" s="680">
        <v>0</v>
      </c>
      <c r="H117" s="681">
        <v>34</v>
      </c>
      <c r="I117" s="682">
        <v>33</v>
      </c>
      <c r="J117" s="683">
        <v>1</v>
      </c>
      <c r="K117" s="680">
        <v>0</v>
      </c>
      <c r="L117" s="121">
        <f t="shared" si="12"/>
        <v>0.69387755102040816</v>
      </c>
      <c r="M117" s="122">
        <f t="shared" si="13"/>
        <v>0.71739130434782605</v>
      </c>
      <c r="N117" s="122">
        <f t="shared" si="14"/>
        <v>0.33333333333333331</v>
      </c>
      <c r="O117" s="123" t="str">
        <f t="shared" si="15"/>
        <v>NA</v>
      </c>
    </row>
    <row r="118" spans="1:15" s="49" customFormat="1" ht="13.5" customHeight="1" x14ac:dyDescent="0.3">
      <c r="A118" s="56" t="s">
        <v>175</v>
      </c>
      <c r="B118" s="84" t="s">
        <v>176</v>
      </c>
      <c r="C118" s="57" t="s">
        <v>253</v>
      </c>
      <c r="D118" s="681">
        <v>680</v>
      </c>
      <c r="E118" s="682">
        <v>222</v>
      </c>
      <c r="F118" s="683">
        <v>432</v>
      </c>
      <c r="G118" s="680">
        <v>26</v>
      </c>
      <c r="H118" s="681">
        <v>481</v>
      </c>
      <c r="I118" s="682">
        <v>107</v>
      </c>
      <c r="J118" s="683">
        <v>357</v>
      </c>
      <c r="K118" s="680">
        <v>17</v>
      </c>
      <c r="L118" s="121">
        <f t="shared" si="12"/>
        <v>0.70735294117647063</v>
      </c>
      <c r="M118" s="122">
        <f t="shared" si="13"/>
        <v>0.481981981981982</v>
      </c>
      <c r="N118" s="122">
        <f t="shared" si="14"/>
        <v>0.82638888888888884</v>
      </c>
      <c r="O118" s="123">
        <f t="shared" si="15"/>
        <v>0.65384615384615385</v>
      </c>
    </row>
    <row r="119" spans="1:15" s="49" customFormat="1" ht="13.5" customHeight="1" x14ac:dyDescent="0.3">
      <c r="A119" s="56" t="s">
        <v>179</v>
      </c>
      <c r="B119" s="84" t="s">
        <v>180</v>
      </c>
      <c r="C119" s="57" t="s">
        <v>251</v>
      </c>
      <c r="D119" s="681">
        <v>1475</v>
      </c>
      <c r="E119" s="682">
        <v>515</v>
      </c>
      <c r="F119" s="683">
        <v>895</v>
      </c>
      <c r="G119" s="680">
        <v>65</v>
      </c>
      <c r="H119" s="681">
        <v>825</v>
      </c>
      <c r="I119" s="682">
        <v>145</v>
      </c>
      <c r="J119" s="683">
        <v>654</v>
      </c>
      <c r="K119" s="680">
        <v>26</v>
      </c>
      <c r="L119" s="121">
        <f t="shared" si="12"/>
        <v>0.55932203389830504</v>
      </c>
      <c r="M119" s="122">
        <f t="shared" si="13"/>
        <v>0.28155339805825241</v>
      </c>
      <c r="N119" s="122">
        <f t="shared" si="14"/>
        <v>0.73072625698324023</v>
      </c>
      <c r="O119" s="123">
        <f t="shared" si="15"/>
        <v>0.4</v>
      </c>
    </row>
    <row r="120" spans="1:15" s="49" customFormat="1" ht="13.5" customHeight="1" x14ac:dyDescent="0.3">
      <c r="A120" s="56" t="s">
        <v>191</v>
      </c>
      <c r="B120" s="84" t="s">
        <v>192</v>
      </c>
      <c r="C120" s="57" t="s">
        <v>255</v>
      </c>
      <c r="D120" s="681">
        <v>131</v>
      </c>
      <c r="E120" s="682">
        <v>111</v>
      </c>
      <c r="F120" s="683">
        <v>15</v>
      </c>
      <c r="G120" s="680">
        <v>5</v>
      </c>
      <c r="H120" s="681">
        <v>59</v>
      </c>
      <c r="I120" s="682">
        <v>46</v>
      </c>
      <c r="J120" s="683">
        <v>12</v>
      </c>
      <c r="K120" s="680">
        <v>1</v>
      </c>
      <c r="L120" s="121">
        <f t="shared" si="12"/>
        <v>0.45038167938931295</v>
      </c>
      <c r="M120" s="122">
        <f t="shared" si="13"/>
        <v>0.4144144144144144</v>
      </c>
      <c r="N120" s="122">
        <f t="shared" si="14"/>
        <v>0.8</v>
      </c>
      <c r="O120" s="123">
        <f t="shared" si="15"/>
        <v>0.2</v>
      </c>
    </row>
    <row r="121" spans="1:15" s="49" customFormat="1" ht="13.5" customHeight="1" x14ac:dyDescent="0.3">
      <c r="A121" s="56" t="s">
        <v>195</v>
      </c>
      <c r="B121" s="84" t="s">
        <v>196</v>
      </c>
      <c r="C121" s="57" t="s">
        <v>253</v>
      </c>
      <c r="D121" s="681">
        <v>3092</v>
      </c>
      <c r="E121" s="682">
        <v>1221</v>
      </c>
      <c r="F121" s="683">
        <v>1593</v>
      </c>
      <c r="G121" s="680">
        <v>278</v>
      </c>
      <c r="H121" s="681">
        <v>1854</v>
      </c>
      <c r="I121" s="682">
        <v>371</v>
      </c>
      <c r="J121" s="683">
        <v>1341</v>
      </c>
      <c r="K121" s="680">
        <v>142</v>
      </c>
      <c r="L121" s="121">
        <f t="shared" si="12"/>
        <v>0.59961190168175937</v>
      </c>
      <c r="M121" s="122">
        <f t="shared" si="13"/>
        <v>0.30384930384930386</v>
      </c>
      <c r="N121" s="122">
        <f t="shared" si="14"/>
        <v>0.84180790960451979</v>
      </c>
      <c r="O121" s="123">
        <f t="shared" si="15"/>
        <v>0.51079136690647486</v>
      </c>
    </row>
    <row r="122" spans="1:15" s="49" customFormat="1" ht="13.5" customHeight="1" x14ac:dyDescent="0.3">
      <c r="A122" s="56" t="s">
        <v>199</v>
      </c>
      <c r="B122" s="84" t="s">
        <v>200</v>
      </c>
      <c r="C122" s="57" t="s">
        <v>252</v>
      </c>
      <c r="D122" s="681">
        <v>1470</v>
      </c>
      <c r="E122" s="682">
        <v>965</v>
      </c>
      <c r="F122" s="683">
        <v>451</v>
      </c>
      <c r="G122" s="680">
        <v>54</v>
      </c>
      <c r="H122" s="681">
        <v>815</v>
      </c>
      <c r="I122" s="682">
        <v>452</v>
      </c>
      <c r="J122" s="683">
        <v>348</v>
      </c>
      <c r="K122" s="680">
        <v>15</v>
      </c>
      <c r="L122" s="121">
        <f t="shared" si="12"/>
        <v>0.55442176870748294</v>
      </c>
      <c r="M122" s="122">
        <f t="shared" si="13"/>
        <v>0.46839378238341967</v>
      </c>
      <c r="N122" s="122">
        <f t="shared" si="14"/>
        <v>0.77161862527716185</v>
      </c>
      <c r="O122" s="123">
        <f t="shared" si="15"/>
        <v>0.27777777777777779</v>
      </c>
    </row>
    <row r="123" spans="1:15" s="49" customFormat="1" ht="13.5" customHeight="1" x14ac:dyDescent="0.3">
      <c r="A123" s="56" t="s">
        <v>221</v>
      </c>
      <c r="B123" s="84" t="s">
        <v>222</v>
      </c>
      <c r="C123" s="57" t="s">
        <v>251</v>
      </c>
      <c r="D123" s="681">
        <v>1122</v>
      </c>
      <c r="E123" s="682">
        <v>568</v>
      </c>
      <c r="F123" s="683">
        <v>499</v>
      </c>
      <c r="G123" s="680">
        <v>55</v>
      </c>
      <c r="H123" s="681">
        <v>428</v>
      </c>
      <c r="I123" s="682">
        <v>101</v>
      </c>
      <c r="J123" s="683">
        <v>309</v>
      </c>
      <c r="K123" s="680">
        <v>18</v>
      </c>
      <c r="L123" s="121">
        <f t="shared" si="12"/>
        <v>0.38146167557932265</v>
      </c>
      <c r="M123" s="122">
        <f t="shared" si="13"/>
        <v>0.17781690140845072</v>
      </c>
      <c r="N123" s="122">
        <f t="shared" si="14"/>
        <v>0.61923847695390777</v>
      </c>
      <c r="O123" s="123">
        <f t="shared" si="15"/>
        <v>0.32727272727272727</v>
      </c>
    </row>
    <row r="124" spans="1:15" s="49" customFormat="1" ht="13.5" customHeight="1" x14ac:dyDescent="0.3">
      <c r="A124" s="56" t="s">
        <v>229</v>
      </c>
      <c r="B124" s="84" t="s">
        <v>230</v>
      </c>
      <c r="C124" s="57" t="s">
        <v>251</v>
      </c>
      <c r="D124" s="681">
        <v>5458</v>
      </c>
      <c r="E124" s="682">
        <v>3520</v>
      </c>
      <c r="F124" s="683">
        <v>1244</v>
      </c>
      <c r="G124" s="680">
        <v>694</v>
      </c>
      <c r="H124" s="681">
        <v>1691</v>
      </c>
      <c r="I124" s="682">
        <v>781</v>
      </c>
      <c r="J124" s="683">
        <v>741</v>
      </c>
      <c r="K124" s="680">
        <v>169</v>
      </c>
      <c r="L124" s="121">
        <f t="shared" si="12"/>
        <v>0.30982044705020156</v>
      </c>
      <c r="M124" s="122">
        <f t="shared" si="13"/>
        <v>0.22187499999999999</v>
      </c>
      <c r="N124" s="122">
        <f t="shared" si="14"/>
        <v>0.59565916398713825</v>
      </c>
      <c r="O124" s="123">
        <f t="shared" si="15"/>
        <v>0.24351585014409222</v>
      </c>
    </row>
    <row r="125" spans="1:15" s="49" customFormat="1" ht="13.5" customHeight="1" x14ac:dyDescent="0.3">
      <c r="A125" s="56" t="s">
        <v>237</v>
      </c>
      <c r="B125" s="84" t="s">
        <v>238</v>
      </c>
      <c r="C125" s="57" t="s">
        <v>251</v>
      </c>
      <c r="D125" s="681">
        <v>80</v>
      </c>
      <c r="E125" s="682">
        <v>36</v>
      </c>
      <c r="F125" s="683">
        <v>23</v>
      </c>
      <c r="G125" s="680">
        <v>21</v>
      </c>
      <c r="H125" s="681">
        <v>36</v>
      </c>
      <c r="I125" s="682">
        <v>10</v>
      </c>
      <c r="J125" s="683">
        <v>15</v>
      </c>
      <c r="K125" s="680">
        <v>11</v>
      </c>
      <c r="L125" s="121">
        <f t="shared" si="12"/>
        <v>0.45</v>
      </c>
      <c r="M125" s="122">
        <f t="shared" si="13"/>
        <v>0.27777777777777779</v>
      </c>
      <c r="N125" s="122">
        <f t="shared" si="14"/>
        <v>0.65217391304347827</v>
      </c>
      <c r="O125" s="123">
        <f t="shared" si="15"/>
        <v>0.52380952380952384</v>
      </c>
    </row>
    <row r="126" spans="1:15" s="49" customFormat="1" ht="13.5" customHeight="1" x14ac:dyDescent="0.3">
      <c r="A126" s="62" t="s">
        <v>239</v>
      </c>
      <c r="B126" s="86" t="s">
        <v>240</v>
      </c>
      <c r="C126" s="63" t="s">
        <v>254</v>
      </c>
      <c r="D126" s="684">
        <v>357</v>
      </c>
      <c r="E126" s="685">
        <v>283</v>
      </c>
      <c r="F126" s="686">
        <v>36</v>
      </c>
      <c r="G126" s="687">
        <v>38</v>
      </c>
      <c r="H126" s="684">
        <v>160</v>
      </c>
      <c r="I126" s="685">
        <v>127</v>
      </c>
      <c r="J126" s="686">
        <v>24</v>
      </c>
      <c r="K126" s="687">
        <v>9</v>
      </c>
      <c r="L126" s="124">
        <f t="shared" si="12"/>
        <v>0.44817927170868349</v>
      </c>
      <c r="M126" s="125">
        <f t="shared" si="13"/>
        <v>0.44876325088339225</v>
      </c>
      <c r="N126" s="125">
        <f t="shared" si="14"/>
        <v>0.66666666666666663</v>
      </c>
      <c r="O126" s="126">
        <f t="shared" si="15"/>
        <v>0.23684210526315788</v>
      </c>
    </row>
    <row r="127" spans="1:15" s="49" customFormat="1" ht="15.75" customHeight="1" x14ac:dyDescent="0.3">
      <c r="A127" s="116"/>
      <c r="B127" s="90"/>
      <c r="C127" s="117"/>
      <c r="D127" s="59"/>
      <c r="E127" s="58"/>
      <c r="F127" s="59"/>
      <c r="G127" s="118"/>
      <c r="H127" s="59"/>
      <c r="I127" s="58"/>
      <c r="J127" s="59"/>
      <c r="K127" s="58"/>
      <c r="L127" s="119"/>
      <c r="M127" s="119"/>
      <c r="N127" s="119"/>
      <c r="O127" s="119"/>
    </row>
    <row r="128" spans="1:15" s="49" customFormat="1" ht="15.75" customHeight="1" x14ac:dyDescent="0.3">
      <c r="A128" s="116" t="s">
        <v>253</v>
      </c>
      <c r="B128" s="90"/>
      <c r="C128" s="117"/>
      <c r="D128" s="127">
        <v>15935</v>
      </c>
      <c r="E128" s="61">
        <v>9419</v>
      </c>
      <c r="F128" s="60">
        <v>5042</v>
      </c>
      <c r="G128" s="128">
        <v>1474</v>
      </c>
      <c r="H128" s="127">
        <v>6849</v>
      </c>
      <c r="I128" s="61">
        <v>2622</v>
      </c>
      <c r="J128" s="60">
        <v>3763</v>
      </c>
      <c r="K128" s="129">
        <v>464</v>
      </c>
      <c r="L128" s="121">
        <f t="shared" ref="L128:O132" si="16">H128/D128</f>
        <v>0.42980859742704736</v>
      </c>
      <c r="M128" s="122">
        <f t="shared" si="16"/>
        <v>0.27837350037158937</v>
      </c>
      <c r="N128" s="122">
        <f t="shared" si="16"/>
        <v>0.74633082110273696</v>
      </c>
      <c r="O128" s="123">
        <f t="shared" si="16"/>
        <v>0.31478968792401629</v>
      </c>
    </row>
    <row r="129" spans="1:15" s="49" customFormat="1" ht="15.75" customHeight="1" x14ac:dyDescent="0.3">
      <c r="A129" s="116" t="s">
        <v>251</v>
      </c>
      <c r="B129" s="90"/>
      <c r="C129" s="117"/>
      <c r="D129" s="127">
        <v>22642</v>
      </c>
      <c r="E129" s="61">
        <v>12067</v>
      </c>
      <c r="F129" s="60">
        <v>8363</v>
      </c>
      <c r="G129" s="128">
        <v>2212</v>
      </c>
      <c r="H129" s="127">
        <v>9338</v>
      </c>
      <c r="I129" s="61">
        <v>2935</v>
      </c>
      <c r="J129" s="60">
        <v>5664</v>
      </c>
      <c r="K129" s="129">
        <v>739</v>
      </c>
      <c r="L129" s="121">
        <f t="shared" si="16"/>
        <v>0.41241939757971913</v>
      </c>
      <c r="M129" s="122">
        <f t="shared" si="16"/>
        <v>0.24322532526725782</v>
      </c>
      <c r="N129" s="122">
        <f t="shared" si="16"/>
        <v>0.67726892263541794</v>
      </c>
      <c r="O129" s="123">
        <f t="shared" si="16"/>
        <v>0.33408679927667267</v>
      </c>
    </row>
    <row r="130" spans="1:15" s="49" customFormat="1" ht="15.75" customHeight="1" x14ac:dyDescent="0.3">
      <c r="A130" s="116" t="s">
        <v>254</v>
      </c>
      <c r="B130" s="90"/>
      <c r="C130" s="117"/>
      <c r="D130" s="127">
        <v>41987</v>
      </c>
      <c r="E130" s="61">
        <v>24804</v>
      </c>
      <c r="F130" s="60">
        <v>5432</v>
      </c>
      <c r="G130" s="128">
        <v>11751</v>
      </c>
      <c r="H130" s="127">
        <v>11034</v>
      </c>
      <c r="I130" s="61">
        <v>5143</v>
      </c>
      <c r="J130" s="60">
        <v>2362</v>
      </c>
      <c r="K130" s="129">
        <v>3529</v>
      </c>
      <c r="L130" s="121">
        <f t="shared" si="16"/>
        <v>0.26279562721794841</v>
      </c>
      <c r="M130" s="122">
        <f t="shared" si="16"/>
        <v>0.20734558942106113</v>
      </c>
      <c r="N130" s="122">
        <f t="shared" si="16"/>
        <v>0.43483063328424154</v>
      </c>
      <c r="O130" s="123">
        <f t="shared" si="16"/>
        <v>0.30031486681984509</v>
      </c>
    </row>
    <row r="131" spans="1:15" s="49" customFormat="1" ht="15.75" customHeight="1" x14ac:dyDescent="0.3">
      <c r="A131" s="116" t="s">
        <v>252</v>
      </c>
      <c r="B131" s="90"/>
      <c r="C131" s="117"/>
      <c r="D131" s="127">
        <v>11940</v>
      </c>
      <c r="E131" s="61">
        <v>9143</v>
      </c>
      <c r="F131" s="60">
        <v>2330</v>
      </c>
      <c r="G131" s="128">
        <v>467</v>
      </c>
      <c r="H131" s="127">
        <v>5014</v>
      </c>
      <c r="I131" s="61">
        <v>3144</v>
      </c>
      <c r="J131" s="60">
        <v>1763</v>
      </c>
      <c r="K131" s="129">
        <v>107</v>
      </c>
      <c r="L131" s="121">
        <f t="shared" si="16"/>
        <v>0.41993299832495812</v>
      </c>
      <c r="M131" s="122">
        <f t="shared" si="16"/>
        <v>0.34386962703707752</v>
      </c>
      <c r="N131" s="122">
        <f t="shared" si="16"/>
        <v>0.75665236051502149</v>
      </c>
      <c r="O131" s="123">
        <f t="shared" si="16"/>
        <v>0.22912205567451821</v>
      </c>
    </row>
    <row r="132" spans="1:15" s="49" customFormat="1" ht="15.75" customHeight="1" x14ac:dyDescent="0.3">
      <c r="A132" s="116" t="s">
        <v>255</v>
      </c>
      <c r="B132" s="90"/>
      <c r="C132" s="117"/>
      <c r="D132" s="127">
        <v>4930</v>
      </c>
      <c r="E132" s="61">
        <v>4661</v>
      </c>
      <c r="F132" s="60">
        <v>126</v>
      </c>
      <c r="G132" s="128">
        <v>143</v>
      </c>
      <c r="H132" s="127">
        <v>1961</v>
      </c>
      <c r="I132" s="61">
        <v>1842</v>
      </c>
      <c r="J132" s="60">
        <v>89</v>
      </c>
      <c r="K132" s="129">
        <v>30</v>
      </c>
      <c r="L132" s="121">
        <f t="shared" si="16"/>
        <v>0.39776876267748479</v>
      </c>
      <c r="M132" s="122">
        <f t="shared" si="16"/>
        <v>0.39519416434241578</v>
      </c>
      <c r="N132" s="122">
        <f t="shared" si="16"/>
        <v>0.70634920634920639</v>
      </c>
      <c r="O132" s="123">
        <f t="shared" si="16"/>
        <v>0.20979020979020979</v>
      </c>
    </row>
    <row r="133" spans="1:15" s="49" customFormat="1" ht="15.75" customHeight="1" x14ac:dyDescent="0.3">
      <c r="A133" s="116"/>
      <c r="B133" s="90"/>
      <c r="C133" s="117"/>
      <c r="D133" s="59"/>
      <c r="E133" s="58"/>
      <c r="F133" s="59"/>
      <c r="G133" s="118"/>
      <c r="H133" s="59"/>
      <c r="I133" s="58"/>
      <c r="J133" s="59"/>
      <c r="K133" s="58"/>
      <c r="L133" s="119"/>
      <c r="M133" s="119"/>
      <c r="N133" s="119"/>
      <c r="O133" s="119"/>
    </row>
    <row r="134" spans="1:15" ht="28.5" customHeight="1" x14ac:dyDescent="0.3">
      <c r="A134" s="2519" t="s">
        <v>836</v>
      </c>
      <c r="B134" s="2519"/>
      <c r="C134" s="2519"/>
      <c r="D134" s="2519"/>
      <c r="E134" s="2519"/>
      <c r="F134" s="2519"/>
      <c r="G134" s="2519"/>
      <c r="H134" s="2519"/>
      <c r="I134" s="2519"/>
      <c r="J134" s="2519"/>
      <c r="K134" s="2519"/>
      <c r="L134" s="2519"/>
      <c r="M134" s="2519"/>
      <c r="N134" s="2519"/>
      <c r="O134" s="2519"/>
    </row>
    <row r="135" spans="1:15" s="81" customFormat="1" ht="13.8" x14ac:dyDescent="0.3">
      <c r="A135" s="81" t="s">
        <v>247</v>
      </c>
    </row>
    <row r="136" spans="1:15" s="81" customFormat="1" ht="13.8" x14ac:dyDescent="0.3">
      <c r="A136" s="87" t="s">
        <v>248</v>
      </c>
      <c r="B136" s="71" t="s">
        <v>249</v>
      </c>
    </row>
  </sheetData>
  <sheetProtection algorithmName="SHA-512" hashValue="k9YuJf087QJ98d5ei1EcpOcR8cIlRt3LmdU0GPcP3wXVCNbYHeRCO1bEHD/9NTPYWkfs3+cFfyqeQZjBQIpgNA==" saltValue="cHBAEl+hKHuw3V00CYSh2Q==" spinCount="100000" sheet="1" objects="1" scenarios="1"/>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
  <sheetViews>
    <sheetView workbookViewId="0">
      <selection activeCell="H1" sqref="H1:H1048576"/>
    </sheetView>
  </sheetViews>
  <sheetFormatPr defaultRowHeight="15.6" x14ac:dyDescent="0.3"/>
  <cols>
    <col min="1" max="1" width="7.69921875" style="41" customWidth="1"/>
    <col min="2" max="2" width="28.59765625" style="65" customWidth="1"/>
    <col min="3" max="3" width="10" style="65" customWidth="1"/>
    <col min="4" max="4" width="16.19921875" style="2195" customWidth="1"/>
    <col min="5" max="5" width="12.796875" style="2195" customWidth="1"/>
    <col min="6" max="6" width="8.796875" style="2195"/>
    <col min="7" max="7" width="12.59765625" style="2195" customWidth="1"/>
    <col min="8" max="11" width="10.8984375" style="2195" customWidth="1"/>
    <col min="12" max="15" width="11.5" style="2195" customWidth="1"/>
  </cols>
  <sheetData>
    <row r="1" spans="1:15" x14ac:dyDescent="0.3">
      <c r="A1" s="145" t="s">
        <v>1039</v>
      </c>
      <c r="B1" s="145"/>
      <c r="C1" s="145"/>
    </row>
    <row r="2" spans="1:15" x14ac:dyDescent="0.3">
      <c r="A2" s="31"/>
      <c r="B2" s="43"/>
      <c r="C2" s="43"/>
    </row>
    <row r="3" spans="1:15" x14ac:dyDescent="0.3">
      <c r="A3" s="44"/>
      <c r="B3" s="45"/>
      <c r="C3" s="45"/>
    </row>
    <row r="4" spans="1:15" x14ac:dyDescent="0.3">
      <c r="A4" s="2506" t="s">
        <v>4</v>
      </c>
      <c r="B4" s="2508" t="s">
        <v>5</v>
      </c>
      <c r="C4" s="2508" t="s">
        <v>250</v>
      </c>
      <c r="D4" s="2528" t="s">
        <v>1009</v>
      </c>
      <c r="E4" s="2529"/>
      <c r="F4" s="2529"/>
      <c r="G4" s="2529"/>
      <c r="H4" s="2528" t="s">
        <v>1033</v>
      </c>
      <c r="I4" s="2529"/>
      <c r="J4" s="2529"/>
      <c r="K4" s="2529"/>
      <c r="L4" s="2528" t="s">
        <v>1034</v>
      </c>
      <c r="M4" s="2529"/>
      <c r="N4" s="2529"/>
      <c r="O4" s="2529"/>
    </row>
    <row r="5" spans="1:15" ht="43.2" x14ac:dyDescent="0.3">
      <c r="A5" s="2507"/>
      <c r="B5" s="2509"/>
      <c r="C5" s="2509"/>
      <c r="D5" s="2196" t="s">
        <v>1032</v>
      </c>
      <c r="E5" s="2196" t="s">
        <v>1035</v>
      </c>
      <c r="F5" s="2196" t="s">
        <v>1036</v>
      </c>
      <c r="G5" s="2197" t="s">
        <v>1037</v>
      </c>
      <c r="H5" s="2196" t="s">
        <v>1032</v>
      </c>
      <c r="I5" s="2196" t="s">
        <v>1035</v>
      </c>
      <c r="J5" s="2196" t="s">
        <v>1036</v>
      </c>
      <c r="K5" s="2197" t="s">
        <v>1037</v>
      </c>
      <c r="L5" s="2196" t="s">
        <v>1032</v>
      </c>
      <c r="M5" s="2196" t="s">
        <v>1035</v>
      </c>
      <c r="N5" s="2196" t="s">
        <v>1036</v>
      </c>
      <c r="O5" s="2197" t="s">
        <v>1037</v>
      </c>
    </row>
    <row r="6" spans="1:15" x14ac:dyDescent="0.3">
      <c r="A6" s="53" t="s">
        <v>7</v>
      </c>
      <c r="B6" s="54" t="s">
        <v>8</v>
      </c>
      <c r="C6" s="55"/>
      <c r="D6" s="2198">
        <v>6953094</v>
      </c>
      <c r="E6" s="2198">
        <v>6312829</v>
      </c>
      <c r="F6" s="2198">
        <v>640265</v>
      </c>
      <c r="G6" s="2199">
        <f>F6/D6</f>
        <v>9.208346672718648E-2</v>
      </c>
      <c r="H6" s="2195">
        <v>1046704</v>
      </c>
      <c r="I6" s="2195">
        <v>873908</v>
      </c>
      <c r="J6" s="2195">
        <v>172796</v>
      </c>
      <c r="K6" s="2199">
        <f>J6/H6</f>
        <v>0.16508583133340468</v>
      </c>
      <c r="L6" s="2195">
        <v>1654036</v>
      </c>
      <c r="M6" s="2195">
        <v>1376690</v>
      </c>
      <c r="N6" s="2195">
        <v>277346</v>
      </c>
      <c r="O6" s="2199">
        <f>N6/L6</f>
        <v>0.1676783334824635</v>
      </c>
    </row>
    <row r="7" spans="1:15" x14ac:dyDescent="0.3">
      <c r="A7" s="56" t="s">
        <v>9</v>
      </c>
      <c r="B7" s="83" t="s">
        <v>10</v>
      </c>
      <c r="C7" s="57" t="s">
        <v>251</v>
      </c>
      <c r="D7" s="2198">
        <v>23820</v>
      </c>
      <c r="E7" s="2198">
        <v>20219</v>
      </c>
      <c r="F7" s="2198">
        <v>3601</v>
      </c>
      <c r="G7" s="2199">
        <f t="shared" ref="G7:G70" si="0">F7/D7</f>
        <v>0.15117548278757348</v>
      </c>
      <c r="H7" s="2195">
        <v>6715</v>
      </c>
      <c r="I7" s="2195">
        <v>5395</v>
      </c>
      <c r="J7" s="2195">
        <v>1320</v>
      </c>
      <c r="K7" s="2199">
        <f t="shared" ref="K7:K70" si="1">J7/H7</f>
        <v>0.19657483246463142</v>
      </c>
      <c r="L7" s="2195">
        <v>10159</v>
      </c>
      <c r="M7" s="2195">
        <v>8168</v>
      </c>
      <c r="N7" s="2195">
        <v>1991</v>
      </c>
      <c r="O7" s="2199">
        <f t="shared" ref="O7:O70" si="2">N7/L7</f>
        <v>0.19598385667880697</v>
      </c>
    </row>
    <row r="8" spans="1:15" x14ac:dyDescent="0.3">
      <c r="A8" s="56" t="s">
        <v>11</v>
      </c>
      <c r="B8" s="84" t="s">
        <v>12</v>
      </c>
      <c r="C8" s="57" t="s">
        <v>252</v>
      </c>
      <c r="D8" s="2198">
        <v>82336</v>
      </c>
      <c r="E8" s="2198">
        <v>75154</v>
      </c>
      <c r="F8" s="2198">
        <v>7182</v>
      </c>
      <c r="G8" s="2199">
        <f t="shared" si="0"/>
        <v>8.7227944034201324E-2</v>
      </c>
      <c r="H8" s="2195">
        <v>9735</v>
      </c>
      <c r="I8" s="2195">
        <v>7822</v>
      </c>
      <c r="J8" s="2195">
        <v>1913</v>
      </c>
      <c r="K8" s="2199">
        <f t="shared" si="1"/>
        <v>0.19650744735490497</v>
      </c>
      <c r="L8" s="2195">
        <v>15548</v>
      </c>
      <c r="M8" s="2195">
        <v>12480</v>
      </c>
      <c r="N8" s="2195">
        <v>3068</v>
      </c>
      <c r="O8" s="2199">
        <f t="shared" si="2"/>
        <v>0.19732441471571907</v>
      </c>
    </row>
    <row r="9" spans="1:15" x14ac:dyDescent="0.3">
      <c r="A9" s="56" t="s">
        <v>15</v>
      </c>
      <c r="B9" s="84" t="s">
        <v>273</v>
      </c>
      <c r="C9" s="57" t="s">
        <v>252</v>
      </c>
      <c r="D9" s="2198">
        <v>15238</v>
      </c>
      <c r="E9" s="2198">
        <v>13853</v>
      </c>
      <c r="F9" s="2198">
        <v>1385</v>
      </c>
      <c r="G9" s="2199">
        <f t="shared" si="0"/>
        <v>9.0891193069956688E-2</v>
      </c>
      <c r="H9" s="2195">
        <v>3697</v>
      </c>
      <c r="I9" s="2195">
        <v>3250</v>
      </c>
      <c r="J9" s="2195">
        <v>447</v>
      </c>
      <c r="K9" s="2199">
        <f t="shared" si="1"/>
        <v>0.12090884500946714</v>
      </c>
      <c r="L9" s="2195">
        <v>5508</v>
      </c>
      <c r="M9" s="2195">
        <v>4847</v>
      </c>
      <c r="N9" s="2195">
        <v>661</v>
      </c>
      <c r="O9" s="2199">
        <f t="shared" si="2"/>
        <v>0.12000726216412491</v>
      </c>
    </row>
    <row r="10" spans="1:15" x14ac:dyDescent="0.3">
      <c r="A10" s="56" t="s">
        <v>17</v>
      </c>
      <c r="B10" s="84" t="s">
        <v>18</v>
      </c>
      <c r="C10" s="57" t="s">
        <v>253</v>
      </c>
      <c r="D10" s="2198">
        <v>10443</v>
      </c>
      <c r="E10" s="2198">
        <v>9235</v>
      </c>
      <c r="F10" s="2198">
        <v>1208</v>
      </c>
      <c r="G10" s="2199">
        <f t="shared" si="0"/>
        <v>0.11567557215359571</v>
      </c>
      <c r="H10" s="2195">
        <v>1880</v>
      </c>
      <c r="I10" s="2195">
        <v>1578</v>
      </c>
      <c r="J10" s="2195">
        <v>302</v>
      </c>
      <c r="K10" s="2199">
        <f t="shared" si="1"/>
        <v>0.16063829787234044</v>
      </c>
      <c r="L10" s="2195">
        <v>3081</v>
      </c>
      <c r="M10" s="2195">
        <v>2573</v>
      </c>
      <c r="N10" s="2195">
        <v>508</v>
      </c>
      <c r="O10" s="2199">
        <f t="shared" si="2"/>
        <v>0.16488153197013958</v>
      </c>
    </row>
    <row r="11" spans="1:15" x14ac:dyDescent="0.3">
      <c r="A11" s="56" t="s">
        <v>19</v>
      </c>
      <c r="B11" s="84" t="s">
        <v>20</v>
      </c>
      <c r="C11" s="57" t="s">
        <v>252</v>
      </c>
      <c r="D11" s="2198">
        <v>23845</v>
      </c>
      <c r="E11" s="2198">
        <v>21409</v>
      </c>
      <c r="F11" s="2198">
        <v>2436</v>
      </c>
      <c r="G11" s="2199">
        <f t="shared" si="0"/>
        <v>0.10215978192493186</v>
      </c>
      <c r="H11" s="2195">
        <v>4807</v>
      </c>
      <c r="I11" s="2195">
        <v>4134</v>
      </c>
      <c r="J11" s="2195">
        <v>673</v>
      </c>
      <c r="K11" s="2199">
        <f t="shared" si="1"/>
        <v>0.14000416059912626</v>
      </c>
      <c r="L11" s="2195">
        <v>7406</v>
      </c>
      <c r="M11" s="2195">
        <v>6367</v>
      </c>
      <c r="N11" s="2195">
        <v>1039</v>
      </c>
      <c r="O11" s="2199">
        <f t="shared" si="2"/>
        <v>0.14029165541452876</v>
      </c>
    </row>
    <row r="12" spans="1:15" x14ac:dyDescent="0.3">
      <c r="A12" s="56" t="s">
        <v>21</v>
      </c>
      <c r="B12" s="84" t="s">
        <v>22</v>
      </c>
      <c r="C12" s="57" t="s">
        <v>252</v>
      </c>
      <c r="D12" s="2198">
        <v>12446</v>
      </c>
      <c r="E12" s="2198">
        <v>10961</v>
      </c>
      <c r="F12" s="2198">
        <v>1485</v>
      </c>
      <c r="G12" s="2199">
        <f t="shared" si="0"/>
        <v>0.11931544271251808</v>
      </c>
      <c r="H12" s="2195">
        <v>2662</v>
      </c>
      <c r="I12" s="2195">
        <v>2231</v>
      </c>
      <c r="J12" s="2195">
        <v>431</v>
      </c>
      <c r="K12" s="2199">
        <f t="shared" si="1"/>
        <v>0.16190833959429002</v>
      </c>
      <c r="L12" s="2195">
        <v>4117</v>
      </c>
      <c r="M12" s="2195">
        <v>3442</v>
      </c>
      <c r="N12" s="2195">
        <v>675</v>
      </c>
      <c r="O12" s="2199">
        <f t="shared" si="2"/>
        <v>0.16395433568132134</v>
      </c>
    </row>
    <row r="13" spans="1:15" x14ac:dyDescent="0.3">
      <c r="A13" s="56" t="s">
        <v>23</v>
      </c>
      <c r="B13" s="84" t="s">
        <v>24</v>
      </c>
      <c r="C13" s="57" t="s">
        <v>254</v>
      </c>
      <c r="D13" s="2198">
        <v>209956</v>
      </c>
      <c r="E13" s="2198">
        <v>197045</v>
      </c>
      <c r="F13" s="2198">
        <v>12911</v>
      </c>
      <c r="G13" s="2199">
        <f t="shared" si="0"/>
        <v>6.1493836803901768E-2</v>
      </c>
      <c r="H13" s="2195">
        <v>17290</v>
      </c>
      <c r="I13" s="2195">
        <v>13705</v>
      </c>
      <c r="J13" s="2195">
        <v>3585</v>
      </c>
      <c r="K13" s="2199">
        <f t="shared" si="1"/>
        <v>0.20734528629265472</v>
      </c>
      <c r="L13" s="2195">
        <v>26463</v>
      </c>
      <c r="M13" s="2195">
        <v>20924</v>
      </c>
      <c r="N13" s="2195">
        <v>5539</v>
      </c>
      <c r="O13" s="2199">
        <f t="shared" si="2"/>
        <v>0.20931111363035182</v>
      </c>
    </row>
    <row r="14" spans="1:15" x14ac:dyDescent="0.3">
      <c r="A14" s="56" t="s">
        <v>25</v>
      </c>
      <c r="B14" s="84" t="s">
        <v>274</v>
      </c>
      <c r="C14" s="57" t="s">
        <v>252</v>
      </c>
      <c r="D14" s="2198">
        <v>93537</v>
      </c>
      <c r="E14" s="2198">
        <v>84303</v>
      </c>
      <c r="F14" s="2198">
        <v>9234</v>
      </c>
      <c r="G14" s="2199">
        <f t="shared" si="0"/>
        <v>9.8720292504570387E-2</v>
      </c>
      <c r="H14" s="2195">
        <v>16456</v>
      </c>
      <c r="I14" s="2195">
        <v>14072</v>
      </c>
      <c r="J14" s="2195">
        <v>2384</v>
      </c>
      <c r="K14" s="2199">
        <f t="shared" si="1"/>
        <v>0.14487117160913954</v>
      </c>
      <c r="L14" s="2195">
        <v>27207</v>
      </c>
      <c r="M14" s="2195">
        <v>23228</v>
      </c>
      <c r="N14" s="2195">
        <v>3979</v>
      </c>
      <c r="O14" s="2199">
        <f t="shared" si="2"/>
        <v>0.14624912706288823</v>
      </c>
    </row>
    <row r="15" spans="1:15" x14ac:dyDescent="0.3">
      <c r="A15" s="56" t="s">
        <v>26</v>
      </c>
      <c r="B15" s="84" t="s">
        <v>27</v>
      </c>
      <c r="C15" s="57" t="s">
        <v>252</v>
      </c>
      <c r="D15" s="2198">
        <v>2964</v>
      </c>
      <c r="E15" s="2198">
        <v>2654</v>
      </c>
      <c r="F15" s="2198">
        <v>310</v>
      </c>
      <c r="G15" s="2199">
        <f t="shared" si="0"/>
        <v>0.10458839406207827</v>
      </c>
      <c r="H15" s="2195">
        <v>667</v>
      </c>
      <c r="I15" s="2195">
        <v>561</v>
      </c>
      <c r="J15" s="2195">
        <v>106</v>
      </c>
      <c r="K15" s="2199">
        <f t="shared" si="1"/>
        <v>0.15892053973013492</v>
      </c>
      <c r="L15" s="2195">
        <v>1051</v>
      </c>
      <c r="M15" s="2195">
        <v>891</v>
      </c>
      <c r="N15" s="2195">
        <v>160</v>
      </c>
      <c r="O15" s="2199">
        <f t="shared" si="2"/>
        <v>0.1522359657469077</v>
      </c>
    </row>
    <row r="16" spans="1:15" x14ac:dyDescent="0.3">
      <c r="A16" s="56" t="s">
        <v>28</v>
      </c>
      <c r="B16" s="84" t="s">
        <v>568</v>
      </c>
      <c r="C16" s="57" t="s">
        <v>252</v>
      </c>
      <c r="D16" s="2198">
        <v>61563</v>
      </c>
      <c r="E16" s="2198">
        <v>55914</v>
      </c>
      <c r="F16" s="2198">
        <v>5649</v>
      </c>
      <c r="G16" s="2199">
        <f t="shared" si="0"/>
        <v>9.1759660835241952E-2</v>
      </c>
      <c r="H16" s="2195">
        <v>8575</v>
      </c>
      <c r="I16" s="2195">
        <v>7194</v>
      </c>
      <c r="J16" s="2195">
        <v>1381</v>
      </c>
      <c r="K16" s="2199">
        <f t="shared" si="1"/>
        <v>0.16104956268221574</v>
      </c>
      <c r="L16" s="2195">
        <v>14004</v>
      </c>
      <c r="M16" s="2195">
        <v>11771</v>
      </c>
      <c r="N16" s="2195">
        <v>2233</v>
      </c>
      <c r="O16" s="2199">
        <f t="shared" si="2"/>
        <v>0.15945444158811767</v>
      </c>
    </row>
    <row r="17" spans="1:15" x14ac:dyDescent="0.3">
      <c r="A17" s="56" t="s">
        <v>29</v>
      </c>
      <c r="B17" s="84" t="s">
        <v>30</v>
      </c>
      <c r="C17" s="57" t="s">
        <v>255</v>
      </c>
      <c r="D17" s="2198">
        <v>4157</v>
      </c>
      <c r="E17" s="2198">
        <v>3830</v>
      </c>
      <c r="F17" s="2198">
        <v>327</v>
      </c>
      <c r="G17" s="2199">
        <f t="shared" si="0"/>
        <v>7.8662496993023814E-2</v>
      </c>
      <c r="H17" s="2195">
        <v>738</v>
      </c>
      <c r="I17" s="2195">
        <v>630</v>
      </c>
      <c r="J17" s="2195">
        <v>108</v>
      </c>
      <c r="K17" s="2199">
        <f t="shared" si="1"/>
        <v>0.14634146341463414</v>
      </c>
      <c r="L17" s="2195">
        <v>1217</v>
      </c>
      <c r="M17" s="2195">
        <v>1055</v>
      </c>
      <c r="N17" s="2195">
        <v>162</v>
      </c>
      <c r="O17" s="2199">
        <f t="shared" si="2"/>
        <v>0.13311421528348397</v>
      </c>
    </row>
    <row r="18" spans="1:15" x14ac:dyDescent="0.3">
      <c r="A18" s="56" t="s">
        <v>31</v>
      </c>
      <c r="B18" s="84" t="s">
        <v>32</v>
      </c>
      <c r="C18" s="57" t="s">
        <v>252</v>
      </c>
      <c r="D18" s="2198">
        <v>25497</v>
      </c>
      <c r="E18" s="2198">
        <v>23639</v>
      </c>
      <c r="F18" s="2198">
        <v>1858</v>
      </c>
      <c r="G18" s="2199">
        <f t="shared" si="0"/>
        <v>7.2871318194297374E-2</v>
      </c>
      <c r="H18" s="2195">
        <v>2621</v>
      </c>
      <c r="I18" s="2195">
        <v>2207</v>
      </c>
      <c r="J18" s="2195">
        <v>414</v>
      </c>
      <c r="K18" s="2199">
        <f t="shared" si="1"/>
        <v>0.15795497901564287</v>
      </c>
      <c r="L18" s="2195">
        <v>4777</v>
      </c>
      <c r="M18" s="2195">
        <v>4044</v>
      </c>
      <c r="N18" s="2195">
        <v>733</v>
      </c>
      <c r="O18" s="2199">
        <f t="shared" si="2"/>
        <v>0.15344358383922965</v>
      </c>
    </row>
    <row r="19" spans="1:15" x14ac:dyDescent="0.3">
      <c r="A19" s="56" t="s">
        <v>35</v>
      </c>
      <c r="B19" s="84" t="s">
        <v>36</v>
      </c>
      <c r="C19" s="57" t="s">
        <v>251</v>
      </c>
      <c r="D19" s="2198">
        <v>10434</v>
      </c>
      <c r="E19" s="2198">
        <v>9131</v>
      </c>
      <c r="F19" s="2198">
        <v>1303</v>
      </c>
      <c r="G19" s="2199">
        <f t="shared" si="0"/>
        <v>0.12488019934828445</v>
      </c>
      <c r="H19" s="2195">
        <v>3065</v>
      </c>
      <c r="I19" s="2195">
        <v>2615</v>
      </c>
      <c r="J19" s="2195">
        <v>450</v>
      </c>
      <c r="K19" s="2199">
        <f t="shared" si="1"/>
        <v>0.14681892332789559</v>
      </c>
      <c r="L19" s="2195">
        <v>4589</v>
      </c>
      <c r="M19" s="2195">
        <v>3912</v>
      </c>
      <c r="N19" s="2195">
        <v>677</v>
      </c>
      <c r="O19" s="2199">
        <f t="shared" si="2"/>
        <v>0.14752669426890391</v>
      </c>
    </row>
    <row r="20" spans="1:15" x14ac:dyDescent="0.3">
      <c r="A20" s="56" t="s">
        <v>37</v>
      </c>
      <c r="B20" s="84" t="s">
        <v>38</v>
      </c>
      <c r="C20" s="57" t="s">
        <v>255</v>
      </c>
      <c r="D20" s="2198">
        <v>15102</v>
      </c>
      <c r="E20" s="2198">
        <v>13266</v>
      </c>
      <c r="F20" s="2198">
        <v>1836</v>
      </c>
      <c r="G20" s="2199">
        <f t="shared" si="0"/>
        <v>0.12157330154946365</v>
      </c>
      <c r="H20" s="2195">
        <v>5122</v>
      </c>
      <c r="I20" s="2195">
        <v>4440</v>
      </c>
      <c r="J20" s="2195">
        <v>682</v>
      </c>
      <c r="K20" s="2199">
        <f t="shared" si="1"/>
        <v>0.13315111284654432</v>
      </c>
      <c r="L20" s="2195">
        <v>7000</v>
      </c>
      <c r="M20" s="2195">
        <v>6056</v>
      </c>
      <c r="N20" s="2195">
        <v>944</v>
      </c>
      <c r="O20" s="2199">
        <f t="shared" si="2"/>
        <v>0.13485714285714287</v>
      </c>
    </row>
    <row r="21" spans="1:15" x14ac:dyDescent="0.3">
      <c r="A21" s="56" t="s">
        <v>39</v>
      </c>
      <c r="B21" s="84" t="s">
        <v>40</v>
      </c>
      <c r="C21" s="57" t="s">
        <v>253</v>
      </c>
      <c r="D21" s="2198">
        <v>11483</v>
      </c>
      <c r="E21" s="2198">
        <v>10116</v>
      </c>
      <c r="F21" s="2198">
        <v>1367</v>
      </c>
      <c r="G21" s="2199">
        <f t="shared" si="0"/>
        <v>0.11904554558913176</v>
      </c>
      <c r="H21" s="2195">
        <v>2919</v>
      </c>
      <c r="I21" s="2195">
        <v>2507</v>
      </c>
      <c r="J21" s="2195">
        <v>412</v>
      </c>
      <c r="K21" s="2199">
        <f t="shared" si="1"/>
        <v>0.14114422747516273</v>
      </c>
      <c r="L21" s="2195">
        <v>4491</v>
      </c>
      <c r="M21" s="2195">
        <v>3844</v>
      </c>
      <c r="N21" s="2195">
        <v>647</v>
      </c>
      <c r="O21" s="2199">
        <f t="shared" si="2"/>
        <v>0.14406590959697171</v>
      </c>
    </row>
    <row r="22" spans="1:15" x14ac:dyDescent="0.3">
      <c r="A22" s="56" t="s">
        <v>41</v>
      </c>
      <c r="B22" s="84" t="s">
        <v>42</v>
      </c>
      <c r="C22" s="57" t="s">
        <v>252</v>
      </c>
      <c r="D22" s="2198">
        <v>43160</v>
      </c>
      <c r="E22" s="2198">
        <v>38698</v>
      </c>
      <c r="F22" s="2198">
        <v>4462</v>
      </c>
      <c r="G22" s="2199">
        <f t="shared" si="0"/>
        <v>0.10338276181649676</v>
      </c>
      <c r="H22" s="2195">
        <v>8369</v>
      </c>
      <c r="I22" s="2195">
        <v>7085</v>
      </c>
      <c r="J22" s="2195">
        <v>1284</v>
      </c>
      <c r="K22" s="2199">
        <f t="shared" si="1"/>
        <v>0.15342334807025929</v>
      </c>
      <c r="L22" s="2195">
        <v>13463</v>
      </c>
      <c r="M22" s="2195">
        <v>11421</v>
      </c>
      <c r="N22" s="2195">
        <v>2042</v>
      </c>
      <c r="O22" s="2199">
        <f t="shared" si="2"/>
        <v>0.15167496100423383</v>
      </c>
    </row>
    <row r="23" spans="1:15" x14ac:dyDescent="0.3">
      <c r="A23" s="56" t="s">
        <v>43</v>
      </c>
      <c r="B23" s="84" t="s">
        <v>44</v>
      </c>
      <c r="C23" s="57" t="s">
        <v>253</v>
      </c>
      <c r="D23" s="2198">
        <v>24978</v>
      </c>
      <c r="E23" s="2198">
        <v>22594</v>
      </c>
      <c r="F23" s="2198">
        <v>2384</v>
      </c>
      <c r="G23" s="2199">
        <f t="shared" si="0"/>
        <v>9.544399071182641E-2</v>
      </c>
      <c r="H23" s="2195">
        <v>3909</v>
      </c>
      <c r="I23" s="2195">
        <v>3309</v>
      </c>
      <c r="J23" s="2195">
        <v>600</v>
      </c>
      <c r="K23" s="2199">
        <f t="shared" si="1"/>
        <v>0.15349194167306215</v>
      </c>
      <c r="L23" s="2195">
        <v>6585</v>
      </c>
      <c r="M23" s="2195">
        <v>5605</v>
      </c>
      <c r="N23" s="2195">
        <v>980</v>
      </c>
      <c r="O23" s="2199">
        <f t="shared" si="2"/>
        <v>0.14882308276385725</v>
      </c>
    </row>
    <row r="24" spans="1:15" x14ac:dyDescent="0.3">
      <c r="A24" s="56" t="s">
        <v>45</v>
      </c>
      <c r="B24" s="84" t="s">
        <v>46</v>
      </c>
      <c r="C24" s="57" t="s">
        <v>255</v>
      </c>
      <c r="D24" s="2198">
        <v>22021</v>
      </c>
      <c r="E24" s="2198">
        <v>19344</v>
      </c>
      <c r="F24" s="2198">
        <v>2677</v>
      </c>
      <c r="G24" s="2199">
        <f t="shared" si="0"/>
        <v>0.12156577812088461</v>
      </c>
      <c r="H24" s="2195">
        <v>5249</v>
      </c>
      <c r="I24" s="2195">
        <v>4416</v>
      </c>
      <c r="J24" s="2195">
        <v>833</v>
      </c>
      <c r="K24" s="2199">
        <f t="shared" si="1"/>
        <v>0.15869689464659936</v>
      </c>
      <c r="L24" s="2195">
        <v>7987</v>
      </c>
      <c r="M24" s="2195">
        <v>6740</v>
      </c>
      <c r="N24" s="2195">
        <v>1247</v>
      </c>
      <c r="O24" s="2199">
        <f t="shared" si="2"/>
        <v>0.15612870915237262</v>
      </c>
    </row>
    <row r="25" spans="1:15" x14ac:dyDescent="0.3">
      <c r="A25" s="56" t="s">
        <v>47</v>
      </c>
      <c r="B25" s="84" t="s">
        <v>256</v>
      </c>
      <c r="C25" s="57" t="s">
        <v>253</v>
      </c>
      <c r="D25" s="2198">
        <v>5170</v>
      </c>
      <c r="E25" s="2198">
        <v>4448</v>
      </c>
      <c r="F25" s="2198">
        <v>722</v>
      </c>
      <c r="G25" s="2199">
        <f t="shared" si="0"/>
        <v>0.13965183752417795</v>
      </c>
      <c r="H25" s="2195">
        <v>878</v>
      </c>
      <c r="I25" s="2195">
        <v>707</v>
      </c>
      <c r="J25" s="2195">
        <v>171</v>
      </c>
      <c r="K25" s="2199">
        <f t="shared" si="1"/>
        <v>0.19476082004555809</v>
      </c>
      <c r="L25" s="2195">
        <v>1417</v>
      </c>
      <c r="M25" s="2195">
        <v>1138</v>
      </c>
      <c r="N25" s="2195">
        <v>279</v>
      </c>
      <c r="O25" s="2199">
        <f t="shared" si="2"/>
        <v>0.19689484827099507</v>
      </c>
    </row>
    <row r="26" spans="1:15" x14ac:dyDescent="0.3">
      <c r="A26" s="56" t="s">
        <v>49</v>
      </c>
      <c r="B26" s="84" t="s">
        <v>50</v>
      </c>
      <c r="C26" s="57" t="s">
        <v>252</v>
      </c>
      <c r="D26" s="2198">
        <v>8962</v>
      </c>
      <c r="E26" s="2198">
        <v>7849</v>
      </c>
      <c r="F26" s="2198">
        <v>1113</v>
      </c>
      <c r="G26" s="2199">
        <f t="shared" si="0"/>
        <v>0.12419102878821692</v>
      </c>
      <c r="H26" s="2195">
        <v>2749</v>
      </c>
      <c r="I26" s="2195">
        <v>2348</v>
      </c>
      <c r="J26" s="2195">
        <v>401</v>
      </c>
      <c r="K26" s="2199">
        <f t="shared" si="1"/>
        <v>0.14587122590032739</v>
      </c>
      <c r="L26" s="2195">
        <v>3980</v>
      </c>
      <c r="M26" s="2195">
        <v>3389</v>
      </c>
      <c r="N26" s="2195">
        <v>591</v>
      </c>
      <c r="O26" s="2199">
        <f t="shared" si="2"/>
        <v>0.1484924623115578</v>
      </c>
    </row>
    <row r="27" spans="1:15" x14ac:dyDescent="0.3">
      <c r="A27" s="56" t="s">
        <v>55</v>
      </c>
      <c r="B27" s="84" t="s">
        <v>271</v>
      </c>
      <c r="C27" s="57" t="s">
        <v>253</v>
      </c>
      <c r="D27" s="2198">
        <v>307911</v>
      </c>
      <c r="E27" s="2198">
        <v>279932</v>
      </c>
      <c r="F27" s="2198">
        <v>27979</v>
      </c>
      <c r="G27" s="2199">
        <f t="shared" si="0"/>
        <v>9.0867166161650609E-2</v>
      </c>
      <c r="H27" s="2195">
        <v>34221</v>
      </c>
      <c r="I27" s="2195">
        <v>27721</v>
      </c>
      <c r="J27" s="2195">
        <v>6500</v>
      </c>
      <c r="K27" s="2199">
        <f t="shared" si="1"/>
        <v>0.18994184857251395</v>
      </c>
      <c r="L27" s="2195">
        <v>58838</v>
      </c>
      <c r="M27" s="2195">
        <v>47799</v>
      </c>
      <c r="N27" s="2195">
        <v>11039</v>
      </c>
      <c r="O27" s="2199">
        <f t="shared" si="2"/>
        <v>0.18761684625582106</v>
      </c>
    </row>
    <row r="28" spans="1:15" x14ac:dyDescent="0.3">
      <c r="A28" s="56" t="s">
        <v>57</v>
      </c>
      <c r="B28" s="84" t="s">
        <v>58</v>
      </c>
      <c r="C28" s="57" t="s">
        <v>254</v>
      </c>
      <c r="D28" s="2198">
        <v>11375</v>
      </c>
      <c r="E28" s="2198">
        <v>10295</v>
      </c>
      <c r="F28" s="2198">
        <v>1080</v>
      </c>
      <c r="G28" s="2199">
        <f t="shared" si="0"/>
        <v>9.4945054945054952E-2</v>
      </c>
      <c r="H28" s="2195">
        <v>1166</v>
      </c>
      <c r="I28" s="2195">
        <v>938</v>
      </c>
      <c r="J28" s="2195">
        <v>228</v>
      </c>
      <c r="K28" s="2199">
        <f t="shared" si="1"/>
        <v>0.19554030874785591</v>
      </c>
      <c r="L28" s="2195">
        <v>1956</v>
      </c>
      <c r="M28" s="2195">
        <v>1566</v>
      </c>
      <c r="N28" s="2195">
        <v>390</v>
      </c>
      <c r="O28" s="2199">
        <f t="shared" si="2"/>
        <v>0.19938650306748465</v>
      </c>
    </row>
    <row r="29" spans="1:15" x14ac:dyDescent="0.3">
      <c r="A29" s="56" t="s">
        <v>59</v>
      </c>
      <c r="B29" s="84" t="s">
        <v>60</v>
      </c>
      <c r="C29" s="57" t="s">
        <v>252</v>
      </c>
      <c r="D29" s="2198">
        <v>3862</v>
      </c>
      <c r="E29" s="2198">
        <v>3611</v>
      </c>
      <c r="F29" s="2198">
        <v>251</v>
      </c>
      <c r="G29" s="2199">
        <f t="shared" si="0"/>
        <v>6.4992232004142933E-2</v>
      </c>
      <c r="H29" s="2195">
        <v>746</v>
      </c>
      <c r="I29" s="2195">
        <v>652</v>
      </c>
      <c r="J29" s="2195">
        <v>94</v>
      </c>
      <c r="K29" s="2199">
        <f t="shared" si="1"/>
        <v>0.12600536193029491</v>
      </c>
      <c r="L29" s="2195">
        <v>1203</v>
      </c>
      <c r="M29" s="2195">
        <v>1061</v>
      </c>
      <c r="N29" s="2195">
        <v>142</v>
      </c>
      <c r="O29" s="2199">
        <f t="shared" si="2"/>
        <v>0.11803823773898586</v>
      </c>
    </row>
    <row r="30" spans="1:15" x14ac:dyDescent="0.3">
      <c r="A30" s="56" t="s">
        <v>61</v>
      </c>
      <c r="B30" s="84" t="s">
        <v>62</v>
      </c>
      <c r="C30" s="57" t="s">
        <v>254</v>
      </c>
      <c r="D30" s="2198">
        <v>42738</v>
      </c>
      <c r="E30" s="2198">
        <v>37994</v>
      </c>
      <c r="F30" s="2198">
        <v>4744</v>
      </c>
      <c r="G30" s="2199">
        <f t="shared" si="0"/>
        <v>0.11100191866722822</v>
      </c>
      <c r="H30" s="2195">
        <v>6572</v>
      </c>
      <c r="I30" s="2195">
        <v>5323</v>
      </c>
      <c r="J30" s="2195">
        <v>1249</v>
      </c>
      <c r="K30" s="2199">
        <f t="shared" si="1"/>
        <v>0.19004869141813754</v>
      </c>
      <c r="L30" s="2195">
        <v>10945</v>
      </c>
      <c r="M30" s="2195">
        <v>8897</v>
      </c>
      <c r="N30" s="2195">
        <v>2048</v>
      </c>
      <c r="O30" s="2199">
        <f t="shared" si="2"/>
        <v>0.18711740520785747</v>
      </c>
    </row>
    <row r="31" spans="1:15" x14ac:dyDescent="0.3">
      <c r="A31" s="56" t="s">
        <v>63</v>
      </c>
      <c r="B31" s="84" t="s">
        <v>64</v>
      </c>
      <c r="C31" s="57" t="s">
        <v>253</v>
      </c>
      <c r="D31" s="2198">
        <v>7564</v>
      </c>
      <c r="E31" s="2198">
        <v>6767</v>
      </c>
      <c r="F31" s="2198">
        <v>797</v>
      </c>
      <c r="G31" s="2199">
        <f t="shared" si="0"/>
        <v>0.10536753040719196</v>
      </c>
      <c r="H31" s="2195">
        <v>1862</v>
      </c>
      <c r="I31" s="2195">
        <v>1624</v>
      </c>
      <c r="J31" s="2195">
        <v>238</v>
      </c>
      <c r="K31" s="2199">
        <f t="shared" si="1"/>
        <v>0.12781954887218044</v>
      </c>
      <c r="L31" s="2195">
        <v>2806</v>
      </c>
      <c r="M31" s="2195">
        <v>2439</v>
      </c>
      <c r="N31" s="2195">
        <v>367</v>
      </c>
      <c r="O31" s="2199">
        <f t="shared" si="2"/>
        <v>0.13079116179615111</v>
      </c>
    </row>
    <row r="32" spans="1:15" x14ac:dyDescent="0.3">
      <c r="A32" s="56" t="s">
        <v>67</v>
      </c>
      <c r="B32" s="84" t="s">
        <v>68</v>
      </c>
      <c r="C32" s="57" t="s">
        <v>255</v>
      </c>
      <c r="D32" s="2198">
        <v>10474</v>
      </c>
      <c r="E32" s="2198">
        <v>9398</v>
      </c>
      <c r="F32" s="2198">
        <v>1076</v>
      </c>
      <c r="G32" s="2199">
        <f t="shared" si="0"/>
        <v>0.10273057093755968</v>
      </c>
      <c r="H32" s="2195">
        <v>3549</v>
      </c>
      <c r="I32" s="2195">
        <v>3122</v>
      </c>
      <c r="J32" s="2195">
        <v>427</v>
      </c>
      <c r="K32" s="2199">
        <f t="shared" si="1"/>
        <v>0.1203155818540434</v>
      </c>
      <c r="L32" s="2195">
        <v>4893</v>
      </c>
      <c r="M32" s="2195">
        <v>4310</v>
      </c>
      <c r="N32" s="2195">
        <v>583</v>
      </c>
      <c r="O32" s="2199">
        <f t="shared" si="2"/>
        <v>0.11914980584508482</v>
      </c>
    </row>
    <row r="33" spans="1:15" x14ac:dyDescent="0.3">
      <c r="A33" s="56" t="s">
        <v>69</v>
      </c>
      <c r="B33" s="84" t="s">
        <v>70</v>
      </c>
      <c r="C33" s="57" t="s">
        <v>251</v>
      </c>
      <c r="D33" s="2198">
        <v>22825</v>
      </c>
      <c r="E33" s="2198">
        <v>20552</v>
      </c>
      <c r="F33" s="2198">
        <v>2273</v>
      </c>
      <c r="G33" s="2199">
        <f t="shared" si="0"/>
        <v>9.9583789704271633E-2</v>
      </c>
      <c r="H33" s="2195">
        <v>4295</v>
      </c>
      <c r="I33" s="2195">
        <v>3635</v>
      </c>
      <c r="J33" s="2195">
        <v>660</v>
      </c>
      <c r="K33" s="2199">
        <f t="shared" si="1"/>
        <v>0.15366705471478465</v>
      </c>
      <c r="L33" s="2195">
        <v>7014</v>
      </c>
      <c r="M33" s="2195">
        <v>5965</v>
      </c>
      <c r="N33" s="2195">
        <v>1049</v>
      </c>
      <c r="O33" s="2199">
        <f t="shared" si="2"/>
        <v>0.14955802680353578</v>
      </c>
    </row>
    <row r="34" spans="1:15" x14ac:dyDescent="0.3">
      <c r="A34" s="56" t="s">
        <v>71</v>
      </c>
      <c r="B34" s="84" t="s">
        <v>72</v>
      </c>
      <c r="C34" s="57" t="s">
        <v>253</v>
      </c>
      <c r="D34" s="2198">
        <v>8251</v>
      </c>
      <c r="E34" s="2198">
        <v>7315</v>
      </c>
      <c r="F34" s="2198">
        <v>936</v>
      </c>
      <c r="G34" s="2199">
        <f t="shared" si="0"/>
        <v>0.11344079505514483</v>
      </c>
      <c r="H34" s="2195">
        <v>1933</v>
      </c>
      <c r="I34" s="2195">
        <v>1663</v>
      </c>
      <c r="J34" s="2195">
        <v>270</v>
      </c>
      <c r="K34" s="2199">
        <f t="shared" si="1"/>
        <v>0.13967925504397311</v>
      </c>
      <c r="L34" s="2195">
        <v>2976</v>
      </c>
      <c r="M34" s="2195">
        <v>2548</v>
      </c>
      <c r="N34" s="2195">
        <v>428</v>
      </c>
      <c r="O34" s="2199">
        <f t="shared" si="2"/>
        <v>0.14381720430107528</v>
      </c>
    </row>
    <row r="35" spans="1:15" x14ac:dyDescent="0.3">
      <c r="A35" s="56" t="s">
        <v>73</v>
      </c>
      <c r="B35" s="84" t="s">
        <v>405</v>
      </c>
      <c r="C35" s="57" t="s">
        <v>254</v>
      </c>
      <c r="D35" s="2198">
        <v>1015869</v>
      </c>
      <c r="E35" s="2198">
        <v>924424</v>
      </c>
      <c r="F35" s="2198">
        <v>91445</v>
      </c>
      <c r="G35" s="2199">
        <f t="shared" si="0"/>
        <v>9.0016527721586151E-2</v>
      </c>
      <c r="H35" s="2195">
        <v>81556</v>
      </c>
      <c r="I35" s="2195">
        <v>59302</v>
      </c>
      <c r="J35" s="2195">
        <v>22254</v>
      </c>
      <c r="K35" s="2199">
        <f t="shared" si="1"/>
        <v>0.27286772279170141</v>
      </c>
      <c r="L35" s="2195">
        <v>137623</v>
      </c>
      <c r="M35" s="2195">
        <v>100451</v>
      </c>
      <c r="N35" s="2195">
        <v>37172</v>
      </c>
      <c r="O35" s="2199">
        <f t="shared" si="2"/>
        <v>0.27010020127449624</v>
      </c>
    </row>
    <row r="36" spans="1:15" x14ac:dyDescent="0.3">
      <c r="A36" s="56" t="s">
        <v>75</v>
      </c>
      <c r="B36" s="84" t="s">
        <v>76</v>
      </c>
      <c r="C36" s="57" t="s">
        <v>254</v>
      </c>
      <c r="D36" s="2198">
        <v>59212</v>
      </c>
      <c r="E36" s="2198">
        <v>53820</v>
      </c>
      <c r="F36" s="2198">
        <v>5392</v>
      </c>
      <c r="G36" s="2199">
        <f t="shared" si="0"/>
        <v>9.1062622441397012E-2</v>
      </c>
      <c r="H36" s="2195">
        <v>4602</v>
      </c>
      <c r="I36" s="2195">
        <v>3520</v>
      </c>
      <c r="J36" s="2195">
        <v>1082</v>
      </c>
      <c r="K36" s="2199">
        <f t="shared" si="1"/>
        <v>0.23511516731855714</v>
      </c>
      <c r="L36" s="2195">
        <v>8049</v>
      </c>
      <c r="M36" s="2195">
        <v>6144</v>
      </c>
      <c r="N36" s="2195">
        <v>1905</v>
      </c>
      <c r="O36" s="2199">
        <f t="shared" si="2"/>
        <v>0.23667536339918002</v>
      </c>
    </row>
    <row r="37" spans="1:15" x14ac:dyDescent="0.3">
      <c r="A37" s="56" t="s">
        <v>77</v>
      </c>
      <c r="B37" s="84" t="s">
        <v>78</v>
      </c>
      <c r="C37" s="57" t="s">
        <v>255</v>
      </c>
      <c r="D37" s="2198">
        <v>11957</v>
      </c>
      <c r="E37" s="2198">
        <v>10514</v>
      </c>
      <c r="F37" s="2198">
        <v>1443</v>
      </c>
      <c r="G37" s="2199">
        <f t="shared" si="0"/>
        <v>0.12068244542945555</v>
      </c>
      <c r="H37" s="2195">
        <v>2399</v>
      </c>
      <c r="I37" s="2195">
        <v>1974</v>
      </c>
      <c r="J37" s="2195">
        <v>425</v>
      </c>
      <c r="K37" s="2199">
        <f t="shared" si="1"/>
        <v>0.17715714881200501</v>
      </c>
      <c r="L37" s="2195">
        <v>3907</v>
      </c>
      <c r="M37" s="2195">
        <v>3219</v>
      </c>
      <c r="N37" s="2195">
        <v>688</v>
      </c>
      <c r="O37" s="2199">
        <f t="shared" si="2"/>
        <v>0.17609418991553621</v>
      </c>
    </row>
    <row r="38" spans="1:15" x14ac:dyDescent="0.3">
      <c r="A38" s="56" t="s">
        <v>79</v>
      </c>
      <c r="B38" s="84" t="s">
        <v>80</v>
      </c>
      <c r="C38" s="57" t="s">
        <v>253</v>
      </c>
      <c r="D38" s="2198">
        <v>20451</v>
      </c>
      <c r="E38" s="2198">
        <v>18597</v>
      </c>
      <c r="F38" s="2198">
        <v>1854</v>
      </c>
      <c r="G38" s="2199">
        <f t="shared" si="0"/>
        <v>9.0655713657033885E-2</v>
      </c>
      <c r="H38" s="2195">
        <v>2304</v>
      </c>
      <c r="I38" s="2195">
        <v>1857</v>
      </c>
      <c r="J38" s="2195">
        <v>447</v>
      </c>
      <c r="K38" s="2199">
        <f t="shared" si="1"/>
        <v>0.19401041666666666</v>
      </c>
      <c r="L38" s="2195">
        <v>3921</v>
      </c>
      <c r="M38" s="2195">
        <v>3188</v>
      </c>
      <c r="N38" s="2195">
        <v>733</v>
      </c>
      <c r="O38" s="2199">
        <f t="shared" si="2"/>
        <v>0.18694210660545779</v>
      </c>
    </row>
    <row r="39" spans="1:15" x14ac:dyDescent="0.3">
      <c r="A39" s="56" t="s">
        <v>83</v>
      </c>
      <c r="B39" s="84" t="s">
        <v>84</v>
      </c>
      <c r="C39" s="57" t="s">
        <v>252</v>
      </c>
      <c r="D39" s="2198">
        <v>41380</v>
      </c>
      <c r="E39" s="2198">
        <v>37121</v>
      </c>
      <c r="F39" s="2198">
        <v>4259</v>
      </c>
      <c r="G39" s="2199">
        <f t="shared" si="0"/>
        <v>0.10292411793136781</v>
      </c>
      <c r="H39" s="2195">
        <v>8802</v>
      </c>
      <c r="I39" s="2195">
        <v>7502</v>
      </c>
      <c r="J39" s="2195">
        <v>1300</v>
      </c>
      <c r="K39" s="2199">
        <f t="shared" si="1"/>
        <v>0.14769370597591455</v>
      </c>
      <c r="L39" s="2195">
        <v>13557</v>
      </c>
      <c r="M39" s="2195">
        <v>11561</v>
      </c>
      <c r="N39" s="2195">
        <v>1996</v>
      </c>
      <c r="O39" s="2199">
        <f t="shared" si="2"/>
        <v>0.14723021317400606</v>
      </c>
    </row>
    <row r="40" spans="1:15" x14ac:dyDescent="0.3">
      <c r="A40" s="56" t="s">
        <v>85</v>
      </c>
      <c r="B40" s="84" t="s">
        <v>86</v>
      </c>
      <c r="C40" s="57" t="s">
        <v>254</v>
      </c>
      <c r="D40" s="2198">
        <v>72410</v>
      </c>
      <c r="E40" s="2198">
        <v>65558</v>
      </c>
      <c r="F40" s="2198">
        <v>6852</v>
      </c>
      <c r="G40" s="2199">
        <f t="shared" si="0"/>
        <v>9.4627813837867697E-2</v>
      </c>
      <c r="H40" s="2195">
        <v>7812</v>
      </c>
      <c r="I40" s="2195">
        <v>6324</v>
      </c>
      <c r="J40" s="2195">
        <v>1488</v>
      </c>
      <c r="K40" s="2199">
        <f t="shared" si="1"/>
        <v>0.19047619047619047</v>
      </c>
      <c r="L40" s="2195">
        <v>13994</v>
      </c>
      <c r="M40" s="2195">
        <v>11381</v>
      </c>
      <c r="N40" s="2195">
        <v>2613</v>
      </c>
      <c r="O40" s="2199">
        <f t="shared" si="2"/>
        <v>0.18672288123481492</v>
      </c>
    </row>
    <row r="41" spans="1:15" x14ac:dyDescent="0.3">
      <c r="A41" s="56" t="s">
        <v>91</v>
      </c>
      <c r="B41" s="84" t="s">
        <v>92</v>
      </c>
      <c r="C41" s="57" t="s">
        <v>255</v>
      </c>
      <c r="D41" s="2198">
        <v>12885</v>
      </c>
      <c r="E41" s="2198">
        <v>11698</v>
      </c>
      <c r="F41" s="2198">
        <v>1187</v>
      </c>
      <c r="G41" s="2199">
        <f t="shared" si="0"/>
        <v>9.2122623205277449E-2</v>
      </c>
      <c r="H41" s="2195">
        <v>2545</v>
      </c>
      <c r="I41" s="2195">
        <v>2195</v>
      </c>
      <c r="J41" s="2195">
        <v>350</v>
      </c>
      <c r="K41" s="2199">
        <f t="shared" si="1"/>
        <v>0.13752455795677801</v>
      </c>
      <c r="L41" s="2195">
        <v>4102</v>
      </c>
      <c r="M41" s="2195">
        <v>3552</v>
      </c>
      <c r="N41" s="2195">
        <v>550</v>
      </c>
      <c r="O41" s="2199">
        <f t="shared" si="2"/>
        <v>0.13408093612871769</v>
      </c>
    </row>
    <row r="42" spans="1:15" x14ac:dyDescent="0.3">
      <c r="A42" s="56" t="s">
        <v>93</v>
      </c>
      <c r="B42" s="84" t="s">
        <v>94</v>
      </c>
      <c r="C42" s="57" t="s">
        <v>251</v>
      </c>
      <c r="D42" s="2198">
        <v>29946</v>
      </c>
      <c r="E42" s="2198">
        <v>27120</v>
      </c>
      <c r="F42" s="2198">
        <v>2826</v>
      </c>
      <c r="G42" s="2199">
        <f t="shared" si="0"/>
        <v>9.4369865758365062E-2</v>
      </c>
      <c r="H42" s="2195">
        <v>3989</v>
      </c>
      <c r="I42" s="2195">
        <v>3394</v>
      </c>
      <c r="J42" s="2195">
        <v>595</v>
      </c>
      <c r="K42" s="2199">
        <f t="shared" si="1"/>
        <v>0.14916019052394083</v>
      </c>
      <c r="L42" s="2195">
        <v>6679</v>
      </c>
      <c r="M42" s="2195">
        <v>5641</v>
      </c>
      <c r="N42" s="2195">
        <v>1038</v>
      </c>
      <c r="O42" s="2199">
        <f t="shared" si="2"/>
        <v>0.15541248689923642</v>
      </c>
    </row>
    <row r="43" spans="1:15" x14ac:dyDescent="0.3">
      <c r="A43" s="56" t="s">
        <v>95</v>
      </c>
      <c r="B43" s="84" t="s">
        <v>96</v>
      </c>
      <c r="C43" s="57" t="s">
        <v>253</v>
      </c>
      <c r="D43" s="2198">
        <v>17458</v>
      </c>
      <c r="E43" s="2198">
        <v>16341</v>
      </c>
      <c r="F43" s="2198">
        <v>1117</v>
      </c>
      <c r="G43" s="2199">
        <f t="shared" si="0"/>
        <v>6.3982128537060368E-2</v>
      </c>
      <c r="H43" s="2195">
        <v>1082</v>
      </c>
      <c r="I43" s="2195">
        <v>865</v>
      </c>
      <c r="J43" s="2195">
        <v>217</v>
      </c>
      <c r="K43" s="2199">
        <f t="shared" si="1"/>
        <v>0.20055452865064696</v>
      </c>
      <c r="L43" s="2195">
        <v>2152</v>
      </c>
      <c r="M43" s="2195">
        <v>1763</v>
      </c>
      <c r="N43" s="2195">
        <v>389</v>
      </c>
      <c r="O43" s="2199">
        <f t="shared" si="2"/>
        <v>0.18076208178438663</v>
      </c>
    </row>
    <row r="44" spans="1:15" x14ac:dyDescent="0.3">
      <c r="A44" s="56" t="s">
        <v>97</v>
      </c>
      <c r="B44" s="84" t="s">
        <v>98</v>
      </c>
      <c r="C44" s="57" t="s">
        <v>255</v>
      </c>
      <c r="D44" s="2198">
        <v>10614</v>
      </c>
      <c r="E44" s="2198">
        <v>9380</v>
      </c>
      <c r="F44" s="2198">
        <v>1234</v>
      </c>
      <c r="G44" s="2199">
        <f t="shared" si="0"/>
        <v>0.1162615413604673</v>
      </c>
      <c r="H44" s="2195">
        <v>2969</v>
      </c>
      <c r="I44" s="2195">
        <v>2521</v>
      </c>
      <c r="J44" s="2195">
        <v>448</v>
      </c>
      <c r="K44" s="2199">
        <f t="shared" si="1"/>
        <v>0.15089255641630178</v>
      </c>
      <c r="L44" s="2195">
        <v>4493</v>
      </c>
      <c r="M44" s="2195">
        <v>3842</v>
      </c>
      <c r="N44" s="2195">
        <v>651</v>
      </c>
      <c r="O44" s="2199">
        <f t="shared" si="2"/>
        <v>0.1448920543066993</v>
      </c>
    </row>
    <row r="45" spans="1:15" x14ac:dyDescent="0.3">
      <c r="A45" s="56" t="s">
        <v>99</v>
      </c>
      <c r="B45" s="84" t="s">
        <v>100</v>
      </c>
      <c r="C45" s="57" t="s">
        <v>254</v>
      </c>
      <c r="D45" s="2198">
        <v>16189</v>
      </c>
      <c r="E45" s="2198">
        <v>14447</v>
      </c>
      <c r="F45" s="2198">
        <v>1742</v>
      </c>
      <c r="G45" s="2199">
        <f t="shared" si="0"/>
        <v>0.10760392859348941</v>
      </c>
      <c r="H45" s="2195">
        <v>2596</v>
      </c>
      <c r="I45" s="2195">
        <v>2072</v>
      </c>
      <c r="J45" s="2195">
        <v>524</v>
      </c>
      <c r="K45" s="2199">
        <f t="shared" si="1"/>
        <v>0.20184899845916796</v>
      </c>
      <c r="L45" s="2195">
        <v>4182</v>
      </c>
      <c r="M45" s="2195">
        <v>3362</v>
      </c>
      <c r="N45" s="2195">
        <v>820</v>
      </c>
      <c r="O45" s="2199">
        <f t="shared" si="2"/>
        <v>0.19607843137254902</v>
      </c>
    </row>
    <row r="46" spans="1:15" x14ac:dyDescent="0.3">
      <c r="A46" s="56" t="s">
        <v>101</v>
      </c>
      <c r="B46" s="84" t="s">
        <v>263</v>
      </c>
      <c r="C46" s="57" t="s">
        <v>251</v>
      </c>
      <c r="D46" s="2198">
        <v>10276</v>
      </c>
      <c r="E46" s="2198">
        <v>9406</v>
      </c>
      <c r="F46" s="2198">
        <v>870</v>
      </c>
      <c r="G46" s="2199">
        <f t="shared" si="0"/>
        <v>8.466329311015959E-2</v>
      </c>
      <c r="H46" s="2195">
        <v>3594</v>
      </c>
      <c r="I46" s="2195">
        <v>3265</v>
      </c>
      <c r="J46" s="2195">
        <v>329</v>
      </c>
      <c r="K46" s="2199">
        <f t="shared" si="1"/>
        <v>9.1541457985531441E-2</v>
      </c>
      <c r="L46" s="2195">
        <v>4965</v>
      </c>
      <c r="M46" s="2195">
        <v>4511</v>
      </c>
      <c r="N46" s="2195">
        <v>454</v>
      </c>
      <c r="O46" s="2199">
        <f t="shared" si="2"/>
        <v>9.1440080563947632E-2</v>
      </c>
    </row>
    <row r="47" spans="1:15" x14ac:dyDescent="0.3">
      <c r="A47" s="56" t="s">
        <v>103</v>
      </c>
      <c r="B47" s="84" t="s">
        <v>104</v>
      </c>
      <c r="C47" s="57" t="s">
        <v>252</v>
      </c>
      <c r="D47" s="2198">
        <v>24826</v>
      </c>
      <c r="E47" s="2198">
        <v>22210</v>
      </c>
      <c r="F47" s="2198">
        <v>2616</v>
      </c>
      <c r="G47" s="2199">
        <f t="shared" si="0"/>
        <v>0.10537339885603803</v>
      </c>
      <c r="H47" s="2195">
        <v>6238</v>
      </c>
      <c r="I47" s="2195">
        <v>5390</v>
      </c>
      <c r="J47" s="2195">
        <v>848</v>
      </c>
      <c r="K47" s="2199">
        <f t="shared" si="1"/>
        <v>0.13594100673292722</v>
      </c>
      <c r="L47" s="2195">
        <v>9288</v>
      </c>
      <c r="M47" s="2195">
        <v>8033</v>
      </c>
      <c r="N47" s="2195">
        <v>1255</v>
      </c>
      <c r="O47" s="2199">
        <f t="shared" si="2"/>
        <v>0.13512058570198104</v>
      </c>
    </row>
    <row r="48" spans="1:15" x14ac:dyDescent="0.3">
      <c r="A48" s="56" t="s">
        <v>107</v>
      </c>
      <c r="B48" s="84" t="s">
        <v>108</v>
      </c>
      <c r="C48" s="57" t="s">
        <v>253</v>
      </c>
      <c r="D48" s="2198">
        <v>86745</v>
      </c>
      <c r="E48" s="2198">
        <v>80956</v>
      </c>
      <c r="F48" s="2198">
        <v>5789</v>
      </c>
      <c r="G48" s="2199">
        <f t="shared" si="0"/>
        <v>6.6735834918439096E-2</v>
      </c>
      <c r="H48" s="2195">
        <v>6498</v>
      </c>
      <c r="I48" s="2195">
        <v>5411</v>
      </c>
      <c r="J48" s="2195">
        <v>1087</v>
      </c>
      <c r="K48" s="2199">
        <f t="shared" si="1"/>
        <v>0.16728224068944292</v>
      </c>
      <c r="L48" s="2195">
        <v>11702</v>
      </c>
      <c r="M48" s="2195">
        <v>9749</v>
      </c>
      <c r="N48" s="2195">
        <v>1953</v>
      </c>
      <c r="O48" s="2199">
        <f t="shared" si="2"/>
        <v>0.166894547940523</v>
      </c>
    </row>
    <row r="49" spans="1:15" x14ac:dyDescent="0.3">
      <c r="A49" s="56" t="s">
        <v>109</v>
      </c>
      <c r="B49" s="84" t="s">
        <v>110</v>
      </c>
      <c r="C49" s="57" t="s">
        <v>253</v>
      </c>
      <c r="D49" s="2198">
        <v>275928</v>
      </c>
      <c r="E49" s="2198">
        <v>251622</v>
      </c>
      <c r="F49" s="2198">
        <v>24306</v>
      </c>
      <c r="G49" s="2199">
        <f t="shared" si="0"/>
        <v>8.8088196920935891E-2</v>
      </c>
      <c r="H49" s="2195">
        <v>37275</v>
      </c>
      <c r="I49" s="2195">
        <v>30926</v>
      </c>
      <c r="J49" s="2195">
        <v>6349</v>
      </c>
      <c r="K49" s="2199">
        <f t="shared" si="1"/>
        <v>0.17032863849765259</v>
      </c>
      <c r="L49" s="2195">
        <v>59971</v>
      </c>
      <c r="M49" s="2195">
        <v>49642</v>
      </c>
      <c r="N49" s="2195">
        <v>10329</v>
      </c>
      <c r="O49" s="2199">
        <f t="shared" si="2"/>
        <v>0.17223324606893331</v>
      </c>
    </row>
    <row r="50" spans="1:15" x14ac:dyDescent="0.3">
      <c r="A50" s="56" t="s">
        <v>111</v>
      </c>
      <c r="B50" s="84" t="s">
        <v>275</v>
      </c>
      <c r="C50" s="57" t="s">
        <v>252</v>
      </c>
      <c r="D50" s="2198">
        <v>47225</v>
      </c>
      <c r="E50" s="2198">
        <v>42129</v>
      </c>
      <c r="F50" s="2198">
        <v>5096</v>
      </c>
      <c r="G50" s="2199">
        <f t="shared" si="0"/>
        <v>0.10790894653255691</v>
      </c>
      <c r="H50" s="2195">
        <v>14479</v>
      </c>
      <c r="I50" s="2195">
        <v>12672</v>
      </c>
      <c r="J50" s="2195">
        <v>1807</v>
      </c>
      <c r="K50" s="2199">
        <f t="shared" si="1"/>
        <v>0.12480143656329858</v>
      </c>
      <c r="L50" s="2195">
        <v>21272</v>
      </c>
      <c r="M50" s="2195">
        <v>18606</v>
      </c>
      <c r="N50" s="2195">
        <v>2666</v>
      </c>
      <c r="O50" s="2199">
        <f t="shared" si="2"/>
        <v>0.12532907107935315</v>
      </c>
    </row>
    <row r="51" spans="1:15" x14ac:dyDescent="0.3">
      <c r="A51" s="56" t="s">
        <v>113</v>
      </c>
      <c r="B51" s="84" t="s">
        <v>114</v>
      </c>
      <c r="C51" s="57" t="s">
        <v>252</v>
      </c>
      <c r="D51" s="2198">
        <v>1403</v>
      </c>
      <c r="E51" s="2198">
        <v>1198</v>
      </c>
      <c r="F51" s="2198">
        <v>205</v>
      </c>
      <c r="G51" s="2199">
        <f t="shared" si="0"/>
        <v>0.14611546685673557</v>
      </c>
      <c r="H51" s="2195">
        <v>324</v>
      </c>
      <c r="I51" s="2195">
        <v>260</v>
      </c>
      <c r="J51" s="2195">
        <v>64</v>
      </c>
      <c r="K51" s="2199">
        <f t="shared" si="1"/>
        <v>0.19753086419753085</v>
      </c>
      <c r="L51" s="2195">
        <v>505</v>
      </c>
      <c r="M51" s="2195">
        <v>410</v>
      </c>
      <c r="N51" s="2195">
        <v>95</v>
      </c>
      <c r="O51" s="2199">
        <f t="shared" si="2"/>
        <v>0.18811881188118812</v>
      </c>
    </row>
    <row r="52" spans="1:15" x14ac:dyDescent="0.3">
      <c r="A52" s="56" t="s">
        <v>117</v>
      </c>
      <c r="B52" s="84" t="s">
        <v>257</v>
      </c>
      <c r="C52" s="57" t="s">
        <v>251</v>
      </c>
      <c r="D52" s="2198">
        <v>29649</v>
      </c>
      <c r="E52" s="2198">
        <v>27206</v>
      </c>
      <c r="F52" s="2198">
        <v>2443</v>
      </c>
      <c r="G52" s="2199">
        <f t="shared" si="0"/>
        <v>8.2397382711052652E-2</v>
      </c>
      <c r="H52" s="2195">
        <v>3852</v>
      </c>
      <c r="I52" s="2195">
        <v>3216</v>
      </c>
      <c r="J52" s="2195">
        <v>636</v>
      </c>
      <c r="K52" s="2199">
        <f t="shared" si="1"/>
        <v>0.16510903426791276</v>
      </c>
      <c r="L52" s="2195">
        <v>6207</v>
      </c>
      <c r="M52" s="2195">
        <v>5205</v>
      </c>
      <c r="N52" s="2195">
        <v>1002</v>
      </c>
      <c r="O52" s="2199">
        <f t="shared" si="2"/>
        <v>0.16143064282261962</v>
      </c>
    </row>
    <row r="53" spans="1:15" x14ac:dyDescent="0.3">
      <c r="A53" s="56" t="s">
        <v>119</v>
      </c>
      <c r="B53" s="84" t="s">
        <v>120</v>
      </c>
      <c r="C53" s="57" t="s">
        <v>251</v>
      </c>
      <c r="D53" s="2198">
        <v>56118</v>
      </c>
      <c r="E53" s="2198">
        <v>52231</v>
      </c>
      <c r="F53" s="2198">
        <v>3887</v>
      </c>
      <c r="G53" s="2199">
        <f t="shared" si="0"/>
        <v>6.9264763533981963E-2</v>
      </c>
      <c r="H53" s="2195">
        <v>5313</v>
      </c>
      <c r="I53" s="2195">
        <v>4361</v>
      </c>
      <c r="J53" s="2195">
        <v>952</v>
      </c>
      <c r="K53" s="2199">
        <f t="shared" si="1"/>
        <v>0.17918313570487485</v>
      </c>
      <c r="L53" s="2195">
        <v>9253</v>
      </c>
      <c r="M53" s="2195">
        <v>7642</v>
      </c>
      <c r="N53" s="2195">
        <v>1611</v>
      </c>
      <c r="O53" s="2199">
        <f t="shared" si="2"/>
        <v>0.17410569545012428</v>
      </c>
    </row>
    <row r="54" spans="1:15" x14ac:dyDescent="0.3">
      <c r="A54" s="56" t="s">
        <v>121</v>
      </c>
      <c r="B54" s="84" t="s">
        <v>258</v>
      </c>
      <c r="C54" s="57" t="s">
        <v>253</v>
      </c>
      <c r="D54" s="2198">
        <v>5320</v>
      </c>
      <c r="E54" s="2198">
        <v>4667</v>
      </c>
      <c r="F54" s="2198">
        <v>653</v>
      </c>
      <c r="G54" s="2199">
        <f t="shared" si="0"/>
        <v>0.12274436090225564</v>
      </c>
      <c r="H54" s="2195">
        <v>1063</v>
      </c>
      <c r="I54" s="2195">
        <v>877</v>
      </c>
      <c r="J54" s="2195">
        <v>186</v>
      </c>
      <c r="K54" s="2199">
        <f t="shared" si="1"/>
        <v>0.17497648165569143</v>
      </c>
      <c r="L54" s="2195">
        <v>1677</v>
      </c>
      <c r="M54" s="2195">
        <v>1374</v>
      </c>
      <c r="N54" s="2195">
        <v>303</v>
      </c>
      <c r="O54" s="2199">
        <f t="shared" si="2"/>
        <v>0.18067978533094811</v>
      </c>
    </row>
    <row r="55" spans="1:15" x14ac:dyDescent="0.3">
      <c r="A55" s="56" t="s">
        <v>123</v>
      </c>
      <c r="B55" s="84" t="s">
        <v>124</v>
      </c>
      <c r="C55" s="57" t="s">
        <v>254</v>
      </c>
      <c r="D55" s="2198">
        <v>22999</v>
      </c>
      <c r="E55" s="2198">
        <v>21454</v>
      </c>
      <c r="F55" s="2198">
        <v>1545</v>
      </c>
      <c r="G55" s="2199">
        <f t="shared" si="0"/>
        <v>6.7176833775381542E-2</v>
      </c>
      <c r="H55" s="2195">
        <v>2518</v>
      </c>
      <c r="I55" s="2195">
        <v>2170</v>
      </c>
      <c r="J55" s="2195">
        <v>348</v>
      </c>
      <c r="K55" s="2199">
        <f t="shared" si="1"/>
        <v>0.13820492454328834</v>
      </c>
      <c r="L55" s="2195">
        <v>4224</v>
      </c>
      <c r="M55" s="2195">
        <v>3634</v>
      </c>
      <c r="N55" s="2195">
        <v>590</v>
      </c>
      <c r="O55" s="2199">
        <f t="shared" si="2"/>
        <v>0.1396780303030303</v>
      </c>
    </row>
    <row r="56" spans="1:15" x14ac:dyDescent="0.3">
      <c r="A56" s="56" t="s">
        <v>125</v>
      </c>
      <c r="B56" s="84" t="s">
        <v>126</v>
      </c>
      <c r="C56" s="57" t="s">
        <v>253</v>
      </c>
      <c r="D56" s="2198">
        <v>14267</v>
      </c>
      <c r="E56" s="2198">
        <v>13048</v>
      </c>
      <c r="F56" s="2198">
        <v>1219</v>
      </c>
      <c r="G56" s="2199">
        <f t="shared" si="0"/>
        <v>8.5441928926894228E-2</v>
      </c>
      <c r="H56" s="2195">
        <v>1942</v>
      </c>
      <c r="I56" s="2195">
        <v>1663</v>
      </c>
      <c r="J56" s="2195">
        <v>279</v>
      </c>
      <c r="K56" s="2199">
        <f t="shared" si="1"/>
        <v>0.14366632337796087</v>
      </c>
      <c r="L56" s="2195">
        <v>3301</v>
      </c>
      <c r="M56" s="2195">
        <v>2831</v>
      </c>
      <c r="N56" s="2195">
        <v>470</v>
      </c>
      <c r="O56" s="2199">
        <f t="shared" si="2"/>
        <v>0.1423810966373826</v>
      </c>
    </row>
    <row r="57" spans="1:15" x14ac:dyDescent="0.3">
      <c r="A57" s="56" t="s">
        <v>127</v>
      </c>
      <c r="B57" s="84" t="s">
        <v>128</v>
      </c>
      <c r="C57" s="57" t="s">
        <v>253</v>
      </c>
      <c r="D57" s="2198">
        <v>6618</v>
      </c>
      <c r="E57" s="2198">
        <v>5836</v>
      </c>
      <c r="F57" s="2198">
        <v>782</v>
      </c>
      <c r="G57" s="2199">
        <f t="shared" si="0"/>
        <v>0.11816258688425506</v>
      </c>
      <c r="H57" s="2195">
        <v>1271</v>
      </c>
      <c r="I57" s="2195">
        <v>1056</v>
      </c>
      <c r="J57" s="2195">
        <v>215</v>
      </c>
      <c r="K57" s="2199">
        <f t="shared" si="1"/>
        <v>0.16915814319433517</v>
      </c>
      <c r="L57" s="2195">
        <v>2060</v>
      </c>
      <c r="M57" s="2195">
        <v>1700</v>
      </c>
      <c r="N57" s="2195">
        <v>360</v>
      </c>
      <c r="O57" s="2199">
        <f t="shared" si="2"/>
        <v>0.17475728155339806</v>
      </c>
    </row>
    <row r="58" spans="1:15" x14ac:dyDescent="0.3">
      <c r="A58" s="56" t="s">
        <v>129</v>
      </c>
      <c r="B58" s="84" t="s">
        <v>130</v>
      </c>
      <c r="C58" s="57" t="s">
        <v>255</v>
      </c>
      <c r="D58" s="2198">
        <v>16623</v>
      </c>
      <c r="E58" s="2198">
        <v>14816</v>
      </c>
      <c r="F58" s="2198">
        <v>1807</v>
      </c>
      <c r="G58" s="2199">
        <f t="shared" si="0"/>
        <v>0.10870480659327438</v>
      </c>
      <c r="H58" s="2195">
        <v>5973</v>
      </c>
      <c r="I58" s="2195">
        <v>5287</v>
      </c>
      <c r="J58" s="2195">
        <v>686</v>
      </c>
      <c r="K58" s="2199">
        <f t="shared" si="1"/>
        <v>0.11485015904905407</v>
      </c>
      <c r="L58" s="2195">
        <v>8325</v>
      </c>
      <c r="M58" s="2195">
        <v>7358</v>
      </c>
      <c r="N58" s="2195">
        <v>967</v>
      </c>
      <c r="O58" s="2199">
        <f t="shared" si="2"/>
        <v>0.11615615615615615</v>
      </c>
    </row>
    <row r="59" spans="1:15" x14ac:dyDescent="0.3">
      <c r="A59" s="56" t="s">
        <v>131</v>
      </c>
      <c r="B59" s="84" t="s">
        <v>132</v>
      </c>
      <c r="C59" s="57" t="s">
        <v>254</v>
      </c>
      <c r="D59" s="2198">
        <v>375343</v>
      </c>
      <c r="E59" s="2198">
        <v>352397</v>
      </c>
      <c r="F59" s="2198">
        <v>22946</v>
      </c>
      <c r="G59" s="2199">
        <f t="shared" si="0"/>
        <v>6.1133416634917927E-2</v>
      </c>
      <c r="H59" s="2195">
        <v>17766</v>
      </c>
      <c r="I59" s="2195">
        <v>13422</v>
      </c>
      <c r="J59" s="2195">
        <v>4344</v>
      </c>
      <c r="K59" s="2199">
        <f t="shared" si="1"/>
        <v>0.24451198919284026</v>
      </c>
      <c r="L59" s="2195">
        <v>33061</v>
      </c>
      <c r="M59" s="2195">
        <v>25110</v>
      </c>
      <c r="N59" s="2195">
        <v>7951</v>
      </c>
      <c r="O59" s="2199">
        <f t="shared" si="2"/>
        <v>0.240494842866217</v>
      </c>
    </row>
    <row r="60" spans="1:15" x14ac:dyDescent="0.3">
      <c r="A60" s="56" t="s">
        <v>133</v>
      </c>
      <c r="B60" s="84" t="s">
        <v>134</v>
      </c>
      <c r="C60" s="57" t="s">
        <v>254</v>
      </c>
      <c r="D60" s="2198">
        <v>29811</v>
      </c>
      <c r="E60" s="2198">
        <v>26197</v>
      </c>
      <c r="F60" s="2198">
        <v>3614</v>
      </c>
      <c r="G60" s="2199">
        <f t="shared" si="0"/>
        <v>0.12123041830196907</v>
      </c>
      <c r="H60" s="2195">
        <v>5138</v>
      </c>
      <c r="I60" s="2195">
        <v>4145</v>
      </c>
      <c r="J60" s="2195">
        <v>993</v>
      </c>
      <c r="K60" s="2199">
        <f t="shared" si="1"/>
        <v>0.19326586220319189</v>
      </c>
      <c r="L60" s="2195">
        <v>8009</v>
      </c>
      <c r="M60" s="2195">
        <v>6450</v>
      </c>
      <c r="N60" s="2195">
        <v>1559</v>
      </c>
      <c r="O60" s="2199">
        <f t="shared" si="2"/>
        <v>0.19465601198651517</v>
      </c>
    </row>
    <row r="61" spans="1:15" x14ac:dyDescent="0.3">
      <c r="A61" s="56" t="s">
        <v>135</v>
      </c>
      <c r="B61" s="84" t="s">
        <v>136</v>
      </c>
      <c r="C61" s="57" t="s">
        <v>253</v>
      </c>
      <c r="D61" s="2198">
        <v>8339</v>
      </c>
      <c r="E61" s="2198">
        <v>7204</v>
      </c>
      <c r="F61" s="2198">
        <v>1135</v>
      </c>
      <c r="G61" s="2199">
        <f t="shared" si="0"/>
        <v>0.13610744693608345</v>
      </c>
      <c r="H61" s="2195">
        <v>2372</v>
      </c>
      <c r="I61" s="2195">
        <v>1970</v>
      </c>
      <c r="J61" s="2195">
        <v>402</v>
      </c>
      <c r="K61" s="2199">
        <f t="shared" si="1"/>
        <v>0.16947723440134907</v>
      </c>
      <c r="L61" s="2195">
        <v>3477</v>
      </c>
      <c r="M61" s="2195">
        <v>2885</v>
      </c>
      <c r="N61" s="2195">
        <v>592</v>
      </c>
      <c r="O61" s="2199">
        <f t="shared" si="2"/>
        <v>0.17026171987345412</v>
      </c>
    </row>
    <row r="62" spans="1:15" x14ac:dyDescent="0.3">
      <c r="A62" s="56" t="s">
        <v>139</v>
      </c>
      <c r="B62" s="84" t="s">
        <v>140</v>
      </c>
      <c r="C62" s="57" t="s">
        <v>254</v>
      </c>
      <c r="D62" s="2198">
        <v>10156</v>
      </c>
      <c r="E62" s="2198">
        <v>9018</v>
      </c>
      <c r="F62" s="2198">
        <v>1138</v>
      </c>
      <c r="G62" s="2199">
        <f t="shared" si="0"/>
        <v>0.11205198897203623</v>
      </c>
      <c r="H62" s="2195">
        <v>1929</v>
      </c>
      <c r="I62" s="2195">
        <v>1613</v>
      </c>
      <c r="J62" s="2195">
        <v>316</v>
      </c>
      <c r="K62" s="2199">
        <f t="shared" si="1"/>
        <v>0.16381544841886989</v>
      </c>
      <c r="L62" s="2195">
        <v>3081</v>
      </c>
      <c r="M62" s="2195">
        <v>2569</v>
      </c>
      <c r="N62" s="2195">
        <v>512</v>
      </c>
      <c r="O62" s="2199">
        <f t="shared" si="2"/>
        <v>0.166179811749432</v>
      </c>
    </row>
    <row r="63" spans="1:15" x14ac:dyDescent="0.3">
      <c r="A63" s="56" t="s">
        <v>145</v>
      </c>
      <c r="B63" s="84" t="s">
        <v>146</v>
      </c>
      <c r="C63" s="57" t="s">
        <v>251</v>
      </c>
      <c r="D63" s="2198">
        <v>6035</v>
      </c>
      <c r="E63" s="2198">
        <v>5502</v>
      </c>
      <c r="F63" s="2198">
        <v>533</v>
      </c>
      <c r="G63" s="2199">
        <f t="shared" si="0"/>
        <v>8.8318144159072076E-2</v>
      </c>
      <c r="H63" s="2195">
        <v>849</v>
      </c>
      <c r="I63" s="2195">
        <v>707</v>
      </c>
      <c r="J63" s="2195">
        <v>142</v>
      </c>
      <c r="K63" s="2199">
        <f t="shared" si="1"/>
        <v>0.16725559481743227</v>
      </c>
      <c r="L63" s="2195">
        <v>1400</v>
      </c>
      <c r="M63" s="2195">
        <v>1163</v>
      </c>
      <c r="N63" s="2195">
        <v>237</v>
      </c>
      <c r="O63" s="2199">
        <f t="shared" si="2"/>
        <v>0.16928571428571429</v>
      </c>
    </row>
    <row r="64" spans="1:15" x14ac:dyDescent="0.3">
      <c r="A64" s="56" t="s">
        <v>147</v>
      </c>
      <c r="B64" s="84" t="s">
        <v>148</v>
      </c>
      <c r="C64" s="57" t="s">
        <v>252</v>
      </c>
      <c r="D64" s="2198">
        <v>21858</v>
      </c>
      <c r="E64" s="2198">
        <v>19230</v>
      </c>
      <c r="F64" s="2198">
        <v>2628</v>
      </c>
      <c r="G64" s="2199">
        <f t="shared" si="0"/>
        <v>0.12023057919297282</v>
      </c>
      <c r="H64" s="2195">
        <v>6066</v>
      </c>
      <c r="I64" s="2195">
        <v>5205</v>
      </c>
      <c r="J64" s="2195">
        <v>861</v>
      </c>
      <c r="K64" s="2199">
        <f t="shared" si="1"/>
        <v>0.14193867457962414</v>
      </c>
      <c r="L64" s="2195">
        <v>8967</v>
      </c>
      <c r="M64" s="2195">
        <v>7681</v>
      </c>
      <c r="N64" s="2195">
        <v>1286</v>
      </c>
      <c r="O64" s="2199">
        <f t="shared" si="2"/>
        <v>0.14341474294635886</v>
      </c>
    </row>
    <row r="65" spans="1:15" x14ac:dyDescent="0.3">
      <c r="A65" s="56" t="s">
        <v>149</v>
      </c>
      <c r="B65" s="84" t="s">
        <v>150</v>
      </c>
      <c r="C65" s="57" t="s">
        <v>253</v>
      </c>
      <c r="D65" s="2198">
        <v>6909</v>
      </c>
      <c r="E65" s="2198">
        <v>6115</v>
      </c>
      <c r="F65" s="2198">
        <v>794</v>
      </c>
      <c r="G65" s="2199">
        <f t="shared" si="0"/>
        <v>0.11492256477058908</v>
      </c>
      <c r="H65" s="2195">
        <v>1287</v>
      </c>
      <c r="I65" s="2195">
        <v>1082</v>
      </c>
      <c r="J65" s="2195">
        <v>205</v>
      </c>
      <c r="K65" s="2199">
        <f t="shared" si="1"/>
        <v>0.15928515928515929</v>
      </c>
      <c r="L65" s="2195">
        <v>2006</v>
      </c>
      <c r="M65" s="2195">
        <v>1673</v>
      </c>
      <c r="N65" s="2195">
        <v>333</v>
      </c>
      <c r="O65" s="2199">
        <f t="shared" si="2"/>
        <v>0.16600199401794616</v>
      </c>
    </row>
    <row r="66" spans="1:15" x14ac:dyDescent="0.3">
      <c r="A66" s="56" t="s">
        <v>151</v>
      </c>
      <c r="B66" s="84" t="s">
        <v>152</v>
      </c>
      <c r="C66" s="57" t="s">
        <v>255</v>
      </c>
      <c r="D66" s="2198">
        <v>75965</v>
      </c>
      <c r="E66" s="2198">
        <v>69276</v>
      </c>
      <c r="F66" s="2198">
        <v>6689</v>
      </c>
      <c r="G66" s="2199">
        <f t="shared" si="0"/>
        <v>8.805370894490884E-2</v>
      </c>
      <c r="H66" s="2195">
        <v>19270</v>
      </c>
      <c r="I66" s="2195">
        <v>16505</v>
      </c>
      <c r="J66" s="2195">
        <v>2765</v>
      </c>
      <c r="K66" s="2199">
        <f t="shared" si="1"/>
        <v>0.14348728593668916</v>
      </c>
      <c r="L66" s="2195">
        <v>26274</v>
      </c>
      <c r="M66" s="2195">
        <v>22465</v>
      </c>
      <c r="N66" s="2195">
        <v>3809</v>
      </c>
      <c r="O66" s="2199">
        <f t="shared" si="2"/>
        <v>0.14497221587881556</v>
      </c>
    </row>
    <row r="67" spans="1:15" x14ac:dyDescent="0.3">
      <c r="A67" s="56" t="s">
        <v>153</v>
      </c>
      <c r="B67" s="84" t="s">
        <v>154</v>
      </c>
      <c r="C67" s="57" t="s">
        <v>252</v>
      </c>
      <c r="D67" s="2198">
        <v>10652</v>
      </c>
      <c r="E67" s="2198">
        <v>9297</v>
      </c>
      <c r="F67" s="2198">
        <v>1355</v>
      </c>
      <c r="G67" s="2199">
        <f t="shared" si="0"/>
        <v>0.12720615846789335</v>
      </c>
      <c r="H67" s="2195">
        <v>1948</v>
      </c>
      <c r="I67" s="2195">
        <v>1574</v>
      </c>
      <c r="J67" s="2195">
        <v>374</v>
      </c>
      <c r="K67" s="2199">
        <f t="shared" si="1"/>
        <v>0.19199178644763859</v>
      </c>
      <c r="L67" s="2195">
        <v>3176</v>
      </c>
      <c r="M67" s="2195">
        <v>2562</v>
      </c>
      <c r="N67" s="2195">
        <v>614</v>
      </c>
      <c r="O67" s="2199">
        <f t="shared" si="2"/>
        <v>0.19332493702770781</v>
      </c>
    </row>
    <row r="68" spans="1:15" x14ac:dyDescent="0.3">
      <c r="A68" s="56" t="s">
        <v>155</v>
      </c>
      <c r="B68" s="84" t="s">
        <v>156</v>
      </c>
      <c r="C68" s="57" t="s">
        <v>253</v>
      </c>
      <c r="D68" s="2198">
        <v>18504</v>
      </c>
      <c r="E68" s="2198">
        <v>16911</v>
      </c>
      <c r="F68" s="2198">
        <v>1593</v>
      </c>
      <c r="G68" s="2199">
        <f t="shared" si="0"/>
        <v>8.6089494163424124E-2</v>
      </c>
      <c r="H68" s="2195">
        <v>1426</v>
      </c>
      <c r="I68" s="2195">
        <v>1150</v>
      </c>
      <c r="J68" s="2195">
        <v>276</v>
      </c>
      <c r="K68" s="2199">
        <f t="shared" si="1"/>
        <v>0.19354838709677419</v>
      </c>
      <c r="L68" s="2195">
        <v>2602</v>
      </c>
      <c r="M68" s="2195">
        <v>2094</v>
      </c>
      <c r="N68" s="2195">
        <v>508</v>
      </c>
      <c r="O68" s="2199">
        <f t="shared" si="2"/>
        <v>0.19523443504996157</v>
      </c>
    </row>
    <row r="69" spans="1:15" x14ac:dyDescent="0.3">
      <c r="A69" s="56" t="s">
        <v>161</v>
      </c>
      <c r="B69" s="84" t="s">
        <v>162</v>
      </c>
      <c r="C69" s="57" t="s">
        <v>251</v>
      </c>
      <c r="D69" s="2198">
        <v>8313</v>
      </c>
      <c r="E69" s="2198">
        <v>7271</v>
      </c>
      <c r="F69" s="2198">
        <v>1042</v>
      </c>
      <c r="G69" s="2199">
        <f t="shared" si="0"/>
        <v>0.12534584385901601</v>
      </c>
      <c r="H69" s="2195">
        <v>2453</v>
      </c>
      <c r="I69" s="2195">
        <v>2072</v>
      </c>
      <c r="J69" s="2195">
        <v>381</v>
      </c>
      <c r="K69" s="2199">
        <f t="shared" si="1"/>
        <v>0.15532001630656339</v>
      </c>
      <c r="L69" s="2195">
        <v>3536</v>
      </c>
      <c r="M69" s="2195">
        <v>2982</v>
      </c>
      <c r="N69" s="2195">
        <v>554</v>
      </c>
      <c r="O69" s="2199">
        <f t="shared" si="2"/>
        <v>0.15667420814479638</v>
      </c>
    </row>
    <row r="70" spans="1:15" x14ac:dyDescent="0.3">
      <c r="A70" s="56" t="s">
        <v>163</v>
      </c>
      <c r="B70" s="84" t="s">
        <v>164</v>
      </c>
      <c r="C70" s="57" t="s">
        <v>253</v>
      </c>
      <c r="D70" s="2198">
        <v>7486</v>
      </c>
      <c r="E70" s="2198">
        <v>6654</v>
      </c>
      <c r="F70" s="2198">
        <v>832</v>
      </c>
      <c r="G70" s="2199">
        <f t="shared" si="0"/>
        <v>0.11114079615281859</v>
      </c>
      <c r="H70" s="2195">
        <v>1525</v>
      </c>
      <c r="I70" s="2195">
        <v>1260</v>
      </c>
      <c r="J70" s="2195">
        <v>265</v>
      </c>
      <c r="K70" s="2199">
        <f t="shared" si="1"/>
        <v>0.17377049180327869</v>
      </c>
      <c r="L70" s="2195">
        <v>2282</v>
      </c>
      <c r="M70" s="2195">
        <v>1881</v>
      </c>
      <c r="N70" s="2195">
        <v>401</v>
      </c>
      <c r="O70" s="2199">
        <f t="shared" si="2"/>
        <v>0.1757230499561788</v>
      </c>
    </row>
    <row r="71" spans="1:15" x14ac:dyDescent="0.3">
      <c r="A71" s="56" t="s">
        <v>167</v>
      </c>
      <c r="B71" s="84" t="s">
        <v>168</v>
      </c>
      <c r="C71" s="57" t="s">
        <v>253</v>
      </c>
      <c r="D71" s="2198">
        <v>10215</v>
      </c>
      <c r="E71" s="2198">
        <v>8895</v>
      </c>
      <c r="F71" s="2198">
        <v>1320</v>
      </c>
      <c r="G71" s="2199">
        <f t="shared" ref="G71:G126" si="3">F71/D71</f>
        <v>0.12922173274596183</v>
      </c>
      <c r="H71" s="2195">
        <v>2983</v>
      </c>
      <c r="I71" s="2195">
        <v>2535</v>
      </c>
      <c r="J71" s="2195">
        <v>448</v>
      </c>
      <c r="K71" s="2199">
        <f t="shared" ref="K71:K126" si="4">J71/H71</f>
        <v>0.15018437814280924</v>
      </c>
      <c r="L71" s="2195">
        <v>4515</v>
      </c>
      <c r="M71" s="2195">
        <v>3836</v>
      </c>
      <c r="N71" s="2195">
        <v>679</v>
      </c>
      <c r="O71" s="2199">
        <f t="shared" ref="O71:O126" si="5">N71/L71</f>
        <v>0.15038759689922482</v>
      </c>
    </row>
    <row r="72" spans="1:15" x14ac:dyDescent="0.3">
      <c r="A72" s="56" t="s">
        <v>169</v>
      </c>
      <c r="B72" s="84" t="s">
        <v>170</v>
      </c>
      <c r="C72" s="57" t="s">
        <v>254</v>
      </c>
      <c r="D72" s="2198">
        <v>28866</v>
      </c>
      <c r="E72" s="2198">
        <v>25865</v>
      </c>
      <c r="F72" s="2198">
        <v>3001</v>
      </c>
      <c r="G72" s="2199">
        <f t="shared" si="3"/>
        <v>0.10396314002632855</v>
      </c>
      <c r="H72" s="2195">
        <v>4476</v>
      </c>
      <c r="I72" s="2195">
        <v>3676</v>
      </c>
      <c r="J72" s="2195">
        <v>800</v>
      </c>
      <c r="K72" s="2199">
        <f t="shared" si="4"/>
        <v>0.17873100983020554</v>
      </c>
      <c r="L72" s="2195">
        <v>7587</v>
      </c>
      <c r="M72" s="2195">
        <v>6240</v>
      </c>
      <c r="N72" s="2195">
        <v>1347</v>
      </c>
      <c r="O72" s="2199">
        <f t="shared" si="5"/>
        <v>0.17754052985369712</v>
      </c>
    </row>
    <row r="73" spans="1:15" x14ac:dyDescent="0.3">
      <c r="A73" s="56" t="s">
        <v>171</v>
      </c>
      <c r="B73" s="84" t="s">
        <v>172</v>
      </c>
      <c r="C73" s="57" t="s">
        <v>254</v>
      </c>
      <c r="D73" s="2198">
        <v>18433</v>
      </c>
      <c r="E73" s="2198">
        <v>16353</v>
      </c>
      <c r="F73" s="2198">
        <v>2080</v>
      </c>
      <c r="G73" s="2199">
        <f t="shared" si="3"/>
        <v>0.11284110020072696</v>
      </c>
      <c r="H73" s="2195">
        <v>4265</v>
      </c>
      <c r="I73" s="2195">
        <v>3662</v>
      </c>
      <c r="J73" s="2195">
        <v>603</v>
      </c>
      <c r="K73" s="2199">
        <f t="shared" si="4"/>
        <v>0.14138335287221571</v>
      </c>
      <c r="L73" s="2195">
        <v>6689</v>
      </c>
      <c r="M73" s="2195">
        <v>5737</v>
      </c>
      <c r="N73" s="2195">
        <v>952</v>
      </c>
      <c r="O73" s="2199">
        <f t="shared" si="5"/>
        <v>0.14232321722230529</v>
      </c>
    </row>
    <row r="74" spans="1:15" x14ac:dyDescent="0.3">
      <c r="A74" s="56" t="s">
        <v>173</v>
      </c>
      <c r="B74" s="84" t="s">
        <v>174</v>
      </c>
      <c r="C74" s="57" t="s">
        <v>255</v>
      </c>
      <c r="D74" s="2198">
        <v>12619</v>
      </c>
      <c r="E74" s="2198">
        <v>11144</v>
      </c>
      <c r="F74" s="2198">
        <v>1475</v>
      </c>
      <c r="G74" s="2199">
        <f t="shared" si="3"/>
        <v>0.11688723353673033</v>
      </c>
      <c r="H74" s="2195">
        <v>3261</v>
      </c>
      <c r="I74" s="2195">
        <v>2788</v>
      </c>
      <c r="J74" s="2195">
        <v>473</v>
      </c>
      <c r="K74" s="2199">
        <f t="shared" si="4"/>
        <v>0.14504753143207605</v>
      </c>
      <c r="L74" s="2195">
        <v>4883</v>
      </c>
      <c r="M74" s="2195">
        <v>4180</v>
      </c>
      <c r="N74" s="2195">
        <v>703</v>
      </c>
      <c r="O74" s="2199">
        <f t="shared" si="5"/>
        <v>0.14396887159533073</v>
      </c>
    </row>
    <row r="75" spans="1:15" x14ac:dyDescent="0.3">
      <c r="A75" s="56" t="s">
        <v>177</v>
      </c>
      <c r="B75" s="84" t="s">
        <v>178</v>
      </c>
      <c r="C75" s="57" t="s">
        <v>252</v>
      </c>
      <c r="D75" s="2198">
        <v>44993</v>
      </c>
      <c r="E75" s="2198">
        <v>39846</v>
      </c>
      <c r="F75" s="2198">
        <v>5147</v>
      </c>
      <c r="G75" s="2199">
        <f t="shared" si="3"/>
        <v>0.11439557264463361</v>
      </c>
      <c r="H75" s="2195">
        <v>10481</v>
      </c>
      <c r="I75" s="2195">
        <v>8942</v>
      </c>
      <c r="J75" s="2195">
        <v>1539</v>
      </c>
      <c r="K75" s="2199">
        <f t="shared" si="4"/>
        <v>0.14683713386127278</v>
      </c>
      <c r="L75" s="2195">
        <v>16358</v>
      </c>
      <c r="M75" s="2195">
        <v>13912</v>
      </c>
      <c r="N75" s="2195">
        <v>2446</v>
      </c>
      <c r="O75" s="2199">
        <f t="shared" si="5"/>
        <v>0.14952928230835066</v>
      </c>
    </row>
    <row r="76" spans="1:15" x14ac:dyDescent="0.3">
      <c r="A76" s="56" t="s">
        <v>181</v>
      </c>
      <c r="B76" s="84" t="s">
        <v>182</v>
      </c>
      <c r="C76" s="57" t="s">
        <v>253</v>
      </c>
      <c r="D76" s="2198">
        <v>23030</v>
      </c>
      <c r="E76" s="2198">
        <v>20935</v>
      </c>
      <c r="F76" s="2198">
        <v>2095</v>
      </c>
      <c r="G76" s="2199">
        <f t="shared" si="3"/>
        <v>9.0968302214502819E-2</v>
      </c>
      <c r="H76" s="2195">
        <v>1762</v>
      </c>
      <c r="I76" s="2195">
        <v>1394</v>
      </c>
      <c r="J76" s="2195">
        <v>368</v>
      </c>
      <c r="K76" s="2199">
        <f t="shared" si="4"/>
        <v>0.20885357548240635</v>
      </c>
      <c r="L76" s="2195">
        <v>3262</v>
      </c>
      <c r="M76" s="2195">
        <v>2564</v>
      </c>
      <c r="N76" s="2195">
        <v>698</v>
      </c>
      <c r="O76" s="2199">
        <f t="shared" si="5"/>
        <v>0.21397915389331698</v>
      </c>
    </row>
    <row r="77" spans="1:15" x14ac:dyDescent="0.3">
      <c r="A77" s="56" t="s">
        <v>183</v>
      </c>
      <c r="B77" s="84" t="s">
        <v>184</v>
      </c>
      <c r="C77" s="57" t="s">
        <v>253</v>
      </c>
      <c r="D77" s="2198">
        <v>14991</v>
      </c>
      <c r="E77" s="2198">
        <v>13516</v>
      </c>
      <c r="F77" s="2198">
        <v>1475</v>
      </c>
      <c r="G77" s="2199">
        <f t="shared" si="3"/>
        <v>9.8392368754586082E-2</v>
      </c>
      <c r="H77" s="2195">
        <v>4324</v>
      </c>
      <c r="I77" s="2195">
        <v>3815</v>
      </c>
      <c r="J77" s="2195">
        <v>509</v>
      </c>
      <c r="K77" s="2199">
        <f t="shared" si="4"/>
        <v>0.11771507863089732</v>
      </c>
      <c r="L77" s="2195">
        <v>6424</v>
      </c>
      <c r="M77" s="2195">
        <v>5654</v>
      </c>
      <c r="N77" s="2195">
        <v>770</v>
      </c>
      <c r="O77" s="2199">
        <f t="shared" si="5"/>
        <v>0.11986301369863013</v>
      </c>
    </row>
    <row r="78" spans="1:15" x14ac:dyDescent="0.3">
      <c r="A78" s="56" t="s">
        <v>185</v>
      </c>
      <c r="B78" s="84" t="s">
        <v>186</v>
      </c>
      <c r="C78" s="57" t="s">
        <v>251</v>
      </c>
      <c r="D78" s="2198">
        <v>28633</v>
      </c>
      <c r="E78" s="2198">
        <v>26469</v>
      </c>
      <c r="F78" s="2198">
        <v>2164</v>
      </c>
      <c r="G78" s="2199">
        <f t="shared" si="3"/>
        <v>7.5577131282087096E-2</v>
      </c>
      <c r="H78" s="2195">
        <v>4319</v>
      </c>
      <c r="I78" s="2195">
        <v>3794</v>
      </c>
      <c r="J78" s="2195">
        <v>525</v>
      </c>
      <c r="K78" s="2199">
        <f t="shared" si="4"/>
        <v>0.12155591572123177</v>
      </c>
      <c r="L78" s="2195">
        <v>7400</v>
      </c>
      <c r="M78" s="2195">
        <v>6517</v>
      </c>
      <c r="N78" s="2195">
        <v>883</v>
      </c>
      <c r="O78" s="2199">
        <f t="shared" si="5"/>
        <v>0.11932432432432433</v>
      </c>
    </row>
    <row r="79" spans="1:15" x14ac:dyDescent="0.3">
      <c r="A79" s="56" t="s">
        <v>187</v>
      </c>
      <c r="B79" s="84" t="s">
        <v>188</v>
      </c>
      <c r="C79" s="57" t="s">
        <v>254</v>
      </c>
      <c r="D79" s="2198">
        <v>419315</v>
      </c>
      <c r="E79" s="2198">
        <v>371850</v>
      </c>
      <c r="F79" s="2198">
        <v>47465</v>
      </c>
      <c r="G79" s="2199">
        <f t="shared" si="3"/>
        <v>0.11319652290044477</v>
      </c>
      <c r="H79" s="2195">
        <v>40229</v>
      </c>
      <c r="I79" s="2195">
        <v>30409</v>
      </c>
      <c r="J79" s="2195">
        <v>9820</v>
      </c>
      <c r="K79" s="2199">
        <f t="shared" si="4"/>
        <v>0.24410251311243134</v>
      </c>
      <c r="L79" s="2195">
        <v>72533</v>
      </c>
      <c r="M79" s="2195">
        <v>54779</v>
      </c>
      <c r="N79" s="2195">
        <v>17754</v>
      </c>
      <c r="O79" s="2199">
        <f t="shared" si="5"/>
        <v>0.2447713454565508</v>
      </c>
    </row>
    <row r="80" spans="1:15" x14ac:dyDescent="0.3">
      <c r="A80" s="56" t="s">
        <v>189</v>
      </c>
      <c r="B80" s="84" t="s">
        <v>190</v>
      </c>
      <c r="C80" s="57" t="s">
        <v>255</v>
      </c>
      <c r="D80" s="2198">
        <v>25091</v>
      </c>
      <c r="E80" s="2198">
        <v>23017</v>
      </c>
      <c r="F80" s="2198">
        <v>2074</v>
      </c>
      <c r="G80" s="2199">
        <f t="shared" si="3"/>
        <v>8.265912080028695E-2</v>
      </c>
      <c r="H80" s="2195">
        <v>5121</v>
      </c>
      <c r="I80" s="2195">
        <v>4511</v>
      </c>
      <c r="J80" s="2195">
        <v>610</v>
      </c>
      <c r="K80" s="2199">
        <f t="shared" si="4"/>
        <v>0.11911735989064635</v>
      </c>
      <c r="L80" s="2195">
        <v>7757</v>
      </c>
      <c r="M80" s="2195">
        <v>6843</v>
      </c>
      <c r="N80" s="2195">
        <v>914</v>
      </c>
      <c r="O80" s="2199">
        <f t="shared" si="5"/>
        <v>0.11782905762537063</v>
      </c>
    </row>
    <row r="81" spans="1:15" x14ac:dyDescent="0.3">
      <c r="A81" s="56" t="s">
        <v>193</v>
      </c>
      <c r="B81" s="84" t="s">
        <v>194</v>
      </c>
      <c r="C81" s="57" t="s">
        <v>254</v>
      </c>
      <c r="D81" s="2198">
        <v>5285</v>
      </c>
      <c r="E81" s="2198">
        <v>4638</v>
      </c>
      <c r="F81" s="2198">
        <v>647</v>
      </c>
      <c r="G81" s="2199">
        <f t="shared" si="3"/>
        <v>0.12242194891201513</v>
      </c>
      <c r="H81" s="2195">
        <v>673</v>
      </c>
      <c r="I81" s="2195">
        <v>521</v>
      </c>
      <c r="J81" s="2195">
        <v>152</v>
      </c>
      <c r="K81" s="2199">
        <f t="shared" si="4"/>
        <v>0.22585438335809807</v>
      </c>
      <c r="L81" s="2195">
        <v>1153</v>
      </c>
      <c r="M81" s="2195">
        <v>891</v>
      </c>
      <c r="N81" s="2195">
        <v>262</v>
      </c>
      <c r="O81" s="2199">
        <f t="shared" si="5"/>
        <v>0.22723330442324371</v>
      </c>
    </row>
    <row r="82" spans="1:15" x14ac:dyDescent="0.3">
      <c r="A82" s="56" t="s">
        <v>197</v>
      </c>
      <c r="B82" s="84" t="s">
        <v>259</v>
      </c>
      <c r="C82" s="57" t="s">
        <v>253</v>
      </c>
      <c r="D82" s="2198">
        <v>5529</v>
      </c>
      <c r="E82" s="2198">
        <v>4993</v>
      </c>
      <c r="F82" s="2198">
        <v>536</v>
      </c>
      <c r="G82" s="2199">
        <f t="shared" si="3"/>
        <v>9.6943389401338398E-2</v>
      </c>
      <c r="H82" s="2195">
        <v>1343</v>
      </c>
      <c r="I82" s="2195">
        <v>1155</v>
      </c>
      <c r="J82" s="2195">
        <v>188</v>
      </c>
      <c r="K82" s="2199">
        <f t="shared" si="4"/>
        <v>0.13998510796723754</v>
      </c>
      <c r="L82" s="2195">
        <v>2022</v>
      </c>
      <c r="M82" s="2195">
        <v>1747</v>
      </c>
      <c r="N82" s="2195">
        <v>275</v>
      </c>
      <c r="O82" s="2199">
        <f t="shared" si="5"/>
        <v>0.13600395647873392</v>
      </c>
    </row>
    <row r="83" spans="1:15" x14ac:dyDescent="0.3">
      <c r="A83" s="56" t="s">
        <v>201</v>
      </c>
      <c r="B83" s="84" t="s">
        <v>276</v>
      </c>
      <c r="C83" s="57" t="s">
        <v>252</v>
      </c>
      <c r="D83" s="2198">
        <v>90884</v>
      </c>
      <c r="E83" s="2198">
        <v>84125</v>
      </c>
      <c r="F83" s="2198">
        <v>6759</v>
      </c>
      <c r="G83" s="2199">
        <f t="shared" si="3"/>
        <v>7.4369525989173013E-2</v>
      </c>
      <c r="H83" s="2195">
        <v>11001</v>
      </c>
      <c r="I83" s="2195">
        <v>9419</v>
      </c>
      <c r="J83" s="2195">
        <v>1582</v>
      </c>
      <c r="K83" s="2199">
        <f t="shared" si="4"/>
        <v>0.14380510862648851</v>
      </c>
      <c r="L83" s="2195">
        <v>19368</v>
      </c>
      <c r="M83" s="2195">
        <v>16655</v>
      </c>
      <c r="N83" s="2195">
        <v>2713</v>
      </c>
      <c r="O83" s="2199">
        <f t="shared" si="5"/>
        <v>0.1400764147046675</v>
      </c>
    </row>
    <row r="84" spans="1:15" x14ac:dyDescent="0.3">
      <c r="A84" s="56" t="s">
        <v>203</v>
      </c>
      <c r="B84" s="84" t="s">
        <v>269</v>
      </c>
      <c r="C84" s="57" t="s">
        <v>252</v>
      </c>
      <c r="D84" s="2198">
        <v>24347</v>
      </c>
      <c r="E84" s="2198">
        <v>22133</v>
      </c>
      <c r="F84" s="2198">
        <v>2214</v>
      </c>
      <c r="G84" s="2199">
        <f t="shared" si="3"/>
        <v>9.0935228159526843E-2</v>
      </c>
      <c r="H84" s="2195">
        <v>5490</v>
      </c>
      <c r="I84" s="2195">
        <v>4793</v>
      </c>
      <c r="J84" s="2195">
        <v>697</v>
      </c>
      <c r="K84" s="2199">
        <f t="shared" si="4"/>
        <v>0.12695810564663024</v>
      </c>
      <c r="L84" s="2195">
        <v>8311</v>
      </c>
      <c r="M84" s="2195">
        <v>7266</v>
      </c>
      <c r="N84" s="2195">
        <v>1045</v>
      </c>
      <c r="O84" s="2199">
        <f t="shared" si="5"/>
        <v>0.12573697509324991</v>
      </c>
    </row>
    <row r="85" spans="1:15" x14ac:dyDescent="0.3">
      <c r="A85" s="56" t="s">
        <v>205</v>
      </c>
      <c r="B85" s="84" t="s">
        <v>270</v>
      </c>
      <c r="C85" s="57" t="s">
        <v>254</v>
      </c>
      <c r="D85" s="2198">
        <v>104582</v>
      </c>
      <c r="E85" s="2198">
        <v>91932</v>
      </c>
      <c r="F85" s="2198">
        <v>12650</v>
      </c>
      <c r="G85" s="2199">
        <f t="shared" si="3"/>
        <v>0.12095771738922569</v>
      </c>
      <c r="H85" s="2195">
        <v>23796</v>
      </c>
      <c r="I85" s="2195">
        <v>19651</v>
      </c>
      <c r="J85" s="2195">
        <v>4145</v>
      </c>
      <c r="K85" s="2199">
        <f t="shared" si="4"/>
        <v>0.17418893931753235</v>
      </c>
      <c r="L85" s="2195">
        <v>36180</v>
      </c>
      <c r="M85" s="2195">
        <v>29952</v>
      </c>
      <c r="N85" s="2195">
        <v>6228</v>
      </c>
      <c r="O85" s="2199">
        <f t="shared" si="5"/>
        <v>0.17213930348258707</v>
      </c>
    </row>
    <row r="86" spans="1:15" x14ac:dyDescent="0.3">
      <c r="A86" s="56" t="s">
        <v>207</v>
      </c>
      <c r="B86" s="84" t="s">
        <v>208</v>
      </c>
      <c r="C86" s="57" t="s">
        <v>255</v>
      </c>
      <c r="D86" s="2198">
        <v>20282</v>
      </c>
      <c r="E86" s="2198">
        <v>18300</v>
      </c>
      <c r="F86" s="2198">
        <v>1982</v>
      </c>
      <c r="G86" s="2199">
        <f t="shared" si="3"/>
        <v>9.7722118134306285E-2</v>
      </c>
      <c r="H86" s="2195">
        <v>5544</v>
      </c>
      <c r="I86" s="2195">
        <v>4875</v>
      </c>
      <c r="J86" s="2195">
        <v>669</v>
      </c>
      <c r="K86" s="2199">
        <f t="shared" si="4"/>
        <v>0.12067099567099566</v>
      </c>
      <c r="L86" s="2195">
        <v>8203</v>
      </c>
      <c r="M86" s="2195">
        <v>7217</v>
      </c>
      <c r="N86" s="2195">
        <v>986</v>
      </c>
      <c r="O86" s="2199">
        <f t="shared" si="5"/>
        <v>0.12019992685602829</v>
      </c>
    </row>
    <row r="87" spans="1:15" x14ac:dyDescent="0.3">
      <c r="A87" s="56" t="s">
        <v>209</v>
      </c>
      <c r="B87" s="84" t="s">
        <v>210</v>
      </c>
      <c r="C87" s="57" t="s">
        <v>255</v>
      </c>
      <c r="D87" s="2198">
        <v>15467</v>
      </c>
      <c r="E87" s="2198">
        <v>13896</v>
      </c>
      <c r="F87" s="2198">
        <v>1571</v>
      </c>
      <c r="G87" s="2199">
        <f t="shared" si="3"/>
        <v>0.10157108683002522</v>
      </c>
      <c r="H87" s="2195">
        <v>4125</v>
      </c>
      <c r="I87" s="2195">
        <v>3584</v>
      </c>
      <c r="J87" s="2195">
        <v>541</v>
      </c>
      <c r="K87" s="2199">
        <f t="shared" si="4"/>
        <v>0.13115151515151516</v>
      </c>
      <c r="L87" s="2195">
        <v>5936</v>
      </c>
      <c r="M87" s="2195">
        <v>5174</v>
      </c>
      <c r="N87" s="2195">
        <v>762</v>
      </c>
      <c r="O87" s="2199">
        <f t="shared" si="5"/>
        <v>0.12836927223719677</v>
      </c>
    </row>
    <row r="88" spans="1:15" x14ac:dyDescent="0.3">
      <c r="A88" s="56" t="s">
        <v>211</v>
      </c>
      <c r="B88" s="84" t="s">
        <v>212</v>
      </c>
      <c r="C88" s="57" t="s">
        <v>254</v>
      </c>
      <c r="D88" s="2198">
        <v>33605</v>
      </c>
      <c r="E88" s="2198">
        <v>30171</v>
      </c>
      <c r="F88" s="2198">
        <v>3434</v>
      </c>
      <c r="G88" s="2199">
        <f t="shared" si="3"/>
        <v>0.10218717452760005</v>
      </c>
      <c r="H88" s="2195">
        <v>6249</v>
      </c>
      <c r="I88" s="2195">
        <v>5247</v>
      </c>
      <c r="J88" s="2195">
        <v>1002</v>
      </c>
      <c r="K88" s="2199">
        <f t="shared" si="4"/>
        <v>0.16034565530484879</v>
      </c>
      <c r="L88" s="2195">
        <v>10295</v>
      </c>
      <c r="M88" s="2195">
        <v>8692</v>
      </c>
      <c r="N88" s="2195">
        <v>1603</v>
      </c>
      <c r="O88" s="2199">
        <f t="shared" si="5"/>
        <v>0.15570665371539583</v>
      </c>
    </row>
    <row r="89" spans="1:15" x14ac:dyDescent="0.3">
      <c r="A89" s="56" t="s">
        <v>213</v>
      </c>
      <c r="B89" s="84" t="s">
        <v>214</v>
      </c>
      <c r="C89" s="57" t="s">
        <v>255</v>
      </c>
      <c r="D89" s="2198">
        <v>22769</v>
      </c>
      <c r="E89" s="2198">
        <v>20655</v>
      </c>
      <c r="F89" s="2198">
        <v>2114</v>
      </c>
      <c r="G89" s="2199">
        <f t="shared" si="3"/>
        <v>9.284553559664456E-2</v>
      </c>
      <c r="H89" s="2195">
        <v>6457</v>
      </c>
      <c r="I89" s="2195">
        <v>5703</v>
      </c>
      <c r="J89" s="2195">
        <v>754</v>
      </c>
      <c r="K89" s="2199">
        <f t="shared" si="4"/>
        <v>0.11677249496670281</v>
      </c>
      <c r="L89" s="2195">
        <v>9671</v>
      </c>
      <c r="M89" s="2195">
        <v>8575</v>
      </c>
      <c r="N89" s="2195">
        <v>1096</v>
      </c>
      <c r="O89" s="2199">
        <f t="shared" si="5"/>
        <v>0.11332850791024714</v>
      </c>
    </row>
    <row r="90" spans="1:15" x14ac:dyDescent="0.3">
      <c r="A90" s="56" t="s">
        <v>215</v>
      </c>
      <c r="B90" s="84" t="s">
        <v>216</v>
      </c>
      <c r="C90" s="57" t="s">
        <v>251</v>
      </c>
      <c r="D90" s="2198">
        <v>12513</v>
      </c>
      <c r="E90" s="2198">
        <v>11408</v>
      </c>
      <c r="F90" s="2198">
        <v>1105</v>
      </c>
      <c r="G90" s="2199">
        <f t="shared" si="3"/>
        <v>8.8308159514105325E-2</v>
      </c>
      <c r="H90" s="2195">
        <v>2590</v>
      </c>
      <c r="I90" s="2195">
        <v>2262</v>
      </c>
      <c r="J90" s="2195">
        <v>328</v>
      </c>
      <c r="K90" s="2199">
        <f t="shared" si="4"/>
        <v>0.12664092664092663</v>
      </c>
      <c r="L90" s="2195">
        <v>3858</v>
      </c>
      <c r="M90" s="2195">
        <v>3367</v>
      </c>
      <c r="N90" s="2195">
        <v>491</v>
      </c>
      <c r="O90" s="2199">
        <f t="shared" si="5"/>
        <v>0.1272680145152929</v>
      </c>
    </row>
    <row r="91" spans="1:15" x14ac:dyDescent="0.3">
      <c r="A91" s="56" t="s">
        <v>217</v>
      </c>
      <c r="B91" s="84" t="s">
        <v>218</v>
      </c>
      <c r="C91" s="57" t="s">
        <v>254</v>
      </c>
      <c r="D91" s="2198">
        <v>115920</v>
      </c>
      <c r="E91" s="2198">
        <v>105572</v>
      </c>
      <c r="F91" s="2198">
        <v>10348</v>
      </c>
      <c r="G91" s="2199">
        <f t="shared" si="3"/>
        <v>8.9268461007591449E-2</v>
      </c>
      <c r="H91" s="2195">
        <v>13335</v>
      </c>
      <c r="I91" s="2195">
        <v>10931</v>
      </c>
      <c r="J91" s="2195">
        <v>2404</v>
      </c>
      <c r="K91" s="2199">
        <f t="shared" si="4"/>
        <v>0.18027746531683539</v>
      </c>
      <c r="L91" s="2195">
        <v>22410</v>
      </c>
      <c r="M91" s="2195">
        <v>18412</v>
      </c>
      <c r="N91" s="2195">
        <v>3998</v>
      </c>
      <c r="O91" s="2199">
        <f t="shared" si="5"/>
        <v>0.17840249888442661</v>
      </c>
    </row>
    <row r="92" spans="1:15" x14ac:dyDescent="0.3">
      <c r="A92" s="56" t="s">
        <v>219</v>
      </c>
      <c r="B92" s="84" t="s">
        <v>220</v>
      </c>
      <c r="C92" s="57" t="s">
        <v>254</v>
      </c>
      <c r="D92" s="2198">
        <v>133138</v>
      </c>
      <c r="E92" s="2198">
        <v>123677</v>
      </c>
      <c r="F92" s="2198">
        <v>9461</v>
      </c>
      <c r="G92" s="2199">
        <f t="shared" si="3"/>
        <v>7.1061605251693735E-2</v>
      </c>
      <c r="H92" s="2195">
        <v>10423</v>
      </c>
      <c r="I92" s="2195">
        <v>8466</v>
      </c>
      <c r="J92" s="2195">
        <v>1957</v>
      </c>
      <c r="K92" s="2199">
        <f t="shared" si="4"/>
        <v>0.18775784323131536</v>
      </c>
      <c r="L92" s="2195">
        <v>19561</v>
      </c>
      <c r="M92" s="2195">
        <v>15960</v>
      </c>
      <c r="N92" s="2195">
        <v>3601</v>
      </c>
      <c r="O92" s="2199">
        <f t="shared" si="5"/>
        <v>0.18409079290424826</v>
      </c>
    </row>
    <row r="93" spans="1:15" x14ac:dyDescent="0.3">
      <c r="A93" s="56" t="s">
        <v>223</v>
      </c>
      <c r="B93" s="84" t="s">
        <v>224</v>
      </c>
      <c r="C93" s="57" t="s">
        <v>251</v>
      </c>
      <c r="D93" s="2198">
        <v>4857</v>
      </c>
      <c r="E93" s="2198">
        <v>4432</v>
      </c>
      <c r="F93" s="2198">
        <v>425</v>
      </c>
      <c r="G93" s="2199">
        <f t="shared" si="3"/>
        <v>8.7502573605106035E-2</v>
      </c>
      <c r="H93" s="2195">
        <v>892</v>
      </c>
      <c r="I93" s="2195">
        <v>764</v>
      </c>
      <c r="J93" s="2195">
        <v>128</v>
      </c>
      <c r="K93" s="2199">
        <f t="shared" si="4"/>
        <v>0.14349775784753363</v>
      </c>
      <c r="L93" s="2195">
        <v>1410</v>
      </c>
      <c r="M93" s="2195">
        <v>1216</v>
      </c>
      <c r="N93" s="2195">
        <v>194</v>
      </c>
      <c r="O93" s="2199">
        <f t="shared" si="5"/>
        <v>0.13758865248226951</v>
      </c>
    </row>
    <row r="94" spans="1:15" x14ac:dyDescent="0.3">
      <c r="A94" s="56" t="s">
        <v>225</v>
      </c>
      <c r="B94" s="84" t="s">
        <v>226</v>
      </c>
      <c r="C94" s="57" t="s">
        <v>251</v>
      </c>
      <c r="D94" s="2198">
        <v>6547</v>
      </c>
      <c r="E94" s="2198">
        <v>5889</v>
      </c>
      <c r="F94" s="2198">
        <v>658</v>
      </c>
      <c r="G94" s="2199">
        <f t="shared" si="3"/>
        <v>0.10050404765541469</v>
      </c>
      <c r="H94" s="2195">
        <v>1902</v>
      </c>
      <c r="I94" s="2195">
        <v>1658</v>
      </c>
      <c r="J94" s="2195">
        <v>244</v>
      </c>
      <c r="K94" s="2199">
        <f t="shared" si="4"/>
        <v>0.12828601472134596</v>
      </c>
      <c r="L94" s="2195">
        <v>2744</v>
      </c>
      <c r="M94" s="2195">
        <v>2393</v>
      </c>
      <c r="N94" s="2195">
        <v>351</v>
      </c>
      <c r="O94" s="2199">
        <f t="shared" si="5"/>
        <v>0.12791545189504372</v>
      </c>
    </row>
    <row r="95" spans="1:15" x14ac:dyDescent="0.3">
      <c r="A95" s="56" t="s">
        <v>227</v>
      </c>
      <c r="B95" s="84" t="s">
        <v>228</v>
      </c>
      <c r="C95" s="57" t="s">
        <v>255</v>
      </c>
      <c r="D95" s="2198">
        <v>29626</v>
      </c>
      <c r="E95" s="2198">
        <v>26554</v>
      </c>
      <c r="F95" s="2198">
        <v>3072</v>
      </c>
      <c r="G95" s="2199">
        <f t="shared" si="3"/>
        <v>0.10369270235603861</v>
      </c>
      <c r="H95" s="2195">
        <v>7455</v>
      </c>
      <c r="I95" s="2195">
        <v>6556</v>
      </c>
      <c r="J95" s="2195">
        <v>899</v>
      </c>
      <c r="K95" s="2199">
        <f t="shared" si="4"/>
        <v>0.12059020791415158</v>
      </c>
      <c r="L95" s="2195">
        <v>11417</v>
      </c>
      <c r="M95" s="2195">
        <v>10007</v>
      </c>
      <c r="N95" s="2195">
        <v>1410</v>
      </c>
      <c r="O95" s="2199">
        <f t="shared" si="5"/>
        <v>0.12350004379434178</v>
      </c>
    </row>
    <row r="96" spans="1:15" x14ac:dyDescent="0.3">
      <c r="A96" s="56" t="s">
        <v>231</v>
      </c>
      <c r="B96" s="84" t="s">
        <v>232</v>
      </c>
      <c r="C96" s="57" t="s">
        <v>254</v>
      </c>
      <c r="D96" s="2198">
        <v>32927</v>
      </c>
      <c r="E96" s="2198">
        <v>29589</v>
      </c>
      <c r="F96" s="2198">
        <v>3338</v>
      </c>
      <c r="G96" s="2199">
        <f t="shared" si="3"/>
        <v>0.10137577064415222</v>
      </c>
      <c r="H96" s="2195">
        <v>4886</v>
      </c>
      <c r="I96" s="2195">
        <v>4098</v>
      </c>
      <c r="J96" s="2195">
        <v>788</v>
      </c>
      <c r="K96" s="2199">
        <f t="shared" si="4"/>
        <v>0.16127711829717561</v>
      </c>
      <c r="L96" s="2195">
        <v>8190</v>
      </c>
      <c r="M96" s="2195">
        <v>6868</v>
      </c>
      <c r="N96" s="2195">
        <v>1322</v>
      </c>
      <c r="O96" s="2199">
        <f t="shared" si="5"/>
        <v>0.16141636141636143</v>
      </c>
    </row>
    <row r="97" spans="1:15" x14ac:dyDescent="0.3">
      <c r="A97" s="56" t="s">
        <v>233</v>
      </c>
      <c r="B97" s="84" t="s">
        <v>234</v>
      </c>
      <c r="C97" s="57" t="s">
        <v>255</v>
      </c>
      <c r="D97" s="2198">
        <v>39393</v>
      </c>
      <c r="E97" s="2198">
        <v>35218</v>
      </c>
      <c r="F97" s="2198">
        <v>4175</v>
      </c>
      <c r="G97" s="2199">
        <f t="shared" si="3"/>
        <v>0.10598329652476328</v>
      </c>
      <c r="H97" s="2195">
        <v>8330</v>
      </c>
      <c r="I97" s="2195">
        <v>7069</v>
      </c>
      <c r="J97" s="2195">
        <v>1261</v>
      </c>
      <c r="K97" s="2199">
        <f t="shared" si="4"/>
        <v>0.15138055222088836</v>
      </c>
      <c r="L97" s="2195">
        <v>13070</v>
      </c>
      <c r="M97" s="2195">
        <v>11101</v>
      </c>
      <c r="N97" s="2195">
        <v>1969</v>
      </c>
      <c r="O97" s="2199">
        <f t="shared" si="5"/>
        <v>0.15065034429992349</v>
      </c>
    </row>
    <row r="98" spans="1:15" x14ac:dyDescent="0.3">
      <c r="A98" s="56" t="s">
        <v>235</v>
      </c>
      <c r="B98" s="84" t="s">
        <v>236</v>
      </c>
      <c r="C98" s="57" t="s">
        <v>253</v>
      </c>
      <c r="D98" s="2198">
        <v>13244</v>
      </c>
      <c r="E98" s="2198">
        <v>11830</v>
      </c>
      <c r="F98" s="2198">
        <v>1414</v>
      </c>
      <c r="G98" s="2199">
        <f t="shared" si="3"/>
        <v>0.10676532769556026</v>
      </c>
      <c r="H98" s="2195">
        <v>2824</v>
      </c>
      <c r="I98" s="2195">
        <v>2369</v>
      </c>
      <c r="J98" s="2195">
        <v>455</v>
      </c>
      <c r="K98" s="2199">
        <f t="shared" si="4"/>
        <v>0.16111898016997167</v>
      </c>
      <c r="L98" s="2195">
        <v>4493</v>
      </c>
      <c r="M98" s="2195">
        <v>3776</v>
      </c>
      <c r="N98" s="2195">
        <v>717</v>
      </c>
      <c r="O98" s="2199">
        <f t="shared" si="5"/>
        <v>0.15958157133318496</v>
      </c>
    </row>
    <row r="99" spans="1:15" x14ac:dyDescent="0.3">
      <c r="A99" s="56" t="s">
        <v>241</v>
      </c>
      <c r="B99" s="84" t="s">
        <v>242</v>
      </c>
      <c r="C99" s="57" t="s">
        <v>255</v>
      </c>
      <c r="D99" s="2198">
        <v>27454</v>
      </c>
      <c r="E99" s="2198">
        <v>24365</v>
      </c>
      <c r="F99" s="2198">
        <v>3089</v>
      </c>
      <c r="G99" s="2199">
        <f t="shared" si="3"/>
        <v>0.11251548044000874</v>
      </c>
      <c r="H99" s="2195">
        <v>8489</v>
      </c>
      <c r="I99" s="2195">
        <v>7437</v>
      </c>
      <c r="J99" s="2195">
        <v>1052</v>
      </c>
      <c r="K99" s="2199">
        <f t="shared" si="4"/>
        <v>0.12392507951466604</v>
      </c>
      <c r="L99" s="2195">
        <v>12136</v>
      </c>
      <c r="M99" s="2195">
        <v>10602</v>
      </c>
      <c r="N99" s="2195">
        <v>1534</v>
      </c>
      <c r="O99" s="2199">
        <f t="shared" si="5"/>
        <v>0.12640079103493737</v>
      </c>
    </row>
    <row r="100" spans="1:15" x14ac:dyDescent="0.3">
      <c r="A100" s="56" t="s">
        <v>243</v>
      </c>
      <c r="B100" s="84" t="s">
        <v>244</v>
      </c>
      <c r="C100" s="57" t="s">
        <v>255</v>
      </c>
      <c r="D100" s="2198">
        <v>22143</v>
      </c>
      <c r="E100" s="2198">
        <v>20007</v>
      </c>
      <c r="F100" s="2198">
        <v>2136</v>
      </c>
      <c r="G100" s="2199">
        <f t="shared" si="3"/>
        <v>9.646389378133044E-2</v>
      </c>
      <c r="H100" s="2195">
        <v>5169</v>
      </c>
      <c r="I100" s="2195">
        <v>4522</v>
      </c>
      <c r="J100" s="2195">
        <v>647</v>
      </c>
      <c r="K100" s="2199">
        <f t="shared" si="4"/>
        <v>0.12516927839040434</v>
      </c>
      <c r="L100" s="2195">
        <v>7737</v>
      </c>
      <c r="M100" s="2195">
        <v>6773</v>
      </c>
      <c r="N100" s="2195">
        <v>964</v>
      </c>
      <c r="O100" s="2199">
        <f t="shared" si="5"/>
        <v>0.12459609667829909</v>
      </c>
    </row>
    <row r="101" spans="1:15" x14ac:dyDescent="0.3">
      <c r="A101" s="56" t="s">
        <v>245</v>
      </c>
      <c r="B101" s="84" t="s">
        <v>246</v>
      </c>
      <c r="C101" s="57" t="s">
        <v>251</v>
      </c>
      <c r="D101" s="2198">
        <v>66301</v>
      </c>
      <c r="E101" s="2198">
        <v>61809</v>
      </c>
      <c r="F101" s="2198">
        <v>4492</v>
      </c>
      <c r="G101" s="2199">
        <f t="shared" si="3"/>
        <v>6.7751617622660298E-2</v>
      </c>
      <c r="H101" s="2195">
        <v>5356</v>
      </c>
      <c r="I101" s="2195">
        <v>4411</v>
      </c>
      <c r="J101" s="2195">
        <v>945</v>
      </c>
      <c r="K101" s="2199">
        <f t="shared" si="4"/>
        <v>0.17643764002987303</v>
      </c>
      <c r="L101" s="2195">
        <v>10126</v>
      </c>
      <c r="M101" s="2195">
        <v>8401</v>
      </c>
      <c r="N101" s="2195">
        <v>1725</v>
      </c>
      <c r="O101" s="2199">
        <f t="shared" si="5"/>
        <v>0.17035354532885641</v>
      </c>
    </row>
    <row r="102" spans="1:15" x14ac:dyDescent="0.3">
      <c r="A102" s="56" t="s">
        <v>13</v>
      </c>
      <c r="B102" s="84" t="s">
        <v>14</v>
      </c>
      <c r="C102" s="57" t="s">
        <v>254</v>
      </c>
      <c r="D102" s="2198">
        <v>138876</v>
      </c>
      <c r="E102" s="2198">
        <v>126213</v>
      </c>
      <c r="F102" s="2198">
        <v>12663</v>
      </c>
      <c r="G102" s="2199">
        <f t="shared" si="3"/>
        <v>9.118206169532532E-2</v>
      </c>
      <c r="H102" s="2195">
        <v>16801</v>
      </c>
      <c r="I102" s="2195">
        <v>12945</v>
      </c>
      <c r="J102" s="2195">
        <v>3856</v>
      </c>
      <c r="K102" s="2199">
        <f t="shared" si="4"/>
        <v>0.22951014820546395</v>
      </c>
      <c r="L102" s="2195">
        <v>25823</v>
      </c>
      <c r="M102" s="2195">
        <v>19878</v>
      </c>
      <c r="N102" s="2195">
        <v>5945</v>
      </c>
      <c r="O102" s="2199">
        <f t="shared" si="5"/>
        <v>0.23022112070634707</v>
      </c>
    </row>
    <row r="103" spans="1:15" x14ac:dyDescent="0.3">
      <c r="A103" s="56" t="s">
        <v>33</v>
      </c>
      <c r="B103" s="84" t="s">
        <v>34</v>
      </c>
      <c r="C103" s="57" t="s">
        <v>255</v>
      </c>
      <c r="D103" s="2198">
        <v>12819</v>
      </c>
      <c r="E103" s="2198">
        <v>11613</v>
      </c>
      <c r="F103" s="2198">
        <v>1206</v>
      </c>
      <c r="G103" s="2199">
        <f t="shared" si="3"/>
        <v>9.4079101333957402E-2</v>
      </c>
      <c r="H103" s="2195">
        <v>4321</v>
      </c>
      <c r="I103" s="2195">
        <v>3875</v>
      </c>
      <c r="J103" s="2195">
        <v>446</v>
      </c>
      <c r="K103" s="2199">
        <f t="shared" si="4"/>
        <v>0.10321684795186299</v>
      </c>
      <c r="L103" s="2195">
        <v>6046</v>
      </c>
      <c r="M103" s="2195">
        <v>5424</v>
      </c>
      <c r="N103" s="2195">
        <v>622</v>
      </c>
      <c r="O103" s="2199">
        <f t="shared" si="5"/>
        <v>0.10287793582533906</v>
      </c>
    </row>
    <row r="104" spans="1:15" x14ac:dyDescent="0.3">
      <c r="A104" s="56" t="s">
        <v>51</v>
      </c>
      <c r="B104" s="84" t="s">
        <v>52</v>
      </c>
      <c r="C104" s="57" t="s">
        <v>252</v>
      </c>
      <c r="D104" s="2198">
        <v>39387</v>
      </c>
      <c r="E104" s="2198">
        <v>35183</v>
      </c>
      <c r="F104" s="2198">
        <v>4204</v>
      </c>
      <c r="G104" s="2199">
        <f t="shared" si="3"/>
        <v>0.10673572498540128</v>
      </c>
      <c r="H104" s="2195">
        <v>10090</v>
      </c>
      <c r="I104" s="2195">
        <v>8395</v>
      </c>
      <c r="J104" s="2195">
        <v>1695</v>
      </c>
      <c r="K104" s="2199">
        <f t="shared" si="4"/>
        <v>0.16798810703666997</v>
      </c>
      <c r="L104" s="2195">
        <v>13904</v>
      </c>
      <c r="M104" s="2195">
        <v>11527</v>
      </c>
      <c r="N104" s="2195">
        <v>2377</v>
      </c>
      <c r="O104" s="2199">
        <f t="shared" si="5"/>
        <v>0.17095799769850403</v>
      </c>
    </row>
    <row r="105" spans="1:15" x14ac:dyDescent="0.3">
      <c r="A105" s="56" t="s">
        <v>53</v>
      </c>
      <c r="B105" s="84" t="s">
        <v>54</v>
      </c>
      <c r="C105" s="57" t="s">
        <v>251</v>
      </c>
      <c r="D105" s="2198">
        <v>206694</v>
      </c>
      <c r="E105" s="2198">
        <v>190383</v>
      </c>
      <c r="F105" s="2198">
        <v>16311</v>
      </c>
      <c r="G105" s="2199">
        <f t="shared" si="3"/>
        <v>7.8913756567679752E-2</v>
      </c>
      <c r="H105" s="2195">
        <v>26562</v>
      </c>
      <c r="I105" s="2195">
        <v>22704</v>
      </c>
      <c r="J105" s="2195">
        <v>3858</v>
      </c>
      <c r="K105" s="2199">
        <f t="shared" si="4"/>
        <v>0.14524508696634289</v>
      </c>
      <c r="L105" s="2195">
        <v>43360</v>
      </c>
      <c r="M105" s="2195">
        <v>36973</v>
      </c>
      <c r="N105" s="2195">
        <v>6387</v>
      </c>
      <c r="O105" s="2199">
        <f t="shared" si="5"/>
        <v>0.14730166051660518</v>
      </c>
    </row>
    <row r="106" spans="1:15" x14ac:dyDescent="0.3">
      <c r="A106" s="56" t="s">
        <v>65</v>
      </c>
      <c r="B106" s="84" t="s">
        <v>66</v>
      </c>
      <c r="C106" s="57" t="s">
        <v>252</v>
      </c>
      <c r="D106" s="2198">
        <v>29998</v>
      </c>
      <c r="E106" s="2198">
        <v>27069</v>
      </c>
      <c r="F106" s="2198">
        <v>2929</v>
      </c>
      <c r="G106" s="2199">
        <f t="shared" si="3"/>
        <v>9.7639842656177075E-2</v>
      </c>
      <c r="H106" s="2195">
        <v>10887</v>
      </c>
      <c r="I106" s="2195">
        <v>9796</v>
      </c>
      <c r="J106" s="2195">
        <v>1091</v>
      </c>
      <c r="K106" s="2199">
        <f t="shared" si="4"/>
        <v>0.10021126113713603</v>
      </c>
      <c r="L106" s="2195">
        <v>15301</v>
      </c>
      <c r="M106" s="2195">
        <v>13719</v>
      </c>
      <c r="N106" s="2195">
        <v>1582</v>
      </c>
      <c r="O106" s="2199">
        <f t="shared" si="5"/>
        <v>0.1033919351676361</v>
      </c>
    </row>
    <row r="107" spans="1:15" x14ac:dyDescent="0.3">
      <c r="A107" s="56" t="s">
        <v>81</v>
      </c>
      <c r="B107" s="84" t="s">
        <v>82</v>
      </c>
      <c r="C107" s="57" t="s">
        <v>251</v>
      </c>
      <c r="D107" s="2198">
        <v>6302</v>
      </c>
      <c r="E107" s="2198">
        <v>5836</v>
      </c>
      <c r="F107" s="2198">
        <v>466</v>
      </c>
      <c r="G107" s="2199">
        <f t="shared" si="3"/>
        <v>7.3944779435099972E-2</v>
      </c>
      <c r="H107" s="2195">
        <v>2044</v>
      </c>
      <c r="I107" s="2195">
        <v>1892</v>
      </c>
      <c r="J107" s="2195">
        <v>152</v>
      </c>
      <c r="K107" s="2199">
        <f t="shared" si="4"/>
        <v>7.4363992172211346E-2</v>
      </c>
      <c r="L107" s="2195">
        <v>2936</v>
      </c>
      <c r="M107" s="2195">
        <v>2706</v>
      </c>
      <c r="N107" s="2195">
        <v>230</v>
      </c>
      <c r="O107" s="2199">
        <f t="shared" si="5"/>
        <v>7.833787465940055E-2</v>
      </c>
    </row>
    <row r="108" spans="1:15" x14ac:dyDescent="0.3">
      <c r="A108" s="56" t="s">
        <v>87</v>
      </c>
      <c r="B108" s="84" t="s">
        <v>88</v>
      </c>
      <c r="C108" s="57" t="s">
        <v>254</v>
      </c>
      <c r="D108" s="2198">
        <v>22951</v>
      </c>
      <c r="E108" s="2198">
        <v>20558</v>
      </c>
      <c r="F108" s="2198">
        <v>2393</v>
      </c>
      <c r="G108" s="2199">
        <f t="shared" si="3"/>
        <v>0.10426560934164089</v>
      </c>
      <c r="H108" s="2195">
        <v>5060</v>
      </c>
      <c r="I108" s="2195">
        <v>4336</v>
      </c>
      <c r="J108" s="2195">
        <v>724</v>
      </c>
      <c r="K108" s="2199">
        <f t="shared" si="4"/>
        <v>0.14308300395256918</v>
      </c>
      <c r="L108" s="2195">
        <v>7212</v>
      </c>
      <c r="M108" s="2195">
        <v>6128</v>
      </c>
      <c r="N108" s="2195">
        <v>1084</v>
      </c>
      <c r="O108" s="2199">
        <f t="shared" si="5"/>
        <v>0.15030504714364948</v>
      </c>
    </row>
    <row r="109" spans="1:15" x14ac:dyDescent="0.3">
      <c r="A109" s="56" t="s">
        <v>89</v>
      </c>
      <c r="B109" s="84" t="s">
        <v>90</v>
      </c>
      <c r="C109" s="57" t="s">
        <v>255</v>
      </c>
      <c r="D109" s="2198">
        <v>5029</v>
      </c>
      <c r="E109" s="2198">
        <v>4322</v>
      </c>
      <c r="F109" s="2198">
        <v>707</v>
      </c>
      <c r="G109" s="2199">
        <f t="shared" si="3"/>
        <v>0.14058460926625571</v>
      </c>
      <c r="H109" s="2195">
        <v>1809</v>
      </c>
      <c r="I109" s="2195">
        <v>1506</v>
      </c>
      <c r="J109" s="2195">
        <v>303</v>
      </c>
      <c r="K109" s="2199">
        <f t="shared" si="4"/>
        <v>0.16749585406301823</v>
      </c>
      <c r="L109" s="2195">
        <v>2485</v>
      </c>
      <c r="M109" s="2195">
        <v>2080</v>
      </c>
      <c r="N109" s="2195">
        <v>405</v>
      </c>
      <c r="O109" s="2199">
        <f t="shared" si="5"/>
        <v>0.16297786720321933</v>
      </c>
    </row>
    <row r="110" spans="1:15" x14ac:dyDescent="0.3">
      <c r="A110" s="56" t="s">
        <v>105</v>
      </c>
      <c r="B110" s="84" t="s">
        <v>106</v>
      </c>
      <c r="C110" s="57" t="s">
        <v>251</v>
      </c>
      <c r="D110" s="2198">
        <v>107888</v>
      </c>
      <c r="E110" s="2198">
        <v>99413</v>
      </c>
      <c r="F110" s="2198">
        <v>8475</v>
      </c>
      <c r="G110" s="2199">
        <f t="shared" si="3"/>
        <v>7.8553685303277471E-2</v>
      </c>
      <c r="H110" s="2195">
        <v>23708</v>
      </c>
      <c r="I110" s="2195">
        <v>21102</v>
      </c>
      <c r="J110" s="2195">
        <v>2606</v>
      </c>
      <c r="K110" s="2199">
        <f t="shared" si="4"/>
        <v>0.10992070187278556</v>
      </c>
      <c r="L110" s="2195">
        <v>35604</v>
      </c>
      <c r="M110" s="2195">
        <v>31704</v>
      </c>
      <c r="N110" s="2195">
        <v>3900</v>
      </c>
      <c r="O110" s="2199">
        <f t="shared" si="5"/>
        <v>0.10953825412874958</v>
      </c>
    </row>
    <row r="111" spans="1:15" x14ac:dyDescent="0.3">
      <c r="A111" s="56" t="s">
        <v>115</v>
      </c>
      <c r="B111" s="84" t="s">
        <v>116</v>
      </c>
      <c r="C111" s="57" t="s">
        <v>253</v>
      </c>
      <c r="D111" s="2198">
        <v>18585</v>
      </c>
      <c r="E111" s="2198">
        <v>16907</v>
      </c>
      <c r="F111" s="2198">
        <v>1678</v>
      </c>
      <c r="G111" s="2199">
        <f t="shared" si="3"/>
        <v>9.0287866559053007E-2</v>
      </c>
      <c r="H111" s="2195">
        <v>6569</v>
      </c>
      <c r="I111" s="2195">
        <v>5931</v>
      </c>
      <c r="J111" s="2195">
        <v>638</v>
      </c>
      <c r="K111" s="2199">
        <f t="shared" si="4"/>
        <v>9.7122849748820211E-2</v>
      </c>
      <c r="L111" s="2195">
        <v>9327</v>
      </c>
      <c r="M111" s="2195">
        <v>8418</v>
      </c>
      <c r="N111" s="2195">
        <v>909</v>
      </c>
      <c r="O111" s="2199">
        <f t="shared" si="5"/>
        <v>9.7458990028948214E-2</v>
      </c>
    </row>
    <row r="112" spans="1:15" x14ac:dyDescent="0.3">
      <c r="A112" s="56" t="s">
        <v>137</v>
      </c>
      <c r="B112" s="84" t="s">
        <v>138</v>
      </c>
      <c r="C112" s="57" t="s">
        <v>252</v>
      </c>
      <c r="D112" s="2198">
        <v>59338</v>
      </c>
      <c r="E112" s="2198">
        <v>53841</v>
      </c>
      <c r="F112" s="2198">
        <v>5497</v>
      </c>
      <c r="G112" s="2199">
        <f t="shared" si="3"/>
        <v>9.2638781219454652E-2</v>
      </c>
      <c r="H112" s="2195">
        <v>17631</v>
      </c>
      <c r="I112" s="2195">
        <v>15402</v>
      </c>
      <c r="J112" s="2195">
        <v>2229</v>
      </c>
      <c r="K112" s="2199">
        <f t="shared" si="4"/>
        <v>0.12642504679258124</v>
      </c>
      <c r="L112" s="2195">
        <v>25224</v>
      </c>
      <c r="M112" s="2195">
        <v>22132</v>
      </c>
      <c r="N112" s="2195">
        <v>3092</v>
      </c>
      <c r="O112" s="2199">
        <f t="shared" si="5"/>
        <v>0.12258166825245798</v>
      </c>
    </row>
    <row r="113" spans="1:15" x14ac:dyDescent="0.3">
      <c r="A113" s="56" t="s">
        <v>141</v>
      </c>
      <c r="B113" s="84" t="s">
        <v>260</v>
      </c>
      <c r="C113" s="57" t="s">
        <v>254</v>
      </c>
      <c r="D113" s="2198">
        <v>36303</v>
      </c>
      <c r="E113" s="2198">
        <v>30502</v>
      </c>
      <c r="F113" s="2198">
        <v>5801</v>
      </c>
      <c r="G113" s="2199">
        <f t="shared" si="3"/>
        <v>0.15979395642233424</v>
      </c>
      <c r="H113" s="2195">
        <v>5462</v>
      </c>
      <c r="I113" s="2195">
        <v>4055</v>
      </c>
      <c r="J113" s="2195">
        <v>1407</v>
      </c>
      <c r="K113" s="2199">
        <f t="shared" si="4"/>
        <v>0.25759794946905895</v>
      </c>
      <c r="L113" s="2195">
        <v>9587</v>
      </c>
      <c r="M113" s="2195">
        <v>7131</v>
      </c>
      <c r="N113" s="2195">
        <v>2456</v>
      </c>
      <c r="O113" s="2199">
        <f t="shared" si="5"/>
        <v>0.2561802440805257</v>
      </c>
    </row>
    <row r="114" spans="1:15" x14ac:dyDescent="0.3">
      <c r="A114" s="56" t="s">
        <v>143</v>
      </c>
      <c r="B114" s="84" t="s">
        <v>144</v>
      </c>
      <c r="C114" s="57" t="s">
        <v>254</v>
      </c>
      <c r="D114" s="2198">
        <v>15796</v>
      </c>
      <c r="E114" s="2198">
        <v>13382</v>
      </c>
      <c r="F114" s="2198">
        <v>2414</v>
      </c>
      <c r="G114" s="2199">
        <f t="shared" si="3"/>
        <v>0.15282349962015701</v>
      </c>
      <c r="H114" s="2195">
        <v>2583</v>
      </c>
      <c r="I114" s="2195">
        <v>1881</v>
      </c>
      <c r="J114" s="2195">
        <v>702</v>
      </c>
      <c r="K114" s="2199">
        <f t="shared" si="4"/>
        <v>0.27177700348432055</v>
      </c>
      <c r="L114" s="2195">
        <v>4412</v>
      </c>
      <c r="M114" s="2195">
        <v>3284</v>
      </c>
      <c r="N114" s="2195">
        <v>1128</v>
      </c>
      <c r="O114" s="2199">
        <f t="shared" si="5"/>
        <v>0.25566636446056212</v>
      </c>
    </row>
    <row r="115" spans="1:15" x14ac:dyDescent="0.3">
      <c r="A115" s="56" t="s">
        <v>157</v>
      </c>
      <c r="B115" s="84" t="s">
        <v>158</v>
      </c>
      <c r="C115" s="57" t="s">
        <v>251</v>
      </c>
      <c r="D115" s="2198">
        <v>146365</v>
      </c>
      <c r="E115" s="2198">
        <v>132496</v>
      </c>
      <c r="F115" s="2198">
        <v>13869</v>
      </c>
      <c r="G115" s="2199">
        <f t="shared" si="3"/>
        <v>9.47562600348444E-2</v>
      </c>
      <c r="H115" s="2195">
        <v>34523</v>
      </c>
      <c r="I115" s="2195">
        <v>30223</v>
      </c>
      <c r="J115" s="2195">
        <v>4300</v>
      </c>
      <c r="K115" s="2199">
        <f t="shared" si="4"/>
        <v>0.12455464472960055</v>
      </c>
      <c r="L115" s="2195">
        <v>53830</v>
      </c>
      <c r="M115" s="2195">
        <v>47153</v>
      </c>
      <c r="N115" s="2195">
        <v>6677</v>
      </c>
      <c r="O115" s="2199">
        <f t="shared" si="5"/>
        <v>0.12403864016347761</v>
      </c>
    </row>
    <row r="116" spans="1:15" x14ac:dyDescent="0.3">
      <c r="A116" s="56" t="s">
        <v>159</v>
      </c>
      <c r="B116" s="84" t="s">
        <v>160</v>
      </c>
      <c r="C116" s="57" t="s">
        <v>251</v>
      </c>
      <c r="D116" s="2198">
        <v>179327</v>
      </c>
      <c r="E116" s="2198">
        <v>160657</v>
      </c>
      <c r="F116" s="2198">
        <v>18670</v>
      </c>
      <c r="G116" s="2199">
        <f t="shared" si="3"/>
        <v>0.10411148349105266</v>
      </c>
      <c r="H116" s="2195">
        <v>48102</v>
      </c>
      <c r="I116" s="2195">
        <v>41893</v>
      </c>
      <c r="J116" s="2195">
        <v>6209</v>
      </c>
      <c r="K116" s="2199">
        <f t="shared" si="4"/>
        <v>0.12907987193879672</v>
      </c>
      <c r="L116" s="2195">
        <v>71394</v>
      </c>
      <c r="M116" s="2195">
        <v>61955</v>
      </c>
      <c r="N116" s="2195">
        <v>9439</v>
      </c>
      <c r="O116" s="2199">
        <f t="shared" si="5"/>
        <v>0.13220998963498334</v>
      </c>
    </row>
    <row r="117" spans="1:15" x14ac:dyDescent="0.3">
      <c r="A117" s="56" t="s">
        <v>165</v>
      </c>
      <c r="B117" s="84" t="s">
        <v>166</v>
      </c>
      <c r="C117" s="57" t="s">
        <v>255</v>
      </c>
      <c r="D117" s="2198">
        <v>3190</v>
      </c>
      <c r="E117" s="2198">
        <v>2928</v>
      </c>
      <c r="F117" s="2198">
        <v>262</v>
      </c>
      <c r="G117" s="2199">
        <f t="shared" si="3"/>
        <v>8.2131661442006273E-2</v>
      </c>
      <c r="H117" s="2195">
        <v>1073</v>
      </c>
      <c r="I117" s="2195">
        <v>974</v>
      </c>
      <c r="J117" s="2195">
        <v>99</v>
      </c>
      <c r="K117" s="2199">
        <f t="shared" si="4"/>
        <v>9.2264678471575018E-2</v>
      </c>
      <c r="L117" s="2195">
        <v>1497</v>
      </c>
      <c r="M117" s="2195">
        <v>1363</v>
      </c>
      <c r="N117" s="2195">
        <v>134</v>
      </c>
      <c r="O117" s="2199">
        <f t="shared" si="5"/>
        <v>8.9512358049432195E-2</v>
      </c>
    </row>
    <row r="118" spans="1:15" x14ac:dyDescent="0.3">
      <c r="A118" s="56" t="s">
        <v>175</v>
      </c>
      <c r="B118" s="84" t="s">
        <v>176</v>
      </c>
      <c r="C118" s="57" t="s">
        <v>253</v>
      </c>
      <c r="D118" s="2198">
        <v>25208</v>
      </c>
      <c r="E118" s="2198">
        <v>22537</v>
      </c>
      <c r="F118" s="2198">
        <v>2671</v>
      </c>
      <c r="G118" s="2199">
        <f t="shared" si="3"/>
        <v>0.10595842589654078</v>
      </c>
      <c r="H118" s="2195">
        <v>9518</v>
      </c>
      <c r="I118" s="2195">
        <v>8518</v>
      </c>
      <c r="J118" s="2195">
        <v>1000</v>
      </c>
      <c r="K118" s="2199">
        <f t="shared" si="4"/>
        <v>0.10506408909434756</v>
      </c>
      <c r="L118" s="2195">
        <v>13550</v>
      </c>
      <c r="M118" s="2195">
        <v>12080</v>
      </c>
      <c r="N118" s="2195">
        <v>1470</v>
      </c>
      <c r="O118" s="2199">
        <f t="shared" si="5"/>
        <v>0.10848708487084871</v>
      </c>
    </row>
    <row r="119" spans="1:15" x14ac:dyDescent="0.3">
      <c r="A119" s="56" t="s">
        <v>179</v>
      </c>
      <c r="B119" s="84" t="s">
        <v>180</v>
      </c>
      <c r="C119" s="57" t="s">
        <v>251</v>
      </c>
      <c r="D119" s="2198">
        <v>76508</v>
      </c>
      <c r="E119" s="2198">
        <v>69783</v>
      </c>
      <c r="F119" s="2198">
        <v>6725</v>
      </c>
      <c r="G119" s="2199">
        <f t="shared" si="3"/>
        <v>8.7899304647879956E-2</v>
      </c>
      <c r="H119" s="2195">
        <v>20157</v>
      </c>
      <c r="I119" s="2195">
        <v>18108</v>
      </c>
      <c r="J119" s="2195">
        <v>2049</v>
      </c>
      <c r="K119" s="2199">
        <f t="shared" si="4"/>
        <v>0.10165203155231434</v>
      </c>
      <c r="L119" s="2195">
        <v>29875</v>
      </c>
      <c r="M119" s="2195">
        <v>26728</v>
      </c>
      <c r="N119" s="2195">
        <v>3147</v>
      </c>
      <c r="O119" s="2199">
        <f t="shared" si="5"/>
        <v>0.10533891213389121</v>
      </c>
    </row>
    <row r="120" spans="1:15" x14ac:dyDescent="0.3">
      <c r="A120" s="56" t="s">
        <v>191</v>
      </c>
      <c r="B120" s="84" t="s">
        <v>192</v>
      </c>
      <c r="C120" s="57" t="s">
        <v>255</v>
      </c>
      <c r="D120" s="2198">
        <v>13096</v>
      </c>
      <c r="E120" s="2198">
        <v>12117</v>
      </c>
      <c r="F120" s="2198">
        <v>979</v>
      </c>
      <c r="G120" s="2199">
        <f t="shared" si="3"/>
        <v>7.4755650580329874E-2</v>
      </c>
      <c r="H120" s="2195">
        <v>4546</v>
      </c>
      <c r="I120" s="2195">
        <v>4101</v>
      </c>
      <c r="J120" s="2195">
        <v>445</v>
      </c>
      <c r="K120" s="2199">
        <f t="shared" si="4"/>
        <v>9.7888253409590856E-2</v>
      </c>
      <c r="L120" s="2195">
        <v>5829</v>
      </c>
      <c r="M120" s="2195">
        <v>5250</v>
      </c>
      <c r="N120" s="2195">
        <v>579</v>
      </c>
      <c r="O120" s="2199">
        <f t="shared" si="5"/>
        <v>9.9330931549150792E-2</v>
      </c>
    </row>
    <row r="121" spans="1:15" x14ac:dyDescent="0.3">
      <c r="A121" s="56" t="s">
        <v>195</v>
      </c>
      <c r="B121" s="84" t="s">
        <v>196</v>
      </c>
      <c r="C121" s="57" t="s">
        <v>253</v>
      </c>
      <c r="D121" s="2198">
        <v>185840</v>
      </c>
      <c r="E121" s="2198">
        <v>163909</v>
      </c>
      <c r="F121" s="2198">
        <v>21931</v>
      </c>
      <c r="G121" s="2199">
        <f t="shared" si="3"/>
        <v>0.11801011622901421</v>
      </c>
      <c r="H121" s="2195">
        <v>55502</v>
      </c>
      <c r="I121" s="2195">
        <v>47455</v>
      </c>
      <c r="J121" s="2195">
        <v>8047</v>
      </c>
      <c r="K121" s="2199">
        <f t="shared" si="4"/>
        <v>0.14498576627869267</v>
      </c>
      <c r="L121" s="2195">
        <v>75959</v>
      </c>
      <c r="M121" s="2195">
        <v>64451</v>
      </c>
      <c r="N121" s="2195">
        <v>11508</v>
      </c>
      <c r="O121" s="2199">
        <f t="shared" si="5"/>
        <v>0.15150278439684567</v>
      </c>
    </row>
    <row r="122" spans="1:15" x14ac:dyDescent="0.3">
      <c r="A122" s="56" t="s">
        <v>199</v>
      </c>
      <c r="B122" s="84" t="s">
        <v>200</v>
      </c>
      <c r="C122" s="57" t="s">
        <v>252</v>
      </c>
      <c r="D122" s="2198">
        <v>80483</v>
      </c>
      <c r="E122" s="2198">
        <v>71554</v>
      </c>
      <c r="F122" s="2198">
        <v>8929</v>
      </c>
      <c r="G122" s="2199">
        <f t="shared" si="3"/>
        <v>0.11094268354807847</v>
      </c>
      <c r="H122" s="2195">
        <v>23402</v>
      </c>
      <c r="I122" s="2195">
        <v>20164</v>
      </c>
      <c r="J122" s="2195">
        <v>3238</v>
      </c>
      <c r="K122" s="2199">
        <f t="shared" si="4"/>
        <v>0.13836424237244679</v>
      </c>
      <c r="L122" s="2195">
        <v>34282</v>
      </c>
      <c r="M122" s="2195">
        <v>29607</v>
      </c>
      <c r="N122" s="2195">
        <v>4675</v>
      </c>
      <c r="O122" s="2199">
        <f t="shared" si="5"/>
        <v>0.13636893996849658</v>
      </c>
    </row>
    <row r="123" spans="1:15" x14ac:dyDescent="0.3">
      <c r="A123" s="56" t="s">
        <v>221</v>
      </c>
      <c r="B123" s="84" t="s">
        <v>222</v>
      </c>
      <c r="C123" s="57" t="s">
        <v>251</v>
      </c>
      <c r="D123" s="2198">
        <v>77313</v>
      </c>
      <c r="E123" s="2198">
        <v>71220</v>
      </c>
      <c r="F123" s="2198">
        <v>6093</v>
      </c>
      <c r="G123" s="2199">
        <f t="shared" si="3"/>
        <v>7.880951457064142E-2</v>
      </c>
      <c r="H123" s="2195">
        <v>11517</v>
      </c>
      <c r="I123" s="2195">
        <v>10098</v>
      </c>
      <c r="J123" s="2195">
        <v>1419</v>
      </c>
      <c r="K123" s="2199">
        <f t="shared" si="4"/>
        <v>0.12320916905444126</v>
      </c>
      <c r="L123" s="2195">
        <v>18568</v>
      </c>
      <c r="M123" s="2195">
        <v>16178</v>
      </c>
      <c r="N123" s="2195">
        <v>2390</v>
      </c>
      <c r="O123" s="2199">
        <f t="shared" si="5"/>
        <v>0.12871607065919863</v>
      </c>
    </row>
    <row r="124" spans="1:15" x14ac:dyDescent="0.3">
      <c r="A124" s="56" t="s">
        <v>229</v>
      </c>
      <c r="B124" s="84" t="s">
        <v>230</v>
      </c>
      <c r="C124" s="57" t="s">
        <v>251</v>
      </c>
      <c r="D124" s="2198">
        <v>374581</v>
      </c>
      <c r="E124" s="2198">
        <v>344050</v>
      </c>
      <c r="F124" s="2198">
        <v>30531</v>
      </c>
      <c r="G124" s="2199">
        <f t="shared" si="3"/>
        <v>8.1507070566846695E-2</v>
      </c>
      <c r="H124" s="2195">
        <v>44637</v>
      </c>
      <c r="I124" s="2195">
        <v>37900</v>
      </c>
      <c r="J124" s="2195">
        <v>6737</v>
      </c>
      <c r="K124" s="2199">
        <f t="shared" si="4"/>
        <v>0.15092860183256043</v>
      </c>
      <c r="L124" s="2195">
        <v>77631</v>
      </c>
      <c r="M124" s="2195">
        <v>65760</v>
      </c>
      <c r="N124" s="2195">
        <v>11871</v>
      </c>
      <c r="O124" s="2199">
        <f t="shared" si="5"/>
        <v>0.15291571665958187</v>
      </c>
    </row>
    <row r="125" spans="1:15" x14ac:dyDescent="0.3">
      <c r="A125" s="56" t="s">
        <v>237</v>
      </c>
      <c r="B125" s="84" t="s">
        <v>238</v>
      </c>
      <c r="C125" s="57" t="s">
        <v>251</v>
      </c>
      <c r="D125" s="2198">
        <v>8064</v>
      </c>
      <c r="E125" s="2198">
        <v>7416</v>
      </c>
      <c r="F125" s="2198">
        <v>648</v>
      </c>
      <c r="G125" s="2199">
        <f t="shared" si="3"/>
        <v>8.0357142857142863E-2</v>
      </c>
      <c r="H125" s="2195">
        <v>1856</v>
      </c>
      <c r="I125" s="2195">
        <v>1595</v>
      </c>
      <c r="J125" s="2195">
        <v>261</v>
      </c>
      <c r="K125" s="2199">
        <f t="shared" si="4"/>
        <v>0.140625</v>
      </c>
      <c r="L125" s="2195">
        <v>2730</v>
      </c>
      <c r="M125" s="2195">
        <v>2357</v>
      </c>
      <c r="N125" s="2195">
        <v>373</v>
      </c>
      <c r="O125" s="2199">
        <f t="shared" si="5"/>
        <v>0.13663003663003662</v>
      </c>
    </row>
    <row r="126" spans="1:15" x14ac:dyDescent="0.3">
      <c r="A126" s="62" t="s">
        <v>239</v>
      </c>
      <c r="B126" s="86" t="s">
        <v>240</v>
      </c>
      <c r="C126" s="63" t="s">
        <v>254</v>
      </c>
      <c r="D126" s="2195">
        <v>22303</v>
      </c>
      <c r="E126" s="2195">
        <v>19460</v>
      </c>
      <c r="F126" s="2195">
        <v>2843</v>
      </c>
      <c r="G126" s="2199">
        <f t="shared" si="3"/>
        <v>0.12747164058646818</v>
      </c>
      <c r="H126" s="2195">
        <v>5322</v>
      </c>
      <c r="I126" s="2195">
        <v>4373</v>
      </c>
      <c r="J126" s="2195">
        <v>949</v>
      </c>
      <c r="K126" s="2199">
        <f t="shared" si="4"/>
        <v>0.17831642239759488</v>
      </c>
      <c r="L126" s="2195">
        <v>8010</v>
      </c>
      <c r="M126" s="2195">
        <v>6603</v>
      </c>
      <c r="N126" s="2195">
        <v>1407</v>
      </c>
      <c r="O126" s="2199">
        <f t="shared" si="5"/>
        <v>0.17565543071161049</v>
      </c>
    </row>
    <row r="127" spans="1:15" x14ac:dyDescent="0.3">
      <c r="A127" s="116"/>
      <c r="B127" s="90"/>
      <c r="C127" s="117"/>
    </row>
    <row r="128" spans="1:15" x14ac:dyDescent="0.3">
      <c r="A128" s="116"/>
      <c r="B128" s="90"/>
      <c r="C128" s="117"/>
    </row>
    <row r="129" spans="1:3" x14ac:dyDescent="0.3">
      <c r="A129" s="772" t="s">
        <v>1038</v>
      </c>
      <c r="B129"/>
      <c r="C129"/>
    </row>
    <row r="130" spans="1:3" x14ac:dyDescent="0.3">
      <c r="A130" s="81" t="s">
        <v>247</v>
      </c>
      <c r="B130" s="81"/>
      <c r="C130" s="81"/>
    </row>
    <row r="131" spans="1:3" x14ac:dyDescent="0.3">
      <c r="A131" s="87" t="s">
        <v>248</v>
      </c>
      <c r="B131" s="71" t="s">
        <v>249</v>
      </c>
      <c r="C131" s="81"/>
    </row>
  </sheetData>
  <mergeCells count="6">
    <mergeCell ref="L4:O4"/>
    <mergeCell ref="A4:A5"/>
    <mergeCell ref="B4:B5"/>
    <mergeCell ref="C4:C5"/>
    <mergeCell ref="D4:G4"/>
    <mergeCell ref="H4:K4"/>
  </mergeCells>
  <hyperlinks>
    <hyperlink ref="B131"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1"/>
  <sheetViews>
    <sheetView workbookViewId="0">
      <pane xSplit="3" ySplit="6" topLeftCell="P111" activePane="bottomRight" state="frozen"/>
      <selection pane="topRight" activeCell="D1" sqref="D1"/>
      <selection pane="bottomLeft" activeCell="A7" sqref="A7"/>
      <selection pane="bottomRight" activeCell="A4" sqref="A4:AA126"/>
    </sheetView>
  </sheetViews>
  <sheetFormatPr defaultRowHeight="15.6" x14ac:dyDescent="0.3"/>
  <cols>
    <col min="1" max="1" width="7.69921875" style="41" customWidth="1"/>
    <col min="2" max="2" width="28.59765625" style="65" customWidth="1"/>
    <col min="3" max="3" width="10" style="65" customWidth="1"/>
    <col min="4" max="4" width="12.296875" style="2200" customWidth="1"/>
    <col min="5" max="5" width="10" style="2200" bestFit="1" customWidth="1"/>
    <col min="7" max="7" width="11.296875" style="2200" bestFit="1" customWidth="1"/>
    <col min="8" max="8" width="10" style="2200" bestFit="1" customWidth="1"/>
    <col min="10" max="10" width="11.296875" style="2200" bestFit="1" customWidth="1"/>
    <col min="11" max="11" width="10" style="2200" bestFit="1" customWidth="1"/>
    <col min="13" max="13" width="11.296875" style="2200" bestFit="1" customWidth="1"/>
    <col min="14" max="14" width="10" style="2200" bestFit="1" customWidth="1"/>
    <col min="16" max="16" width="11.296875" style="2200" bestFit="1" customWidth="1"/>
    <col min="17" max="17" width="10" style="2200" bestFit="1" customWidth="1"/>
    <col min="19" max="19" width="11.296875" style="2200" bestFit="1" customWidth="1"/>
    <col min="20" max="20" width="10" style="2200" bestFit="1" customWidth="1"/>
    <col min="22" max="22" width="11.296875" style="2200" bestFit="1" customWidth="1"/>
    <col min="23" max="23" width="10" style="2200" bestFit="1" customWidth="1"/>
    <col min="25" max="25" width="11.296875" style="2200" bestFit="1" customWidth="1"/>
    <col min="26" max="26" width="10" style="2200" bestFit="1" customWidth="1"/>
  </cols>
  <sheetData>
    <row r="1" spans="1:27" x14ac:dyDescent="0.3">
      <c r="A1" s="145" t="s">
        <v>1040</v>
      </c>
      <c r="B1" s="145"/>
      <c r="C1" s="145"/>
    </row>
    <row r="2" spans="1:27" x14ac:dyDescent="0.3">
      <c r="A2" s="31"/>
      <c r="B2" s="43"/>
      <c r="C2" s="43"/>
    </row>
    <row r="3" spans="1:27" x14ac:dyDescent="0.3">
      <c r="A3" s="44"/>
      <c r="B3" s="45"/>
      <c r="C3" s="45"/>
    </row>
    <row r="4" spans="1:27" x14ac:dyDescent="0.3">
      <c r="A4" s="2506" t="s">
        <v>4</v>
      </c>
      <c r="B4" s="2508" t="s">
        <v>5</v>
      </c>
      <c r="C4" s="2508" t="s">
        <v>250</v>
      </c>
      <c r="D4" s="2528">
        <v>2012</v>
      </c>
      <c r="E4" s="2530"/>
      <c r="F4" s="2531"/>
      <c r="G4" s="2528">
        <v>2013</v>
      </c>
      <c r="H4" s="2530"/>
      <c r="I4" s="2531"/>
      <c r="J4" s="2528">
        <v>2014</v>
      </c>
      <c r="K4" s="2530"/>
      <c r="L4" s="2531"/>
      <c r="M4" s="2528">
        <v>2015</v>
      </c>
      <c r="N4" s="2530"/>
      <c r="O4" s="2531"/>
      <c r="P4" s="2528">
        <v>2016</v>
      </c>
      <c r="Q4" s="2530"/>
      <c r="R4" s="2531"/>
      <c r="S4" s="2528">
        <v>2017</v>
      </c>
      <c r="T4" s="2530"/>
      <c r="U4" s="2531"/>
      <c r="V4" s="2528">
        <v>2018</v>
      </c>
      <c r="W4" s="2530"/>
      <c r="X4" s="2531"/>
      <c r="Y4" s="2528">
        <v>2019</v>
      </c>
      <c r="Z4" s="2530"/>
      <c r="AA4" s="2530"/>
    </row>
    <row r="5" spans="1:27" ht="43.2" x14ac:dyDescent="0.3">
      <c r="A5" s="2507"/>
      <c r="B5" s="2509"/>
      <c r="C5" s="2509"/>
      <c r="D5" s="2201" t="s">
        <v>1032</v>
      </c>
      <c r="E5" s="2201" t="s">
        <v>1036</v>
      </c>
      <c r="F5" s="2196" t="s">
        <v>1037</v>
      </c>
      <c r="G5" s="2201" t="s">
        <v>1032</v>
      </c>
      <c r="H5" s="2201" t="s">
        <v>1036</v>
      </c>
      <c r="I5" s="2196" t="s">
        <v>1037</v>
      </c>
      <c r="J5" s="2201" t="s">
        <v>1032</v>
      </c>
      <c r="K5" s="2201" t="s">
        <v>1036</v>
      </c>
      <c r="L5" s="2196" t="s">
        <v>1037</v>
      </c>
      <c r="M5" s="2201" t="s">
        <v>1032</v>
      </c>
      <c r="N5" s="2201" t="s">
        <v>1036</v>
      </c>
      <c r="O5" s="2196" t="s">
        <v>1037</v>
      </c>
      <c r="P5" s="2201" t="s">
        <v>1032</v>
      </c>
      <c r="Q5" s="2201" t="s">
        <v>1036</v>
      </c>
      <c r="R5" s="2196" t="s">
        <v>1037</v>
      </c>
      <c r="S5" s="2201" t="s">
        <v>1032</v>
      </c>
      <c r="T5" s="2201" t="s">
        <v>1036</v>
      </c>
      <c r="U5" s="2196" t="s">
        <v>1037</v>
      </c>
      <c r="V5" s="2201" t="s">
        <v>1032</v>
      </c>
      <c r="W5" s="2201" t="s">
        <v>1036</v>
      </c>
      <c r="X5" s="2196" t="s">
        <v>1037</v>
      </c>
      <c r="Y5" s="2201" t="s">
        <v>1032</v>
      </c>
      <c r="Z5" s="2201" t="s">
        <v>1036</v>
      </c>
      <c r="AA5" s="2196" t="s">
        <v>1037</v>
      </c>
    </row>
    <row r="6" spans="1:27" s="426" customFormat="1" x14ac:dyDescent="0.3">
      <c r="A6" s="2203" t="s">
        <v>7</v>
      </c>
      <c r="B6" s="2204" t="s">
        <v>8</v>
      </c>
      <c r="C6" s="2205"/>
      <c r="D6" s="2206">
        <v>1925181</v>
      </c>
      <c r="E6" s="2206">
        <v>539501</v>
      </c>
      <c r="F6" s="2207">
        <f>E6/D6</f>
        <v>0.28023391047387231</v>
      </c>
      <c r="G6" s="2206">
        <v>1929429</v>
      </c>
      <c r="H6" s="2206">
        <v>519256</v>
      </c>
      <c r="I6" s="2207">
        <f>H6/G6</f>
        <v>0.2691241812992341</v>
      </c>
      <c r="J6" s="2206">
        <v>1903638</v>
      </c>
      <c r="K6" s="2206">
        <v>463850</v>
      </c>
      <c r="L6" s="2207">
        <f>K6/J6</f>
        <v>0.24366502454773439</v>
      </c>
      <c r="M6" s="2206">
        <v>1844882</v>
      </c>
      <c r="N6" s="2206">
        <v>382406</v>
      </c>
      <c r="O6" s="2207">
        <f>N6/M6</f>
        <v>0.20727938155394221</v>
      </c>
      <c r="P6" s="2206">
        <v>1781623</v>
      </c>
      <c r="Q6" s="2206">
        <v>353056</v>
      </c>
      <c r="R6" s="2207">
        <f>Q6/P6</f>
        <v>0.19816538066695366</v>
      </c>
      <c r="S6" s="2206">
        <v>1754243</v>
      </c>
      <c r="T6" s="2206">
        <v>345549</v>
      </c>
      <c r="U6" s="2207">
        <f>T6/S6</f>
        <v>0.19697898181722828</v>
      </c>
      <c r="V6" s="2206">
        <v>1741686</v>
      </c>
      <c r="W6" s="2206">
        <v>341332</v>
      </c>
      <c r="X6" s="2207">
        <f>W6/V6</f>
        <v>0.19597792024509583</v>
      </c>
      <c r="Y6" s="2206">
        <v>1654036</v>
      </c>
      <c r="Z6" s="2206">
        <v>277346</v>
      </c>
      <c r="AA6" s="2207">
        <f>Z6/Y6</f>
        <v>0.1676783334824635</v>
      </c>
    </row>
    <row r="7" spans="1:27" x14ac:dyDescent="0.3">
      <c r="A7" s="56" t="s">
        <v>9</v>
      </c>
      <c r="B7" s="83" t="s">
        <v>10</v>
      </c>
      <c r="C7" s="57" t="s">
        <v>251</v>
      </c>
      <c r="D7" s="2202">
        <v>11973</v>
      </c>
      <c r="E7" s="2202">
        <v>3600</v>
      </c>
      <c r="F7" s="2199">
        <f t="shared" ref="F7:F70" si="0">E7/D7</f>
        <v>0.30067652217489349</v>
      </c>
      <c r="G7" s="2202">
        <v>11985</v>
      </c>
      <c r="H7" s="2202">
        <v>3472</v>
      </c>
      <c r="I7" s="2199">
        <f t="shared" ref="I7:I70" si="1">H7/G7</f>
        <v>0.28969545264914476</v>
      </c>
      <c r="J7" s="2202">
        <v>11798</v>
      </c>
      <c r="K7" s="2202">
        <v>3138</v>
      </c>
      <c r="L7" s="2199">
        <f t="shared" ref="L7:L70" si="2">K7/J7</f>
        <v>0.26597728428547213</v>
      </c>
      <c r="M7" s="2202">
        <v>11306</v>
      </c>
      <c r="N7" s="2202">
        <v>3039</v>
      </c>
      <c r="O7" s="2199">
        <f t="shared" ref="O7:O70" si="3">N7/M7</f>
        <v>0.26879532991332034</v>
      </c>
      <c r="P7" s="2202">
        <v>10789</v>
      </c>
      <c r="Q7" s="2202">
        <v>2772</v>
      </c>
      <c r="R7" s="2199">
        <f t="shared" ref="R7:R70" si="4">Q7/P7</f>
        <v>0.25692835295208083</v>
      </c>
      <c r="S7" s="2202">
        <v>10579</v>
      </c>
      <c r="T7" s="2202">
        <v>2389</v>
      </c>
      <c r="U7" s="2199">
        <f t="shared" ref="U7:U70" si="5">T7/S7</f>
        <v>0.2258247471405615</v>
      </c>
      <c r="V7" s="2202">
        <v>10440</v>
      </c>
      <c r="W7" s="2202">
        <v>2458</v>
      </c>
      <c r="X7" s="2199">
        <f t="shared" ref="X7:X70" si="6">W7/V7</f>
        <v>0.23544061302681993</v>
      </c>
      <c r="Y7" s="2202">
        <v>10159</v>
      </c>
      <c r="Z7" s="2202">
        <v>1991</v>
      </c>
      <c r="AA7" s="2199">
        <f t="shared" ref="AA7:AA70" si="7">Z7/Y7</f>
        <v>0.19598385667880697</v>
      </c>
    </row>
    <row r="8" spans="1:27" x14ac:dyDescent="0.3">
      <c r="A8" s="56" t="s">
        <v>11</v>
      </c>
      <c r="B8" s="84" t="s">
        <v>12</v>
      </c>
      <c r="C8" s="57" t="s">
        <v>252</v>
      </c>
      <c r="D8" s="2202">
        <v>18192</v>
      </c>
      <c r="E8" s="2202">
        <v>5561</v>
      </c>
      <c r="F8" s="2199">
        <f t="shared" si="0"/>
        <v>0.30568381706244502</v>
      </c>
      <c r="G8" s="2202">
        <v>18321</v>
      </c>
      <c r="H8" s="2202">
        <v>5497</v>
      </c>
      <c r="I8" s="2199">
        <f t="shared" si="1"/>
        <v>0.30003820752142352</v>
      </c>
      <c r="J8" s="2202">
        <v>18554</v>
      </c>
      <c r="K8" s="2202">
        <v>5286</v>
      </c>
      <c r="L8" s="2199">
        <f t="shared" si="2"/>
        <v>0.28489813517300849</v>
      </c>
      <c r="M8" s="2202">
        <v>17933</v>
      </c>
      <c r="N8" s="2202">
        <v>4373</v>
      </c>
      <c r="O8" s="2199">
        <f t="shared" si="3"/>
        <v>0.24385211621033848</v>
      </c>
      <c r="P8" s="2202">
        <v>17218</v>
      </c>
      <c r="Q8" s="2202">
        <v>4587</v>
      </c>
      <c r="R8" s="2199">
        <f t="shared" si="4"/>
        <v>0.26640724822859796</v>
      </c>
      <c r="S8" s="2202">
        <v>16695</v>
      </c>
      <c r="T8" s="2202">
        <v>3875</v>
      </c>
      <c r="U8" s="2199">
        <f t="shared" si="5"/>
        <v>0.23210542078466606</v>
      </c>
      <c r="V8" s="2202">
        <v>16681</v>
      </c>
      <c r="W8" s="2202">
        <v>3862</v>
      </c>
      <c r="X8" s="2199">
        <f t="shared" si="6"/>
        <v>0.23152089203285176</v>
      </c>
      <c r="Y8" s="2202">
        <v>15548</v>
      </c>
      <c r="Z8" s="2202">
        <v>3068</v>
      </c>
      <c r="AA8" s="2199">
        <f t="shared" si="7"/>
        <v>0.19732441471571907</v>
      </c>
    </row>
    <row r="9" spans="1:27" x14ac:dyDescent="0.3">
      <c r="A9" s="56" t="s">
        <v>15</v>
      </c>
      <c r="B9" s="84" t="s">
        <v>273</v>
      </c>
      <c r="C9" s="57" t="s">
        <v>252</v>
      </c>
      <c r="D9" s="2202">
        <v>6412</v>
      </c>
      <c r="E9" s="2202">
        <v>1510</v>
      </c>
      <c r="F9" s="2199">
        <f t="shared" si="0"/>
        <v>0.23549594510293201</v>
      </c>
      <c r="G9" s="2202">
        <v>6310</v>
      </c>
      <c r="H9" s="2202">
        <v>1351</v>
      </c>
      <c r="I9" s="2199">
        <f t="shared" si="1"/>
        <v>0.21410459587955627</v>
      </c>
      <c r="J9" s="2202">
        <v>6078</v>
      </c>
      <c r="K9" s="2202">
        <v>1249</v>
      </c>
      <c r="L9" s="2199">
        <f t="shared" si="2"/>
        <v>0.20549522869364922</v>
      </c>
      <c r="M9" s="2202">
        <v>5955</v>
      </c>
      <c r="N9" s="2202">
        <v>988</v>
      </c>
      <c r="O9" s="2199">
        <f t="shared" si="3"/>
        <v>0.16591099916036944</v>
      </c>
      <c r="P9" s="2202">
        <v>5744</v>
      </c>
      <c r="Q9" s="2202">
        <v>869</v>
      </c>
      <c r="R9" s="2199">
        <f t="shared" si="4"/>
        <v>0.15128830083565459</v>
      </c>
      <c r="S9" s="2202">
        <v>5648</v>
      </c>
      <c r="T9" s="2202">
        <v>836</v>
      </c>
      <c r="U9" s="2199">
        <f t="shared" si="5"/>
        <v>0.14801699716713881</v>
      </c>
      <c r="V9" s="2202">
        <v>5675</v>
      </c>
      <c r="W9" s="2202">
        <v>881</v>
      </c>
      <c r="X9" s="2199">
        <f t="shared" si="6"/>
        <v>0.15524229074889867</v>
      </c>
      <c r="Y9" s="2202">
        <v>5508</v>
      </c>
      <c r="Z9" s="2202">
        <v>661</v>
      </c>
      <c r="AA9" s="2199">
        <f t="shared" si="7"/>
        <v>0.12000726216412491</v>
      </c>
    </row>
    <row r="10" spans="1:27" x14ac:dyDescent="0.3">
      <c r="A10" s="56" t="s">
        <v>17</v>
      </c>
      <c r="B10" s="84" t="s">
        <v>18</v>
      </c>
      <c r="C10" s="57" t="s">
        <v>253</v>
      </c>
      <c r="D10" s="2202">
        <v>3817</v>
      </c>
      <c r="E10" s="2202">
        <v>1169</v>
      </c>
      <c r="F10" s="2199">
        <f t="shared" si="0"/>
        <v>0.30626146188105841</v>
      </c>
      <c r="G10" s="2202">
        <v>3685</v>
      </c>
      <c r="H10" s="2202">
        <v>1026</v>
      </c>
      <c r="I10" s="2199">
        <f t="shared" si="1"/>
        <v>0.27842605156037992</v>
      </c>
      <c r="J10" s="2202">
        <v>3549</v>
      </c>
      <c r="K10" s="2202">
        <v>904</v>
      </c>
      <c r="L10" s="2199">
        <f t="shared" si="2"/>
        <v>0.25471963933502395</v>
      </c>
      <c r="M10" s="2202">
        <v>3493</v>
      </c>
      <c r="N10" s="2202">
        <v>758</v>
      </c>
      <c r="O10" s="2199">
        <f t="shared" si="3"/>
        <v>0.21700543945032924</v>
      </c>
      <c r="P10" s="2202">
        <v>3296</v>
      </c>
      <c r="Q10" s="2202">
        <v>680</v>
      </c>
      <c r="R10" s="2199">
        <f t="shared" si="4"/>
        <v>0.20631067961165048</v>
      </c>
      <c r="S10" s="2202">
        <v>3181</v>
      </c>
      <c r="T10" s="2202">
        <v>654</v>
      </c>
      <c r="U10" s="2199">
        <f t="shared" si="5"/>
        <v>0.20559572461490097</v>
      </c>
      <c r="V10" s="2202">
        <v>3151</v>
      </c>
      <c r="W10" s="2202">
        <v>651</v>
      </c>
      <c r="X10" s="2199">
        <f t="shared" si="6"/>
        <v>0.20660107902253252</v>
      </c>
      <c r="Y10" s="2202">
        <v>3081</v>
      </c>
      <c r="Z10" s="2202">
        <v>508</v>
      </c>
      <c r="AA10" s="2199">
        <f t="shared" si="7"/>
        <v>0.16488153197013958</v>
      </c>
    </row>
    <row r="11" spans="1:27" x14ac:dyDescent="0.3">
      <c r="A11" s="56" t="s">
        <v>19</v>
      </c>
      <c r="B11" s="84" t="s">
        <v>20</v>
      </c>
      <c r="C11" s="57" t="s">
        <v>252</v>
      </c>
      <c r="D11" s="2202">
        <v>9091</v>
      </c>
      <c r="E11" s="2202">
        <v>2424</v>
      </c>
      <c r="F11" s="2199">
        <f t="shared" si="0"/>
        <v>0.26663733362666375</v>
      </c>
      <c r="G11" s="2202">
        <v>8934</v>
      </c>
      <c r="H11" s="2202">
        <v>2164</v>
      </c>
      <c r="I11" s="2199">
        <f t="shared" si="1"/>
        <v>0.24222072979628387</v>
      </c>
      <c r="J11" s="2202">
        <v>8620</v>
      </c>
      <c r="K11" s="2202">
        <v>1955</v>
      </c>
      <c r="L11" s="2199">
        <f t="shared" si="2"/>
        <v>0.22679814385150812</v>
      </c>
      <c r="M11" s="2202">
        <v>8176</v>
      </c>
      <c r="N11" s="2202">
        <v>1560</v>
      </c>
      <c r="O11" s="2199">
        <f t="shared" si="3"/>
        <v>0.1908023483365949</v>
      </c>
      <c r="P11" s="2202">
        <v>8004</v>
      </c>
      <c r="Q11" s="2202">
        <v>1425</v>
      </c>
      <c r="R11" s="2199">
        <f t="shared" si="4"/>
        <v>0.17803598200899551</v>
      </c>
      <c r="S11" s="2202">
        <v>7876</v>
      </c>
      <c r="T11" s="2202">
        <v>1427</v>
      </c>
      <c r="U11" s="2199">
        <f t="shared" si="5"/>
        <v>0.18118334179786694</v>
      </c>
      <c r="V11" s="2202">
        <v>7828</v>
      </c>
      <c r="W11" s="2202">
        <v>1381</v>
      </c>
      <c r="X11" s="2199">
        <f t="shared" si="6"/>
        <v>0.17641798671435871</v>
      </c>
      <c r="Y11" s="2202">
        <v>7406</v>
      </c>
      <c r="Z11" s="2202">
        <v>1039</v>
      </c>
      <c r="AA11" s="2199">
        <f t="shared" si="7"/>
        <v>0.14029165541452876</v>
      </c>
    </row>
    <row r="12" spans="1:27" x14ac:dyDescent="0.3">
      <c r="A12" s="56" t="s">
        <v>21</v>
      </c>
      <c r="B12" s="84" t="s">
        <v>22</v>
      </c>
      <c r="C12" s="57" t="s">
        <v>252</v>
      </c>
      <c r="D12" s="2202">
        <v>4741</v>
      </c>
      <c r="E12" s="2202">
        <v>1227</v>
      </c>
      <c r="F12" s="2199">
        <f t="shared" si="0"/>
        <v>0.25880615903817761</v>
      </c>
      <c r="G12" s="2202">
        <v>4689</v>
      </c>
      <c r="H12" s="2202">
        <v>1170</v>
      </c>
      <c r="I12" s="2199">
        <f t="shared" si="1"/>
        <v>0.24952015355086371</v>
      </c>
      <c r="J12" s="2202">
        <v>4659</v>
      </c>
      <c r="K12" s="2202">
        <v>1021</v>
      </c>
      <c r="L12" s="2199">
        <f t="shared" si="2"/>
        <v>0.21914573942906204</v>
      </c>
      <c r="M12" s="2202">
        <v>4514</v>
      </c>
      <c r="N12" s="2202">
        <v>871</v>
      </c>
      <c r="O12" s="2199">
        <f t="shared" si="3"/>
        <v>0.19295525033229952</v>
      </c>
      <c r="P12" s="2202">
        <v>4415</v>
      </c>
      <c r="Q12" s="2202">
        <v>811</v>
      </c>
      <c r="R12" s="2199">
        <f t="shared" si="4"/>
        <v>0.18369195922989809</v>
      </c>
      <c r="S12" s="2202">
        <v>4314</v>
      </c>
      <c r="T12" s="2202">
        <v>751</v>
      </c>
      <c r="U12" s="2199">
        <f t="shared" si="5"/>
        <v>0.17408437644877145</v>
      </c>
      <c r="V12" s="2202">
        <v>4241</v>
      </c>
      <c r="W12" s="2202">
        <v>740</v>
      </c>
      <c r="X12" s="2199">
        <f t="shared" si="6"/>
        <v>0.17448714925725065</v>
      </c>
      <c r="Y12" s="2202">
        <v>4117</v>
      </c>
      <c r="Z12" s="2202">
        <v>675</v>
      </c>
      <c r="AA12" s="2199">
        <f t="shared" si="7"/>
        <v>0.16395433568132134</v>
      </c>
    </row>
    <row r="13" spans="1:27" x14ac:dyDescent="0.3">
      <c r="A13" s="56" t="s">
        <v>23</v>
      </c>
      <c r="B13" s="84" t="s">
        <v>24</v>
      </c>
      <c r="C13" s="57" t="s">
        <v>254</v>
      </c>
      <c r="D13" s="2202">
        <v>30856</v>
      </c>
      <c r="E13" s="2202">
        <v>11145</v>
      </c>
      <c r="F13" s="2199">
        <f t="shared" si="0"/>
        <v>0.36119393310863368</v>
      </c>
      <c r="G13" s="2202">
        <v>31017</v>
      </c>
      <c r="H13" s="2202">
        <v>10444</v>
      </c>
      <c r="I13" s="2199">
        <f t="shared" si="1"/>
        <v>0.33671857368539831</v>
      </c>
      <c r="J13" s="2202">
        <v>31035</v>
      </c>
      <c r="K13" s="2202">
        <v>9380</v>
      </c>
      <c r="L13" s="2199">
        <f t="shared" si="2"/>
        <v>0.30223940712099245</v>
      </c>
      <c r="M13" s="2202">
        <v>30799</v>
      </c>
      <c r="N13" s="2202">
        <v>7034</v>
      </c>
      <c r="O13" s="2199">
        <f t="shared" si="3"/>
        <v>0.22838403844280658</v>
      </c>
      <c r="P13" s="2202">
        <v>29780</v>
      </c>
      <c r="Q13" s="2202">
        <v>7585</v>
      </c>
      <c r="R13" s="2199">
        <f t="shared" si="4"/>
        <v>0.25470114170584285</v>
      </c>
      <c r="S13" s="2202">
        <v>28108</v>
      </c>
      <c r="T13" s="2202">
        <v>7416</v>
      </c>
      <c r="U13" s="2199">
        <f t="shared" si="5"/>
        <v>0.26383947630567811</v>
      </c>
      <c r="V13" s="2202">
        <v>27801</v>
      </c>
      <c r="W13" s="2202">
        <v>6742</v>
      </c>
      <c r="X13" s="2199">
        <f t="shared" si="6"/>
        <v>0.24250926225675334</v>
      </c>
      <c r="Y13" s="2202">
        <v>26463</v>
      </c>
      <c r="Z13" s="2202">
        <v>5539</v>
      </c>
      <c r="AA13" s="2199">
        <f t="shared" si="7"/>
        <v>0.20931111363035182</v>
      </c>
    </row>
    <row r="14" spans="1:27" x14ac:dyDescent="0.3">
      <c r="A14" s="56" t="s">
        <v>25</v>
      </c>
      <c r="B14" s="84" t="s">
        <v>274</v>
      </c>
      <c r="C14" s="57" t="s">
        <v>252</v>
      </c>
      <c r="D14" s="2202">
        <v>32290</v>
      </c>
      <c r="E14" s="2202">
        <v>8396</v>
      </c>
      <c r="F14" s="2199">
        <f t="shared" si="0"/>
        <v>0.26001858160421182</v>
      </c>
      <c r="G14" s="2202">
        <v>32047</v>
      </c>
      <c r="H14" s="2202">
        <v>7573</v>
      </c>
      <c r="I14" s="2199">
        <f t="shared" si="1"/>
        <v>0.23630917090523293</v>
      </c>
      <c r="J14" s="2202">
        <v>31554</v>
      </c>
      <c r="K14" s="2202">
        <v>6904</v>
      </c>
      <c r="L14" s="2199">
        <f t="shared" si="2"/>
        <v>0.21879951828611269</v>
      </c>
      <c r="M14" s="2202">
        <v>30792</v>
      </c>
      <c r="N14" s="2202">
        <v>5901</v>
      </c>
      <c r="O14" s="2199">
        <f t="shared" si="3"/>
        <v>0.1916406858924396</v>
      </c>
      <c r="P14" s="2202">
        <v>29562</v>
      </c>
      <c r="Q14" s="2202">
        <v>5195</v>
      </c>
      <c r="R14" s="2199">
        <f t="shared" si="4"/>
        <v>0.17573235910966781</v>
      </c>
      <c r="S14" s="2202">
        <v>28989</v>
      </c>
      <c r="T14" s="2202">
        <v>5146</v>
      </c>
      <c r="U14" s="2199">
        <f t="shared" si="5"/>
        <v>0.17751560936907101</v>
      </c>
      <c r="V14" s="2202">
        <v>28663</v>
      </c>
      <c r="W14" s="2202">
        <v>4863</v>
      </c>
      <c r="X14" s="2199">
        <f t="shared" si="6"/>
        <v>0.16966123573945505</v>
      </c>
      <c r="Y14" s="2202">
        <v>27207</v>
      </c>
      <c r="Z14" s="2202">
        <v>3979</v>
      </c>
      <c r="AA14" s="2199">
        <f t="shared" si="7"/>
        <v>0.14624912706288823</v>
      </c>
    </row>
    <row r="15" spans="1:27" x14ac:dyDescent="0.3">
      <c r="A15" s="56" t="s">
        <v>26</v>
      </c>
      <c r="B15" s="84" t="s">
        <v>27</v>
      </c>
      <c r="C15" s="57" t="s">
        <v>252</v>
      </c>
      <c r="D15" s="2202">
        <v>1368</v>
      </c>
      <c r="E15" s="2202">
        <v>376</v>
      </c>
      <c r="F15" s="2199">
        <f t="shared" si="0"/>
        <v>0.27485380116959063</v>
      </c>
      <c r="G15" s="2202">
        <v>1308</v>
      </c>
      <c r="H15" s="2202">
        <v>346</v>
      </c>
      <c r="I15" s="2199">
        <f t="shared" si="1"/>
        <v>0.26452599388379205</v>
      </c>
      <c r="J15" s="2202">
        <v>1231</v>
      </c>
      <c r="K15" s="2202">
        <v>295</v>
      </c>
      <c r="L15" s="2199">
        <f t="shared" si="2"/>
        <v>0.239642567018684</v>
      </c>
      <c r="M15" s="2202">
        <v>1158</v>
      </c>
      <c r="N15" s="2202">
        <v>227</v>
      </c>
      <c r="O15" s="2199">
        <f t="shared" si="3"/>
        <v>0.19602763385146804</v>
      </c>
      <c r="P15" s="2202">
        <v>1202</v>
      </c>
      <c r="Q15" s="2202">
        <v>214</v>
      </c>
      <c r="R15" s="2199">
        <f t="shared" si="4"/>
        <v>0.17803660565723795</v>
      </c>
      <c r="S15" s="2202">
        <v>1094</v>
      </c>
      <c r="T15" s="2202">
        <v>195</v>
      </c>
      <c r="U15" s="2199">
        <f t="shared" si="5"/>
        <v>0.17824497257769653</v>
      </c>
      <c r="V15" s="2202">
        <v>1127</v>
      </c>
      <c r="W15" s="2202">
        <v>241</v>
      </c>
      <c r="X15" s="2199">
        <f t="shared" si="6"/>
        <v>0.21384205856255545</v>
      </c>
      <c r="Y15" s="2202">
        <v>1051</v>
      </c>
      <c r="Z15" s="2202">
        <v>160</v>
      </c>
      <c r="AA15" s="2199">
        <f t="shared" si="7"/>
        <v>0.1522359657469077</v>
      </c>
    </row>
    <row r="16" spans="1:27" x14ac:dyDescent="0.3">
      <c r="A16" s="56" t="s">
        <v>28</v>
      </c>
      <c r="B16" s="84" t="s">
        <v>568</v>
      </c>
      <c r="C16" s="57" t="s">
        <v>252</v>
      </c>
      <c r="D16" s="2202">
        <v>17111</v>
      </c>
      <c r="E16" s="2202">
        <v>4915</v>
      </c>
      <c r="F16" s="2199">
        <f t="shared" si="0"/>
        <v>0.28724212494886331</v>
      </c>
      <c r="G16" s="2202">
        <v>16855</v>
      </c>
      <c r="H16" s="2202">
        <v>4443</v>
      </c>
      <c r="I16" s="2199">
        <f t="shared" si="1"/>
        <v>0.26360130525066744</v>
      </c>
      <c r="J16" s="2202">
        <v>16309</v>
      </c>
      <c r="K16" s="2202">
        <v>3852</v>
      </c>
      <c r="L16" s="2199">
        <f t="shared" si="2"/>
        <v>0.23618860751732174</v>
      </c>
      <c r="M16" s="2202">
        <v>15850</v>
      </c>
      <c r="N16" s="2202">
        <v>3187</v>
      </c>
      <c r="O16" s="2199">
        <f t="shared" si="3"/>
        <v>0.20107255520504733</v>
      </c>
      <c r="P16" s="2202">
        <v>15105</v>
      </c>
      <c r="Q16" s="2202">
        <v>2672</v>
      </c>
      <c r="R16" s="2199">
        <f t="shared" si="4"/>
        <v>0.17689506785832507</v>
      </c>
      <c r="S16" s="2202">
        <v>14482</v>
      </c>
      <c r="T16" s="2202">
        <v>2718</v>
      </c>
      <c r="U16" s="2199">
        <f t="shared" si="5"/>
        <v>0.18768125949454495</v>
      </c>
      <c r="V16" s="2202">
        <v>14876</v>
      </c>
      <c r="W16" s="2202">
        <v>2817</v>
      </c>
      <c r="X16" s="2199">
        <f t="shared" si="6"/>
        <v>0.18936542081204624</v>
      </c>
      <c r="Y16" s="2202">
        <v>14004</v>
      </c>
      <c r="Z16" s="2202">
        <v>2233</v>
      </c>
      <c r="AA16" s="2199">
        <f t="shared" si="7"/>
        <v>0.15945444158811767</v>
      </c>
    </row>
    <row r="17" spans="1:27" x14ac:dyDescent="0.3">
      <c r="A17" s="56" t="s">
        <v>29</v>
      </c>
      <c r="B17" s="84" t="s">
        <v>30</v>
      </c>
      <c r="C17" s="57" t="s">
        <v>255</v>
      </c>
      <c r="D17" s="2202">
        <v>1686</v>
      </c>
      <c r="E17" s="2202">
        <v>458</v>
      </c>
      <c r="F17" s="2199">
        <f t="shared" si="0"/>
        <v>0.27164887307236063</v>
      </c>
      <c r="G17" s="2202">
        <v>1666</v>
      </c>
      <c r="H17" s="2202">
        <v>427</v>
      </c>
      <c r="I17" s="2199">
        <f t="shared" si="1"/>
        <v>0.25630252100840334</v>
      </c>
      <c r="J17" s="2202">
        <v>1601</v>
      </c>
      <c r="K17" s="2202">
        <v>358</v>
      </c>
      <c r="L17" s="2199">
        <f t="shared" si="2"/>
        <v>0.22361024359775142</v>
      </c>
      <c r="M17" s="2202">
        <v>1423</v>
      </c>
      <c r="N17" s="2202">
        <v>256</v>
      </c>
      <c r="O17" s="2199">
        <f t="shared" si="3"/>
        <v>0.17990161630358398</v>
      </c>
      <c r="P17" s="2202">
        <v>1350</v>
      </c>
      <c r="Q17" s="2202">
        <v>233</v>
      </c>
      <c r="R17" s="2199">
        <f t="shared" si="4"/>
        <v>0.1725925925925926</v>
      </c>
      <c r="S17" s="2202">
        <v>1256</v>
      </c>
      <c r="T17" s="2202">
        <v>208</v>
      </c>
      <c r="U17" s="2199">
        <f t="shared" si="5"/>
        <v>0.16560509554140126</v>
      </c>
      <c r="V17" s="2202">
        <v>1230</v>
      </c>
      <c r="W17" s="2202">
        <v>201</v>
      </c>
      <c r="X17" s="2199">
        <f t="shared" si="6"/>
        <v>0.16341463414634147</v>
      </c>
      <c r="Y17" s="2202">
        <v>1217</v>
      </c>
      <c r="Z17" s="2202">
        <v>162</v>
      </c>
      <c r="AA17" s="2199">
        <f t="shared" si="7"/>
        <v>0.13311421528348397</v>
      </c>
    </row>
    <row r="18" spans="1:27" x14ac:dyDescent="0.3">
      <c r="A18" s="56" t="s">
        <v>31</v>
      </c>
      <c r="B18" s="84" t="s">
        <v>32</v>
      </c>
      <c r="C18" s="57" t="s">
        <v>252</v>
      </c>
      <c r="D18" s="2202">
        <v>5556</v>
      </c>
      <c r="E18" s="2202">
        <v>1547</v>
      </c>
      <c r="F18" s="2199">
        <f t="shared" si="0"/>
        <v>0.27843772498200142</v>
      </c>
      <c r="G18" s="2202">
        <v>5407</v>
      </c>
      <c r="H18" s="2202">
        <v>1418</v>
      </c>
      <c r="I18" s="2199">
        <f t="shared" si="1"/>
        <v>0.26225263547253558</v>
      </c>
      <c r="J18" s="2202">
        <v>5414</v>
      </c>
      <c r="K18" s="2202">
        <v>1277</v>
      </c>
      <c r="L18" s="2199">
        <f t="shared" si="2"/>
        <v>0.23586996675286295</v>
      </c>
      <c r="M18" s="2202">
        <v>5278</v>
      </c>
      <c r="N18" s="2202">
        <v>979</v>
      </c>
      <c r="O18" s="2199">
        <f t="shared" si="3"/>
        <v>0.18548692686623722</v>
      </c>
      <c r="P18" s="2202">
        <v>5276</v>
      </c>
      <c r="Q18" s="2202">
        <v>1008</v>
      </c>
      <c r="R18" s="2199">
        <f t="shared" si="4"/>
        <v>0.1910538286580743</v>
      </c>
      <c r="S18" s="2202">
        <v>5088</v>
      </c>
      <c r="T18" s="2202">
        <v>949</v>
      </c>
      <c r="U18" s="2199">
        <f t="shared" si="5"/>
        <v>0.18651729559748428</v>
      </c>
      <c r="V18" s="2202">
        <v>5123</v>
      </c>
      <c r="W18" s="2202">
        <v>919</v>
      </c>
      <c r="X18" s="2199">
        <f t="shared" si="6"/>
        <v>0.17938707788405231</v>
      </c>
      <c r="Y18" s="2202">
        <v>4777</v>
      </c>
      <c r="Z18" s="2202">
        <v>733</v>
      </c>
      <c r="AA18" s="2199">
        <f t="shared" si="7"/>
        <v>0.15344358383922965</v>
      </c>
    </row>
    <row r="19" spans="1:27" x14ac:dyDescent="0.3">
      <c r="A19" s="56" t="s">
        <v>35</v>
      </c>
      <c r="B19" s="84" t="s">
        <v>36</v>
      </c>
      <c r="C19" s="57" t="s">
        <v>251</v>
      </c>
      <c r="D19" s="2202">
        <v>5727</v>
      </c>
      <c r="E19" s="2202">
        <v>1339</v>
      </c>
      <c r="F19" s="2199">
        <f t="shared" si="0"/>
        <v>0.23380478435481056</v>
      </c>
      <c r="G19" s="2202">
        <v>5713</v>
      </c>
      <c r="H19" s="2202">
        <v>1259</v>
      </c>
      <c r="I19" s="2199">
        <f t="shared" si="1"/>
        <v>0.22037458428146334</v>
      </c>
      <c r="J19" s="2202">
        <v>5392</v>
      </c>
      <c r="K19" s="2202">
        <v>1138</v>
      </c>
      <c r="L19" s="2199">
        <f t="shared" si="2"/>
        <v>0.21105341246290801</v>
      </c>
      <c r="M19" s="2202">
        <v>5037</v>
      </c>
      <c r="N19" s="2202">
        <v>864</v>
      </c>
      <c r="O19" s="2199">
        <f t="shared" si="3"/>
        <v>0.17153067301965455</v>
      </c>
      <c r="P19" s="2202">
        <v>4863</v>
      </c>
      <c r="Q19" s="2202">
        <v>828</v>
      </c>
      <c r="R19" s="2199">
        <f t="shared" si="4"/>
        <v>0.17026526835286859</v>
      </c>
      <c r="S19" s="2202">
        <v>4799</v>
      </c>
      <c r="T19" s="2202">
        <v>746</v>
      </c>
      <c r="U19" s="2199">
        <f t="shared" si="5"/>
        <v>0.15544905188580954</v>
      </c>
      <c r="V19" s="2202">
        <v>4639</v>
      </c>
      <c r="W19" s="2202">
        <v>750</v>
      </c>
      <c r="X19" s="2199">
        <f t="shared" si="6"/>
        <v>0.16167277430480706</v>
      </c>
      <c r="Y19" s="2202">
        <v>4589</v>
      </c>
      <c r="Z19" s="2202">
        <v>677</v>
      </c>
      <c r="AA19" s="2199">
        <f t="shared" si="7"/>
        <v>0.14752669426890391</v>
      </c>
    </row>
    <row r="20" spans="1:27" x14ac:dyDescent="0.3">
      <c r="A20" s="56" t="s">
        <v>37</v>
      </c>
      <c r="B20" s="84" t="s">
        <v>38</v>
      </c>
      <c r="C20" s="57" t="s">
        <v>255</v>
      </c>
      <c r="D20" s="2202">
        <v>8314</v>
      </c>
      <c r="E20" s="2202">
        <v>1862</v>
      </c>
      <c r="F20" s="2199">
        <f t="shared" si="0"/>
        <v>0.22395958624007697</v>
      </c>
      <c r="G20" s="2202">
        <v>8421</v>
      </c>
      <c r="H20" s="2202">
        <v>1764</v>
      </c>
      <c r="I20" s="2199">
        <f t="shared" si="1"/>
        <v>0.20947630922693267</v>
      </c>
      <c r="J20" s="2202">
        <v>8136</v>
      </c>
      <c r="K20" s="2202">
        <v>1728</v>
      </c>
      <c r="L20" s="2199">
        <f t="shared" si="2"/>
        <v>0.21238938053097345</v>
      </c>
      <c r="M20" s="2202">
        <v>8009</v>
      </c>
      <c r="N20" s="2202">
        <v>1432</v>
      </c>
      <c r="O20" s="2199">
        <f t="shared" si="3"/>
        <v>0.17879885129229617</v>
      </c>
      <c r="P20" s="2202">
        <v>7777</v>
      </c>
      <c r="Q20" s="2202">
        <v>1289</v>
      </c>
      <c r="R20" s="2199">
        <f t="shared" si="4"/>
        <v>0.16574514594316575</v>
      </c>
      <c r="S20" s="2202">
        <v>7573</v>
      </c>
      <c r="T20" s="2202">
        <v>1149</v>
      </c>
      <c r="U20" s="2199">
        <f t="shared" si="5"/>
        <v>0.15172322725472071</v>
      </c>
      <c r="V20" s="2202">
        <v>7540</v>
      </c>
      <c r="W20" s="2202">
        <v>1184</v>
      </c>
      <c r="X20" s="2199">
        <f t="shared" si="6"/>
        <v>0.1570291777188329</v>
      </c>
      <c r="Y20" s="2202">
        <v>7000</v>
      </c>
      <c r="Z20" s="2202">
        <v>944</v>
      </c>
      <c r="AA20" s="2199">
        <f t="shared" si="7"/>
        <v>0.13485714285714287</v>
      </c>
    </row>
    <row r="21" spans="1:27" x14ac:dyDescent="0.3">
      <c r="A21" s="56" t="s">
        <v>39</v>
      </c>
      <c r="B21" s="84" t="s">
        <v>40</v>
      </c>
      <c r="C21" s="57" t="s">
        <v>253</v>
      </c>
      <c r="D21" s="2202">
        <v>5718</v>
      </c>
      <c r="E21" s="2202">
        <v>1514</v>
      </c>
      <c r="F21" s="2199">
        <f t="shared" si="0"/>
        <v>0.26477789436866039</v>
      </c>
      <c r="G21" s="2202">
        <v>5682</v>
      </c>
      <c r="H21" s="2202">
        <v>1424</v>
      </c>
      <c r="I21" s="2199">
        <f t="shared" si="1"/>
        <v>0.25061598028863075</v>
      </c>
      <c r="J21" s="2202">
        <v>5415</v>
      </c>
      <c r="K21" s="2202">
        <v>1235</v>
      </c>
      <c r="L21" s="2199">
        <f t="shared" si="2"/>
        <v>0.22807017543859648</v>
      </c>
      <c r="M21" s="2202">
        <v>5083</v>
      </c>
      <c r="N21" s="2202">
        <v>995</v>
      </c>
      <c r="O21" s="2199">
        <f t="shared" si="3"/>
        <v>0.19575054101908321</v>
      </c>
      <c r="P21" s="2202">
        <v>4780</v>
      </c>
      <c r="Q21" s="2202">
        <v>868</v>
      </c>
      <c r="R21" s="2199">
        <f t="shared" si="4"/>
        <v>0.18158995815899581</v>
      </c>
      <c r="S21" s="2202">
        <v>4617</v>
      </c>
      <c r="T21" s="2202">
        <v>807</v>
      </c>
      <c r="U21" s="2199">
        <f t="shared" si="5"/>
        <v>0.17478882391163092</v>
      </c>
      <c r="V21" s="2202">
        <v>4555</v>
      </c>
      <c r="W21" s="2202">
        <v>837</v>
      </c>
      <c r="X21" s="2199">
        <f t="shared" si="6"/>
        <v>0.18375411635565314</v>
      </c>
      <c r="Y21" s="2202">
        <v>4491</v>
      </c>
      <c r="Z21" s="2202">
        <v>647</v>
      </c>
      <c r="AA21" s="2199">
        <f t="shared" si="7"/>
        <v>0.14406590959697171</v>
      </c>
    </row>
    <row r="22" spans="1:27" x14ac:dyDescent="0.3">
      <c r="A22" s="56" t="s">
        <v>41</v>
      </c>
      <c r="B22" s="84" t="s">
        <v>42</v>
      </c>
      <c r="C22" s="57" t="s">
        <v>252</v>
      </c>
      <c r="D22" s="2202">
        <v>16841</v>
      </c>
      <c r="E22" s="2202">
        <v>4242</v>
      </c>
      <c r="F22" s="2199">
        <f t="shared" si="0"/>
        <v>0.25188527997149812</v>
      </c>
      <c r="G22" s="2202">
        <v>16515</v>
      </c>
      <c r="H22" s="2202">
        <v>3877</v>
      </c>
      <c r="I22" s="2199">
        <f t="shared" si="1"/>
        <v>0.23475628216772632</v>
      </c>
      <c r="J22" s="2202">
        <v>15881</v>
      </c>
      <c r="K22" s="2202">
        <v>3372</v>
      </c>
      <c r="L22" s="2199">
        <f t="shared" si="2"/>
        <v>0.21232919841319817</v>
      </c>
      <c r="M22" s="2202">
        <v>15313</v>
      </c>
      <c r="N22" s="2202">
        <v>3048</v>
      </c>
      <c r="O22" s="2199">
        <f t="shared" si="3"/>
        <v>0.19904656174492261</v>
      </c>
      <c r="P22" s="2202">
        <v>14569</v>
      </c>
      <c r="Q22" s="2202">
        <v>2552</v>
      </c>
      <c r="R22" s="2199">
        <f t="shared" si="4"/>
        <v>0.17516644931017913</v>
      </c>
      <c r="S22" s="2202">
        <v>14425</v>
      </c>
      <c r="T22" s="2202">
        <v>2623</v>
      </c>
      <c r="U22" s="2199">
        <f t="shared" si="5"/>
        <v>0.18183708838821491</v>
      </c>
      <c r="V22" s="2202">
        <v>14285</v>
      </c>
      <c r="W22" s="2202">
        <v>2648</v>
      </c>
      <c r="X22" s="2199">
        <f t="shared" si="6"/>
        <v>0.18536926846342316</v>
      </c>
      <c r="Y22" s="2202">
        <v>13463</v>
      </c>
      <c r="Z22" s="2202">
        <v>2042</v>
      </c>
      <c r="AA22" s="2199">
        <f t="shared" si="7"/>
        <v>0.15167496100423383</v>
      </c>
    </row>
    <row r="23" spans="1:27" x14ac:dyDescent="0.3">
      <c r="A23" s="56" t="s">
        <v>43</v>
      </c>
      <c r="B23" s="84" t="s">
        <v>44</v>
      </c>
      <c r="C23" s="57" t="s">
        <v>253</v>
      </c>
      <c r="D23" s="2202">
        <v>7711</v>
      </c>
      <c r="E23" s="2202">
        <v>2075</v>
      </c>
      <c r="F23" s="2199">
        <f t="shared" si="0"/>
        <v>0.26909609648554011</v>
      </c>
      <c r="G23" s="2202">
        <v>7890</v>
      </c>
      <c r="H23" s="2202">
        <v>2051</v>
      </c>
      <c r="I23" s="2199">
        <f t="shared" si="1"/>
        <v>0.25994930291508239</v>
      </c>
      <c r="J23" s="2202">
        <v>7957</v>
      </c>
      <c r="K23" s="2202">
        <v>1710</v>
      </c>
      <c r="L23" s="2199">
        <f t="shared" si="2"/>
        <v>0.21490511499308784</v>
      </c>
      <c r="M23" s="2202">
        <v>7835</v>
      </c>
      <c r="N23" s="2202">
        <v>1574</v>
      </c>
      <c r="O23" s="2199">
        <f t="shared" si="3"/>
        <v>0.20089342693044032</v>
      </c>
      <c r="P23" s="2202">
        <v>7521</v>
      </c>
      <c r="Q23" s="2202">
        <v>1350</v>
      </c>
      <c r="R23" s="2199">
        <f t="shared" si="4"/>
        <v>0.17949740725967292</v>
      </c>
      <c r="S23" s="2202">
        <v>7364</v>
      </c>
      <c r="T23" s="2202">
        <v>1328</v>
      </c>
      <c r="U23" s="2199">
        <f t="shared" si="5"/>
        <v>0.18033677349266702</v>
      </c>
      <c r="V23" s="2202">
        <v>7179</v>
      </c>
      <c r="W23" s="2202">
        <v>1281</v>
      </c>
      <c r="X23" s="2199">
        <f t="shared" si="6"/>
        <v>0.17843710823234435</v>
      </c>
      <c r="Y23" s="2202">
        <v>6585</v>
      </c>
      <c r="Z23" s="2202">
        <v>980</v>
      </c>
      <c r="AA23" s="2199">
        <f t="shared" si="7"/>
        <v>0.14882308276385725</v>
      </c>
    </row>
    <row r="24" spans="1:27" x14ac:dyDescent="0.3">
      <c r="A24" s="56" t="s">
        <v>45</v>
      </c>
      <c r="B24" s="84" t="s">
        <v>46</v>
      </c>
      <c r="C24" s="57" t="s">
        <v>255</v>
      </c>
      <c r="D24" s="2202">
        <v>11073</v>
      </c>
      <c r="E24" s="2202">
        <v>3108</v>
      </c>
      <c r="F24" s="2199">
        <f t="shared" si="0"/>
        <v>0.28068274180438907</v>
      </c>
      <c r="G24" s="2202">
        <v>11089</v>
      </c>
      <c r="H24" s="2202">
        <v>2834</v>
      </c>
      <c r="I24" s="2199">
        <f t="shared" si="1"/>
        <v>0.25556858147713951</v>
      </c>
      <c r="J24" s="2202">
        <v>10538</v>
      </c>
      <c r="K24" s="2202">
        <v>2535</v>
      </c>
      <c r="L24" s="2199">
        <f t="shared" si="2"/>
        <v>0.24055798064148795</v>
      </c>
      <c r="M24" s="2202">
        <v>10164</v>
      </c>
      <c r="N24" s="2202">
        <v>1975</v>
      </c>
      <c r="O24" s="2199">
        <f t="shared" si="3"/>
        <v>0.19431326249508069</v>
      </c>
      <c r="P24" s="2202">
        <v>9385</v>
      </c>
      <c r="Q24" s="2202">
        <v>1767</v>
      </c>
      <c r="R24" s="2199">
        <f t="shared" si="4"/>
        <v>0.18827916888652105</v>
      </c>
      <c r="S24" s="2202">
        <v>9008</v>
      </c>
      <c r="T24" s="2202">
        <v>1505</v>
      </c>
      <c r="U24" s="2199">
        <f t="shared" si="5"/>
        <v>0.16707371225577264</v>
      </c>
      <c r="V24" s="2202">
        <v>8530</v>
      </c>
      <c r="W24" s="2202">
        <v>1512</v>
      </c>
      <c r="X24" s="2199">
        <f t="shared" si="6"/>
        <v>0.1772567409144197</v>
      </c>
      <c r="Y24" s="2202">
        <v>7987</v>
      </c>
      <c r="Z24" s="2202">
        <v>1247</v>
      </c>
      <c r="AA24" s="2199">
        <f t="shared" si="7"/>
        <v>0.15612870915237262</v>
      </c>
    </row>
    <row r="25" spans="1:27" x14ac:dyDescent="0.3">
      <c r="A25" s="56" t="s">
        <v>47</v>
      </c>
      <c r="B25" s="84" t="s">
        <v>256</v>
      </c>
      <c r="C25" s="57" t="s">
        <v>253</v>
      </c>
      <c r="D25" s="2202">
        <v>1863</v>
      </c>
      <c r="E25" s="2202">
        <v>599</v>
      </c>
      <c r="F25" s="2199">
        <f t="shared" si="0"/>
        <v>0.32152442297369832</v>
      </c>
      <c r="G25" s="2202">
        <v>1874</v>
      </c>
      <c r="H25" s="2202">
        <v>549</v>
      </c>
      <c r="I25" s="2199">
        <f t="shared" si="1"/>
        <v>0.29295624332977588</v>
      </c>
      <c r="J25" s="2202">
        <v>1722</v>
      </c>
      <c r="K25" s="2202">
        <v>488</v>
      </c>
      <c r="L25" s="2199">
        <f t="shared" si="2"/>
        <v>0.28339140534262486</v>
      </c>
      <c r="M25" s="2202">
        <v>1714</v>
      </c>
      <c r="N25" s="2202">
        <v>460</v>
      </c>
      <c r="O25" s="2199">
        <f t="shared" si="3"/>
        <v>0.26837806301050177</v>
      </c>
      <c r="P25" s="2202">
        <v>1568</v>
      </c>
      <c r="Q25" s="2202">
        <v>382</v>
      </c>
      <c r="R25" s="2199">
        <f t="shared" si="4"/>
        <v>0.24362244897959184</v>
      </c>
      <c r="S25" s="2202">
        <v>1576</v>
      </c>
      <c r="T25" s="2202">
        <v>374</v>
      </c>
      <c r="U25" s="2199">
        <f t="shared" si="5"/>
        <v>0.23730964467005075</v>
      </c>
      <c r="V25" s="2202">
        <v>1476</v>
      </c>
      <c r="W25" s="2202">
        <v>344</v>
      </c>
      <c r="X25" s="2199">
        <f t="shared" si="6"/>
        <v>0.23306233062330622</v>
      </c>
      <c r="Y25" s="2202">
        <v>1417</v>
      </c>
      <c r="Z25" s="2202">
        <v>279</v>
      </c>
      <c r="AA25" s="2199">
        <f t="shared" si="7"/>
        <v>0.19689484827099507</v>
      </c>
    </row>
    <row r="26" spans="1:27" x14ac:dyDescent="0.3">
      <c r="A26" s="56" t="s">
        <v>49</v>
      </c>
      <c r="B26" s="84" t="s">
        <v>50</v>
      </c>
      <c r="C26" s="57" t="s">
        <v>252</v>
      </c>
      <c r="D26" s="2202">
        <v>4855</v>
      </c>
      <c r="E26" s="2202">
        <v>1255</v>
      </c>
      <c r="F26" s="2199">
        <f t="shared" si="0"/>
        <v>0.2584963954685891</v>
      </c>
      <c r="G26" s="2202">
        <v>4801</v>
      </c>
      <c r="H26" s="2202">
        <v>1178</v>
      </c>
      <c r="I26" s="2199">
        <f t="shared" si="1"/>
        <v>0.24536554884399084</v>
      </c>
      <c r="J26" s="2202">
        <v>4689</v>
      </c>
      <c r="K26" s="2202">
        <v>1118</v>
      </c>
      <c r="L26" s="2199">
        <f t="shared" si="2"/>
        <v>0.23843036894860312</v>
      </c>
      <c r="M26" s="2202">
        <v>4572</v>
      </c>
      <c r="N26" s="2202">
        <v>910</v>
      </c>
      <c r="O26" s="2199">
        <f t="shared" si="3"/>
        <v>0.19903762029746283</v>
      </c>
      <c r="P26" s="2202">
        <v>4482</v>
      </c>
      <c r="Q26" s="2202">
        <v>864</v>
      </c>
      <c r="R26" s="2199">
        <f t="shared" si="4"/>
        <v>0.19277108433734941</v>
      </c>
      <c r="S26" s="2202">
        <v>4378</v>
      </c>
      <c r="T26" s="2202">
        <v>789</v>
      </c>
      <c r="U26" s="2199">
        <f t="shared" si="5"/>
        <v>0.18021927820922795</v>
      </c>
      <c r="V26" s="2202">
        <v>4182</v>
      </c>
      <c r="W26" s="2202">
        <v>767</v>
      </c>
      <c r="X26" s="2199">
        <f t="shared" si="6"/>
        <v>0.1834050693448111</v>
      </c>
      <c r="Y26" s="2202">
        <v>3980</v>
      </c>
      <c r="Z26" s="2202">
        <v>591</v>
      </c>
      <c r="AA26" s="2199">
        <f t="shared" si="7"/>
        <v>0.1484924623115578</v>
      </c>
    </row>
    <row r="27" spans="1:27" x14ac:dyDescent="0.3">
      <c r="A27" s="56" t="s">
        <v>55</v>
      </c>
      <c r="B27" s="84" t="s">
        <v>271</v>
      </c>
      <c r="C27" s="57" t="s">
        <v>253</v>
      </c>
      <c r="D27" s="2202">
        <v>62391</v>
      </c>
      <c r="E27" s="2202">
        <v>19351</v>
      </c>
      <c r="F27" s="2199">
        <f t="shared" si="0"/>
        <v>0.31015691365741854</v>
      </c>
      <c r="G27" s="2202">
        <v>64581</v>
      </c>
      <c r="H27" s="2202">
        <v>18500</v>
      </c>
      <c r="I27" s="2199">
        <f t="shared" si="1"/>
        <v>0.28646196249670958</v>
      </c>
      <c r="J27" s="2202">
        <v>63591</v>
      </c>
      <c r="K27" s="2202">
        <v>15825</v>
      </c>
      <c r="L27" s="2199">
        <f t="shared" si="2"/>
        <v>0.24885597018446007</v>
      </c>
      <c r="M27" s="2202">
        <v>62847</v>
      </c>
      <c r="N27" s="2202">
        <v>12728</v>
      </c>
      <c r="O27" s="2199">
        <f t="shared" si="3"/>
        <v>0.20252358903368498</v>
      </c>
      <c r="P27" s="2202">
        <v>61129</v>
      </c>
      <c r="Q27" s="2202">
        <v>11564</v>
      </c>
      <c r="R27" s="2199">
        <f t="shared" si="4"/>
        <v>0.18917371460354332</v>
      </c>
      <c r="S27" s="2202">
        <v>60838</v>
      </c>
      <c r="T27" s="2202">
        <v>11998</v>
      </c>
      <c r="U27" s="2199">
        <f t="shared" si="5"/>
        <v>0.19721226864788455</v>
      </c>
      <c r="V27" s="2202">
        <v>61487</v>
      </c>
      <c r="W27" s="2202">
        <v>12799</v>
      </c>
      <c r="X27" s="2199">
        <f t="shared" si="6"/>
        <v>0.20815782197862964</v>
      </c>
      <c r="Y27" s="2202">
        <v>58838</v>
      </c>
      <c r="Z27" s="2202">
        <v>11039</v>
      </c>
      <c r="AA27" s="2199">
        <f t="shared" si="7"/>
        <v>0.18761684625582106</v>
      </c>
    </row>
    <row r="28" spans="1:27" x14ac:dyDescent="0.3">
      <c r="A28" s="56" t="s">
        <v>57</v>
      </c>
      <c r="B28" s="84" t="s">
        <v>58</v>
      </c>
      <c r="C28" s="57" t="s">
        <v>254</v>
      </c>
      <c r="D28" s="2202">
        <v>2387</v>
      </c>
      <c r="E28" s="2202">
        <v>753</v>
      </c>
      <c r="F28" s="2199">
        <f t="shared" si="0"/>
        <v>0.3154587348135735</v>
      </c>
      <c r="G28" s="2202">
        <v>2235</v>
      </c>
      <c r="H28" s="2202">
        <v>658</v>
      </c>
      <c r="I28" s="2199">
        <f t="shared" si="1"/>
        <v>0.29440715883668905</v>
      </c>
      <c r="J28" s="2202">
        <v>2288</v>
      </c>
      <c r="K28" s="2202">
        <v>585</v>
      </c>
      <c r="L28" s="2199">
        <f t="shared" si="2"/>
        <v>0.25568181818181818</v>
      </c>
      <c r="M28" s="2202">
        <v>2268</v>
      </c>
      <c r="N28" s="2202">
        <v>606</v>
      </c>
      <c r="O28" s="2199">
        <f t="shared" si="3"/>
        <v>0.26719576719576721</v>
      </c>
      <c r="P28" s="2202">
        <v>2180</v>
      </c>
      <c r="Q28" s="2202">
        <v>544</v>
      </c>
      <c r="R28" s="2199">
        <f t="shared" si="4"/>
        <v>0.24954128440366974</v>
      </c>
      <c r="S28" s="2202">
        <v>2159</v>
      </c>
      <c r="T28" s="2202">
        <v>554</v>
      </c>
      <c r="U28" s="2199">
        <f t="shared" si="5"/>
        <v>0.25660027790643819</v>
      </c>
      <c r="V28" s="2202">
        <v>1994</v>
      </c>
      <c r="W28" s="2202">
        <v>511</v>
      </c>
      <c r="X28" s="2199">
        <f t="shared" si="6"/>
        <v>0.25626880641925776</v>
      </c>
      <c r="Y28" s="2202">
        <v>1956</v>
      </c>
      <c r="Z28" s="2202">
        <v>390</v>
      </c>
      <c r="AA28" s="2199">
        <f t="shared" si="7"/>
        <v>0.19938650306748465</v>
      </c>
    </row>
    <row r="29" spans="1:27" x14ac:dyDescent="0.3">
      <c r="A29" s="56" t="s">
        <v>59</v>
      </c>
      <c r="B29" s="84" t="s">
        <v>60</v>
      </c>
      <c r="C29" s="57" t="s">
        <v>252</v>
      </c>
      <c r="D29" s="2202">
        <v>1525</v>
      </c>
      <c r="E29" s="2202">
        <v>413</v>
      </c>
      <c r="F29" s="2199">
        <f t="shared" si="0"/>
        <v>0.27081967213114755</v>
      </c>
      <c r="G29" s="2202">
        <v>1529</v>
      </c>
      <c r="H29" s="2202">
        <v>406</v>
      </c>
      <c r="I29" s="2199">
        <f t="shared" si="1"/>
        <v>0.26553302812295621</v>
      </c>
      <c r="J29" s="2202">
        <v>1476</v>
      </c>
      <c r="K29" s="2202">
        <v>323</v>
      </c>
      <c r="L29" s="2199">
        <f t="shared" si="2"/>
        <v>0.21883468834688347</v>
      </c>
      <c r="M29" s="2202">
        <v>1405</v>
      </c>
      <c r="N29" s="2202">
        <v>236</v>
      </c>
      <c r="O29" s="2199">
        <f t="shared" si="3"/>
        <v>0.16797153024911032</v>
      </c>
      <c r="P29" s="2202">
        <v>1351</v>
      </c>
      <c r="Q29" s="2202">
        <v>219</v>
      </c>
      <c r="R29" s="2199">
        <f t="shared" si="4"/>
        <v>0.16210214655810512</v>
      </c>
      <c r="S29" s="2202">
        <v>1355</v>
      </c>
      <c r="T29" s="2202">
        <v>226</v>
      </c>
      <c r="U29" s="2199">
        <f t="shared" si="5"/>
        <v>0.16678966789667896</v>
      </c>
      <c r="V29" s="2202">
        <v>1263</v>
      </c>
      <c r="W29" s="2202">
        <v>187</v>
      </c>
      <c r="X29" s="2199">
        <f t="shared" si="6"/>
        <v>0.14806017418844022</v>
      </c>
      <c r="Y29" s="2202">
        <v>1203</v>
      </c>
      <c r="Z29" s="2202">
        <v>142</v>
      </c>
      <c r="AA29" s="2199">
        <f t="shared" si="7"/>
        <v>0.11803823773898586</v>
      </c>
    </row>
    <row r="30" spans="1:27" x14ac:dyDescent="0.3">
      <c r="A30" s="56" t="s">
        <v>61</v>
      </c>
      <c r="B30" s="84" t="s">
        <v>62</v>
      </c>
      <c r="C30" s="57" t="s">
        <v>254</v>
      </c>
      <c r="D30" s="2202">
        <v>11760</v>
      </c>
      <c r="E30" s="2202">
        <v>3685</v>
      </c>
      <c r="F30" s="2199">
        <f t="shared" si="0"/>
        <v>0.31335034013605439</v>
      </c>
      <c r="G30" s="2202">
        <v>12068</v>
      </c>
      <c r="H30" s="2202">
        <v>3581</v>
      </c>
      <c r="I30" s="2199">
        <f t="shared" si="1"/>
        <v>0.29673516738481936</v>
      </c>
      <c r="J30" s="2202">
        <v>12266</v>
      </c>
      <c r="K30" s="2202">
        <v>3059</v>
      </c>
      <c r="L30" s="2199">
        <f t="shared" si="2"/>
        <v>0.24938855372574598</v>
      </c>
      <c r="M30" s="2202">
        <v>11760</v>
      </c>
      <c r="N30" s="2202">
        <v>2776</v>
      </c>
      <c r="O30" s="2199">
        <f t="shared" si="3"/>
        <v>0.23605442176870747</v>
      </c>
      <c r="P30" s="2202">
        <v>11482</v>
      </c>
      <c r="Q30" s="2202">
        <v>2727</v>
      </c>
      <c r="R30" s="2199">
        <f t="shared" si="4"/>
        <v>0.23750217732102422</v>
      </c>
      <c r="S30" s="2202">
        <v>11643</v>
      </c>
      <c r="T30" s="2202">
        <v>2726</v>
      </c>
      <c r="U30" s="2199">
        <f t="shared" si="5"/>
        <v>0.23413209653869277</v>
      </c>
      <c r="V30" s="2202">
        <v>11389</v>
      </c>
      <c r="W30" s="2202">
        <v>2560</v>
      </c>
      <c r="X30" s="2199">
        <f t="shared" si="6"/>
        <v>0.22477829484590395</v>
      </c>
      <c r="Y30" s="2202">
        <v>10945</v>
      </c>
      <c r="Z30" s="2202">
        <v>2048</v>
      </c>
      <c r="AA30" s="2199">
        <f t="shared" si="7"/>
        <v>0.18711740520785747</v>
      </c>
    </row>
    <row r="31" spans="1:27" x14ac:dyDescent="0.3">
      <c r="A31" s="56" t="s">
        <v>63</v>
      </c>
      <c r="B31" s="84" t="s">
        <v>64</v>
      </c>
      <c r="C31" s="57" t="s">
        <v>253</v>
      </c>
      <c r="D31" s="2202">
        <v>3670</v>
      </c>
      <c r="E31" s="2202">
        <v>985</v>
      </c>
      <c r="F31" s="2199">
        <f t="shared" si="0"/>
        <v>0.26839237057220711</v>
      </c>
      <c r="G31" s="2202">
        <v>3663</v>
      </c>
      <c r="H31" s="2202">
        <v>886</v>
      </c>
      <c r="I31" s="2199">
        <f t="shared" si="1"/>
        <v>0.24187824187824189</v>
      </c>
      <c r="J31" s="2202">
        <v>3636</v>
      </c>
      <c r="K31" s="2202">
        <v>845</v>
      </c>
      <c r="L31" s="2199">
        <f t="shared" si="2"/>
        <v>0.23239823982398239</v>
      </c>
      <c r="M31" s="2202">
        <v>3316</v>
      </c>
      <c r="N31" s="2202">
        <v>596</v>
      </c>
      <c r="O31" s="2199">
        <f t="shared" si="3"/>
        <v>0.17973462002412546</v>
      </c>
      <c r="P31" s="2202">
        <v>3117</v>
      </c>
      <c r="Q31" s="2202">
        <v>527</v>
      </c>
      <c r="R31" s="2199">
        <f t="shared" si="4"/>
        <v>0.16907282643567534</v>
      </c>
      <c r="S31" s="2202">
        <v>3008</v>
      </c>
      <c r="T31" s="2202">
        <v>497</v>
      </c>
      <c r="U31" s="2199">
        <f t="shared" si="5"/>
        <v>0.16522606382978725</v>
      </c>
      <c r="V31" s="2202">
        <v>2994</v>
      </c>
      <c r="W31" s="2202">
        <v>496</v>
      </c>
      <c r="X31" s="2199">
        <f t="shared" si="6"/>
        <v>0.16566466265865062</v>
      </c>
      <c r="Y31" s="2202">
        <v>2806</v>
      </c>
      <c r="Z31" s="2202">
        <v>367</v>
      </c>
      <c r="AA31" s="2199">
        <f t="shared" si="7"/>
        <v>0.13079116179615111</v>
      </c>
    </row>
    <row r="32" spans="1:27" x14ac:dyDescent="0.3">
      <c r="A32" s="56" t="s">
        <v>67</v>
      </c>
      <c r="B32" s="84" t="s">
        <v>68</v>
      </c>
      <c r="C32" s="57" t="s">
        <v>255</v>
      </c>
      <c r="D32" s="2202">
        <v>5909</v>
      </c>
      <c r="E32" s="2202">
        <v>1329</v>
      </c>
      <c r="F32" s="2199">
        <f t="shared" si="0"/>
        <v>0.22491115247926891</v>
      </c>
      <c r="G32" s="2202">
        <v>5759</v>
      </c>
      <c r="H32" s="2202">
        <v>1191</v>
      </c>
      <c r="I32" s="2199">
        <f t="shared" si="1"/>
        <v>0.20680673728077792</v>
      </c>
      <c r="J32" s="2202">
        <v>5545</v>
      </c>
      <c r="K32" s="2202">
        <v>1083</v>
      </c>
      <c r="L32" s="2199">
        <f t="shared" si="2"/>
        <v>0.19531109107303876</v>
      </c>
      <c r="M32" s="2202">
        <v>5422</v>
      </c>
      <c r="N32" s="2202">
        <v>960</v>
      </c>
      <c r="O32" s="2199">
        <f t="shared" si="3"/>
        <v>0.17705643673921062</v>
      </c>
      <c r="P32" s="2202">
        <v>5328</v>
      </c>
      <c r="Q32" s="2202">
        <v>820</v>
      </c>
      <c r="R32" s="2199">
        <f t="shared" si="4"/>
        <v>0.1539039039039039</v>
      </c>
      <c r="S32" s="2202">
        <v>5341</v>
      </c>
      <c r="T32" s="2202">
        <v>776</v>
      </c>
      <c r="U32" s="2199">
        <f t="shared" si="5"/>
        <v>0.145291143980528</v>
      </c>
      <c r="V32" s="2202">
        <v>5320</v>
      </c>
      <c r="W32" s="2202">
        <v>774</v>
      </c>
      <c r="X32" s="2199">
        <f t="shared" si="6"/>
        <v>0.14548872180451128</v>
      </c>
      <c r="Y32" s="2202">
        <v>4893</v>
      </c>
      <c r="Z32" s="2202">
        <v>583</v>
      </c>
      <c r="AA32" s="2199">
        <f t="shared" si="7"/>
        <v>0.11914980584508482</v>
      </c>
    </row>
    <row r="33" spans="1:27" x14ac:dyDescent="0.3">
      <c r="A33" s="56" t="s">
        <v>69</v>
      </c>
      <c r="B33" s="84" t="s">
        <v>70</v>
      </c>
      <c r="C33" s="57" t="s">
        <v>251</v>
      </c>
      <c r="D33" s="2202">
        <v>7703</v>
      </c>
      <c r="E33" s="2202">
        <v>2082</v>
      </c>
      <c r="F33" s="2199">
        <f t="shared" si="0"/>
        <v>0.27028430481630533</v>
      </c>
      <c r="G33" s="2202">
        <v>7573</v>
      </c>
      <c r="H33" s="2202">
        <v>1811</v>
      </c>
      <c r="I33" s="2199">
        <f t="shared" si="1"/>
        <v>0.23913904661296712</v>
      </c>
      <c r="J33" s="2202">
        <v>7312</v>
      </c>
      <c r="K33" s="2202">
        <v>1653</v>
      </c>
      <c r="L33" s="2199">
        <f t="shared" si="2"/>
        <v>0.22606673960612692</v>
      </c>
      <c r="M33" s="2202">
        <v>7023</v>
      </c>
      <c r="N33" s="2202">
        <v>1348</v>
      </c>
      <c r="O33" s="2199">
        <f t="shared" si="3"/>
        <v>0.1919407660543927</v>
      </c>
      <c r="P33" s="2202">
        <v>7119</v>
      </c>
      <c r="Q33" s="2202">
        <v>1327</v>
      </c>
      <c r="R33" s="2199">
        <f t="shared" si="4"/>
        <v>0.18640258463267312</v>
      </c>
      <c r="S33" s="2202">
        <v>7218</v>
      </c>
      <c r="T33" s="2202">
        <v>1358</v>
      </c>
      <c r="U33" s="2199">
        <f t="shared" si="5"/>
        <v>0.18814075921307841</v>
      </c>
      <c r="V33" s="2202">
        <v>7439</v>
      </c>
      <c r="W33" s="2202">
        <v>1331</v>
      </c>
      <c r="X33" s="2199">
        <f t="shared" si="6"/>
        <v>0.17892189810458395</v>
      </c>
      <c r="Y33" s="2202">
        <v>7014</v>
      </c>
      <c r="Z33" s="2202">
        <v>1049</v>
      </c>
      <c r="AA33" s="2199">
        <f t="shared" si="7"/>
        <v>0.14955802680353578</v>
      </c>
    </row>
    <row r="34" spans="1:27" x14ac:dyDescent="0.3">
      <c r="A34" s="56" t="s">
        <v>71</v>
      </c>
      <c r="B34" s="84" t="s">
        <v>72</v>
      </c>
      <c r="C34" s="57" t="s">
        <v>253</v>
      </c>
      <c r="D34" s="2202">
        <v>3779</v>
      </c>
      <c r="E34" s="2202">
        <v>948</v>
      </c>
      <c r="F34" s="2199">
        <f t="shared" si="0"/>
        <v>0.25086001587721618</v>
      </c>
      <c r="G34" s="2202">
        <v>3779</v>
      </c>
      <c r="H34" s="2202">
        <v>911</v>
      </c>
      <c r="I34" s="2199">
        <f t="shared" si="1"/>
        <v>0.24106906589044722</v>
      </c>
      <c r="J34" s="2202">
        <v>3530</v>
      </c>
      <c r="K34" s="2202">
        <v>829</v>
      </c>
      <c r="L34" s="2199">
        <f t="shared" si="2"/>
        <v>0.23484419263456091</v>
      </c>
      <c r="M34" s="2202">
        <v>3483</v>
      </c>
      <c r="N34" s="2202">
        <v>689</v>
      </c>
      <c r="O34" s="2199">
        <f t="shared" si="3"/>
        <v>0.19781797301177145</v>
      </c>
      <c r="P34" s="2202">
        <v>3328</v>
      </c>
      <c r="Q34" s="2202">
        <v>554</v>
      </c>
      <c r="R34" s="2199">
        <f t="shared" si="4"/>
        <v>0.16646634615384615</v>
      </c>
      <c r="S34" s="2202">
        <v>3160</v>
      </c>
      <c r="T34" s="2202">
        <v>556</v>
      </c>
      <c r="U34" s="2199">
        <f t="shared" si="5"/>
        <v>0.17594936708860759</v>
      </c>
      <c r="V34" s="2202">
        <v>3012</v>
      </c>
      <c r="W34" s="2202">
        <v>512</v>
      </c>
      <c r="X34" s="2199">
        <f t="shared" si="6"/>
        <v>0.16998671978751659</v>
      </c>
      <c r="Y34" s="2202">
        <v>2976</v>
      </c>
      <c r="Z34" s="2202">
        <v>428</v>
      </c>
      <c r="AA34" s="2199">
        <f t="shared" si="7"/>
        <v>0.14381720430107528</v>
      </c>
    </row>
    <row r="35" spans="1:27" x14ac:dyDescent="0.3">
      <c r="A35" s="56" t="s">
        <v>73</v>
      </c>
      <c r="B35" s="84" t="s">
        <v>405</v>
      </c>
      <c r="C35" s="57" t="s">
        <v>254</v>
      </c>
      <c r="D35" s="2202">
        <v>154037</v>
      </c>
      <c r="E35" s="2202">
        <v>62045</v>
      </c>
      <c r="F35" s="2199">
        <f t="shared" si="0"/>
        <v>0.40279283548757766</v>
      </c>
      <c r="G35" s="2202">
        <v>154883</v>
      </c>
      <c r="H35" s="2202">
        <v>58171</v>
      </c>
      <c r="I35" s="2199">
        <f t="shared" si="1"/>
        <v>0.37558027672501176</v>
      </c>
      <c r="J35" s="2202">
        <v>157083</v>
      </c>
      <c r="K35" s="2202">
        <v>53038</v>
      </c>
      <c r="L35" s="2199">
        <f t="shared" si="2"/>
        <v>0.33764315680245477</v>
      </c>
      <c r="M35" s="2202">
        <v>151882</v>
      </c>
      <c r="N35" s="2202">
        <v>42030</v>
      </c>
      <c r="O35" s="2199">
        <f t="shared" si="3"/>
        <v>0.27672798619981304</v>
      </c>
      <c r="P35" s="2202">
        <v>145658</v>
      </c>
      <c r="Q35" s="2202">
        <v>43434</v>
      </c>
      <c r="R35" s="2199">
        <f t="shared" si="4"/>
        <v>0.29819165442337531</v>
      </c>
      <c r="S35" s="2202">
        <v>145410</v>
      </c>
      <c r="T35" s="2202">
        <v>41004</v>
      </c>
      <c r="U35" s="2199">
        <f t="shared" si="5"/>
        <v>0.28198885908809573</v>
      </c>
      <c r="V35" s="2202">
        <v>144912</v>
      </c>
      <c r="W35" s="2202">
        <v>39976</v>
      </c>
      <c r="X35" s="2199">
        <f t="shared" si="6"/>
        <v>0.27586397261786466</v>
      </c>
      <c r="Y35" s="2202">
        <v>137623</v>
      </c>
      <c r="Z35" s="2202">
        <v>37172</v>
      </c>
      <c r="AA35" s="2199">
        <f t="shared" si="7"/>
        <v>0.27010020127449624</v>
      </c>
    </row>
    <row r="36" spans="1:27" x14ac:dyDescent="0.3">
      <c r="A36" s="56" t="s">
        <v>75</v>
      </c>
      <c r="B36" s="84" t="s">
        <v>76</v>
      </c>
      <c r="C36" s="57" t="s">
        <v>254</v>
      </c>
      <c r="D36" s="2202">
        <v>9994</v>
      </c>
      <c r="E36" s="2202">
        <v>3324</v>
      </c>
      <c r="F36" s="2199">
        <f t="shared" si="0"/>
        <v>0.33259955973584149</v>
      </c>
      <c r="G36" s="2202">
        <v>10183</v>
      </c>
      <c r="H36" s="2202">
        <v>3254</v>
      </c>
      <c r="I36" s="2199">
        <f t="shared" si="1"/>
        <v>0.31955219483452812</v>
      </c>
      <c r="J36" s="2202">
        <v>10079</v>
      </c>
      <c r="K36" s="2202">
        <v>2982</v>
      </c>
      <c r="L36" s="2199">
        <f t="shared" si="2"/>
        <v>0.29586268479015776</v>
      </c>
      <c r="M36" s="2202">
        <v>9675</v>
      </c>
      <c r="N36" s="2202">
        <v>2512</v>
      </c>
      <c r="O36" s="2199">
        <f t="shared" si="3"/>
        <v>0.25963824289405685</v>
      </c>
      <c r="P36" s="2202">
        <v>8992</v>
      </c>
      <c r="Q36" s="2202">
        <v>2320</v>
      </c>
      <c r="R36" s="2199">
        <f t="shared" si="4"/>
        <v>0.25800711743772242</v>
      </c>
      <c r="S36" s="2202">
        <v>8704</v>
      </c>
      <c r="T36" s="2202">
        <v>2205</v>
      </c>
      <c r="U36" s="2199">
        <f t="shared" si="5"/>
        <v>0.25333180147058826</v>
      </c>
      <c r="V36" s="2202">
        <v>8671</v>
      </c>
      <c r="W36" s="2202">
        <v>2368</v>
      </c>
      <c r="X36" s="2199">
        <f t="shared" si="6"/>
        <v>0.27309422211970935</v>
      </c>
      <c r="Y36" s="2202">
        <v>8049</v>
      </c>
      <c r="Z36" s="2202">
        <v>1905</v>
      </c>
      <c r="AA36" s="2199">
        <f t="shared" si="7"/>
        <v>0.23667536339918002</v>
      </c>
    </row>
    <row r="37" spans="1:27" x14ac:dyDescent="0.3">
      <c r="A37" s="56" t="s">
        <v>77</v>
      </c>
      <c r="B37" s="84" t="s">
        <v>78</v>
      </c>
      <c r="C37" s="57" t="s">
        <v>255</v>
      </c>
      <c r="D37" s="2202">
        <v>4719</v>
      </c>
      <c r="E37" s="2202">
        <v>1367</v>
      </c>
      <c r="F37" s="2199">
        <f t="shared" si="0"/>
        <v>0.2896800169527442</v>
      </c>
      <c r="G37" s="2202">
        <v>4648</v>
      </c>
      <c r="H37" s="2202">
        <v>1261</v>
      </c>
      <c r="I37" s="2199">
        <f t="shared" si="1"/>
        <v>0.27129948364888123</v>
      </c>
      <c r="J37" s="2202">
        <v>4664</v>
      </c>
      <c r="K37" s="2202">
        <v>1146</v>
      </c>
      <c r="L37" s="2199">
        <f t="shared" si="2"/>
        <v>0.24571183533447685</v>
      </c>
      <c r="M37" s="2202">
        <v>4312</v>
      </c>
      <c r="N37" s="2202">
        <v>845</v>
      </c>
      <c r="O37" s="2199">
        <f t="shared" si="3"/>
        <v>0.1959647495361781</v>
      </c>
      <c r="P37" s="2202">
        <v>4206</v>
      </c>
      <c r="Q37" s="2202">
        <v>834</v>
      </c>
      <c r="R37" s="2199">
        <f t="shared" si="4"/>
        <v>0.19828815977175462</v>
      </c>
      <c r="S37" s="2202">
        <v>4189</v>
      </c>
      <c r="T37" s="2202">
        <v>789</v>
      </c>
      <c r="U37" s="2199">
        <f t="shared" si="5"/>
        <v>0.18835044163284795</v>
      </c>
      <c r="V37" s="2202">
        <v>4214</v>
      </c>
      <c r="W37" s="2202">
        <v>849</v>
      </c>
      <c r="X37" s="2199">
        <f t="shared" si="6"/>
        <v>0.20147128618889415</v>
      </c>
      <c r="Y37" s="2202">
        <v>3907</v>
      </c>
      <c r="Z37" s="2202">
        <v>688</v>
      </c>
      <c r="AA37" s="2199">
        <f t="shared" si="7"/>
        <v>0.17609418991553621</v>
      </c>
    </row>
    <row r="38" spans="1:27" x14ac:dyDescent="0.3">
      <c r="A38" s="56" t="s">
        <v>79</v>
      </c>
      <c r="B38" s="84" t="s">
        <v>80</v>
      </c>
      <c r="C38" s="57" t="s">
        <v>253</v>
      </c>
      <c r="D38" s="2202">
        <v>4765</v>
      </c>
      <c r="E38" s="2202">
        <v>1343</v>
      </c>
      <c r="F38" s="2199">
        <f t="shared" si="0"/>
        <v>0.28184679958027281</v>
      </c>
      <c r="G38" s="2202">
        <v>4630</v>
      </c>
      <c r="H38" s="2202">
        <v>1339</v>
      </c>
      <c r="I38" s="2199">
        <f t="shared" si="1"/>
        <v>0.28920086393088551</v>
      </c>
      <c r="J38" s="2202">
        <v>4610</v>
      </c>
      <c r="K38" s="2202">
        <v>1151</v>
      </c>
      <c r="L38" s="2199">
        <f t="shared" si="2"/>
        <v>0.24967462039045554</v>
      </c>
      <c r="M38" s="2202">
        <v>4444</v>
      </c>
      <c r="N38" s="2202">
        <v>957</v>
      </c>
      <c r="O38" s="2199">
        <f t="shared" si="3"/>
        <v>0.21534653465346534</v>
      </c>
      <c r="P38" s="2202">
        <v>4272</v>
      </c>
      <c r="Q38" s="2202">
        <v>1024</v>
      </c>
      <c r="R38" s="2199">
        <f t="shared" si="4"/>
        <v>0.23970037453183521</v>
      </c>
      <c r="S38" s="2202">
        <v>4232</v>
      </c>
      <c r="T38" s="2202">
        <v>880</v>
      </c>
      <c r="U38" s="2199">
        <f t="shared" si="5"/>
        <v>0.20793950850661624</v>
      </c>
      <c r="V38" s="2202">
        <v>4174</v>
      </c>
      <c r="W38" s="2202">
        <v>914</v>
      </c>
      <c r="X38" s="2199">
        <f t="shared" si="6"/>
        <v>0.21897460469573551</v>
      </c>
      <c r="Y38" s="2202">
        <v>3921</v>
      </c>
      <c r="Z38" s="2202">
        <v>733</v>
      </c>
      <c r="AA38" s="2199">
        <f t="shared" si="7"/>
        <v>0.18694210660545779</v>
      </c>
    </row>
    <row r="39" spans="1:27" x14ac:dyDescent="0.3">
      <c r="A39" s="56" t="s">
        <v>83</v>
      </c>
      <c r="B39" s="84" t="s">
        <v>84</v>
      </c>
      <c r="C39" s="57" t="s">
        <v>252</v>
      </c>
      <c r="D39" s="2202">
        <v>16655</v>
      </c>
      <c r="E39" s="2202">
        <v>4930</v>
      </c>
      <c r="F39" s="2199">
        <f t="shared" si="0"/>
        <v>0.29600720504353045</v>
      </c>
      <c r="G39" s="2202">
        <v>16587</v>
      </c>
      <c r="H39" s="2202">
        <v>4403</v>
      </c>
      <c r="I39" s="2199">
        <f t="shared" si="1"/>
        <v>0.26544884548140107</v>
      </c>
      <c r="J39" s="2202">
        <v>15990</v>
      </c>
      <c r="K39" s="2202">
        <v>3933</v>
      </c>
      <c r="L39" s="2199">
        <f t="shared" si="2"/>
        <v>0.24596622889305816</v>
      </c>
      <c r="M39" s="2202">
        <v>15273</v>
      </c>
      <c r="N39" s="2202">
        <v>3079</v>
      </c>
      <c r="O39" s="2199">
        <f t="shared" si="3"/>
        <v>0.20159759051921691</v>
      </c>
      <c r="P39" s="2202">
        <v>14795</v>
      </c>
      <c r="Q39" s="2202">
        <v>2813</v>
      </c>
      <c r="R39" s="2199">
        <f t="shared" si="4"/>
        <v>0.19013180128421764</v>
      </c>
      <c r="S39" s="2202">
        <v>14437</v>
      </c>
      <c r="T39" s="2202">
        <v>2828</v>
      </c>
      <c r="U39" s="2199">
        <f t="shared" si="5"/>
        <v>0.19588557179469418</v>
      </c>
      <c r="V39" s="2202">
        <v>14381</v>
      </c>
      <c r="W39" s="2202">
        <v>2555</v>
      </c>
      <c r="X39" s="2199">
        <f t="shared" si="6"/>
        <v>0.17766497461928935</v>
      </c>
      <c r="Y39" s="2202">
        <v>13557</v>
      </c>
      <c r="Z39" s="2202">
        <v>1996</v>
      </c>
      <c r="AA39" s="2199">
        <f t="shared" si="7"/>
        <v>0.14723021317400606</v>
      </c>
    </row>
    <row r="40" spans="1:27" x14ac:dyDescent="0.3">
      <c r="A40" s="56" t="s">
        <v>85</v>
      </c>
      <c r="B40" s="84" t="s">
        <v>86</v>
      </c>
      <c r="C40" s="57" t="s">
        <v>254</v>
      </c>
      <c r="D40" s="2202">
        <v>17273</v>
      </c>
      <c r="E40" s="2202">
        <v>5417</v>
      </c>
      <c r="F40" s="2199">
        <f t="shared" si="0"/>
        <v>0.31361083772361487</v>
      </c>
      <c r="G40" s="2202">
        <v>16513</v>
      </c>
      <c r="H40" s="2202">
        <v>4933</v>
      </c>
      <c r="I40" s="2199">
        <f t="shared" si="1"/>
        <v>0.29873433052746323</v>
      </c>
      <c r="J40" s="2202">
        <v>16367</v>
      </c>
      <c r="K40" s="2202">
        <v>4668</v>
      </c>
      <c r="L40" s="2199">
        <f t="shared" si="2"/>
        <v>0.28520804056943849</v>
      </c>
      <c r="M40" s="2202">
        <v>15114</v>
      </c>
      <c r="N40" s="2202">
        <v>3670</v>
      </c>
      <c r="O40" s="2199">
        <f t="shared" si="3"/>
        <v>0.24282122535397643</v>
      </c>
      <c r="P40" s="2202">
        <v>14658</v>
      </c>
      <c r="Q40" s="2202">
        <v>3214</v>
      </c>
      <c r="R40" s="2199">
        <f t="shared" si="4"/>
        <v>0.21926592986764906</v>
      </c>
      <c r="S40" s="2202">
        <v>14285</v>
      </c>
      <c r="T40" s="2202">
        <v>3185</v>
      </c>
      <c r="U40" s="2199">
        <f t="shared" si="5"/>
        <v>0.22296114805740286</v>
      </c>
      <c r="V40" s="2202">
        <v>14040</v>
      </c>
      <c r="W40" s="2202">
        <v>3151</v>
      </c>
      <c r="X40" s="2199">
        <f t="shared" si="6"/>
        <v>0.22443019943019943</v>
      </c>
      <c r="Y40" s="2202">
        <v>13994</v>
      </c>
      <c r="Z40" s="2202">
        <v>2613</v>
      </c>
      <c r="AA40" s="2199">
        <f t="shared" si="7"/>
        <v>0.18672288123481492</v>
      </c>
    </row>
    <row r="41" spans="1:27" x14ac:dyDescent="0.3">
      <c r="A41" s="56" t="s">
        <v>91</v>
      </c>
      <c r="B41" s="84" t="s">
        <v>92</v>
      </c>
      <c r="C41" s="57" t="s">
        <v>255</v>
      </c>
      <c r="D41" s="2202">
        <v>5048</v>
      </c>
      <c r="E41" s="2202">
        <v>1292</v>
      </c>
      <c r="F41" s="2199">
        <f t="shared" si="0"/>
        <v>0.25594294770206022</v>
      </c>
      <c r="G41" s="2202">
        <v>4921</v>
      </c>
      <c r="H41" s="2202">
        <v>1125</v>
      </c>
      <c r="I41" s="2199">
        <f t="shared" si="1"/>
        <v>0.22861207071733389</v>
      </c>
      <c r="J41" s="2202">
        <v>4777</v>
      </c>
      <c r="K41" s="2202">
        <v>1009</v>
      </c>
      <c r="L41" s="2199">
        <f t="shared" si="2"/>
        <v>0.21122043123299142</v>
      </c>
      <c r="M41" s="2202">
        <v>4559</v>
      </c>
      <c r="N41" s="2202">
        <v>823</v>
      </c>
      <c r="O41" s="2199">
        <f t="shared" si="3"/>
        <v>0.18052204430796226</v>
      </c>
      <c r="P41" s="2202">
        <v>4496</v>
      </c>
      <c r="Q41" s="2202">
        <v>781</v>
      </c>
      <c r="R41" s="2199">
        <f t="shared" si="4"/>
        <v>0.17370996441281139</v>
      </c>
      <c r="S41" s="2202">
        <v>4374</v>
      </c>
      <c r="T41" s="2202">
        <v>743</v>
      </c>
      <c r="U41" s="2199">
        <f t="shared" si="5"/>
        <v>0.16986739826246</v>
      </c>
      <c r="V41" s="2202">
        <v>4464</v>
      </c>
      <c r="W41" s="2202">
        <v>675</v>
      </c>
      <c r="X41" s="2199">
        <f t="shared" si="6"/>
        <v>0.15120967741935484</v>
      </c>
      <c r="Y41" s="2202">
        <v>4102</v>
      </c>
      <c r="Z41" s="2202">
        <v>550</v>
      </c>
      <c r="AA41" s="2199">
        <f t="shared" si="7"/>
        <v>0.13408093612871769</v>
      </c>
    </row>
    <row r="42" spans="1:27" x14ac:dyDescent="0.3">
      <c r="A42" s="56" t="s">
        <v>93</v>
      </c>
      <c r="B42" s="84" t="s">
        <v>94</v>
      </c>
      <c r="C42" s="57" t="s">
        <v>251</v>
      </c>
      <c r="D42" s="2202">
        <v>8171</v>
      </c>
      <c r="E42" s="2202">
        <v>2329</v>
      </c>
      <c r="F42" s="2199">
        <f t="shared" si="0"/>
        <v>0.2850324317708971</v>
      </c>
      <c r="G42" s="2202">
        <v>8104</v>
      </c>
      <c r="H42" s="2202">
        <v>2183</v>
      </c>
      <c r="I42" s="2199">
        <f t="shared" si="1"/>
        <v>0.26937314906219151</v>
      </c>
      <c r="J42" s="2202">
        <v>8156</v>
      </c>
      <c r="K42" s="2202">
        <v>1959</v>
      </c>
      <c r="L42" s="2199">
        <f t="shared" si="2"/>
        <v>0.24019127023050516</v>
      </c>
      <c r="M42" s="2202">
        <v>7611</v>
      </c>
      <c r="N42" s="2202">
        <v>1458</v>
      </c>
      <c r="O42" s="2199">
        <f t="shared" si="3"/>
        <v>0.19156484036263302</v>
      </c>
      <c r="P42" s="2202">
        <v>7287</v>
      </c>
      <c r="Q42" s="2202">
        <v>1344</v>
      </c>
      <c r="R42" s="2199">
        <f t="shared" si="4"/>
        <v>0.18443804034582131</v>
      </c>
      <c r="S42" s="2202">
        <v>7103</v>
      </c>
      <c r="T42" s="2202">
        <v>1258</v>
      </c>
      <c r="U42" s="2199">
        <f t="shared" si="5"/>
        <v>0.17710826411375474</v>
      </c>
      <c r="V42" s="2202">
        <v>7058</v>
      </c>
      <c r="W42" s="2202">
        <v>1331</v>
      </c>
      <c r="X42" s="2199">
        <f t="shared" si="6"/>
        <v>0.18858033437234345</v>
      </c>
      <c r="Y42" s="2202">
        <v>6679</v>
      </c>
      <c r="Z42" s="2202">
        <v>1038</v>
      </c>
      <c r="AA42" s="2199">
        <f t="shared" si="7"/>
        <v>0.15541248689923642</v>
      </c>
    </row>
    <row r="43" spans="1:27" x14ac:dyDescent="0.3">
      <c r="A43" s="56" t="s">
        <v>95</v>
      </c>
      <c r="B43" s="84" t="s">
        <v>96</v>
      </c>
      <c r="C43" s="57" t="s">
        <v>253</v>
      </c>
      <c r="D43" s="2202">
        <v>2214</v>
      </c>
      <c r="E43" s="2202">
        <v>690</v>
      </c>
      <c r="F43" s="2199">
        <f t="shared" si="0"/>
        <v>0.31165311653116529</v>
      </c>
      <c r="G43" s="2202">
        <v>2220</v>
      </c>
      <c r="H43" s="2202">
        <v>586</v>
      </c>
      <c r="I43" s="2199">
        <f t="shared" si="1"/>
        <v>0.26396396396396399</v>
      </c>
      <c r="J43" s="2202">
        <v>2345</v>
      </c>
      <c r="K43" s="2202">
        <v>545</v>
      </c>
      <c r="L43" s="2199">
        <f t="shared" si="2"/>
        <v>0.23240938166311301</v>
      </c>
      <c r="M43" s="2202">
        <v>2314</v>
      </c>
      <c r="N43" s="2202">
        <v>467</v>
      </c>
      <c r="O43" s="2199">
        <f t="shared" si="3"/>
        <v>0.20181503889369057</v>
      </c>
      <c r="P43" s="2202">
        <v>2325</v>
      </c>
      <c r="Q43" s="2202">
        <v>468</v>
      </c>
      <c r="R43" s="2199">
        <f t="shared" si="4"/>
        <v>0.20129032258064516</v>
      </c>
      <c r="S43" s="2202">
        <v>2170</v>
      </c>
      <c r="T43" s="2202">
        <v>502</v>
      </c>
      <c r="U43" s="2199">
        <f t="shared" si="5"/>
        <v>0.23133640552995391</v>
      </c>
      <c r="V43" s="2202">
        <v>2269</v>
      </c>
      <c r="W43" s="2202">
        <v>540</v>
      </c>
      <c r="X43" s="2199">
        <f t="shared" si="6"/>
        <v>0.23799030409872191</v>
      </c>
      <c r="Y43" s="2202">
        <v>2152</v>
      </c>
      <c r="Z43" s="2202">
        <v>389</v>
      </c>
      <c r="AA43" s="2199">
        <f t="shared" si="7"/>
        <v>0.18076208178438663</v>
      </c>
    </row>
    <row r="44" spans="1:27" x14ac:dyDescent="0.3">
      <c r="A44" s="56" t="s">
        <v>97</v>
      </c>
      <c r="B44" s="84" t="s">
        <v>98</v>
      </c>
      <c r="C44" s="57" t="s">
        <v>255</v>
      </c>
      <c r="D44" s="2202">
        <v>5582</v>
      </c>
      <c r="E44" s="2202">
        <v>1480</v>
      </c>
      <c r="F44" s="2199">
        <f t="shared" si="0"/>
        <v>0.26513794338946617</v>
      </c>
      <c r="G44" s="2202">
        <v>5538</v>
      </c>
      <c r="H44" s="2202">
        <v>1341</v>
      </c>
      <c r="I44" s="2199">
        <f t="shared" si="1"/>
        <v>0.24214517876489708</v>
      </c>
      <c r="J44" s="2202">
        <v>5470</v>
      </c>
      <c r="K44" s="2202">
        <v>1204</v>
      </c>
      <c r="L44" s="2199">
        <f t="shared" si="2"/>
        <v>0.22010968921389396</v>
      </c>
      <c r="M44" s="2202">
        <v>5402</v>
      </c>
      <c r="N44" s="2202">
        <v>934</v>
      </c>
      <c r="O44" s="2199">
        <f t="shared" si="3"/>
        <v>0.17289892632358386</v>
      </c>
      <c r="P44" s="2202">
        <v>5077</v>
      </c>
      <c r="Q44" s="2202">
        <v>871</v>
      </c>
      <c r="R44" s="2199">
        <f t="shared" si="4"/>
        <v>0.17155800669686824</v>
      </c>
      <c r="S44" s="2202">
        <v>4801</v>
      </c>
      <c r="T44" s="2202">
        <v>881</v>
      </c>
      <c r="U44" s="2199">
        <f t="shared" si="5"/>
        <v>0.18350343678400333</v>
      </c>
      <c r="V44" s="2202">
        <v>4776</v>
      </c>
      <c r="W44" s="2202">
        <v>790</v>
      </c>
      <c r="X44" s="2199">
        <f t="shared" si="6"/>
        <v>0.1654103852596315</v>
      </c>
      <c r="Y44" s="2202">
        <v>4493</v>
      </c>
      <c r="Z44" s="2202">
        <v>651</v>
      </c>
      <c r="AA44" s="2199">
        <f t="shared" si="7"/>
        <v>0.1448920543066993</v>
      </c>
    </row>
    <row r="45" spans="1:27" x14ac:dyDescent="0.3">
      <c r="A45" s="56" t="s">
        <v>99</v>
      </c>
      <c r="B45" s="84" t="s">
        <v>100</v>
      </c>
      <c r="C45" s="57" t="s">
        <v>254</v>
      </c>
      <c r="D45" s="2202">
        <v>4738</v>
      </c>
      <c r="E45" s="2202">
        <v>1475</v>
      </c>
      <c r="F45" s="2199">
        <f t="shared" si="0"/>
        <v>0.31131279020683833</v>
      </c>
      <c r="G45" s="2202">
        <v>4755</v>
      </c>
      <c r="H45" s="2202">
        <v>1406</v>
      </c>
      <c r="I45" s="2199">
        <f t="shared" si="1"/>
        <v>0.29568874868559414</v>
      </c>
      <c r="J45" s="2202">
        <v>4734</v>
      </c>
      <c r="K45" s="2202">
        <v>1320</v>
      </c>
      <c r="L45" s="2199">
        <f t="shared" si="2"/>
        <v>0.27883396704689478</v>
      </c>
      <c r="M45" s="2202">
        <v>4634</v>
      </c>
      <c r="N45" s="2202">
        <v>1170</v>
      </c>
      <c r="O45" s="2199">
        <f t="shared" si="3"/>
        <v>0.25248165731549416</v>
      </c>
      <c r="P45" s="2202">
        <v>4453</v>
      </c>
      <c r="Q45" s="2202">
        <v>1076</v>
      </c>
      <c r="R45" s="2199">
        <f t="shared" si="4"/>
        <v>0.24163485290815181</v>
      </c>
      <c r="S45" s="2202">
        <v>4515</v>
      </c>
      <c r="T45" s="2202">
        <v>1062</v>
      </c>
      <c r="U45" s="2199">
        <f t="shared" si="5"/>
        <v>0.23521594684385383</v>
      </c>
      <c r="V45" s="2202">
        <v>4468</v>
      </c>
      <c r="W45" s="2202">
        <v>997</v>
      </c>
      <c r="X45" s="2199">
        <f t="shared" si="6"/>
        <v>0.22314234556848703</v>
      </c>
      <c r="Y45" s="2202">
        <v>4182</v>
      </c>
      <c r="Z45" s="2202">
        <v>820</v>
      </c>
      <c r="AA45" s="2199">
        <f t="shared" si="7"/>
        <v>0.19607843137254902</v>
      </c>
    </row>
    <row r="46" spans="1:27" x14ac:dyDescent="0.3">
      <c r="A46" s="56" t="s">
        <v>101</v>
      </c>
      <c r="B46" s="84" t="s">
        <v>263</v>
      </c>
      <c r="C46" s="57" t="s">
        <v>251</v>
      </c>
      <c r="D46" s="2202">
        <v>6127</v>
      </c>
      <c r="E46" s="2202">
        <v>1295</v>
      </c>
      <c r="F46" s="2199">
        <f t="shared" si="0"/>
        <v>0.21135955606332626</v>
      </c>
      <c r="G46" s="2202">
        <v>6167</v>
      </c>
      <c r="H46" s="2202">
        <v>1118</v>
      </c>
      <c r="I46" s="2199">
        <f t="shared" si="1"/>
        <v>0.18128749797308252</v>
      </c>
      <c r="J46" s="2202">
        <v>5887</v>
      </c>
      <c r="K46" s="2202">
        <v>1064</v>
      </c>
      <c r="L46" s="2199">
        <f t="shared" si="2"/>
        <v>0.18073721759809749</v>
      </c>
      <c r="M46" s="2202">
        <v>5696</v>
      </c>
      <c r="N46" s="2202">
        <v>795</v>
      </c>
      <c r="O46" s="2199">
        <f t="shared" si="3"/>
        <v>0.13957162921348315</v>
      </c>
      <c r="P46" s="2202">
        <v>5393</v>
      </c>
      <c r="Q46" s="2202">
        <v>724</v>
      </c>
      <c r="R46" s="2199">
        <f t="shared" si="4"/>
        <v>0.13424809938809568</v>
      </c>
      <c r="S46" s="2202">
        <v>5247</v>
      </c>
      <c r="T46" s="2202">
        <v>724</v>
      </c>
      <c r="U46" s="2199">
        <f t="shared" si="5"/>
        <v>0.13798360968172288</v>
      </c>
      <c r="V46" s="2202">
        <v>5112</v>
      </c>
      <c r="W46" s="2202">
        <v>671</v>
      </c>
      <c r="X46" s="2199">
        <f t="shared" si="6"/>
        <v>0.13125978090766824</v>
      </c>
      <c r="Y46" s="2202">
        <v>4965</v>
      </c>
      <c r="Z46" s="2202">
        <v>454</v>
      </c>
      <c r="AA46" s="2199">
        <f t="shared" si="7"/>
        <v>9.1440080563947632E-2</v>
      </c>
    </row>
    <row r="47" spans="1:27" x14ac:dyDescent="0.3">
      <c r="A47" s="56" t="s">
        <v>103</v>
      </c>
      <c r="B47" s="84" t="s">
        <v>104</v>
      </c>
      <c r="C47" s="57" t="s">
        <v>252</v>
      </c>
      <c r="D47" s="2202">
        <v>12983</v>
      </c>
      <c r="E47" s="2202">
        <v>3079</v>
      </c>
      <c r="F47" s="2199">
        <f t="shared" si="0"/>
        <v>0.2371562812909189</v>
      </c>
      <c r="G47" s="2202">
        <v>12667</v>
      </c>
      <c r="H47" s="2202">
        <v>2785</v>
      </c>
      <c r="I47" s="2199">
        <f t="shared" si="1"/>
        <v>0.21986263519381069</v>
      </c>
      <c r="J47" s="2202">
        <v>12115</v>
      </c>
      <c r="K47" s="2202">
        <v>2407</v>
      </c>
      <c r="L47" s="2199">
        <f t="shared" si="2"/>
        <v>0.19867932315311598</v>
      </c>
      <c r="M47" s="2202">
        <v>11797</v>
      </c>
      <c r="N47" s="2202">
        <v>2036</v>
      </c>
      <c r="O47" s="2199">
        <f t="shared" si="3"/>
        <v>0.17258625074171399</v>
      </c>
      <c r="P47" s="2202">
        <v>11246</v>
      </c>
      <c r="Q47" s="2202">
        <v>1832</v>
      </c>
      <c r="R47" s="2199">
        <f t="shared" si="4"/>
        <v>0.16290236528543481</v>
      </c>
      <c r="S47" s="2202">
        <v>10689</v>
      </c>
      <c r="T47" s="2202">
        <v>1608</v>
      </c>
      <c r="U47" s="2199">
        <f t="shared" si="5"/>
        <v>0.15043502666292449</v>
      </c>
      <c r="V47" s="2202">
        <v>10112</v>
      </c>
      <c r="W47" s="2202">
        <v>1518</v>
      </c>
      <c r="X47" s="2199">
        <f t="shared" si="6"/>
        <v>0.15011867088607594</v>
      </c>
      <c r="Y47" s="2202">
        <v>9288</v>
      </c>
      <c r="Z47" s="2202">
        <v>1255</v>
      </c>
      <c r="AA47" s="2199">
        <f t="shared" si="7"/>
        <v>0.13512058570198104</v>
      </c>
    </row>
    <row r="48" spans="1:27" x14ac:dyDescent="0.3">
      <c r="A48" s="56" t="s">
        <v>107</v>
      </c>
      <c r="B48" s="84" t="s">
        <v>108</v>
      </c>
      <c r="C48" s="57" t="s">
        <v>253</v>
      </c>
      <c r="D48" s="2202">
        <v>13887</v>
      </c>
      <c r="E48" s="2202">
        <v>4016</v>
      </c>
      <c r="F48" s="2199">
        <f t="shared" si="0"/>
        <v>0.28919133002088282</v>
      </c>
      <c r="G48" s="2202">
        <v>13448</v>
      </c>
      <c r="H48" s="2202">
        <v>3761</v>
      </c>
      <c r="I48" s="2199">
        <f t="shared" si="1"/>
        <v>0.27966983938132062</v>
      </c>
      <c r="J48" s="2202">
        <v>13922</v>
      </c>
      <c r="K48" s="2202">
        <v>3261</v>
      </c>
      <c r="L48" s="2199">
        <f t="shared" si="2"/>
        <v>0.23423358712828615</v>
      </c>
      <c r="M48" s="2202">
        <v>13263</v>
      </c>
      <c r="N48" s="2202">
        <v>2712</v>
      </c>
      <c r="O48" s="2199">
        <f t="shared" si="3"/>
        <v>0.20447862474553269</v>
      </c>
      <c r="P48" s="2202">
        <v>12860</v>
      </c>
      <c r="Q48" s="2202">
        <v>2545</v>
      </c>
      <c r="R48" s="2199">
        <f t="shared" si="4"/>
        <v>0.19790046656298602</v>
      </c>
      <c r="S48" s="2202">
        <v>12531</v>
      </c>
      <c r="T48" s="2202">
        <v>2646</v>
      </c>
      <c r="U48" s="2199">
        <f t="shared" si="5"/>
        <v>0.21115633229590616</v>
      </c>
      <c r="V48" s="2202">
        <v>12028</v>
      </c>
      <c r="W48" s="2202">
        <v>2348</v>
      </c>
      <c r="X48" s="2199">
        <f t="shared" si="6"/>
        <v>0.19521117392750251</v>
      </c>
      <c r="Y48" s="2202">
        <v>11702</v>
      </c>
      <c r="Z48" s="2202">
        <v>1953</v>
      </c>
      <c r="AA48" s="2199">
        <f t="shared" si="7"/>
        <v>0.166894547940523</v>
      </c>
    </row>
    <row r="49" spans="1:27" x14ac:dyDescent="0.3">
      <c r="A49" s="56" t="s">
        <v>109</v>
      </c>
      <c r="B49" s="84" t="s">
        <v>110</v>
      </c>
      <c r="C49" s="57" t="s">
        <v>253</v>
      </c>
      <c r="D49" s="2202">
        <v>72361</v>
      </c>
      <c r="E49" s="2202">
        <v>22225</v>
      </c>
      <c r="F49" s="2199">
        <f t="shared" si="0"/>
        <v>0.30714058678017164</v>
      </c>
      <c r="G49" s="2202">
        <v>73130</v>
      </c>
      <c r="H49" s="2202">
        <v>20597</v>
      </c>
      <c r="I49" s="2199">
        <f t="shared" si="1"/>
        <v>0.28164911800902503</v>
      </c>
      <c r="J49" s="2202">
        <v>71857</v>
      </c>
      <c r="K49" s="2202">
        <v>17744</v>
      </c>
      <c r="L49" s="2199">
        <f t="shared" si="2"/>
        <v>0.24693488456239476</v>
      </c>
      <c r="M49" s="2202">
        <v>69095</v>
      </c>
      <c r="N49" s="2202">
        <v>15073</v>
      </c>
      <c r="O49" s="2199">
        <f t="shared" si="3"/>
        <v>0.21814892539257544</v>
      </c>
      <c r="P49" s="2202">
        <v>65599</v>
      </c>
      <c r="Q49" s="2202">
        <v>13648</v>
      </c>
      <c r="R49" s="2199">
        <f t="shared" si="4"/>
        <v>0.20805195201146359</v>
      </c>
      <c r="S49" s="2202">
        <v>65280</v>
      </c>
      <c r="T49" s="2202">
        <v>13241</v>
      </c>
      <c r="U49" s="2199">
        <f t="shared" si="5"/>
        <v>0.20283394607843136</v>
      </c>
      <c r="V49" s="2202">
        <v>63335</v>
      </c>
      <c r="W49" s="2202">
        <v>13139</v>
      </c>
      <c r="X49" s="2199">
        <f t="shared" si="6"/>
        <v>0.20745243546222467</v>
      </c>
      <c r="Y49" s="2202">
        <v>59971</v>
      </c>
      <c r="Z49" s="2202">
        <v>10329</v>
      </c>
      <c r="AA49" s="2199">
        <f t="shared" si="7"/>
        <v>0.17223324606893331</v>
      </c>
    </row>
    <row r="50" spans="1:27" x14ac:dyDescent="0.3">
      <c r="A50" s="56" t="s">
        <v>111</v>
      </c>
      <c r="B50" s="84" t="s">
        <v>275</v>
      </c>
      <c r="C50" s="57" t="s">
        <v>252</v>
      </c>
      <c r="D50" s="2202">
        <v>26112</v>
      </c>
      <c r="E50" s="2202">
        <v>6644</v>
      </c>
      <c r="F50" s="2199">
        <f t="shared" si="0"/>
        <v>0.25444240196078433</v>
      </c>
      <c r="G50" s="2202">
        <v>25710</v>
      </c>
      <c r="H50" s="2202">
        <v>6026</v>
      </c>
      <c r="I50" s="2199">
        <f t="shared" si="1"/>
        <v>0.23438350836250485</v>
      </c>
      <c r="J50" s="2202">
        <v>24910</v>
      </c>
      <c r="K50" s="2202">
        <v>5250</v>
      </c>
      <c r="L50" s="2199">
        <f t="shared" si="2"/>
        <v>0.21075873143315937</v>
      </c>
      <c r="M50" s="2202">
        <v>24321</v>
      </c>
      <c r="N50" s="2202">
        <v>4422</v>
      </c>
      <c r="O50" s="2199">
        <f t="shared" si="3"/>
        <v>0.18181818181818182</v>
      </c>
      <c r="P50" s="2202">
        <v>23057</v>
      </c>
      <c r="Q50" s="2202">
        <v>3798</v>
      </c>
      <c r="R50" s="2199">
        <f t="shared" si="4"/>
        <v>0.16472221017478422</v>
      </c>
      <c r="S50" s="2202">
        <v>22229</v>
      </c>
      <c r="T50" s="2202">
        <v>3522</v>
      </c>
      <c r="U50" s="2199">
        <f t="shared" si="5"/>
        <v>0.15844167528903685</v>
      </c>
      <c r="V50" s="2202">
        <v>22507</v>
      </c>
      <c r="W50" s="2202">
        <v>3816</v>
      </c>
      <c r="X50" s="2199">
        <f t="shared" si="6"/>
        <v>0.169547251966055</v>
      </c>
      <c r="Y50" s="2202">
        <v>21272</v>
      </c>
      <c r="Z50" s="2202">
        <v>2666</v>
      </c>
      <c r="AA50" s="2199">
        <f t="shared" si="7"/>
        <v>0.12532907107935315</v>
      </c>
    </row>
    <row r="51" spans="1:27" x14ac:dyDescent="0.3">
      <c r="A51" s="56" t="s">
        <v>113</v>
      </c>
      <c r="B51" s="84" t="s">
        <v>114</v>
      </c>
      <c r="C51" s="57" t="s">
        <v>252</v>
      </c>
      <c r="D51" s="2202">
        <v>648</v>
      </c>
      <c r="E51" s="2202">
        <v>237</v>
      </c>
      <c r="F51" s="2199">
        <f t="shared" si="0"/>
        <v>0.36574074074074076</v>
      </c>
      <c r="G51" s="2202">
        <v>626</v>
      </c>
      <c r="H51" s="2202">
        <v>227</v>
      </c>
      <c r="I51" s="2199">
        <f t="shared" si="1"/>
        <v>0.36261980830670926</v>
      </c>
      <c r="J51" s="2202">
        <v>643</v>
      </c>
      <c r="K51" s="2202">
        <v>212</v>
      </c>
      <c r="L51" s="2199">
        <f t="shared" si="2"/>
        <v>0.3297045101088647</v>
      </c>
      <c r="M51" s="2202">
        <v>570</v>
      </c>
      <c r="N51" s="2202">
        <v>159</v>
      </c>
      <c r="O51" s="2199">
        <f t="shared" si="3"/>
        <v>0.27894736842105261</v>
      </c>
      <c r="P51" s="2202">
        <v>528</v>
      </c>
      <c r="Q51" s="2202">
        <v>126</v>
      </c>
      <c r="R51" s="2199">
        <f t="shared" si="4"/>
        <v>0.23863636363636365</v>
      </c>
      <c r="S51" s="2202">
        <v>505</v>
      </c>
      <c r="T51" s="2202">
        <v>125</v>
      </c>
      <c r="U51" s="2199">
        <f t="shared" si="5"/>
        <v>0.24752475247524752</v>
      </c>
      <c r="V51" s="2202">
        <v>519</v>
      </c>
      <c r="W51" s="2202">
        <v>124</v>
      </c>
      <c r="X51" s="2199">
        <f t="shared" si="6"/>
        <v>0.23892100192678228</v>
      </c>
      <c r="Y51" s="2202">
        <v>505</v>
      </c>
      <c r="Z51" s="2202">
        <v>95</v>
      </c>
      <c r="AA51" s="2199">
        <f t="shared" si="7"/>
        <v>0.18811881188118812</v>
      </c>
    </row>
    <row r="52" spans="1:27" x14ac:dyDescent="0.3">
      <c r="A52" s="56" t="s">
        <v>117</v>
      </c>
      <c r="B52" s="84" t="s">
        <v>257</v>
      </c>
      <c r="C52" s="57" t="s">
        <v>251</v>
      </c>
      <c r="D52" s="2202">
        <v>7234</v>
      </c>
      <c r="E52" s="2202">
        <v>1927</v>
      </c>
      <c r="F52" s="2199">
        <f t="shared" si="0"/>
        <v>0.26638097871163946</v>
      </c>
      <c r="G52" s="2202">
        <v>7309</v>
      </c>
      <c r="H52" s="2202">
        <v>1820</v>
      </c>
      <c r="I52" s="2199">
        <f t="shared" si="1"/>
        <v>0.24900807223970448</v>
      </c>
      <c r="J52" s="2202">
        <v>7328</v>
      </c>
      <c r="K52" s="2202">
        <v>1761</v>
      </c>
      <c r="L52" s="2199">
        <f t="shared" si="2"/>
        <v>0.24031113537117904</v>
      </c>
      <c r="M52" s="2202">
        <v>6970</v>
      </c>
      <c r="N52" s="2202">
        <v>1316</v>
      </c>
      <c r="O52" s="2199">
        <f t="shared" si="3"/>
        <v>0.18880918220946916</v>
      </c>
      <c r="P52" s="2202">
        <v>6776</v>
      </c>
      <c r="Q52" s="2202">
        <v>1249</v>
      </c>
      <c r="R52" s="2199">
        <f t="shared" si="4"/>
        <v>0.18432703659976388</v>
      </c>
      <c r="S52" s="2202">
        <v>6486</v>
      </c>
      <c r="T52" s="2202">
        <v>1199</v>
      </c>
      <c r="U52" s="2199">
        <f t="shared" si="5"/>
        <v>0.18485969781066913</v>
      </c>
      <c r="V52" s="2202">
        <v>6575</v>
      </c>
      <c r="W52" s="2202">
        <v>1202</v>
      </c>
      <c r="X52" s="2199">
        <f t="shared" si="6"/>
        <v>0.18281368821292776</v>
      </c>
      <c r="Y52" s="2202">
        <v>6207</v>
      </c>
      <c r="Z52" s="2202">
        <v>1002</v>
      </c>
      <c r="AA52" s="2199">
        <f t="shared" si="7"/>
        <v>0.16143064282261962</v>
      </c>
    </row>
    <row r="53" spans="1:27" x14ac:dyDescent="0.3">
      <c r="A53" s="56" t="s">
        <v>119</v>
      </c>
      <c r="B53" s="84" t="s">
        <v>120</v>
      </c>
      <c r="C53" s="57" t="s">
        <v>251</v>
      </c>
      <c r="D53" s="2202">
        <v>10441</v>
      </c>
      <c r="E53" s="2202">
        <v>3313</v>
      </c>
      <c r="F53" s="2199">
        <f t="shared" si="0"/>
        <v>0.31730677138205154</v>
      </c>
      <c r="G53" s="2202">
        <v>10912</v>
      </c>
      <c r="H53" s="2202">
        <v>3361</v>
      </c>
      <c r="I53" s="2199">
        <f t="shared" si="1"/>
        <v>0.30800953079178883</v>
      </c>
      <c r="J53" s="2202">
        <v>11455</v>
      </c>
      <c r="K53" s="2202">
        <v>2999</v>
      </c>
      <c r="L53" s="2199">
        <f t="shared" si="2"/>
        <v>0.2618070711479703</v>
      </c>
      <c r="M53" s="2202">
        <v>10522</v>
      </c>
      <c r="N53" s="2202">
        <v>2448</v>
      </c>
      <c r="O53" s="2199">
        <f t="shared" si="3"/>
        <v>0.23265538870937083</v>
      </c>
      <c r="P53" s="2202">
        <v>10199</v>
      </c>
      <c r="Q53" s="2202">
        <v>2113</v>
      </c>
      <c r="R53" s="2199">
        <f t="shared" si="4"/>
        <v>0.20717717423276791</v>
      </c>
      <c r="S53" s="2202">
        <v>10273</v>
      </c>
      <c r="T53" s="2202">
        <v>2348</v>
      </c>
      <c r="U53" s="2199">
        <f t="shared" si="5"/>
        <v>0.22856030370875111</v>
      </c>
      <c r="V53" s="2202">
        <v>10007</v>
      </c>
      <c r="W53" s="2202">
        <v>2017</v>
      </c>
      <c r="X53" s="2199">
        <f t="shared" si="6"/>
        <v>0.20155890876386529</v>
      </c>
      <c r="Y53" s="2202">
        <v>9253</v>
      </c>
      <c r="Z53" s="2202">
        <v>1611</v>
      </c>
      <c r="AA53" s="2199">
        <f t="shared" si="7"/>
        <v>0.17410569545012428</v>
      </c>
    </row>
    <row r="54" spans="1:27" x14ac:dyDescent="0.3">
      <c r="A54" s="56" t="s">
        <v>121</v>
      </c>
      <c r="B54" s="84" t="s">
        <v>258</v>
      </c>
      <c r="C54" s="57" t="s">
        <v>253</v>
      </c>
      <c r="D54" s="2202">
        <v>2068</v>
      </c>
      <c r="E54" s="2202">
        <v>602</v>
      </c>
      <c r="F54" s="2199">
        <f t="shared" si="0"/>
        <v>0.29110251450676983</v>
      </c>
      <c r="G54" s="2202">
        <v>2035</v>
      </c>
      <c r="H54" s="2202">
        <v>588</v>
      </c>
      <c r="I54" s="2199">
        <f t="shared" si="1"/>
        <v>0.28894348894348892</v>
      </c>
      <c r="J54" s="2202">
        <v>1984</v>
      </c>
      <c r="K54" s="2202">
        <v>529</v>
      </c>
      <c r="L54" s="2199">
        <f t="shared" si="2"/>
        <v>0.26663306451612906</v>
      </c>
      <c r="M54" s="2202">
        <v>1958</v>
      </c>
      <c r="N54" s="2202">
        <v>441</v>
      </c>
      <c r="O54" s="2199">
        <f t="shared" si="3"/>
        <v>0.22522982635342187</v>
      </c>
      <c r="P54" s="2202">
        <v>1864</v>
      </c>
      <c r="Q54" s="2202">
        <v>409</v>
      </c>
      <c r="R54" s="2199">
        <f t="shared" si="4"/>
        <v>0.21942060085836909</v>
      </c>
      <c r="S54" s="2202">
        <v>1779</v>
      </c>
      <c r="T54" s="2202">
        <v>379</v>
      </c>
      <c r="U54" s="2199">
        <f t="shared" si="5"/>
        <v>0.21304103428892637</v>
      </c>
      <c r="V54" s="2202">
        <v>1790</v>
      </c>
      <c r="W54" s="2202">
        <v>386</v>
      </c>
      <c r="X54" s="2199">
        <f t="shared" si="6"/>
        <v>0.21564245810055865</v>
      </c>
      <c r="Y54" s="2202">
        <v>1677</v>
      </c>
      <c r="Z54" s="2202">
        <v>303</v>
      </c>
      <c r="AA54" s="2199">
        <f t="shared" si="7"/>
        <v>0.18067978533094811</v>
      </c>
    </row>
    <row r="55" spans="1:27" x14ac:dyDescent="0.3">
      <c r="A55" s="56" t="s">
        <v>123</v>
      </c>
      <c r="B55" s="84" t="s">
        <v>124</v>
      </c>
      <c r="C55" s="57" t="s">
        <v>254</v>
      </c>
      <c r="D55" s="2202">
        <v>4542</v>
      </c>
      <c r="E55" s="2202">
        <v>1135</v>
      </c>
      <c r="F55" s="2199">
        <f t="shared" si="0"/>
        <v>0.24988991633641566</v>
      </c>
      <c r="G55" s="2202">
        <v>4638</v>
      </c>
      <c r="H55" s="2202">
        <v>1144</v>
      </c>
      <c r="I55" s="2199">
        <f t="shared" si="1"/>
        <v>0.24665804225959465</v>
      </c>
      <c r="J55" s="2202">
        <v>4753</v>
      </c>
      <c r="K55" s="2202">
        <v>1008</v>
      </c>
      <c r="L55" s="2199">
        <f t="shared" si="2"/>
        <v>0.21207658321060383</v>
      </c>
      <c r="M55" s="2202">
        <v>4520</v>
      </c>
      <c r="N55" s="2202">
        <v>761</v>
      </c>
      <c r="O55" s="2199">
        <f t="shared" si="3"/>
        <v>0.16836283185840709</v>
      </c>
      <c r="P55" s="2202">
        <v>4434</v>
      </c>
      <c r="Q55" s="2202">
        <v>743</v>
      </c>
      <c r="R55" s="2199">
        <f t="shared" si="4"/>
        <v>0.16756878664862426</v>
      </c>
      <c r="S55" s="2202">
        <v>4342</v>
      </c>
      <c r="T55" s="2202">
        <v>713</v>
      </c>
      <c r="U55" s="2199">
        <f t="shared" si="5"/>
        <v>0.16421004145555043</v>
      </c>
      <c r="V55" s="2202">
        <v>4510</v>
      </c>
      <c r="W55" s="2202">
        <v>743</v>
      </c>
      <c r="X55" s="2199">
        <f t="shared" si="6"/>
        <v>0.16474501108647449</v>
      </c>
      <c r="Y55" s="2202">
        <v>4224</v>
      </c>
      <c r="Z55" s="2202">
        <v>590</v>
      </c>
      <c r="AA55" s="2199">
        <f t="shared" si="7"/>
        <v>0.1396780303030303</v>
      </c>
    </row>
    <row r="56" spans="1:27" x14ac:dyDescent="0.3">
      <c r="A56" s="56" t="s">
        <v>125</v>
      </c>
      <c r="B56" s="84" t="s">
        <v>126</v>
      </c>
      <c r="C56" s="57" t="s">
        <v>253</v>
      </c>
      <c r="D56" s="2202">
        <v>3659</v>
      </c>
      <c r="E56" s="2202">
        <v>1055</v>
      </c>
      <c r="F56" s="2199">
        <f t="shared" si="0"/>
        <v>0.2883301448483192</v>
      </c>
      <c r="G56" s="2202">
        <v>3687</v>
      </c>
      <c r="H56" s="2202">
        <v>988</v>
      </c>
      <c r="I56" s="2199">
        <f t="shared" si="1"/>
        <v>0.26796853810686194</v>
      </c>
      <c r="J56" s="2202">
        <v>3648</v>
      </c>
      <c r="K56" s="2202">
        <v>861</v>
      </c>
      <c r="L56" s="2199">
        <f t="shared" si="2"/>
        <v>0.23601973684210525</v>
      </c>
      <c r="M56" s="2202">
        <v>3562</v>
      </c>
      <c r="N56" s="2202">
        <v>679</v>
      </c>
      <c r="O56" s="2199">
        <f t="shared" si="3"/>
        <v>0.19062324536777092</v>
      </c>
      <c r="P56" s="2202">
        <v>3407</v>
      </c>
      <c r="Q56" s="2202">
        <v>620</v>
      </c>
      <c r="R56" s="2199">
        <f t="shared" si="4"/>
        <v>0.18197828001174055</v>
      </c>
      <c r="S56" s="2202">
        <v>3376</v>
      </c>
      <c r="T56" s="2202">
        <v>600</v>
      </c>
      <c r="U56" s="2199">
        <f t="shared" si="5"/>
        <v>0.17772511848341233</v>
      </c>
      <c r="V56" s="2202">
        <v>3327</v>
      </c>
      <c r="W56" s="2202">
        <v>594</v>
      </c>
      <c r="X56" s="2199">
        <f t="shared" si="6"/>
        <v>0.17853922452660054</v>
      </c>
      <c r="Y56" s="2202">
        <v>3301</v>
      </c>
      <c r="Z56" s="2202">
        <v>470</v>
      </c>
      <c r="AA56" s="2199">
        <f t="shared" si="7"/>
        <v>0.1423810966373826</v>
      </c>
    </row>
    <row r="57" spans="1:27" x14ac:dyDescent="0.3">
      <c r="A57" s="56" t="s">
        <v>127</v>
      </c>
      <c r="B57" s="84" t="s">
        <v>128</v>
      </c>
      <c r="C57" s="57" t="s">
        <v>253</v>
      </c>
      <c r="D57" s="2202">
        <v>2413</v>
      </c>
      <c r="E57" s="2202">
        <v>660</v>
      </c>
      <c r="F57" s="2199">
        <f t="shared" si="0"/>
        <v>0.27351844177372564</v>
      </c>
      <c r="G57" s="2202">
        <v>2438</v>
      </c>
      <c r="H57" s="2202">
        <v>613</v>
      </c>
      <c r="I57" s="2199">
        <f t="shared" si="1"/>
        <v>0.25143560295324036</v>
      </c>
      <c r="J57" s="2202">
        <v>2333</v>
      </c>
      <c r="K57" s="2202">
        <v>565</v>
      </c>
      <c r="L57" s="2199">
        <f t="shared" si="2"/>
        <v>0.24217745392198886</v>
      </c>
      <c r="M57" s="2202">
        <v>2208</v>
      </c>
      <c r="N57" s="2202">
        <v>461</v>
      </c>
      <c r="O57" s="2199">
        <f t="shared" si="3"/>
        <v>0.20878623188405798</v>
      </c>
      <c r="P57" s="2202">
        <v>2169</v>
      </c>
      <c r="Q57" s="2202">
        <v>419</v>
      </c>
      <c r="R57" s="2199">
        <f t="shared" si="4"/>
        <v>0.19317657906869526</v>
      </c>
      <c r="S57" s="2202">
        <v>2133</v>
      </c>
      <c r="T57" s="2202">
        <v>421</v>
      </c>
      <c r="U57" s="2199">
        <f t="shared" si="5"/>
        <v>0.19737458977965308</v>
      </c>
      <c r="V57" s="2202">
        <v>2179</v>
      </c>
      <c r="W57" s="2202">
        <v>461</v>
      </c>
      <c r="X57" s="2199">
        <f t="shared" si="6"/>
        <v>0.21156493804497475</v>
      </c>
      <c r="Y57" s="2202">
        <v>2060</v>
      </c>
      <c r="Z57" s="2202">
        <v>360</v>
      </c>
      <c r="AA57" s="2199">
        <f t="shared" si="7"/>
        <v>0.17475728155339806</v>
      </c>
    </row>
    <row r="58" spans="1:27" x14ac:dyDescent="0.3">
      <c r="A58" s="56" t="s">
        <v>129</v>
      </c>
      <c r="B58" s="84" t="s">
        <v>130</v>
      </c>
      <c r="C58" s="57" t="s">
        <v>255</v>
      </c>
      <c r="D58" s="2202">
        <v>10079</v>
      </c>
      <c r="E58" s="2202">
        <v>2186</v>
      </c>
      <c r="F58" s="2199">
        <f t="shared" si="0"/>
        <v>0.21688659589244966</v>
      </c>
      <c r="G58" s="2202">
        <v>9865</v>
      </c>
      <c r="H58" s="2202">
        <v>1936</v>
      </c>
      <c r="I58" s="2199">
        <f t="shared" si="1"/>
        <v>0.19624936644703497</v>
      </c>
      <c r="J58" s="2202">
        <v>9707</v>
      </c>
      <c r="K58" s="2202">
        <v>1962</v>
      </c>
      <c r="L58" s="2199">
        <f t="shared" si="2"/>
        <v>0.20212217987019676</v>
      </c>
      <c r="M58" s="2202">
        <v>9495</v>
      </c>
      <c r="N58" s="2202">
        <v>1535</v>
      </c>
      <c r="O58" s="2199">
        <f t="shared" si="3"/>
        <v>0.1616640337019484</v>
      </c>
      <c r="P58" s="2202">
        <v>9121</v>
      </c>
      <c r="Q58" s="2202">
        <v>1493</v>
      </c>
      <c r="R58" s="2199">
        <f t="shared" si="4"/>
        <v>0.16368819208420129</v>
      </c>
      <c r="S58" s="2202">
        <v>8961</v>
      </c>
      <c r="T58" s="2202">
        <v>1278</v>
      </c>
      <c r="U58" s="2199">
        <f t="shared" si="5"/>
        <v>0.14261801138265817</v>
      </c>
      <c r="V58" s="2202">
        <v>8625</v>
      </c>
      <c r="W58" s="2202">
        <v>1227</v>
      </c>
      <c r="X58" s="2199">
        <f t="shared" si="6"/>
        <v>0.14226086956521738</v>
      </c>
      <c r="Y58" s="2202">
        <v>8325</v>
      </c>
      <c r="Z58" s="2202">
        <v>967</v>
      </c>
      <c r="AA58" s="2199">
        <f t="shared" si="7"/>
        <v>0.11615615615615615</v>
      </c>
    </row>
    <row r="59" spans="1:27" x14ac:dyDescent="0.3">
      <c r="A59" s="56" t="s">
        <v>131</v>
      </c>
      <c r="B59" s="84" t="s">
        <v>132</v>
      </c>
      <c r="C59" s="57" t="s">
        <v>254</v>
      </c>
      <c r="D59" s="2202">
        <v>30686</v>
      </c>
      <c r="E59" s="2202">
        <v>12003</v>
      </c>
      <c r="F59" s="2199">
        <f t="shared" si="0"/>
        <v>0.39115557583262728</v>
      </c>
      <c r="G59" s="2202">
        <v>31394</v>
      </c>
      <c r="H59" s="2202">
        <v>11784</v>
      </c>
      <c r="I59" s="2199">
        <f t="shared" si="1"/>
        <v>0.37535834872905649</v>
      </c>
      <c r="J59" s="2202">
        <v>33221</v>
      </c>
      <c r="K59" s="2202">
        <v>10393</v>
      </c>
      <c r="L59" s="2199">
        <f t="shared" si="2"/>
        <v>0.31284428524126306</v>
      </c>
      <c r="M59" s="2202">
        <v>32721</v>
      </c>
      <c r="N59" s="2202">
        <v>9875</v>
      </c>
      <c r="O59" s="2199">
        <f t="shared" si="3"/>
        <v>0.30179395495247702</v>
      </c>
      <c r="P59" s="2202">
        <v>32965</v>
      </c>
      <c r="Q59" s="2202">
        <v>9763</v>
      </c>
      <c r="R59" s="2199">
        <f t="shared" si="4"/>
        <v>0.29616259669346279</v>
      </c>
      <c r="S59" s="2202">
        <v>33422</v>
      </c>
      <c r="T59" s="2202">
        <v>8891</v>
      </c>
      <c r="U59" s="2199">
        <f t="shared" si="5"/>
        <v>0.26602238046795523</v>
      </c>
      <c r="V59" s="2202">
        <v>33966</v>
      </c>
      <c r="W59" s="2202">
        <v>9858</v>
      </c>
      <c r="X59" s="2199">
        <f t="shared" si="6"/>
        <v>0.29023140787846669</v>
      </c>
      <c r="Y59" s="2202">
        <v>33061</v>
      </c>
      <c r="Z59" s="2202">
        <v>7951</v>
      </c>
      <c r="AA59" s="2199">
        <f t="shared" si="7"/>
        <v>0.240494842866217</v>
      </c>
    </row>
    <row r="60" spans="1:27" x14ac:dyDescent="0.3">
      <c r="A60" s="56" t="s">
        <v>133</v>
      </c>
      <c r="B60" s="84" t="s">
        <v>134</v>
      </c>
      <c r="C60" s="57" t="s">
        <v>254</v>
      </c>
      <c r="D60" s="2202">
        <v>8408</v>
      </c>
      <c r="E60" s="2202">
        <v>2596</v>
      </c>
      <c r="F60" s="2199">
        <f t="shared" si="0"/>
        <v>0.30875356803044718</v>
      </c>
      <c r="G60" s="2202">
        <v>8498</v>
      </c>
      <c r="H60" s="2202">
        <v>2629</v>
      </c>
      <c r="I60" s="2199">
        <f t="shared" si="1"/>
        <v>0.30936690986114379</v>
      </c>
      <c r="J60" s="2202">
        <v>8329</v>
      </c>
      <c r="K60" s="2202">
        <v>2222</v>
      </c>
      <c r="L60" s="2199">
        <f t="shared" si="2"/>
        <v>0.26677872493696725</v>
      </c>
      <c r="M60" s="2202">
        <v>8240</v>
      </c>
      <c r="N60" s="2202">
        <v>1962</v>
      </c>
      <c r="O60" s="2199">
        <f t="shared" si="3"/>
        <v>0.23810679611650484</v>
      </c>
      <c r="P60" s="2202">
        <v>8248</v>
      </c>
      <c r="Q60" s="2202">
        <v>1896</v>
      </c>
      <c r="R60" s="2199">
        <f t="shared" si="4"/>
        <v>0.22987390882638215</v>
      </c>
      <c r="S60" s="2202">
        <v>8071</v>
      </c>
      <c r="T60" s="2202">
        <v>1716</v>
      </c>
      <c r="U60" s="2199">
        <f t="shared" si="5"/>
        <v>0.2126130591004832</v>
      </c>
      <c r="V60" s="2202">
        <v>8205</v>
      </c>
      <c r="W60" s="2202">
        <v>1833</v>
      </c>
      <c r="X60" s="2199">
        <f t="shared" si="6"/>
        <v>0.22340036563071297</v>
      </c>
      <c r="Y60" s="2202">
        <v>8009</v>
      </c>
      <c r="Z60" s="2202">
        <v>1559</v>
      </c>
      <c r="AA60" s="2199">
        <f t="shared" si="7"/>
        <v>0.19465601198651517</v>
      </c>
    </row>
    <row r="61" spans="1:27" x14ac:dyDescent="0.3">
      <c r="A61" s="56" t="s">
        <v>135</v>
      </c>
      <c r="B61" s="84" t="s">
        <v>136</v>
      </c>
      <c r="C61" s="57" t="s">
        <v>253</v>
      </c>
      <c r="D61" s="2202">
        <v>4451</v>
      </c>
      <c r="E61" s="2202">
        <v>1194</v>
      </c>
      <c r="F61" s="2199">
        <f t="shared" si="0"/>
        <v>0.26825432487081557</v>
      </c>
      <c r="G61" s="2202">
        <v>4339</v>
      </c>
      <c r="H61" s="2202">
        <v>1106</v>
      </c>
      <c r="I61" s="2199">
        <f t="shared" si="1"/>
        <v>0.25489744180686796</v>
      </c>
      <c r="J61" s="2202">
        <v>4295</v>
      </c>
      <c r="K61" s="2202">
        <v>1050</v>
      </c>
      <c r="L61" s="2199">
        <f t="shared" si="2"/>
        <v>0.24447031431897556</v>
      </c>
      <c r="M61" s="2202">
        <v>3980</v>
      </c>
      <c r="N61" s="2202">
        <v>836</v>
      </c>
      <c r="O61" s="2199">
        <f t="shared" si="3"/>
        <v>0.21005025125628141</v>
      </c>
      <c r="P61" s="2202">
        <v>3802</v>
      </c>
      <c r="Q61" s="2202">
        <v>748</v>
      </c>
      <c r="R61" s="2199">
        <f t="shared" si="4"/>
        <v>0.19673855865334033</v>
      </c>
      <c r="S61" s="2202">
        <v>3826</v>
      </c>
      <c r="T61" s="2202">
        <v>768</v>
      </c>
      <c r="U61" s="2199">
        <f t="shared" si="5"/>
        <v>0.20073183481442761</v>
      </c>
      <c r="V61" s="2202">
        <v>3653</v>
      </c>
      <c r="W61" s="2202">
        <v>755</v>
      </c>
      <c r="X61" s="2199">
        <f t="shared" si="6"/>
        <v>0.20667944155488641</v>
      </c>
      <c r="Y61" s="2202">
        <v>3477</v>
      </c>
      <c r="Z61" s="2202">
        <v>592</v>
      </c>
      <c r="AA61" s="2199">
        <f t="shared" si="7"/>
        <v>0.17026171987345412</v>
      </c>
    </row>
    <row r="62" spans="1:27" x14ac:dyDescent="0.3">
      <c r="A62" s="56" t="s">
        <v>139</v>
      </c>
      <c r="B62" s="84" t="s">
        <v>140</v>
      </c>
      <c r="C62" s="57" t="s">
        <v>254</v>
      </c>
      <c r="D62" s="2202">
        <v>3504</v>
      </c>
      <c r="E62" s="2202">
        <v>1086</v>
      </c>
      <c r="F62" s="2199">
        <f t="shared" si="0"/>
        <v>0.30993150684931509</v>
      </c>
      <c r="G62" s="2202">
        <v>3555</v>
      </c>
      <c r="H62" s="2202">
        <v>1012</v>
      </c>
      <c r="I62" s="2199">
        <f t="shared" si="1"/>
        <v>0.28466947960618849</v>
      </c>
      <c r="J62" s="2202">
        <v>3527</v>
      </c>
      <c r="K62" s="2202">
        <v>935</v>
      </c>
      <c r="L62" s="2199">
        <f t="shared" si="2"/>
        <v>0.26509781684150835</v>
      </c>
      <c r="M62" s="2202">
        <v>3569</v>
      </c>
      <c r="N62" s="2202">
        <v>797</v>
      </c>
      <c r="O62" s="2199">
        <f t="shared" si="3"/>
        <v>0.22331185205940038</v>
      </c>
      <c r="P62" s="2202">
        <v>3410</v>
      </c>
      <c r="Q62" s="2202">
        <v>774</v>
      </c>
      <c r="R62" s="2199">
        <f t="shared" si="4"/>
        <v>0.22697947214076247</v>
      </c>
      <c r="S62" s="2202">
        <v>3273</v>
      </c>
      <c r="T62" s="2202">
        <v>676</v>
      </c>
      <c r="U62" s="2199">
        <f t="shared" si="5"/>
        <v>0.20653834402688664</v>
      </c>
      <c r="V62" s="2202">
        <v>3211</v>
      </c>
      <c r="W62" s="2202">
        <v>647</v>
      </c>
      <c r="X62" s="2199">
        <f t="shared" si="6"/>
        <v>0.20149486141388975</v>
      </c>
      <c r="Y62" s="2202">
        <v>3081</v>
      </c>
      <c r="Z62" s="2202">
        <v>512</v>
      </c>
      <c r="AA62" s="2199">
        <f t="shared" si="7"/>
        <v>0.166179811749432</v>
      </c>
    </row>
    <row r="63" spans="1:27" x14ac:dyDescent="0.3">
      <c r="A63" s="56" t="s">
        <v>145</v>
      </c>
      <c r="B63" s="84" t="s">
        <v>146</v>
      </c>
      <c r="C63" s="57" t="s">
        <v>251</v>
      </c>
      <c r="D63" s="2202">
        <v>1855</v>
      </c>
      <c r="E63" s="2202">
        <v>567</v>
      </c>
      <c r="F63" s="2199">
        <f t="shared" si="0"/>
        <v>0.30566037735849055</v>
      </c>
      <c r="G63" s="2202">
        <v>1841</v>
      </c>
      <c r="H63" s="2202">
        <v>540</v>
      </c>
      <c r="I63" s="2199">
        <f t="shared" si="1"/>
        <v>0.29331884845192829</v>
      </c>
      <c r="J63" s="2202">
        <v>1769</v>
      </c>
      <c r="K63" s="2202">
        <v>460</v>
      </c>
      <c r="L63" s="2199">
        <f t="shared" si="2"/>
        <v>0.26003391746749577</v>
      </c>
      <c r="M63" s="2202">
        <v>1683</v>
      </c>
      <c r="N63" s="2202">
        <v>346</v>
      </c>
      <c r="O63" s="2199">
        <f t="shared" si="3"/>
        <v>0.20558526440879382</v>
      </c>
      <c r="P63" s="2202">
        <v>1500</v>
      </c>
      <c r="Q63" s="2202">
        <v>278</v>
      </c>
      <c r="R63" s="2199">
        <f t="shared" si="4"/>
        <v>0.18533333333333332</v>
      </c>
      <c r="S63" s="2202">
        <v>1515</v>
      </c>
      <c r="T63" s="2202">
        <v>292</v>
      </c>
      <c r="U63" s="2199">
        <f t="shared" si="5"/>
        <v>0.19273927392739273</v>
      </c>
      <c r="V63" s="2202">
        <v>1506</v>
      </c>
      <c r="W63" s="2202">
        <v>285</v>
      </c>
      <c r="X63" s="2199">
        <f t="shared" si="6"/>
        <v>0.18924302788844621</v>
      </c>
      <c r="Y63" s="2202">
        <v>1400</v>
      </c>
      <c r="Z63" s="2202">
        <v>237</v>
      </c>
      <c r="AA63" s="2199">
        <f t="shared" si="7"/>
        <v>0.16928571428571429</v>
      </c>
    </row>
    <row r="64" spans="1:27" x14ac:dyDescent="0.3">
      <c r="A64" s="56" t="s">
        <v>147</v>
      </c>
      <c r="B64" s="84" t="s">
        <v>148</v>
      </c>
      <c r="C64" s="57" t="s">
        <v>252</v>
      </c>
      <c r="D64" s="2202">
        <v>11542</v>
      </c>
      <c r="E64" s="2202">
        <v>3064</v>
      </c>
      <c r="F64" s="2199">
        <f t="shared" si="0"/>
        <v>0.26546525732108822</v>
      </c>
      <c r="G64" s="2202">
        <v>11027</v>
      </c>
      <c r="H64" s="2202">
        <v>2696</v>
      </c>
      <c r="I64" s="2199">
        <f t="shared" si="1"/>
        <v>0.24449079532057677</v>
      </c>
      <c r="J64" s="2202">
        <v>10460</v>
      </c>
      <c r="K64" s="2202">
        <v>2369</v>
      </c>
      <c r="L64" s="2199">
        <f t="shared" si="2"/>
        <v>0.22648183556405355</v>
      </c>
      <c r="M64" s="2202">
        <v>10250</v>
      </c>
      <c r="N64" s="2202">
        <v>2067</v>
      </c>
      <c r="O64" s="2199">
        <f t="shared" si="3"/>
        <v>0.20165853658536587</v>
      </c>
      <c r="P64" s="2202">
        <v>9628</v>
      </c>
      <c r="Q64" s="2202">
        <v>1674</v>
      </c>
      <c r="R64" s="2199">
        <f t="shared" si="4"/>
        <v>0.17386788533444122</v>
      </c>
      <c r="S64" s="2202">
        <v>9297</v>
      </c>
      <c r="T64" s="2202">
        <v>1474</v>
      </c>
      <c r="U64" s="2199">
        <f t="shared" si="5"/>
        <v>0.15854576745186619</v>
      </c>
      <c r="V64" s="2202">
        <v>9035</v>
      </c>
      <c r="W64" s="2202">
        <v>1375</v>
      </c>
      <c r="X64" s="2199">
        <f t="shared" si="6"/>
        <v>0.15218594355285003</v>
      </c>
      <c r="Y64" s="2202">
        <v>8967</v>
      </c>
      <c r="Z64" s="2202">
        <v>1286</v>
      </c>
      <c r="AA64" s="2199">
        <f t="shared" si="7"/>
        <v>0.14341474294635886</v>
      </c>
    </row>
    <row r="65" spans="1:27" x14ac:dyDescent="0.3">
      <c r="A65" s="56" t="s">
        <v>149</v>
      </c>
      <c r="B65" s="84" t="s">
        <v>150</v>
      </c>
      <c r="C65" s="57" t="s">
        <v>253</v>
      </c>
      <c r="D65" s="2202">
        <v>2457</v>
      </c>
      <c r="E65" s="2202">
        <v>727</v>
      </c>
      <c r="F65" s="2199">
        <f t="shared" si="0"/>
        <v>0.29588929588929591</v>
      </c>
      <c r="G65" s="2202">
        <v>2399</v>
      </c>
      <c r="H65" s="2202">
        <v>671</v>
      </c>
      <c r="I65" s="2199">
        <f t="shared" si="1"/>
        <v>0.27969987494789494</v>
      </c>
      <c r="J65" s="2202">
        <v>2317</v>
      </c>
      <c r="K65" s="2202">
        <v>550</v>
      </c>
      <c r="L65" s="2199">
        <f t="shared" si="2"/>
        <v>0.23737591713422529</v>
      </c>
      <c r="M65" s="2202">
        <v>2275</v>
      </c>
      <c r="N65" s="2202">
        <v>447</v>
      </c>
      <c r="O65" s="2199">
        <f t="shared" si="3"/>
        <v>0.19648351648351647</v>
      </c>
      <c r="P65" s="2202">
        <v>2221</v>
      </c>
      <c r="Q65" s="2202">
        <v>440</v>
      </c>
      <c r="R65" s="2199">
        <f t="shared" si="4"/>
        <v>0.19810895992796038</v>
      </c>
      <c r="S65" s="2202">
        <v>2141</v>
      </c>
      <c r="T65" s="2202">
        <v>404</v>
      </c>
      <c r="U65" s="2199">
        <f t="shared" si="5"/>
        <v>0.18869687062120505</v>
      </c>
      <c r="V65" s="2202">
        <v>2183</v>
      </c>
      <c r="W65" s="2202">
        <v>397</v>
      </c>
      <c r="X65" s="2199">
        <f t="shared" si="6"/>
        <v>0.18185982592762254</v>
      </c>
      <c r="Y65" s="2202">
        <v>2006</v>
      </c>
      <c r="Z65" s="2202">
        <v>333</v>
      </c>
      <c r="AA65" s="2199">
        <f t="shared" si="7"/>
        <v>0.16600199401794616</v>
      </c>
    </row>
    <row r="66" spans="1:27" x14ac:dyDescent="0.3">
      <c r="A66" s="56" t="s">
        <v>151</v>
      </c>
      <c r="B66" s="84" t="s">
        <v>152</v>
      </c>
      <c r="C66" s="57" t="s">
        <v>255</v>
      </c>
      <c r="D66" s="2202">
        <v>32603</v>
      </c>
      <c r="E66" s="2202">
        <v>8614</v>
      </c>
      <c r="F66" s="2199">
        <f t="shared" si="0"/>
        <v>0.26420881513971106</v>
      </c>
      <c r="G66" s="2202">
        <v>31896</v>
      </c>
      <c r="H66" s="2202">
        <v>8053</v>
      </c>
      <c r="I66" s="2199">
        <f t="shared" si="1"/>
        <v>0.25247679959869573</v>
      </c>
      <c r="J66" s="2202">
        <v>32249</v>
      </c>
      <c r="K66" s="2202">
        <v>7610</v>
      </c>
      <c r="L66" s="2199">
        <f t="shared" si="2"/>
        <v>0.23597630934292535</v>
      </c>
      <c r="M66" s="2202">
        <v>30573</v>
      </c>
      <c r="N66" s="2202">
        <v>5861</v>
      </c>
      <c r="O66" s="2199">
        <f t="shared" si="3"/>
        <v>0.19170509927059823</v>
      </c>
      <c r="P66" s="2202">
        <v>29811</v>
      </c>
      <c r="Q66" s="2202">
        <v>5013</v>
      </c>
      <c r="R66" s="2199">
        <f t="shared" si="4"/>
        <v>0.16815940424675455</v>
      </c>
      <c r="S66" s="2202">
        <v>28490</v>
      </c>
      <c r="T66" s="2202">
        <v>5299</v>
      </c>
      <c r="U66" s="2199">
        <f t="shared" si="5"/>
        <v>0.18599508599508599</v>
      </c>
      <c r="V66" s="2202">
        <v>28124</v>
      </c>
      <c r="W66" s="2202">
        <v>4982</v>
      </c>
      <c r="X66" s="2199">
        <f t="shared" si="6"/>
        <v>0.17714407623382164</v>
      </c>
      <c r="Y66" s="2202">
        <v>26274</v>
      </c>
      <c r="Z66" s="2202">
        <v>3809</v>
      </c>
      <c r="AA66" s="2199">
        <f t="shared" si="7"/>
        <v>0.14497221587881556</v>
      </c>
    </row>
    <row r="67" spans="1:27" x14ac:dyDescent="0.3">
      <c r="A67" s="56" t="s">
        <v>153</v>
      </c>
      <c r="B67" s="84" t="s">
        <v>154</v>
      </c>
      <c r="C67" s="57" t="s">
        <v>252</v>
      </c>
      <c r="D67" s="2202">
        <v>4120</v>
      </c>
      <c r="E67" s="2202">
        <v>1200</v>
      </c>
      <c r="F67" s="2199">
        <f t="shared" si="0"/>
        <v>0.29126213592233008</v>
      </c>
      <c r="G67" s="2202">
        <v>4116</v>
      </c>
      <c r="H67" s="2202">
        <v>1129</v>
      </c>
      <c r="I67" s="2199">
        <f t="shared" si="1"/>
        <v>0.27429543245869775</v>
      </c>
      <c r="J67" s="2202">
        <v>3972</v>
      </c>
      <c r="K67" s="2202">
        <v>1066</v>
      </c>
      <c r="L67" s="2199">
        <f t="shared" si="2"/>
        <v>0.26837865055387716</v>
      </c>
      <c r="M67" s="2202">
        <v>3688</v>
      </c>
      <c r="N67" s="2202">
        <v>854</v>
      </c>
      <c r="O67" s="2199">
        <f t="shared" si="3"/>
        <v>0.23156182212581344</v>
      </c>
      <c r="P67" s="2202">
        <v>3637</v>
      </c>
      <c r="Q67" s="2202">
        <v>815</v>
      </c>
      <c r="R67" s="2199">
        <f t="shared" si="4"/>
        <v>0.22408578498762716</v>
      </c>
      <c r="S67" s="2202">
        <v>3540</v>
      </c>
      <c r="T67" s="2202">
        <v>761</v>
      </c>
      <c r="U67" s="2199">
        <f t="shared" si="5"/>
        <v>0.21497175141242938</v>
      </c>
      <c r="V67" s="2202">
        <v>3425</v>
      </c>
      <c r="W67" s="2202">
        <v>743</v>
      </c>
      <c r="X67" s="2199">
        <f t="shared" si="6"/>
        <v>0.21693430656934307</v>
      </c>
      <c r="Y67" s="2202">
        <v>3176</v>
      </c>
      <c r="Z67" s="2202">
        <v>614</v>
      </c>
      <c r="AA67" s="2199">
        <f t="shared" si="7"/>
        <v>0.19332493702770781</v>
      </c>
    </row>
    <row r="68" spans="1:27" x14ac:dyDescent="0.3">
      <c r="A68" s="56" t="s">
        <v>155</v>
      </c>
      <c r="B68" s="84" t="s">
        <v>156</v>
      </c>
      <c r="C68" s="57" t="s">
        <v>253</v>
      </c>
      <c r="D68" s="2202">
        <v>3088</v>
      </c>
      <c r="E68" s="2202">
        <v>1035</v>
      </c>
      <c r="F68" s="2199">
        <f t="shared" si="0"/>
        <v>0.33516839378238344</v>
      </c>
      <c r="G68" s="2202">
        <v>3030</v>
      </c>
      <c r="H68" s="2202">
        <v>953</v>
      </c>
      <c r="I68" s="2199">
        <f t="shared" si="1"/>
        <v>0.31452145214521454</v>
      </c>
      <c r="J68" s="2202">
        <v>2925</v>
      </c>
      <c r="K68" s="2202">
        <v>851</v>
      </c>
      <c r="L68" s="2199">
        <f t="shared" si="2"/>
        <v>0.29094017094017094</v>
      </c>
      <c r="M68" s="2202">
        <v>2789</v>
      </c>
      <c r="N68" s="2202">
        <v>697</v>
      </c>
      <c r="O68" s="2199">
        <f t="shared" si="3"/>
        <v>0.24991036213696666</v>
      </c>
      <c r="P68" s="2202">
        <v>2741</v>
      </c>
      <c r="Q68" s="2202">
        <v>623</v>
      </c>
      <c r="R68" s="2199">
        <f t="shared" si="4"/>
        <v>0.22728931047063117</v>
      </c>
      <c r="S68" s="2202">
        <v>2584</v>
      </c>
      <c r="T68" s="2202">
        <v>599</v>
      </c>
      <c r="U68" s="2199">
        <f t="shared" si="5"/>
        <v>0.23181114551083593</v>
      </c>
      <c r="V68" s="2202">
        <v>2588</v>
      </c>
      <c r="W68" s="2202">
        <v>576</v>
      </c>
      <c r="X68" s="2199">
        <f t="shared" si="6"/>
        <v>0.22256568778979907</v>
      </c>
      <c r="Y68" s="2202">
        <v>2602</v>
      </c>
      <c r="Z68" s="2202">
        <v>508</v>
      </c>
      <c r="AA68" s="2199">
        <f t="shared" si="7"/>
        <v>0.19523443504996157</v>
      </c>
    </row>
    <row r="69" spans="1:27" x14ac:dyDescent="0.3">
      <c r="A69" s="56" t="s">
        <v>161</v>
      </c>
      <c r="B69" s="84" t="s">
        <v>162</v>
      </c>
      <c r="C69" s="57" t="s">
        <v>251</v>
      </c>
      <c r="D69" s="2202">
        <v>4437</v>
      </c>
      <c r="E69" s="2202">
        <v>1261</v>
      </c>
      <c r="F69" s="2199">
        <f t="shared" si="0"/>
        <v>0.28420103673653369</v>
      </c>
      <c r="G69" s="2202">
        <v>4423</v>
      </c>
      <c r="H69" s="2202">
        <v>1258</v>
      </c>
      <c r="I69" s="2199">
        <f t="shared" si="1"/>
        <v>0.28442233777978748</v>
      </c>
      <c r="J69" s="2202">
        <v>4288</v>
      </c>
      <c r="K69" s="2202">
        <v>1142</v>
      </c>
      <c r="L69" s="2199">
        <f t="shared" si="2"/>
        <v>0.26632462686567165</v>
      </c>
      <c r="M69" s="2202">
        <v>4189</v>
      </c>
      <c r="N69" s="2202">
        <v>921</v>
      </c>
      <c r="O69" s="2199">
        <f t="shared" si="3"/>
        <v>0.2198615421341609</v>
      </c>
      <c r="P69" s="2202">
        <v>3974</v>
      </c>
      <c r="Q69" s="2202">
        <v>778</v>
      </c>
      <c r="R69" s="2199">
        <f t="shared" si="4"/>
        <v>0.19577252138902868</v>
      </c>
      <c r="S69" s="2202">
        <v>3812</v>
      </c>
      <c r="T69" s="2202">
        <v>738</v>
      </c>
      <c r="U69" s="2199">
        <f t="shared" si="5"/>
        <v>0.19359916054564533</v>
      </c>
      <c r="V69" s="2202">
        <v>3610</v>
      </c>
      <c r="W69" s="2202">
        <v>733</v>
      </c>
      <c r="X69" s="2199">
        <f t="shared" si="6"/>
        <v>0.20304709141274238</v>
      </c>
      <c r="Y69" s="2202">
        <v>3536</v>
      </c>
      <c r="Z69" s="2202">
        <v>554</v>
      </c>
      <c r="AA69" s="2199">
        <f t="shared" si="7"/>
        <v>0.15667420814479638</v>
      </c>
    </row>
    <row r="70" spans="1:27" x14ac:dyDescent="0.3">
      <c r="A70" s="56" t="s">
        <v>163</v>
      </c>
      <c r="B70" s="84" t="s">
        <v>164</v>
      </c>
      <c r="C70" s="57" t="s">
        <v>253</v>
      </c>
      <c r="D70" s="2202">
        <v>2999</v>
      </c>
      <c r="E70" s="2202">
        <v>919</v>
      </c>
      <c r="F70" s="2199">
        <f t="shared" si="0"/>
        <v>0.30643547849283093</v>
      </c>
      <c r="G70" s="2202">
        <v>2874</v>
      </c>
      <c r="H70" s="2202">
        <v>869</v>
      </c>
      <c r="I70" s="2199">
        <f t="shared" si="1"/>
        <v>0.30236604036186499</v>
      </c>
      <c r="J70" s="2202">
        <v>2791</v>
      </c>
      <c r="K70" s="2202">
        <v>799</v>
      </c>
      <c r="L70" s="2199">
        <f t="shared" si="2"/>
        <v>0.28627731995700467</v>
      </c>
      <c r="M70" s="2202">
        <v>2652</v>
      </c>
      <c r="N70" s="2202">
        <v>605</v>
      </c>
      <c r="O70" s="2199">
        <f t="shared" si="3"/>
        <v>0.22812971342383107</v>
      </c>
      <c r="P70" s="2202">
        <v>2508</v>
      </c>
      <c r="Q70" s="2202">
        <v>534</v>
      </c>
      <c r="R70" s="2199">
        <f t="shared" si="4"/>
        <v>0.21291866028708134</v>
      </c>
      <c r="S70" s="2202">
        <v>2445</v>
      </c>
      <c r="T70" s="2202">
        <v>489</v>
      </c>
      <c r="U70" s="2199">
        <f t="shared" si="5"/>
        <v>0.2</v>
      </c>
      <c r="V70" s="2202">
        <v>2407</v>
      </c>
      <c r="W70" s="2202">
        <v>495</v>
      </c>
      <c r="X70" s="2199">
        <f t="shared" si="6"/>
        <v>0.2056501869547154</v>
      </c>
      <c r="Y70" s="2202">
        <v>2282</v>
      </c>
      <c r="Z70" s="2202">
        <v>401</v>
      </c>
      <c r="AA70" s="2199">
        <f t="shared" si="7"/>
        <v>0.1757230499561788</v>
      </c>
    </row>
    <row r="71" spans="1:27" x14ac:dyDescent="0.3">
      <c r="A71" s="56" t="s">
        <v>167</v>
      </c>
      <c r="B71" s="84" t="s">
        <v>168</v>
      </c>
      <c r="C71" s="57" t="s">
        <v>253</v>
      </c>
      <c r="D71" s="2202">
        <v>5342</v>
      </c>
      <c r="E71" s="2202">
        <v>1303</v>
      </c>
      <c r="F71" s="2199">
        <f t="shared" ref="F71:F126" si="8">E71/D71</f>
        <v>0.24391613627854736</v>
      </c>
      <c r="G71" s="2202">
        <v>5329</v>
      </c>
      <c r="H71" s="2202">
        <v>1181</v>
      </c>
      <c r="I71" s="2199">
        <f t="shared" ref="I71:I126" si="9">H71/G71</f>
        <v>0.22161756427097015</v>
      </c>
      <c r="J71" s="2202">
        <v>5341</v>
      </c>
      <c r="K71" s="2202">
        <v>1053</v>
      </c>
      <c r="L71" s="2199">
        <f t="shared" ref="L71:L126" si="10">K71/J71</f>
        <v>0.19715409099419584</v>
      </c>
      <c r="M71" s="2202">
        <v>5040</v>
      </c>
      <c r="N71" s="2202">
        <v>899</v>
      </c>
      <c r="O71" s="2199">
        <f t="shared" ref="O71:O126" si="11">N71/M71</f>
        <v>0.17837301587301588</v>
      </c>
      <c r="P71" s="2202">
        <v>4828</v>
      </c>
      <c r="Q71" s="2202">
        <v>790</v>
      </c>
      <c r="R71" s="2199">
        <f t="shared" ref="R71:R126" si="12">Q71/P71</f>
        <v>0.1636288318144159</v>
      </c>
      <c r="S71" s="2202">
        <v>4714</v>
      </c>
      <c r="T71" s="2202">
        <v>797</v>
      </c>
      <c r="U71" s="2199">
        <f t="shared" ref="U71:U126" si="13">T71/S71</f>
        <v>0.16907085277895631</v>
      </c>
      <c r="V71" s="2202">
        <v>4894</v>
      </c>
      <c r="W71" s="2202">
        <v>891</v>
      </c>
      <c r="X71" s="2199">
        <f t="shared" ref="X71:X126" si="14">W71/V71</f>
        <v>0.18205966489579076</v>
      </c>
      <c r="Y71" s="2202">
        <v>4515</v>
      </c>
      <c r="Z71" s="2202">
        <v>679</v>
      </c>
      <c r="AA71" s="2199">
        <f t="shared" ref="AA71:AA126" si="15">Z71/Y71</f>
        <v>0.15038759689922482</v>
      </c>
    </row>
    <row r="72" spans="1:27" x14ac:dyDescent="0.3">
      <c r="A72" s="56" t="s">
        <v>169</v>
      </c>
      <c r="B72" s="84" t="s">
        <v>170</v>
      </c>
      <c r="C72" s="57" t="s">
        <v>254</v>
      </c>
      <c r="D72" s="2202">
        <v>8304</v>
      </c>
      <c r="E72" s="2202">
        <v>2386</v>
      </c>
      <c r="F72" s="2199">
        <f t="shared" si="8"/>
        <v>0.28733140655105971</v>
      </c>
      <c r="G72" s="2202">
        <v>8229</v>
      </c>
      <c r="H72" s="2202">
        <v>2368</v>
      </c>
      <c r="I72" s="2199">
        <f t="shared" si="9"/>
        <v>0.28776279013245837</v>
      </c>
      <c r="J72" s="2202">
        <v>8440</v>
      </c>
      <c r="K72" s="2202">
        <v>2109</v>
      </c>
      <c r="L72" s="2199">
        <f t="shared" si="10"/>
        <v>0.24988151658767774</v>
      </c>
      <c r="M72" s="2202">
        <v>8018</v>
      </c>
      <c r="N72" s="2202">
        <v>1749</v>
      </c>
      <c r="O72" s="2199">
        <f t="shared" si="11"/>
        <v>0.21813419805437764</v>
      </c>
      <c r="P72" s="2202">
        <v>7686</v>
      </c>
      <c r="Q72" s="2202">
        <v>1673</v>
      </c>
      <c r="R72" s="2199">
        <f t="shared" si="12"/>
        <v>0.21766848816029144</v>
      </c>
      <c r="S72" s="2202">
        <v>7280</v>
      </c>
      <c r="T72" s="2202">
        <v>1578</v>
      </c>
      <c r="U72" s="2199">
        <f t="shared" si="13"/>
        <v>0.21675824175824177</v>
      </c>
      <c r="V72" s="2202">
        <v>7800</v>
      </c>
      <c r="W72" s="2202">
        <v>1540</v>
      </c>
      <c r="X72" s="2199">
        <f t="shared" si="14"/>
        <v>0.19743589743589743</v>
      </c>
      <c r="Y72" s="2202">
        <v>7587</v>
      </c>
      <c r="Z72" s="2202">
        <v>1347</v>
      </c>
      <c r="AA72" s="2199">
        <f t="shared" si="15"/>
        <v>0.17754052985369712</v>
      </c>
    </row>
    <row r="73" spans="1:27" x14ac:dyDescent="0.3">
      <c r="A73" s="56" t="s">
        <v>171</v>
      </c>
      <c r="B73" s="84" t="s">
        <v>172</v>
      </c>
      <c r="C73" s="57" t="s">
        <v>254</v>
      </c>
      <c r="D73" s="2202">
        <v>7935</v>
      </c>
      <c r="E73" s="2202">
        <v>2001</v>
      </c>
      <c r="F73" s="2199">
        <f t="shared" si="8"/>
        <v>0.25217391304347825</v>
      </c>
      <c r="G73" s="2202">
        <v>7786</v>
      </c>
      <c r="H73" s="2202">
        <v>1848</v>
      </c>
      <c r="I73" s="2199">
        <f t="shared" si="9"/>
        <v>0.23734908810685845</v>
      </c>
      <c r="J73" s="2202">
        <v>7824</v>
      </c>
      <c r="K73" s="2202">
        <v>1689</v>
      </c>
      <c r="L73" s="2199">
        <f t="shared" si="10"/>
        <v>0.21587423312883436</v>
      </c>
      <c r="M73" s="2202">
        <v>7780</v>
      </c>
      <c r="N73" s="2202">
        <v>1500</v>
      </c>
      <c r="O73" s="2199">
        <f t="shared" si="11"/>
        <v>0.19280205655526991</v>
      </c>
      <c r="P73" s="2202">
        <v>7294</v>
      </c>
      <c r="Q73" s="2202">
        <v>1402</v>
      </c>
      <c r="R73" s="2199">
        <f t="shared" si="12"/>
        <v>0.19221277762544559</v>
      </c>
      <c r="S73" s="2202">
        <v>7054</v>
      </c>
      <c r="T73" s="2202">
        <v>1285</v>
      </c>
      <c r="U73" s="2199">
        <f t="shared" si="13"/>
        <v>0.18216614686702581</v>
      </c>
      <c r="V73" s="2202">
        <v>7109</v>
      </c>
      <c r="W73" s="2202">
        <v>1245</v>
      </c>
      <c r="X73" s="2199">
        <f t="shared" si="14"/>
        <v>0.17513011675341117</v>
      </c>
      <c r="Y73" s="2202">
        <v>6689</v>
      </c>
      <c r="Z73" s="2202">
        <v>952</v>
      </c>
      <c r="AA73" s="2199">
        <f t="shared" si="15"/>
        <v>0.14232321722230529</v>
      </c>
    </row>
    <row r="74" spans="1:27" x14ac:dyDescent="0.3">
      <c r="A74" s="56" t="s">
        <v>173</v>
      </c>
      <c r="B74" s="84" t="s">
        <v>174</v>
      </c>
      <c r="C74" s="57" t="s">
        <v>255</v>
      </c>
      <c r="D74" s="2202">
        <v>6456</v>
      </c>
      <c r="E74" s="2202">
        <v>1717</v>
      </c>
      <c r="F74" s="2199">
        <f t="shared" si="8"/>
        <v>0.2659541511771995</v>
      </c>
      <c r="G74" s="2202">
        <v>6438</v>
      </c>
      <c r="H74" s="2202">
        <v>1559</v>
      </c>
      <c r="I74" s="2199">
        <f t="shared" si="9"/>
        <v>0.24215594905250076</v>
      </c>
      <c r="J74" s="2202">
        <v>6307</v>
      </c>
      <c r="K74" s="2202">
        <v>1454</v>
      </c>
      <c r="L74" s="2199">
        <f t="shared" si="10"/>
        <v>0.23053749801807516</v>
      </c>
      <c r="M74" s="2202">
        <v>6023</v>
      </c>
      <c r="N74" s="2202">
        <v>1216</v>
      </c>
      <c r="O74" s="2199">
        <f t="shared" si="11"/>
        <v>0.20189274447949526</v>
      </c>
      <c r="P74" s="2202">
        <v>5695</v>
      </c>
      <c r="Q74" s="2202">
        <v>1149</v>
      </c>
      <c r="R74" s="2199">
        <f t="shared" si="12"/>
        <v>0.20175592625109745</v>
      </c>
      <c r="S74" s="2202">
        <v>5284</v>
      </c>
      <c r="T74" s="2202">
        <v>1009</v>
      </c>
      <c r="U74" s="2199">
        <f t="shared" si="13"/>
        <v>0.19095382286146859</v>
      </c>
      <c r="V74" s="2202">
        <v>5202</v>
      </c>
      <c r="W74" s="2202">
        <v>942</v>
      </c>
      <c r="X74" s="2199">
        <f t="shared" si="14"/>
        <v>0.18108419838523646</v>
      </c>
      <c r="Y74" s="2202">
        <v>4883</v>
      </c>
      <c r="Z74" s="2202">
        <v>703</v>
      </c>
      <c r="AA74" s="2199">
        <f t="shared" si="15"/>
        <v>0.14396887159533073</v>
      </c>
    </row>
    <row r="75" spans="1:27" x14ac:dyDescent="0.3">
      <c r="A75" s="56" t="s">
        <v>177</v>
      </c>
      <c r="B75" s="84" t="s">
        <v>178</v>
      </c>
      <c r="C75" s="57" t="s">
        <v>252</v>
      </c>
      <c r="D75" s="2202">
        <v>18983</v>
      </c>
      <c r="E75" s="2202">
        <v>4981</v>
      </c>
      <c r="F75" s="2199">
        <f t="shared" si="8"/>
        <v>0.26239266712321552</v>
      </c>
      <c r="G75" s="2202">
        <v>18744</v>
      </c>
      <c r="H75" s="2202">
        <v>4363</v>
      </c>
      <c r="I75" s="2199">
        <f t="shared" si="9"/>
        <v>0.23276781903542468</v>
      </c>
      <c r="J75" s="2202">
        <v>18402</v>
      </c>
      <c r="K75" s="2202">
        <v>4006</v>
      </c>
      <c r="L75" s="2199">
        <f t="shared" si="10"/>
        <v>0.21769372894250624</v>
      </c>
      <c r="M75" s="2202">
        <v>18447</v>
      </c>
      <c r="N75" s="2202">
        <v>3435</v>
      </c>
      <c r="O75" s="2199">
        <f t="shared" si="11"/>
        <v>0.18620913969751179</v>
      </c>
      <c r="P75" s="2202">
        <v>17760</v>
      </c>
      <c r="Q75" s="2202">
        <v>3137</v>
      </c>
      <c r="R75" s="2199">
        <f t="shared" si="12"/>
        <v>0.1766328828828829</v>
      </c>
      <c r="S75" s="2202">
        <v>17318</v>
      </c>
      <c r="T75" s="2202">
        <v>3221</v>
      </c>
      <c r="U75" s="2199">
        <f t="shared" si="13"/>
        <v>0.18599145397851946</v>
      </c>
      <c r="V75" s="2202">
        <v>17524</v>
      </c>
      <c r="W75" s="2202">
        <v>3049</v>
      </c>
      <c r="X75" s="2199">
        <f t="shared" si="14"/>
        <v>0.17398995663090619</v>
      </c>
      <c r="Y75" s="2202">
        <v>16358</v>
      </c>
      <c r="Z75" s="2202">
        <v>2446</v>
      </c>
      <c r="AA75" s="2199">
        <f t="shared" si="15"/>
        <v>0.14952928230835066</v>
      </c>
    </row>
    <row r="76" spans="1:27" x14ac:dyDescent="0.3">
      <c r="A76" s="56" t="s">
        <v>181</v>
      </c>
      <c r="B76" s="84" t="s">
        <v>182</v>
      </c>
      <c r="C76" s="57" t="s">
        <v>253</v>
      </c>
      <c r="D76" s="2202">
        <v>3972</v>
      </c>
      <c r="E76" s="2202">
        <v>1386</v>
      </c>
      <c r="F76" s="2199">
        <f t="shared" si="8"/>
        <v>0.34894259818731116</v>
      </c>
      <c r="G76" s="2202">
        <v>3896</v>
      </c>
      <c r="H76" s="2202">
        <v>1311</v>
      </c>
      <c r="I76" s="2199">
        <f t="shared" si="9"/>
        <v>0.33649897330595485</v>
      </c>
      <c r="J76" s="2202">
        <v>3740</v>
      </c>
      <c r="K76" s="2202">
        <v>1102</v>
      </c>
      <c r="L76" s="2199">
        <f t="shared" si="10"/>
        <v>0.29465240641711232</v>
      </c>
      <c r="M76" s="2202">
        <v>3641</v>
      </c>
      <c r="N76" s="2202">
        <v>911</v>
      </c>
      <c r="O76" s="2199">
        <f t="shared" si="11"/>
        <v>0.25020598736610822</v>
      </c>
      <c r="P76" s="2202">
        <v>3524</v>
      </c>
      <c r="Q76" s="2202">
        <v>863</v>
      </c>
      <c r="R76" s="2199">
        <f t="shared" si="12"/>
        <v>0.2448921679909194</v>
      </c>
      <c r="S76" s="2202">
        <v>3388</v>
      </c>
      <c r="T76" s="2202">
        <v>797</v>
      </c>
      <c r="U76" s="2199">
        <f t="shared" si="13"/>
        <v>0.23524203069657615</v>
      </c>
      <c r="V76" s="2202">
        <v>3506</v>
      </c>
      <c r="W76" s="2202">
        <v>821</v>
      </c>
      <c r="X76" s="2199">
        <f t="shared" si="14"/>
        <v>0.23416999429549343</v>
      </c>
      <c r="Y76" s="2202">
        <v>3262</v>
      </c>
      <c r="Z76" s="2202">
        <v>698</v>
      </c>
      <c r="AA76" s="2199">
        <f t="shared" si="15"/>
        <v>0.21397915389331698</v>
      </c>
    </row>
    <row r="77" spans="1:27" x14ac:dyDescent="0.3">
      <c r="A77" s="56" t="s">
        <v>183</v>
      </c>
      <c r="B77" s="84" t="s">
        <v>184</v>
      </c>
      <c r="C77" s="57" t="s">
        <v>253</v>
      </c>
      <c r="D77" s="2202">
        <v>7466</v>
      </c>
      <c r="E77" s="2202">
        <v>1743</v>
      </c>
      <c r="F77" s="2199">
        <f t="shared" si="8"/>
        <v>0.23345834449504421</v>
      </c>
      <c r="G77" s="2202">
        <v>7471</v>
      </c>
      <c r="H77" s="2202">
        <v>1625</v>
      </c>
      <c r="I77" s="2199">
        <f t="shared" si="9"/>
        <v>0.21750769642618123</v>
      </c>
      <c r="J77" s="2202">
        <v>7577</v>
      </c>
      <c r="K77" s="2202">
        <v>1614</v>
      </c>
      <c r="L77" s="2199">
        <f t="shared" si="10"/>
        <v>0.21301306585719942</v>
      </c>
      <c r="M77" s="2202">
        <v>7453</v>
      </c>
      <c r="N77" s="2202">
        <v>1311</v>
      </c>
      <c r="O77" s="2199">
        <f t="shared" si="11"/>
        <v>0.17590232121293439</v>
      </c>
      <c r="P77" s="2202">
        <v>7172</v>
      </c>
      <c r="Q77" s="2202">
        <v>1202</v>
      </c>
      <c r="R77" s="2199">
        <f t="shared" si="12"/>
        <v>0.16759620747350809</v>
      </c>
      <c r="S77" s="2202">
        <v>7029</v>
      </c>
      <c r="T77" s="2202">
        <v>1107</v>
      </c>
      <c r="U77" s="2199">
        <f t="shared" si="13"/>
        <v>0.15749039692701663</v>
      </c>
      <c r="V77" s="2202">
        <v>6970</v>
      </c>
      <c r="W77" s="2202">
        <v>1142</v>
      </c>
      <c r="X77" s="2199">
        <f t="shared" si="14"/>
        <v>0.16384505021520804</v>
      </c>
      <c r="Y77" s="2202">
        <v>6424</v>
      </c>
      <c r="Z77" s="2202">
        <v>770</v>
      </c>
      <c r="AA77" s="2199">
        <f t="shared" si="15"/>
        <v>0.11986301369863013</v>
      </c>
    </row>
    <row r="78" spans="1:27" x14ac:dyDescent="0.3">
      <c r="A78" s="56" t="s">
        <v>185</v>
      </c>
      <c r="B78" s="84" t="s">
        <v>186</v>
      </c>
      <c r="C78" s="57" t="s">
        <v>251</v>
      </c>
      <c r="D78" s="2202">
        <v>7867</v>
      </c>
      <c r="E78" s="2202">
        <v>1960</v>
      </c>
      <c r="F78" s="2199">
        <f t="shared" si="8"/>
        <v>0.24914198550908859</v>
      </c>
      <c r="G78" s="2202">
        <v>8101</v>
      </c>
      <c r="H78" s="2202">
        <v>1913</v>
      </c>
      <c r="I78" s="2199">
        <f t="shared" si="9"/>
        <v>0.2361436859646957</v>
      </c>
      <c r="J78" s="2202">
        <v>7705</v>
      </c>
      <c r="K78" s="2202">
        <v>1684</v>
      </c>
      <c r="L78" s="2199">
        <f t="shared" si="10"/>
        <v>0.21855937702790396</v>
      </c>
      <c r="M78" s="2202">
        <v>7770</v>
      </c>
      <c r="N78" s="2202">
        <v>1358</v>
      </c>
      <c r="O78" s="2199">
        <f t="shared" si="11"/>
        <v>0.17477477477477477</v>
      </c>
      <c r="P78" s="2202">
        <v>7455</v>
      </c>
      <c r="Q78" s="2202">
        <v>1172</v>
      </c>
      <c r="R78" s="2199">
        <f t="shared" si="12"/>
        <v>0.15720992622401073</v>
      </c>
      <c r="S78" s="2202">
        <v>7517</v>
      </c>
      <c r="T78" s="2202">
        <v>1297</v>
      </c>
      <c r="U78" s="2199">
        <f t="shared" si="13"/>
        <v>0.17254223759478515</v>
      </c>
      <c r="V78" s="2202">
        <v>7546</v>
      </c>
      <c r="W78" s="2202">
        <v>1219</v>
      </c>
      <c r="X78" s="2199">
        <f t="shared" si="14"/>
        <v>0.16154253909355951</v>
      </c>
      <c r="Y78" s="2202">
        <v>7400</v>
      </c>
      <c r="Z78" s="2202">
        <v>883</v>
      </c>
      <c r="AA78" s="2199">
        <f t="shared" si="15"/>
        <v>0.11932432432432433</v>
      </c>
    </row>
    <row r="79" spans="1:27" x14ac:dyDescent="0.3">
      <c r="A79" s="56" t="s">
        <v>187</v>
      </c>
      <c r="B79" s="84" t="s">
        <v>188</v>
      </c>
      <c r="C79" s="57" t="s">
        <v>254</v>
      </c>
      <c r="D79" s="2202">
        <v>73906</v>
      </c>
      <c r="E79" s="2202">
        <v>25226</v>
      </c>
      <c r="F79" s="2199">
        <f t="shared" si="8"/>
        <v>0.34132546748572512</v>
      </c>
      <c r="G79" s="2202">
        <v>77988</v>
      </c>
      <c r="H79" s="2202">
        <v>26752</v>
      </c>
      <c r="I79" s="2199">
        <f t="shared" si="9"/>
        <v>0.3430271323793404</v>
      </c>
      <c r="J79" s="2202">
        <v>75943</v>
      </c>
      <c r="K79" s="2202">
        <v>22794</v>
      </c>
      <c r="L79" s="2199">
        <f t="shared" si="10"/>
        <v>0.3001461622532689</v>
      </c>
      <c r="M79" s="2202">
        <v>73398</v>
      </c>
      <c r="N79" s="2202">
        <v>20864</v>
      </c>
      <c r="O79" s="2199">
        <f t="shared" si="11"/>
        <v>0.28425842666012696</v>
      </c>
      <c r="P79" s="2202">
        <v>73406</v>
      </c>
      <c r="Q79" s="2202">
        <v>18989</v>
      </c>
      <c r="R79" s="2199">
        <f t="shared" si="12"/>
        <v>0.25868457619268181</v>
      </c>
      <c r="S79" s="2202">
        <v>73865</v>
      </c>
      <c r="T79" s="2202">
        <v>20142</v>
      </c>
      <c r="U79" s="2199">
        <f t="shared" si="13"/>
        <v>0.27268665809246601</v>
      </c>
      <c r="V79" s="2202">
        <v>75035</v>
      </c>
      <c r="W79" s="2202">
        <v>20831</v>
      </c>
      <c r="X79" s="2199">
        <f t="shared" si="14"/>
        <v>0.27761711201439326</v>
      </c>
      <c r="Y79" s="2202">
        <v>72533</v>
      </c>
      <c r="Z79" s="2202">
        <v>17754</v>
      </c>
      <c r="AA79" s="2199">
        <f t="shared" si="15"/>
        <v>0.2447713454565508</v>
      </c>
    </row>
    <row r="80" spans="1:27" x14ac:dyDescent="0.3">
      <c r="A80" s="56" t="s">
        <v>189</v>
      </c>
      <c r="B80" s="84" t="s">
        <v>190</v>
      </c>
      <c r="C80" s="57" t="s">
        <v>255</v>
      </c>
      <c r="D80" s="2202">
        <v>10632</v>
      </c>
      <c r="E80" s="2202">
        <v>2554</v>
      </c>
      <c r="F80" s="2199">
        <f t="shared" si="8"/>
        <v>0.24021820917983447</v>
      </c>
      <c r="G80" s="2202">
        <v>10156</v>
      </c>
      <c r="H80" s="2202">
        <v>2327</v>
      </c>
      <c r="I80" s="2199">
        <f t="shared" si="9"/>
        <v>0.22912564001575422</v>
      </c>
      <c r="J80" s="2202">
        <v>9515</v>
      </c>
      <c r="K80" s="2202">
        <v>1865</v>
      </c>
      <c r="L80" s="2199">
        <f t="shared" si="10"/>
        <v>0.19600630583289544</v>
      </c>
      <c r="M80" s="2202">
        <v>9059</v>
      </c>
      <c r="N80" s="2202">
        <v>1433</v>
      </c>
      <c r="O80" s="2199">
        <f t="shared" si="11"/>
        <v>0.15818523015785407</v>
      </c>
      <c r="P80" s="2202">
        <v>8738</v>
      </c>
      <c r="Q80" s="2202">
        <v>1309</v>
      </c>
      <c r="R80" s="2199">
        <f t="shared" si="12"/>
        <v>0.14980544747081712</v>
      </c>
      <c r="S80" s="2202">
        <v>8695</v>
      </c>
      <c r="T80" s="2202">
        <v>1316</v>
      </c>
      <c r="U80" s="2199">
        <f t="shared" si="13"/>
        <v>0.15135135135135136</v>
      </c>
      <c r="V80" s="2202">
        <v>8544</v>
      </c>
      <c r="W80" s="2202">
        <v>1249</v>
      </c>
      <c r="X80" s="2199">
        <f t="shared" si="14"/>
        <v>0.14618445692883894</v>
      </c>
      <c r="Y80" s="2202">
        <v>7757</v>
      </c>
      <c r="Z80" s="2202">
        <v>914</v>
      </c>
      <c r="AA80" s="2199">
        <f t="shared" si="15"/>
        <v>0.11782905762537063</v>
      </c>
    </row>
    <row r="81" spans="1:27" x14ac:dyDescent="0.3">
      <c r="A81" s="56" t="s">
        <v>193</v>
      </c>
      <c r="B81" s="84" t="s">
        <v>194</v>
      </c>
      <c r="C81" s="57" t="s">
        <v>254</v>
      </c>
      <c r="D81" s="2202">
        <v>1542</v>
      </c>
      <c r="E81" s="2202">
        <v>491</v>
      </c>
      <c r="F81" s="2199">
        <f t="shared" si="8"/>
        <v>0.31841763942931256</v>
      </c>
      <c r="G81" s="2202">
        <v>1598</v>
      </c>
      <c r="H81" s="2202">
        <v>553</v>
      </c>
      <c r="I81" s="2199">
        <f t="shared" si="9"/>
        <v>0.34605757196495618</v>
      </c>
      <c r="J81" s="2202">
        <v>1480</v>
      </c>
      <c r="K81" s="2202">
        <v>478</v>
      </c>
      <c r="L81" s="2199">
        <f t="shared" si="10"/>
        <v>0.32297297297297295</v>
      </c>
      <c r="M81" s="2202">
        <v>1440</v>
      </c>
      <c r="N81" s="2202">
        <v>428</v>
      </c>
      <c r="O81" s="2199">
        <f t="shared" si="11"/>
        <v>0.29722222222222222</v>
      </c>
      <c r="P81" s="2202">
        <v>1377</v>
      </c>
      <c r="Q81" s="2202">
        <v>363</v>
      </c>
      <c r="R81" s="2199">
        <f t="shared" si="12"/>
        <v>0.26361655773420478</v>
      </c>
      <c r="S81" s="2202">
        <v>1297</v>
      </c>
      <c r="T81" s="2202">
        <v>352</v>
      </c>
      <c r="U81" s="2199">
        <f t="shared" si="13"/>
        <v>0.27139552814186585</v>
      </c>
      <c r="V81" s="2202">
        <v>1208</v>
      </c>
      <c r="W81" s="2202">
        <v>330</v>
      </c>
      <c r="X81" s="2199">
        <f t="shared" si="14"/>
        <v>0.27317880794701987</v>
      </c>
      <c r="Y81" s="2202">
        <v>1153</v>
      </c>
      <c r="Z81" s="2202">
        <v>262</v>
      </c>
      <c r="AA81" s="2199">
        <f t="shared" si="15"/>
        <v>0.22723330442324371</v>
      </c>
    </row>
    <row r="82" spans="1:27" x14ac:dyDescent="0.3">
      <c r="A82" s="56" t="s">
        <v>197</v>
      </c>
      <c r="B82" s="84" t="s">
        <v>259</v>
      </c>
      <c r="C82" s="57" t="s">
        <v>253</v>
      </c>
      <c r="D82" s="2202">
        <v>2310</v>
      </c>
      <c r="E82" s="2202">
        <v>679</v>
      </c>
      <c r="F82" s="2199">
        <f t="shared" si="8"/>
        <v>0.29393939393939394</v>
      </c>
      <c r="G82" s="2202">
        <v>2306</v>
      </c>
      <c r="H82" s="2202">
        <v>658</v>
      </c>
      <c r="I82" s="2199">
        <f t="shared" si="9"/>
        <v>0.28534258456201217</v>
      </c>
      <c r="J82" s="2202">
        <v>2229</v>
      </c>
      <c r="K82" s="2202">
        <v>613</v>
      </c>
      <c r="L82" s="2199">
        <f t="shared" si="10"/>
        <v>0.27501121579183491</v>
      </c>
      <c r="M82" s="2202">
        <v>2130</v>
      </c>
      <c r="N82" s="2202">
        <v>484</v>
      </c>
      <c r="O82" s="2199">
        <f t="shared" si="11"/>
        <v>0.2272300469483568</v>
      </c>
      <c r="P82" s="2202">
        <v>2000</v>
      </c>
      <c r="Q82" s="2202">
        <v>407</v>
      </c>
      <c r="R82" s="2199">
        <f t="shared" si="12"/>
        <v>0.20349999999999999</v>
      </c>
      <c r="S82" s="2202">
        <v>2138</v>
      </c>
      <c r="T82" s="2202">
        <v>402</v>
      </c>
      <c r="U82" s="2199">
        <f t="shared" si="13"/>
        <v>0.18802619270346119</v>
      </c>
      <c r="V82" s="2202">
        <v>2099</v>
      </c>
      <c r="W82" s="2202">
        <v>404</v>
      </c>
      <c r="X82" s="2199">
        <f t="shared" si="14"/>
        <v>0.19247260600285851</v>
      </c>
      <c r="Y82" s="2202">
        <v>2022</v>
      </c>
      <c r="Z82" s="2202">
        <v>275</v>
      </c>
      <c r="AA82" s="2199">
        <f t="shared" si="15"/>
        <v>0.13600395647873392</v>
      </c>
    </row>
    <row r="83" spans="1:27" x14ac:dyDescent="0.3">
      <c r="A83" s="56" t="s">
        <v>201</v>
      </c>
      <c r="B83" s="84" t="s">
        <v>276</v>
      </c>
      <c r="C83" s="57" t="s">
        <v>252</v>
      </c>
      <c r="D83" s="2202">
        <v>22325</v>
      </c>
      <c r="E83" s="2202">
        <v>6083</v>
      </c>
      <c r="F83" s="2199">
        <f t="shared" si="8"/>
        <v>0.27247480403135499</v>
      </c>
      <c r="G83" s="2202">
        <v>22474</v>
      </c>
      <c r="H83" s="2202">
        <v>5822</v>
      </c>
      <c r="I83" s="2199">
        <f t="shared" si="9"/>
        <v>0.25905490789356589</v>
      </c>
      <c r="J83" s="2202">
        <v>22143</v>
      </c>
      <c r="K83" s="2202">
        <v>4928</v>
      </c>
      <c r="L83" s="2199">
        <f t="shared" si="10"/>
        <v>0.22255340288127173</v>
      </c>
      <c r="M83" s="2202">
        <v>21799</v>
      </c>
      <c r="N83" s="2202">
        <v>4067</v>
      </c>
      <c r="O83" s="2199">
        <f t="shared" si="11"/>
        <v>0.18656819120143125</v>
      </c>
      <c r="P83" s="2202">
        <v>21308</v>
      </c>
      <c r="Q83" s="2202">
        <v>3627</v>
      </c>
      <c r="R83" s="2199">
        <f t="shared" si="12"/>
        <v>0.17021775858832364</v>
      </c>
      <c r="S83" s="2202">
        <v>21260</v>
      </c>
      <c r="T83" s="2202">
        <v>3688</v>
      </c>
      <c r="U83" s="2199">
        <f t="shared" si="13"/>
        <v>0.17347130761994356</v>
      </c>
      <c r="V83" s="2202">
        <v>20807</v>
      </c>
      <c r="W83" s="2202">
        <v>3467</v>
      </c>
      <c r="X83" s="2199">
        <f t="shared" si="14"/>
        <v>0.16662661604267795</v>
      </c>
      <c r="Y83" s="2202">
        <v>19368</v>
      </c>
      <c r="Z83" s="2202">
        <v>2713</v>
      </c>
      <c r="AA83" s="2199">
        <f t="shared" si="15"/>
        <v>0.1400764147046675</v>
      </c>
    </row>
    <row r="84" spans="1:27" x14ac:dyDescent="0.3">
      <c r="A84" s="56" t="s">
        <v>203</v>
      </c>
      <c r="B84" s="84" t="s">
        <v>269</v>
      </c>
      <c r="C84" s="57" t="s">
        <v>252</v>
      </c>
      <c r="D84" s="2202">
        <v>9807</v>
      </c>
      <c r="E84" s="2202">
        <v>2669</v>
      </c>
      <c r="F84" s="2199">
        <f t="shared" si="8"/>
        <v>0.27215254410115225</v>
      </c>
      <c r="G84" s="2202">
        <v>9660</v>
      </c>
      <c r="H84" s="2202">
        <v>2428</v>
      </c>
      <c r="I84" s="2199">
        <f t="shared" si="9"/>
        <v>0.25134575569358181</v>
      </c>
      <c r="J84" s="2202">
        <v>9477</v>
      </c>
      <c r="K84" s="2202">
        <v>2161</v>
      </c>
      <c r="L84" s="2199">
        <f t="shared" si="10"/>
        <v>0.22802574654426505</v>
      </c>
      <c r="M84" s="2202">
        <v>9229</v>
      </c>
      <c r="N84" s="2202">
        <v>1676</v>
      </c>
      <c r="O84" s="2199">
        <f t="shared" si="11"/>
        <v>0.18160147361577636</v>
      </c>
      <c r="P84" s="2202">
        <v>8862</v>
      </c>
      <c r="Q84" s="2202">
        <v>1515</v>
      </c>
      <c r="R84" s="2199">
        <f t="shared" si="12"/>
        <v>0.17095463777928233</v>
      </c>
      <c r="S84" s="2202">
        <v>8446</v>
      </c>
      <c r="T84" s="2202">
        <v>1427</v>
      </c>
      <c r="U84" s="2199">
        <f t="shared" si="13"/>
        <v>0.16895571868340042</v>
      </c>
      <c r="V84" s="2202">
        <v>8473</v>
      </c>
      <c r="W84" s="2202">
        <v>1366</v>
      </c>
      <c r="X84" s="2199">
        <f t="shared" si="14"/>
        <v>0.16121798654549746</v>
      </c>
      <c r="Y84" s="2202">
        <v>8311</v>
      </c>
      <c r="Z84" s="2202">
        <v>1045</v>
      </c>
      <c r="AA84" s="2199">
        <f t="shared" si="15"/>
        <v>0.12573697509324991</v>
      </c>
    </row>
    <row r="85" spans="1:27" x14ac:dyDescent="0.3">
      <c r="A85" s="56" t="s">
        <v>205</v>
      </c>
      <c r="B85" s="84" t="s">
        <v>270</v>
      </c>
      <c r="C85" s="57" t="s">
        <v>254</v>
      </c>
      <c r="D85" s="2202">
        <v>43900</v>
      </c>
      <c r="E85" s="2202">
        <v>11527</v>
      </c>
      <c r="F85" s="2199">
        <f t="shared" si="8"/>
        <v>0.26257403189066059</v>
      </c>
      <c r="G85" s="2202">
        <v>43225</v>
      </c>
      <c r="H85" s="2202">
        <v>11827</v>
      </c>
      <c r="I85" s="2199">
        <f t="shared" si="9"/>
        <v>0.27361480624638518</v>
      </c>
      <c r="J85" s="2202">
        <v>42603</v>
      </c>
      <c r="K85" s="2202">
        <v>10709</v>
      </c>
      <c r="L85" s="2199">
        <f t="shared" si="10"/>
        <v>0.25136727460507474</v>
      </c>
      <c r="M85" s="2202">
        <v>40901</v>
      </c>
      <c r="N85" s="2202">
        <v>8870</v>
      </c>
      <c r="O85" s="2199">
        <f t="shared" si="11"/>
        <v>0.21686511332241265</v>
      </c>
      <c r="P85" s="2202">
        <v>39463</v>
      </c>
      <c r="Q85" s="2202">
        <v>8332</v>
      </c>
      <c r="R85" s="2199">
        <f t="shared" si="12"/>
        <v>0.21113448039936142</v>
      </c>
      <c r="S85" s="2202">
        <v>38961</v>
      </c>
      <c r="T85" s="2202">
        <v>9158</v>
      </c>
      <c r="U85" s="2199">
        <f t="shared" si="13"/>
        <v>0.23505556838890171</v>
      </c>
      <c r="V85" s="2202">
        <v>38065</v>
      </c>
      <c r="W85" s="2202">
        <v>7695</v>
      </c>
      <c r="X85" s="2199">
        <f t="shared" si="14"/>
        <v>0.2021542099041114</v>
      </c>
      <c r="Y85" s="2202">
        <v>36180</v>
      </c>
      <c r="Z85" s="2202">
        <v>6228</v>
      </c>
      <c r="AA85" s="2199">
        <f t="shared" si="15"/>
        <v>0.17213930348258707</v>
      </c>
    </row>
    <row r="86" spans="1:27" x14ac:dyDescent="0.3">
      <c r="A86" s="56" t="s">
        <v>207</v>
      </c>
      <c r="B86" s="84" t="s">
        <v>208</v>
      </c>
      <c r="C86" s="57" t="s">
        <v>255</v>
      </c>
      <c r="D86" s="2202">
        <v>10007</v>
      </c>
      <c r="E86" s="2202">
        <v>2476</v>
      </c>
      <c r="F86" s="2199">
        <f t="shared" si="8"/>
        <v>0.2474268012391326</v>
      </c>
      <c r="G86" s="2202">
        <v>9994</v>
      </c>
      <c r="H86" s="2202">
        <v>2205</v>
      </c>
      <c r="I86" s="2199">
        <f t="shared" si="9"/>
        <v>0.22063237942765659</v>
      </c>
      <c r="J86" s="2202">
        <v>9659</v>
      </c>
      <c r="K86" s="2202">
        <v>1970</v>
      </c>
      <c r="L86" s="2199">
        <f t="shared" si="10"/>
        <v>0.20395486075163061</v>
      </c>
      <c r="M86" s="2202">
        <v>9213</v>
      </c>
      <c r="N86" s="2202">
        <v>1665</v>
      </c>
      <c r="O86" s="2199">
        <f t="shared" si="11"/>
        <v>0.18072289156626506</v>
      </c>
      <c r="P86" s="2202">
        <v>8959</v>
      </c>
      <c r="Q86" s="2202">
        <v>1431</v>
      </c>
      <c r="R86" s="2199">
        <f t="shared" si="12"/>
        <v>0.15972764817501953</v>
      </c>
      <c r="S86" s="2202">
        <v>8531</v>
      </c>
      <c r="T86" s="2202">
        <v>1280</v>
      </c>
      <c r="U86" s="2199">
        <f t="shared" si="13"/>
        <v>0.15004102684327747</v>
      </c>
      <c r="V86" s="2202">
        <v>8544</v>
      </c>
      <c r="W86" s="2202">
        <v>1212</v>
      </c>
      <c r="X86" s="2199">
        <f t="shared" si="14"/>
        <v>0.14185393258426968</v>
      </c>
      <c r="Y86" s="2202">
        <v>8203</v>
      </c>
      <c r="Z86" s="2202">
        <v>986</v>
      </c>
      <c r="AA86" s="2199">
        <f t="shared" si="15"/>
        <v>0.12019992685602829</v>
      </c>
    </row>
    <row r="87" spans="1:27" x14ac:dyDescent="0.3">
      <c r="A87" s="56" t="s">
        <v>209</v>
      </c>
      <c r="B87" s="84" t="s">
        <v>210</v>
      </c>
      <c r="C87" s="57" t="s">
        <v>255</v>
      </c>
      <c r="D87" s="2202">
        <v>7562</v>
      </c>
      <c r="E87" s="2202">
        <v>1785</v>
      </c>
      <c r="F87" s="2199">
        <f t="shared" si="8"/>
        <v>0.23604866437450409</v>
      </c>
      <c r="G87" s="2202">
        <v>7383</v>
      </c>
      <c r="H87" s="2202">
        <v>1562</v>
      </c>
      <c r="I87" s="2199">
        <f t="shared" si="9"/>
        <v>0.21156711363944197</v>
      </c>
      <c r="J87" s="2202">
        <v>6966</v>
      </c>
      <c r="K87" s="2202">
        <v>1452</v>
      </c>
      <c r="L87" s="2199">
        <f t="shared" si="10"/>
        <v>0.20844099913867356</v>
      </c>
      <c r="M87" s="2202">
        <v>6754</v>
      </c>
      <c r="N87" s="2202">
        <v>1056</v>
      </c>
      <c r="O87" s="2199">
        <f t="shared" si="11"/>
        <v>0.15635179153094461</v>
      </c>
      <c r="P87" s="2202">
        <v>6530</v>
      </c>
      <c r="Q87" s="2202">
        <v>1085</v>
      </c>
      <c r="R87" s="2199">
        <f t="shared" si="12"/>
        <v>0.16615620214395099</v>
      </c>
      <c r="S87" s="2202">
        <v>6529</v>
      </c>
      <c r="T87" s="2202">
        <v>991</v>
      </c>
      <c r="U87" s="2199">
        <f t="shared" si="13"/>
        <v>0.15178434676060654</v>
      </c>
      <c r="V87" s="2202">
        <v>6249</v>
      </c>
      <c r="W87" s="2202">
        <v>907</v>
      </c>
      <c r="X87" s="2199">
        <f t="shared" si="14"/>
        <v>0.1451432229156665</v>
      </c>
      <c r="Y87" s="2202">
        <v>5936</v>
      </c>
      <c r="Z87" s="2202">
        <v>762</v>
      </c>
      <c r="AA87" s="2199">
        <f t="shared" si="15"/>
        <v>0.12836927223719677</v>
      </c>
    </row>
    <row r="88" spans="1:27" x14ac:dyDescent="0.3">
      <c r="A88" s="56" t="s">
        <v>211</v>
      </c>
      <c r="B88" s="84" t="s">
        <v>212</v>
      </c>
      <c r="C88" s="57" t="s">
        <v>254</v>
      </c>
      <c r="D88" s="2202">
        <v>11769</v>
      </c>
      <c r="E88" s="2202">
        <v>3407</v>
      </c>
      <c r="F88" s="2199">
        <f t="shared" si="8"/>
        <v>0.28948933639221686</v>
      </c>
      <c r="G88" s="2202">
        <v>11941</v>
      </c>
      <c r="H88" s="2202">
        <v>3199</v>
      </c>
      <c r="I88" s="2199">
        <f t="shared" si="9"/>
        <v>0.26790051084498784</v>
      </c>
      <c r="J88" s="2202">
        <v>11781</v>
      </c>
      <c r="K88" s="2202">
        <v>2777</v>
      </c>
      <c r="L88" s="2199">
        <f t="shared" si="10"/>
        <v>0.23571852983617689</v>
      </c>
      <c r="M88" s="2202">
        <v>11631</v>
      </c>
      <c r="N88" s="2202">
        <v>2547</v>
      </c>
      <c r="O88" s="2199">
        <f t="shared" si="11"/>
        <v>0.21898375032241424</v>
      </c>
      <c r="P88" s="2202">
        <v>11019</v>
      </c>
      <c r="Q88" s="2202">
        <v>2127</v>
      </c>
      <c r="R88" s="2199">
        <f t="shared" si="12"/>
        <v>0.19303022052817861</v>
      </c>
      <c r="S88" s="2202">
        <v>10757</v>
      </c>
      <c r="T88" s="2202">
        <v>2133</v>
      </c>
      <c r="U88" s="2199">
        <f t="shared" si="13"/>
        <v>0.19828948591614762</v>
      </c>
      <c r="V88" s="2202">
        <v>10826</v>
      </c>
      <c r="W88" s="2202">
        <v>2115</v>
      </c>
      <c r="X88" s="2199">
        <f t="shared" si="14"/>
        <v>0.19536301496397562</v>
      </c>
      <c r="Y88" s="2202">
        <v>10295</v>
      </c>
      <c r="Z88" s="2202">
        <v>1603</v>
      </c>
      <c r="AA88" s="2199">
        <f t="shared" si="15"/>
        <v>0.15570665371539583</v>
      </c>
    </row>
    <row r="89" spans="1:27" x14ac:dyDescent="0.3">
      <c r="A89" s="56" t="s">
        <v>213</v>
      </c>
      <c r="B89" s="84" t="s">
        <v>214</v>
      </c>
      <c r="C89" s="57" t="s">
        <v>255</v>
      </c>
      <c r="D89" s="2202">
        <v>11747</v>
      </c>
      <c r="E89" s="2202">
        <v>2627</v>
      </c>
      <c r="F89" s="2199">
        <f t="shared" si="8"/>
        <v>0.22363156550608665</v>
      </c>
      <c r="G89" s="2202">
        <v>11587</v>
      </c>
      <c r="H89" s="2202">
        <v>2383</v>
      </c>
      <c r="I89" s="2199">
        <f t="shared" si="9"/>
        <v>0.20566151721757142</v>
      </c>
      <c r="J89" s="2202">
        <v>10933</v>
      </c>
      <c r="K89" s="2202">
        <v>2088</v>
      </c>
      <c r="L89" s="2199">
        <f t="shared" si="10"/>
        <v>0.19098143236074269</v>
      </c>
      <c r="M89" s="2202">
        <v>10614</v>
      </c>
      <c r="N89" s="2202">
        <v>1638</v>
      </c>
      <c r="O89" s="2199">
        <f t="shared" si="11"/>
        <v>0.15432447710570943</v>
      </c>
      <c r="P89" s="2202">
        <v>10191</v>
      </c>
      <c r="Q89" s="2202">
        <v>1559</v>
      </c>
      <c r="R89" s="2199">
        <f t="shared" si="12"/>
        <v>0.15297811794720831</v>
      </c>
      <c r="S89" s="2202">
        <v>10014</v>
      </c>
      <c r="T89" s="2202">
        <v>1440</v>
      </c>
      <c r="U89" s="2199">
        <f t="shared" si="13"/>
        <v>0.14379868184541642</v>
      </c>
      <c r="V89" s="2202">
        <v>10112</v>
      </c>
      <c r="W89" s="2202">
        <v>1509</v>
      </c>
      <c r="X89" s="2199">
        <f t="shared" si="14"/>
        <v>0.14922863924050633</v>
      </c>
      <c r="Y89" s="2202">
        <v>9671</v>
      </c>
      <c r="Z89" s="2202">
        <v>1096</v>
      </c>
      <c r="AA89" s="2199">
        <f t="shared" si="15"/>
        <v>0.11332850791024714</v>
      </c>
    </row>
    <row r="90" spans="1:27" x14ac:dyDescent="0.3">
      <c r="A90" s="56" t="s">
        <v>215</v>
      </c>
      <c r="B90" s="84" t="s">
        <v>216</v>
      </c>
      <c r="C90" s="57" t="s">
        <v>251</v>
      </c>
      <c r="D90" s="2202">
        <v>5318</v>
      </c>
      <c r="E90" s="2202">
        <v>1347</v>
      </c>
      <c r="F90" s="2199">
        <f t="shared" si="8"/>
        <v>0.25329071079353138</v>
      </c>
      <c r="G90" s="2202">
        <v>5113</v>
      </c>
      <c r="H90" s="2202">
        <v>1230</v>
      </c>
      <c r="I90" s="2199">
        <f t="shared" si="9"/>
        <v>0.24056327009583414</v>
      </c>
      <c r="J90" s="2202">
        <v>4849</v>
      </c>
      <c r="K90" s="2202">
        <v>1058</v>
      </c>
      <c r="L90" s="2199">
        <f t="shared" si="10"/>
        <v>0.21818931738502784</v>
      </c>
      <c r="M90" s="2202">
        <v>4677</v>
      </c>
      <c r="N90" s="2202">
        <v>880</v>
      </c>
      <c r="O90" s="2199">
        <f t="shared" si="11"/>
        <v>0.1881548000855249</v>
      </c>
      <c r="P90" s="2202">
        <v>4547</v>
      </c>
      <c r="Q90" s="2202">
        <v>808</v>
      </c>
      <c r="R90" s="2199">
        <f t="shared" si="12"/>
        <v>0.17769958214207168</v>
      </c>
      <c r="S90" s="2202">
        <v>4392</v>
      </c>
      <c r="T90" s="2202">
        <v>748</v>
      </c>
      <c r="U90" s="2199">
        <f t="shared" si="13"/>
        <v>0.17030965391621131</v>
      </c>
      <c r="V90" s="2202">
        <v>4108</v>
      </c>
      <c r="W90" s="2202">
        <v>677</v>
      </c>
      <c r="X90" s="2199">
        <f t="shared" si="14"/>
        <v>0.1648003894839338</v>
      </c>
      <c r="Y90" s="2202">
        <v>3858</v>
      </c>
      <c r="Z90" s="2202">
        <v>491</v>
      </c>
      <c r="AA90" s="2199">
        <f t="shared" si="15"/>
        <v>0.1272680145152929</v>
      </c>
    </row>
    <row r="91" spans="1:27" x14ac:dyDescent="0.3">
      <c r="A91" s="56" t="s">
        <v>217</v>
      </c>
      <c r="B91" s="84" t="s">
        <v>218</v>
      </c>
      <c r="C91" s="57" t="s">
        <v>254</v>
      </c>
      <c r="D91" s="2202">
        <v>24266</v>
      </c>
      <c r="E91" s="2202">
        <v>7661</v>
      </c>
      <c r="F91" s="2199">
        <f t="shared" si="8"/>
        <v>0.31570922278084562</v>
      </c>
      <c r="G91" s="2202">
        <v>24562</v>
      </c>
      <c r="H91" s="2202">
        <v>7534</v>
      </c>
      <c r="I91" s="2199">
        <f t="shared" si="9"/>
        <v>0.30673397931764512</v>
      </c>
      <c r="J91" s="2202">
        <v>24897</v>
      </c>
      <c r="K91" s="2202">
        <v>6634</v>
      </c>
      <c r="L91" s="2199">
        <f t="shared" si="10"/>
        <v>0.26645780616138492</v>
      </c>
      <c r="M91" s="2202">
        <v>24132</v>
      </c>
      <c r="N91" s="2202">
        <v>5770</v>
      </c>
      <c r="O91" s="2199">
        <f t="shared" si="11"/>
        <v>0.23910160782363665</v>
      </c>
      <c r="P91" s="2202">
        <v>23373</v>
      </c>
      <c r="Q91" s="2202">
        <v>5212</v>
      </c>
      <c r="R91" s="2199">
        <f t="shared" si="12"/>
        <v>0.22299234159072434</v>
      </c>
      <c r="S91" s="2202">
        <v>23145</v>
      </c>
      <c r="T91" s="2202">
        <v>4678</v>
      </c>
      <c r="U91" s="2199">
        <f t="shared" si="13"/>
        <v>0.20211708792395766</v>
      </c>
      <c r="V91" s="2202">
        <v>23279</v>
      </c>
      <c r="W91" s="2202">
        <v>4993</v>
      </c>
      <c r="X91" s="2199">
        <f t="shared" si="14"/>
        <v>0.21448515829717771</v>
      </c>
      <c r="Y91" s="2202">
        <v>22410</v>
      </c>
      <c r="Z91" s="2202">
        <v>3998</v>
      </c>
      <c r="AA91" s="2199">
        <f t="shared" si="15"/>
        <v>0.17840249888442661</v>
      </c>
    </row>
    <row r="92" spans="1:27" x14ac:dyDescent="0.3">
      <c r="A92" s="56" t="s">
        <v>219</v>
      </c>
      <c r="B92" s="84" t="s">
        <v>220</v>
      </c>
      <c r="C92" s="57" t="s">
        <v>254</v>
      </c>
      <c r="D92" s="2202">
        <v>18603</v>
      </c>
      <c r="E92" s="2202">
        <v>5732</v>
      </c>
      <c r="F92" s="2199">
        <f t="shared" si="8"/>
        <v>0.30812234585819492</v>
      </c>
      <c r="G92" s="2202">
        <v>19510</v>
      </c>
      <c r="H92" s="2202">
        <v>5679</v>
      </c>
      <c r="I92" s="2199">
        <f t="shared" si="9"/>
        <v>0.29108149666837518</v>
      </c>
      <c r="J92" s="2202">
        <v>20409</v>
      </c>
      <c r="K92" s="2202">
        <v>5269</v>
      </c>
      <c r="L92" s="2199">
        <f t="shared" si="10"/>
        <v>0.25817041501298449</v>
      </c>
      <c r="M92" s="2202">
        <v>19638</v>
      </c>
      <c r="N92" s="2202">
        <v>4229</v>
      </c>
      <c r="O92" s="2199">
        <f t="shared" si="11"/>
        <v>0.21534779509114982</v>
      </c>
      <c r="P92" s="2202">
        <v>19492</v>
      </c>
      <c r="Q92" s="2202">
        <v>4074</v>
      </c>
      <c r="R92" s="2199">
        <f t="shared" si="12"/>
        <v>0.20900882413297764</v>
      </c>
      <c r="S92" s="2202">
        <v>19144</v>
      </c>
      <c r="T92" s="2202">
        <v>4089</v>
      </c>
      <c r="U92" s="2199">
        <f t="shared" si="13"/>
        <v>0.21359172586711242</v>
      </c>
      <c r="V92" s="2202">
        <v>19813</v>
      </c>
      <c r="W92" s="2202">
        <v>4221</v>
      </c>
      <c r="X92" s="2199">
        <f t="shared" si="14"/>
        <v>0.21304194215918842</v>
      </c>
      <c r="Y92" s="2202">
        <v>19561</v>
      </c>
      <c r="Z92" s="2202">
        <v>3601</v>
      </c>
      <c r="AA92" s="2199">
        <f t="shared" si="15"/>
        <v>0.18409079290424826</v>
      </c>
    </row>
    <row r="93" spans="1:27" x14ac:dyDescent="0.3">
      <c r="A93" s="56" t="s">
        <v>223</v>
      </c>
      <c r="B93" s="84" t="s">
        <v>224</v>
      </c>
      <c r="C93" s="57" t="s">
        <v>251</v>
      </c>
      <c r="D93" s="2202">
        <v>1954</v>
      </c>
      <c r="E93" s="2202">
        <v>524</v>
      </c>
      <c r="F93" s="2199">
        <f t="shared" si="8"/>
        <v>0.26816786079836236</v>
      </c>
      <c r="G93" s="2202">
        <v>1874</v>
      </c>
      <c r="H93" s="2202">
        <v>454</v>
      </c>
      <c r="I93" s="2199">
        <f t="shared" si="9"/>
        <v>0.24226254002134473</v>
      </c>
      <c r="J93" s="2202">
        <v>1886</v>
      </c>
      <c r="K93" s="2202">
        <v>437</v>
      </c>
      <c r="L93" s="2199">
        <f t="shared" si="10"/>
        <v>0.23170731707317074</v>
      </c>
      <c r="M93" s="2202">
        <v>1750</v>
      </c>
      <c r="N93" s="2202">
        <v>336</v>
      </c>
      <c r="O93" s="2199">
        <f t="shared" si="11"/>
        <v>0.192</v>
      </c>
      <c r="P93" s="2202">
        <v>1591</v>
      </c>
      <c r="Q93" s="2202">
        <v>296</v>
      </c>
      <c r="R93" s="2199">
        <f t="shared" si="12"/>
        <v>0.18604651162790697</v>
      </c>
      <c r="S93" s="2202">
        <v>1569</v>
      </c>
      <c r="T93" s="2202">
        <v>269</v>
      </c>
      <c r="U93" s="2199">
        <f t="shared" si="13"/>
        <v>0.17144678138942002</v>
      </c>
      <c r="V93" s="2202">
        <v>1535</v>
      </c>
      <c r="W93" s="2202">
        <v>267</v>
      </c>
      <c r="X93" s="2199">
        <f t="shared" si="14"/>
        <v>0.1739413680781759</v>
      </c>
      <c r="Y93" s="2202">
        <v>1410</v>
      </c>
      <c r="Z93" s="2202">
        <v>194</v>
      </c>
      <c r="AA93" s="2199">
        <f t="shared" si="15"/>
        <v>0.13758865248226951</v>
      </c>
    </row>
    <row r="94" spans="1:27" x14ac:dyDescent="0.3">
      <c r="A94" s="56" t="s">
        <v>225</v>
      </c>
      <c r="B94" s="84" t="s">
        <v>226</v>
      </c>
      <c r="C94" s="57" t="s">
        <v>251</v>
      </c>
      <c r="D94" s="2202">
        <v>3495</v>
      </c>
      <c r="E94" s="2202">
        <v>865</v>
      </c>
      <c r="F94" s="2199">
        <f t="shared" si="8"/>
        <v>0.24749642346208869</v>
      </c>
      <c r="G94" s="2202">
        <v>3326</v>
      </c>
      <c r="H94" s="2202">
        <v>717</v>
      </c>
      <c r="I94" s="2199">
        <f t="shared" si="9"/>
        <v>0.21557426337943475</v>
      </c>
      <c r="J94" s="2202">
        <v>3258</v>
      </c>
      <c r="K94" s="2202">
        <v>663</v>
      </c>
      <c r="L94" s="2199">
        <f t="shared" si="10"/>
        <v>0.20349907918968693</v>
      </c>
      <c r="M94" s="2202">
        <v>3274</v>
      </c>
      <c r="N94" s="2202">
        <v>607</v>
      </c>
      <c r="O94" s="2199">
        <f t="shared" si="11"/>
        <v>0.18540012217470983</v>
      </c>
      <c r="P94" s="2202">
        <v>3045</v>
      </c>
      <c r="Q94" s="2202">
        <v>491</v>
      </c>
      <c r="R94" s="2199">
        <f t="shared" si="12"/>
        <v>0.161247947454844</v>
      </c>
      <c r="S94" s="2202">
        <v>2953</v>
      </c>
      <c r="T94" s="2202">
        <v>522</v>
      </c>
      <c r="U94" s="2199">
        <f t="shared" si="13"/>
        <v>0.17676938706400272</v>
      </c>
      <c r="V94" s="2202">
        <v>2832</v>
      </c>
      <c r="W94" s="2202">
        <v>521</v>
      </c>
      <c r="X94" s="2199">
        <f t="shared" si="14"/>
        <v>0.18396892655367231</v>
      </c>
      <c r="Y94" s="2202">
        <v>2744</v>
      </c>
      <c r="Z94" s="2202">
        <v>351</v>
      </c>
      <c r="AA94" s="2199">
        <f t="shared" si="15"/>
        <v>0.12791545189504372</v>
      </c>
    </row>
    <row r="95" spans="1:27" x14ac:dyDescent="0.3">
      <c r="A95" s="56" t="s">
        <v>227</v>
      </c>
      <c r="B95" s="84" t="s">
        <v>228</v>
      </c>
      <c r="C95" s="57" t="s">
        <v>255</v>
      </c>
      <c r="D95" s="2202">
        <v>14744</v>
      </c>
      <c r="E95" s="2202">
        <v>3622</v>
      </c>
      <c r="F95" s="2199">
        <f t="shared" si="8"/>
        <v>0.24565925122083559</v>
      </c>
      <c r="G95" s="2202">
        <v>14463</v>
      </c>
      <c r="H95" s="2202">
        <v>3417</v>
      </c>
      <c r="I95" s="2199">
        <f t="shared" si="9"/>
        <v>0.23625803775150384</v>
      </c>
      <c r="J95" s="2202">
        <v>14090</v>
      </c>
      <c r="K95" s="2202">
        <v>3079</v>
      </c>
      <c r="L95" s="2199">
        <f t="shared" si="10"/>
        <v>0.21852377572746629</v>
      </c>
      <c r="M95" s="2202">
        <v>13484</v>
      </c>
      <c r="N95" s="2202">
        <v>2433</v>
      </c>
      <c r="O95" s="2199">
        <f t="shared" si="11"/>
        <v>0.18043607238208248</v>
      </c>
      <c r="P95" s="2202">
        <v>12959</v>
      </c>
      <c r="Q95" s="2202">
        <v>2121</v>
      </c>
      <c r="R95" s="2199">
        <f t="shared" si="12"/>
        <v>0.16367003626823057</v>
      </c>
      <c r="S95" s="2202">
        <v>12504</v>
      </c>
      <c r="T95" s="2202">
        <v>1948</v>
      </c>
      <c r="U95" s="2199">
        <f t="shared" si="13"/>
        <v>0.15579014715291106</v>
      </c>
      <c r="V95" s="2202">
        <v>11782</v>
      </c>
      <c r="W95" s="2202">
        <v>1790</v>
      </c>
      <c r="X95" s="2199">
        <f t="shared" si="14"/>
        <v>0.15192666779833644</v>
      </c>
      <c r="Y95" s="2202">
        <v>11417</v>
      </c>
      <c r="Z95" s="2202">
        <v>1410</v>
      </c>
      <c r="AA95" s="2199">
        <f t="shared" si="15"/>
        <v>0.12350004379434178</v>
      </c>
    </row>
    <row r="96" spans="1:27" x14ac:dyDescent="0.3">
      <c r="A96" s="56" t="s">
        <v>231</v>
      </c>
      <c r="B96" s="84" t="s">
        <v>232</v>
      </c>
      <c r="C96" s="57" t="s">
        <v>254</v>
      </c>
      <c r="D96" s="2202">
        <v>9280</v>
      </c>
      <c r="E96" s="2202">
        <v>2790</v>
      </c>
      <c r="F96" s="2199">
        <f t="shared" si="8"/>
        <v>0.30064655172413796</v>
      </c>
      <c r="G96" s="2202">
        <v>9762</v>
      </c>
      <c r="H96" s="2202">
        <v>2722</v>
      </c>
      <c r="I96" s="2199">
        <f t="shared" si="9"/>
        <v>0.27883630403605819</v>
      </c>
      <c r="J96" s="2202">
        <v>9260</v>
      </c>
      <c r="K96" s="2202">
        <v>2287</v>
      </c>
      <c r="L96" s="2199">
        <f t="shared" si="10"/>
        <v>0.24697624190064796</v>
      </c>
      <c r="M96" s="2202">
        <v>8881</v>
      </c>
      <c r="N96" s="2202">
        <v>1817</v>
      </c>
      <c r="O96" s="2199">
        <f t="shared" si="11"/>
        <v>0.20459407724355366</v>
      </c>
      <c r="P96" s="2202">
        <v>8596</v>
      </c>
      <c r="Q96" s="2202">
        <v>1588</v>
      </c>
      <c r="R96" s="2199">
        <f t="shared" si="12"/>
        <v>0.18473708701721731</v>
      </c>
      <c r="S96" s="2202">
        <v>8500</v>
      </c>
      <c r="T96" s="2202">
        <v>1675</v>
      </c>
      <c r="U96" s="2199">
        <f t="shared" si="13"/>
        <v>0.19705882352941176</v>
      </c>
      <c r="V96" s="2202">
        <v>8666</v>
      </c>
      <c r="W96" s="2202">
        <v>1777</v>
      </c>
      <c r="X96" s="2199">
        <f t="shared" si="14"/>
        <v>0.20505423494114933</v>
      </c>
      <c r="Y96" s="2202">
        <v>8190</v>
      </c>
      <c r="Z96" s="2202">
        <v>1322</v>
      </c>
      <c r="AA96" s="2199">
        <f t="shared" si="15"/>
        <v>0.16141636141636143</v>
      </c>
    </row>
    <row r="97" spans="1:27" x14ac:dyDescent="0.3">
      <c r="A97" s="56" t="s">
        <v>233</v>
      </c>
      <c r="B97" s="84" t="s">
        <v>234</v>
      </c>
      <c r="C97" s="57" t="s">
        <v>255</v>
      </c>
      <c r="D97" s="2202">
        <v>16091</v>
      </c>
      <c r="E97" s="2202">
        <v>4183</v>
      </c>
      <c r="F97" s="2199">
        <f t="shared" si="8"/>
        <v>0.25995898328258032</v>
      </c>
      <c r="G97" s="2202">
        <v>15711</v>
      </c>
      <c r="H97" s="2202">
        <v>3804</v>
      </c>
      <c r="I97" s="2199">
        <f t="shared" si="9"/>
        <v>0.24212335306473171</v>
      </c>
      <c r="J97" s="2202">
        <v>15267</v>
      </c>
      <c r="K97" s="2202">
        <v>3311</v>
      </c>
      <c r="L97" s="2199">
        <f t="shared" si="10"/>
        <v>0.21687299403943144</v>
      </c>
      <c r="M97" s="2202">
        <v>14834</v>
      </c>
      <c r="N97" s="2202">
        <v>2630</v>
      </c>
      <c r="O97" s="2199">
        <f t="shared" si="11"/>
        <v>0.1772954024538223</v>
      </c>
      <c r="P97" s="2202">
        <v>14196</v>
      </c>
      <c r="Q97" s="2202">
        <v>2395</v>
      </c>
      <c r="R97" s="2199">
        <f t="shared" si="12"/>
        <v>0.16870949563257256</v>
      </c>
      <c r="S97" s="2202">
        <v>13800</v>
      </c>
      <c r="T97" s="2202">
        <v>2316</v>
      </c>
      <c r="U97" s="2199">
        <f t="shared" si="13"/>
        <v>0.16782608695652174</v>
      </c>
      <c r="V97" s="2202">
        <v>14265</v>
      </c>
      <c r="W97" s="2202">
        <v>2482</v>
      </c>
      <c r="X97" s="2199">
        <f t="shared" si="14"/>
        <v>0.17399228881878726</v>
      </c>
      <c r="Y97" s="2202">
        <v>13070</v>
      </c>
      <c r="Z97" s="2202">
        <v>1969</v>
      </c>
      <c r="AA97" s="2199">
        <f t="shared" si="15"/>
        <v>0.15065034429992349</v>
      </c>
    </row>
    <row r="98" spans="1:27" x14ac:dyDescent="0.3">
      <c r="A98" s="56" t="s">
        <v>235</v>
      </c>
      <c r="B98" s="84" t="s">
        <v>236</v>
      </c>
      <c r="C98" s="57" t="s">
        <v>253</v>
      </c>
      <c r="D98" s="2202">
        <v>5209</v>
      </c>
      <c r="E98" s="2202">
        <v>1557</v>
      </c>
      <c r="F98" s="2199">
        <f t="shared" si="8"/>
        <v>0.29890574006527165</v>
      </c>
      <c r="G98" s="2202">
        <v>5237</v>
      </c>
      <c r="H98" s="2202">
        <v>1440</v>
      </c>
      <c r="I98" s="2199">
        <f t="shared" si="9"/>
        <v>0.27496658392209278</v>
      </c>
      <c r="J98" s="2202">
        <v>5089</v>
      </c>
      <c r="K98" s="2202">
        <v>1322</v>
      </c>
      <c r="L98" s="2199">
        <f t="shared" si="10"/>
        <v>0.25977598742385538</v>
      </c>
      <c r="M98" s="2202">
        <v>5093</v>
      </c>
      <c r="N98" s="2202">
        <v>1099</v>
      </c>
      <c r="O98" s="2199">
        <f t="shared" si="11"/>
        <v>0.21578637345376006</v>
      </c>
      <c r="P98" s="2202">
        <v>4837</v>
      </c>
      <c r="Q98" s="2202">
        <v>975</v>
      </c>
      <c r="R98" s="2199">
        <f t="shared" si="12"/>
        <v>0.20157122183171386</v>
      </c>
      <c r="S98" s="2202">
        <v>4627</v>
      </c>
      <c r="T98" s="2202">
        <v>929</v>
      </c>
      <c r="U98" s="2199">
        <f t="shared" si="13"/>
        <v>0.20077804192781501</v>
      </c>
      <c r="V98" s="2202">
        <v>4563</v>
      </c>
      <c r="W98" s="2202">
        <v>911</v>
      </c>
      <c r="X98" s="2199">
        <f t="shared" si="14"/>
        <v>0.19964935349550733</v>
      </c>
      <c r="Y98" s="2202">
        <v>4493</v>
      </c>
      <c r="Z98" s="2202">
        <v>717</v>
      </c>
      <c r="AA98" s="2199">
        <f t="shared" si="15"/>
        <v>0.15958157133318496</v>
      </c>
    </row>
    <row r="99" spans="1:27" x14ac:dyDescent="0.3">
      <c r="A99" s="56" t="s">
        <v>241</v>
      </c>
      <c r="B99" s="84" t="s">
        <v>242</v>
      </c>
      <c r="C99" s="57" t="s">
        <v>255</v>
      </c>
      <c r="D99" s="2202">
        <v>15446</v>
      </c>
      <c r="E99" s="2202">
        <v>3427</v>
      </c>
      <c r="F99" s="2199">
        <f t="shared" si="8"/>
        <v>0.22186973973844362</v>
      </c>
      <c r="G99" s="2202">
        <v>15108</v>
      </c>
      <c r="H99" s="2202">
        <v>3103</v>
      </c>
      <c r="I99" s="2199">
        <f t="shared" si="9"/>
        <v>0.20538787397405348</v>
      </c>
      <c r="J99" s="2202">
        <v>14200</v>
      </c>
      <c r="K99" s="2202">
        <v>2814</v>
      </c>
      <c r="L99" s="2199">
        <f t="shared" si="10"/>
        <v>0.19816901408450704</v>
      </c>
      <c r="M99" s="2202">
        <v>13933</v>
      </c>
      <c r="N99" s="2202">
        <v>2184</v>
      </c>
      <c r="O99" s="2199">
        <f t="shared" si="11"/>
        <v>0.15675016148711693</v>
      </c>
      <c r="P99" s="2202">
        <v>13423</v>
      </c>
      <c r="Q99" s="2202">
        <v>2093</v>
      </c>
      <c r="R99" s="2199">
        <f t="shared" si="12"/>
        <v>0.15592639499366759</v>
      </c>
      <c r="S99" s="2202">
        <v>13042</v>
      </c>
      <c r="T99" s="2202">
        <v>1900</v>
      </c>
      <c r="U99" s="2199">
        <f t="shared" si="13"/>
        <v>0.14568317742677503</v>
      </c>
      <c r="V99" s="2202">
        <v>13013</v>
      </c>
      <c r="W99" s="2202">
        <v>1884</v>
      </c>
      <c r="X99" s="2199">
        <f t="shared" si="14"/>
        <v>0.14477829862445246</v>
      </c>
      <c r="Y99" s="2202">
        <v>12136</v>
      </c>
      <c r="Z99" s="2202">
        <v>1534</v>
      </c>
      <c r="AA99" s="2199">
        <f t="shared" si="15"/>
        <v>0.12640079103493737</v>
      </c>
    </row>
    <row r="100" spans="1:27" x14ac:dyDescent="0.3">
      <c r="A100" s="56" t="s">
        <v>243</v>
      </c>
      <c r="B100" s="84" t="s">
        <v>244</v>
      </c>
      <c r="C100" s="57" t="s">
        <v>255</v>
      </c>
      <c r="D100" s="2202">
        <v>9777</v>
      </c>
      <c r="E100" s="2202">
        <v>2418</v>
      </c>
      <c r="F100" s="2199">
        <f t="shared" si="8"/>
        <v>0.24731512733967476</v>
      </c>
      <c r="G100" s="2202">
        <v>9559</v>
      </c>
      <c r="H100" s="2202">
        <v>2253</v>
      </c>
      <c r="I100" s="2199">
        <f t="shared" si="9"/>
        <v>0.23569411026257978</v>
      </c>
      <c r="J100" s="2202">
        <v>9171</v>
      </c>
      <c r="K100" s="2202">
        <v>1940</v>
      </c>
      <c r="L100" s="2199">
        <f t="shared" si="10"/>
        <v>0.21153636462763056</v>
      </c>
      <c r="M100" s="2202">
        <v>8726</v>
      </c>
      <c r="N100" s="2202">
        <v>1657</v>
      </c>
      <c r="O100" s="2199">
        <f t="shared" si="11"/>
        <v>0.18989227595691038</v>
      </c>
      <c r="P100" s="2202">
        <v>8413</v>
      </c>
      <c r="Q100" s="2202">
        <v>1428</v>
      </c>
      <c r="R100" s="2199">
        <f t="shared" si="12"/>
        <v>0.16973731130393438</v>
      </c>
      <c r="S100" s="2202">
        <v>8429</v>
      </c>
      <c r="T100" s="2202">
        <v>1459</v>
      </c>
      <c r="U100" s="2199">
        <f t="shared" si="13"/>
        <v>0.17309289358168228</v>
      </c>
      <c r="V100" s="2202">
        <v>8116</v>
      </c>
      <c r="W100" s="2202">
        <v>1308</v>
      </c>
      <c r="X100" s="2199">
        <f t="shared" si="14"/>
        <v>0.16116313454903894</v>
      </c>
      <c r="Y100" s="2202">
        <v>7737</v>
      </c>
      <c r="Z100" s="2202">
        <v>964</v>
      </c>
      <c r="AA100" s="2199">
        <f t="shared" si="15"/>
        <v>0.12459609667829909</v>
      </c>
    </row>
    <row r="101" spans="1:27" x14ac:dyDescent="0.3">
      <c r="A101" s="56" t="s">
        <v>245</v>
      </c>
      <c r="B101" s="84" t="s">
        <v>246</v>
      </c>
      <c r="C101" s="57" t="s">
        <v>251</v>
      </c>
      <c r="D101" s="2202">
        <v>11957</v>
      </c>
      <c r="E101" s="2202">
        <v>3280</v>
      </c>
      <c r="F101" s="2199">
        <f t="shared" si="8"/>
        <v>0.27431630007526969</v>
      </c>
      <c r="G101" s="2202">
        <v>11705</v>
      </c>
      <c r="H101" s="2202">
        <v>3186</v>
      </c>
      <c r="I101" s="2199">
        <f t="shared" si="9"/>
        <v>0.27219137120888509</v>
      </c>
      <c r="J101" s="2202">
        <v>11465</v>
      </c>
      <c r="K101" s="2202">
        <v>2737</v>
      </c>
      <c r="L101" s="2199">
        <f t="shared" si="10"/>
        <v>0.23872655909289142</v>
      </c>
      <c r="M101" s="2202">
        <v>11550</v>
      </c>
      <c r="N101" s="2202">
        <v>2408</v>
      </c>
      <c r="O101" s="2199">
        <f t="shared" si="11"/>
        <v>0.2084848484848485</v>
      </c>
      <c r="P101" s="2202">
        <v>11068</v>
      </c>
      <c r="Q101" s="2202">
        <v>2058</v>
      </c>
      <c r="R101" s="2199">
        <f t="shared" si="12"/>
        <v>0.18594145283700758</v>
      </c>
      <c r="S101" s="2202">
        <v>10882</v>
      </c>
      <c r="T101" s="2202">
        <v>2037</v>
      </c>
      <c r="U101" s="2199">
        <f t="shared" si="13"/>
        <v>0.18718985480610181</v>
      </c>
      <c r="V101" s="2202">
        <v>10844</v>
      </c>
      <c r="W101" s="2202">
        <v>2017</v>
      </c>
      <c r="X101" s="2199">
        <f t="shared" si="14"/>
        <v>0.18600147547030615</v>
      </c>
      <c r="Y101" s="2202">
        <v>10126</v>
      </c>
      <c r="Z101" s="2202">
        <v>1725</v>
      </c>
      <c r="AA101" s="2199">
        <f t="shared" si="15"/>
        <v>0.17035354532885641</v>
      </c>
    </row>
    <row r="102" spans="1:27" x14ac:dyDescent="0.3">
      <c r="A102" s="56" t="s">
        <v>13</v>
      </c>
      <c r="B102" s="84" t="s">
        <v>14</v>
      </c>
      <c r="C102" s="57" t="s">
        <v>254</v>
      </c>
      <c r="D102" s="2202">
        <v>25934</v>
      </c>
      <c r="E102" s="2202">
        <v>9189</v>
      </c>
      <c r="F102" s="2199">
        <f t="shared" si="8"/>
        <v>0.35432251098943474</v>
      </c>
      <c r="G102" s="2202">
        <v>27017</v>
      </c>
      <c r="H102" s="2202">
        <v>9623</v>
      </c>
      <c r="I102" s="2199">
        <f t="shared" si="9"/>
        <v>0.3561831439464041</v>
      </c>
      <c r="J102" s="2202">
        <v>26561</v>
      </c>
      <c r="K102" s="2202">
        <v>8897</v>
      </c>
      <c r="L102" s="2199">
        <f t="shared" si="10"/>
        <v>0.33496479801212303</v>
      </c>
      <c r="M102" s="2202">
        <v>26626</v>
      </c>
      <c r="N102" s="2202">
        <v>8212</v>
      </c>
      <c r="O102" s="2199">
        <f t="shared" si="11"/>
        <v>0.30842034102005561</v>
      </c>
      <c r="P102" s="2202">
        <v>26249</v>
      </c>
      <c r="Q102" s="2202">
        <v>8251</v>
      </c>
      <c r="R102" s="2199">
        <f t="shared" si="12"/>
        <v>0.31433578422035124</v>
      </c>
      <c r="S102" s="2202">
        <v>27679</v>
      </c>
      <c r="T102" s="2202">
        <v>7700</v>
      </c>
      <c r="U102" s="2199">
        <f t="shared" si="13"/>
        <v>0.27818924094078545</v>
      </c>
      <c r="V102" s="2202">
        <v>27484</v>
      </c>
      <c r="W102" s="2202">
        <v>8232</v>
      </c>
      <c r="X102" s="2199">
        <f t="shared" si="14"/>
        <v>0.29951972056469217</v>
      </c>
      <c r="Y102" s="2202">
        <v>25823</v>
      </c>
      <c r="Z102" s="2202">
        <v>5945</v>
      </c>
      <c r="AA102" s="2199">
        <f t="shared" si="15"/>
        <v>0.23022112070634707</v>
      </c>
    </row>
    <row r="103" spans="1:27" x14ac:dyDescent="0.3">
      <c r="A103" s="56" t="s">
        <v>33</v>
      </c>
      <c r="B103" s="84" t="s">
        <v>34</v>
      </c>
      <c r="C103" s="57" t="s">
        <v>255</v>
      </c>
      <c r="D103" s="2202">
        <v>7119</v>
      </c>
      <c r="E103" s="2202">
        <v>1458</v>
      </c>
      <c r="F103" s="2199">
        <f t="shared" si="8"/>
        <v>0.20480404551201012</v>
      </c>
      <c r="G103" s="2202">
        <v>7117</v>
      </c>
      <c r="H103" s="2202">
        <v>1304</v>
      </c>
      <c r="I103" s="2199">
        <f t="shared" si="9"/>
        <v>0.18322326823099622</v>
      </c>
      <c r="J103" s="2202">
        <v>6833</v>
      </c>
      <c r="K103" s="2202">
        <v>1254</v>
      </c>
      <c r="L103" s="2199">
        <f t="shared" si="10"/>
        <v>0.18352114737304259</v>
      </c>
      <c r="M103" s="2202">
        <v>6496</v>
      </c>
      <c r="N103" s="2202">
        <v>959</v>
      </c>
      <c r="O103" s="2199">
        <f t="shared" si="11"/>
        <v>0.1476293103448276</v>
      </c>
      <c r="P103" s="2202">
        <v>6375</v>
      </c>
      <c r="Q103" s="2202">
        <v>829</v>
      </c>
      <c r="R103" s="2199">
        <f t="shared" si="12"/>
        <v>0.13003921568627452</v>
      </c>
      <c r="S103" s="2202">
        <v>6075</v>
      </c>
      <c r="T103" s="2202">
        <v>729</v>
      </c>
      <c r="U103" s="2199">
        <f t="shared" si="13"/>
        <v>0.12</v>
      </c>
      <c r="V103" s="2202">
        <v>6078</v>
      </c>
      <c r="W103" s="2202">
        <v>792</v>
      </c>
      <c r="X103" s="2199">
        <f t="shared" si="14"/>
        <v>0.13030602171767028</v>
      </c>
      <c r="Y103" s="2202">
        <v>6046</v>
      </c>
      <c r="Z103" s="2202">
        <v>622</v>
      </c>
      <c r="AA103" s="2199">
        <f t="shared" si="15"/>
        <v>0.10287793582533906</v>
      </c>
    </row>
    <row r="104" spans="1:27" x14ac:dyDescent="0.3">
      <c r="A104" s="56" t="s">
        <v>51</v>
      </c>
      <c r="B104" s="84" t="s">
        <v>52</v>
      </c>
      <c r="C104" s="57" t="s">
        <v>252</v>
      </c>
      <c r="D104" s="2202">
        <v>17950</v>
      </c>
      <c r="E104" s="2202">
        <v>4601</v>
      </c>
      <c r="F104" s="2199">
        <f t="shared" si="8"/>
        <v>0.25632311977715877</v>
      </c>
      <c r="G104" s="2202">
        <v>17694</v>
      </c>
      <c r="H104" s="2202">
        <v>4576</v>
      </c>
      <c r="I104" s="2199">
        <f t="shared" si="9"/>
        <v>0.25861874081609587</v>
      </c>
      <c r="J104" s="2202">
        <v>17856</v>
      </c>
      <c r="K104" s="2202">
        <v>4167</v>
      </c>
      <c r="L104" s="2199">
        <f t="shared" si="10"/>
        <v>0.23336693548387097</v>
      </c>
      <c r="M104" s="2202">
        <v>16483</v>
      </c>
      <c r="N104" s="2202">
        <v>3675</v>
      </c>
      <c r="O104" s="2199">
        <f t="shared" si="11"/>
        <v>0.22295698598556088</v>
      </c>
      <c r="P104" s="2202">
        <v>15919</v>
      </c>
      <c r="Q104" s="2202">
        <v>3032</v>
      </c>
      <c r="R104" s="2199">
        <f t="shared" si="12"/>
        <v>0.1904642251397701</v>
      </c>
      <c r="S104" s="2202">
        <v>15508</v>
      </c>
      <c r="T104" s="2202">
        <v>2924</v>
      </c>
      <c r="U104" s="2199">
        <f t="shared" si="13"/>
        <v>0.18854784627289142</v>
      </c>
      <c r="V104" s="2202">
        <v>15202</v>
      </c>
      <c r="W104" s="2202">
        <v>2608</v>
      </c>
      <c r="X104" s="2199">
        <f t="shared" si="14"/>
        <v>0.17155637416129457</v>
      </c>
      <c r="Y104" s="2202">
        <v>13904</v>
      </c>
      <c r="Z104" s="2202">
        <v>2377</v>
      </c>
      <c r="AA104" s="2199">
        <f t="shared" si="15"/>
        <v>0.17095799769850403</v>
      </c>
    </row>
    <row r="105" spans="1:27" x14ac:dyDescent="0.3">
      <c r="A105" s="56" t="s">
        <v>53</v>
      </c>
      <c r="B105" s="84" t="s">
        <v>54</v>
      </c>
      <c r="C105" s="57" t="s">
        <v>251</v>
      </c>
      <c r="D105" s="2202">
        <v>48479</v>
      </c>
      <c r="E105" s="2202">
        <v>11863</v>
      </c>
      <c r="F105" s="2199">
        <f t="shared" si="8"/>
        <v>0.24470389240702159</v>
      </c>
      <c r="G105" s="2202">
        <v>48693</v>
      </c>
      <c r="H105" s="2202">
        <v>12118</v>
      </c>
      <c r="I105" s="2199">
        <f t="shared" si="9"/>
        <v>0.24886533998726718</v>
      </c>
      <c r="J105" s="2202">
        <v>48447</v>
      </c>
      <c r="K105" s="2202">
        <v>10782</v>
      </c>
      <c r="L105" s="2199">
        <f t="shared" si="10"/>
        <v>0.22255248002972319</v>
      </c>
      <c r="M105" s="2202">
        <v>46639</v>
      </c>
      <c r="N105" s="2202">
        <v>8053</v>
      </c>
      <c r="O105" s="2199">
        <f t="shared" si="11"/>
        <v>0.17266665237247797</v>
      </c>
      <c r="P105" s="2202">
        <v>45487</v>
      </c>
      <c r="Q105" s="2202">
        <v>8272</v>
      </c>
      <c r="R105" s="2199">
        <f t="shared" si="12"/>
        <v>0.18185415613252137</v>
      </c>
      <c r="S105" s="2202">
        <v>45331</v>
      </c>
      <c r="T105" s="2202">
        <v>7183</v>
      </c>
      <c r="U105" s="2199">
        <f t="shared" si="13"/>
        <v>0.15845668527056539</v>
      </c>
      <c r="V105" s="2202">
        <v>46374</v>
      </c>
      <c r="W105" s="2202">
        <v>7204</v>
      </c>
      <c r="X105" s="2199">
        <f t="shared" si="14"/>
        <v>0.15534566783111226</v>
      </c>
      <c r="Y105" s="2202">
        <v>43360</v>
      </c>
      <c r="Z105" s="2202">
        <v>6387</v>
      </c>
      <c r="AA105" s="2199">
        <f t="shared" si="15"/>
        <v>0.14730166051660518</v>
      </c>
    </row>
    <row r="106" spans="1:27" x14ac:dyDescent="0.3">
      <c r="A106" s="56" t="s">
        <v>65</v>
      </c>
      <c r="B106" s="84" t="s">
        <v>66</v>
      </c>
      <c r="C106" s="57" t="s">
        <v>252</v>
      </c>
      <c r="D106" s="2202">
        <v>18811</v>
      </c>
      <c r="E106" s="2202">
        <v>3820</v>
      </c>
      <c r="F106" s="2199">
        <f t="shared" si="8"/>
        <v>0.20307267024613257</v>
      </c>
      <c r="G106" s="2202">
        <v>18875</v>
      </c>
      <c r="H106" s="2202">
        <v>3388</v>
      </c>
      <c r="I106" s="2199">
        <f t="shared" si="9"/>
        <v>0.17949668874172187</v>
      </c>
      <c r="J106" s="2202">
        <v>18031</v>
      </c>
      <c r="K106" s="2202">
        <v>3153</v>
      </c>
      <c r="L106" s="2199">
        <f t="shared" si="10"/>
        <v>0.17486550940047696</v>
      </c>
      <c r="M106" s="2202">
        <v>17376</v>
      </c>
      <c r="N106" s="2202">
        <v>2510</v>
      </c>
      <c r="O106" s="2199">
        <f t="shared" si="11"/>
        <v>0.14445211786372009</v>
      </c>
      <c r="P106" s="2202">
        <v>16482</v>
      </c>
      <c r="Q106" s="2202">
        <v>2098</v>
      </c>
      <c r="R106" s="2199">
        <f t="shared" si="12"/>
        <v>0.12729037738138577</v>
      </c>
      <c r="S106" s="2202">
        <v>16011</v>
      </c>
      <c r="T106" s="2202">
        <v>2018</v>
      </c>
      <c r="U106" s="2199">
        <f t="shared" si="13"/>
        <v>0.12603834863531321</v>
      </c>
      <c r="V106" s="2202">
        <v>15944</v>
      </c>
      <c r="W106" s="2202">
        <v>2152</v>
      </c>
      <c r="X106" s="2199">
        <f t="shared" si="14"/>
        <v>0.1349724034119418</v>
      </c>
      <c r="Y106" s="2202">
        <v>15301</v>
      </c>
      <c r="Z106" s="2202">
        <v>1582</v>
      </c>
      <c r="AA106" s="2199">
        <f t="shared" si="15"/>
        <v>0.1033919351676361</v>
      </c>
    </row>
    <row r="107" spans="1:27" x14ac:dyDescent="0.3">
      <c r="A107" s="56" t="s">
        <v>81</v>
      </c>
      <c r="B107" s="84" t="s">
        <v>82</v>
      </c>
      <c r="C107" s="57" t="s">
        <v>251</v>
      </c>
      <c r="D107" s="2202">
        <v>3627</v>
      </c>
      <c r="E107" s="2202">
        <v>701</v>
      </c>
      <c r="F107" s="2199">
        <f t="shared" si="8"/>
        <v>0.19327267714364488</v>
      </c>
      <c r="G107" s="2202">
        <v>3796</v>
      </c>
      <c r="H107" s="2202">
        <v>646</v>
      </c>
      <c r="I107" s="2199">
        <f t="shared" si="9"/>
        <v>0.17017913593256059</v>
      </c>
      <c r="J107" s="2202">
        <v>3664</v>
      </c>
      <c r="K107" s="2202">
        <v>653</v>
      </c>
      <c r="L107" s="2199">
        <f t="shared" si="10"/>
        <v>0.17822052401746724</v>
      </c>
      <c r="M107" s="2202">
        <v>3526</v>
      </c>
      <c r="N107" s="2202">
        <v>539</v>
      </c>
      <c r="O107" s="2199">
        <f t="shared" si="11"/>
        <v>0.15286443562110039</v>
      </c>
      <c r="P107" s="2202">
        <v>3143</v>
      </c>
      <c r="Q107" s="2202">
        <v>396</v>
      </c>
      <c r="R107" s="2199">
        <f t="shared" si="12"/>
        <v>0.12599427298759147</v>
      </c>
      <c r="S107" s="2202">
        <v>3063</v>
      </c>
      <c r="T107" s="2202">
        <v>363</v>
      </c>
      <c r="U107" s="2199">
        <f t="shared" si="13"/>
        <v>0.11851126346718903</v>
      </c>
      <c r="V107" s="2202">
        <v>2994</v>
      </c>
      <c r="W107" s="2202">
        <v>325</v>
      </c>
      <c r="X107" s="2199">
        <f t="shared" si="14"/>
        <v>0.10855043420173681</v>
      </c>
      <c r="Y107" s="2202">
        <v>2936</v>
      </c>
      <c r="Z107" s="2202">
        <v>230</v>
      </c>
      <c r="AA107" s="2199">
        <f t="shared" si="15"/>
        <v>7.833787465940055E-2</v>
      </c>
    </row>
    <row r="108" spans="1:27" x14ac:dyDescent="0.3">
      <c r="A108" s="56" t="s">
        <v>87</v>
      </c>
      <c r="B108" s="84" t="s">
        <v>88</v>
      </c>
      <c r="C108" s="57" t="s">
        <v>254</v>
      </c>
      <c r="D108" s="2202">
        <v>8595</v>
      </c>
      <c r="E108" s="2202">
        <v>2268</v>
      </c>
      <c r="F108" s="2199">
        <f t="shared" si="8"/>
        <v>0.26387434554973821</v>
      </c>
      <c r="G108" s="2202">
        <v>9060</v>
      </c>
      <c r="H108" s="2202">
        <v>2195</v>
      </c>
      <c r="I108" s="2199">
        <f t="shared" si="9"/>
        <v>0.2422737306843267</v>
      </c>
      <c r="J108" s="2202">
        <v>8737</v>
      </c>
      <c r="K108" s="2202">
        <v>1892</v>
      </c>
      <c r="L108" s="2199">
        <f t="shared" si="10"/>
        <v>0.21655030330777156</v>
      </c>
      <c r="M108" s="2202">
        <v>8373</v>
      </c>
      <c r="N108" s="2202">
        <v>1504</v>
      </c>
      <c r="O108" s="2199">
        <f t="shared" si="11"/>
        <v>0.17962498507106175</v>
      </c>
      <c r="P108" s="2202">
        <v>8055</v>
      </c>
      <c r="Q108" s="2202">
        <v>1505</v>
      </c>
      <c r="R108" s="2199">
        <f t="shared" si="12"/>
        <v>0.18684047175667287</v>
      </c>
      <c r="S108" s="2202">
        <v>7481</v>
      </c>
      <c r="T108" s="2202">
        <v>1340</v>
      </c>
      <c r="U108" s="2199">
        <f t="shared" si="13"/>
        <v>0.17912043844405828</v>
      </c>
      <c r="V108" s="2202">
        <v>7621</v>
      </c>
      <c r="W108" s="2202">
        <v>1463</v>
      </c>
      <c r="X108" s="2199">
        <f t="shared" si="14"/>
        <v>0.19196955780081354</v>
      </c>
      <c r="Y108" s="2202">
        <v>7212</v>
      </c>
      <c r="Z108" s="2202">
        <v>1084</v>
      </c>
      <c r="AA108" s="2199">
        <f t="shared" si="15"/>
        <v>0.15030504714364948</v>
      </c>
    </row>
    <row r="109" spans="1:27" x14ac:dyDescent="0.3">
      <c r="A109" s="56" t="s">
        <v>89</v>
      </c>
      <c r="B109" s="84" t="s">
        <v>90</v>
      </c>
      <c r="C109" s="57" t="s">
        <v>255</v>
      </c>
      <c r="D109" s="2202">
        <v>3032</v>
      </c>
      <c r="E109" s="2202">
        <v>794</v>
      </c>
      <c r="F109" s="2199">
        <f t="shared" si="8"/>
        <v>0.26187335092348285</v>
      </c>
      <c r="G109" s="2202">
        <v>3074</v>
      </c>
      <c r="H109" s="2202">
        <v>720</v>
      </c>
      <c r="I109" s="2199">
        <f t="shared" si="9"/>
        <v>0.23422251138581651</v>
      </c>
      <c r="J109" s="2202">
        <v>2957</v>
      </c>
      <c r="K109" s="2202">
        <v>658</v>
      </c>
      <c r="L109" s="2199">
        <f t="shared" si="10"/>
        <v>0.2225228271897193</v>
      </c>
      <c r="M109" s="2202">
        <v>2842</v>
      </c>
      <c r="N109" s="2202">
        <v>602</v>
      </c>
      <c r="O109" s="2199">
        <f t="shared" si="11"/>
        <v>0.21182266009852216</v>
      </c>
      <c r="P109" s="2202">
        <v>2725</v>
      </c>
      <c r="Q109" s="2202">
        <v>536</v>
      </c>
      <c r="R109" s="2199">
        <f t="shared" si="12"/>
        <v>0.19669724770642202</v>
      </c>
      <c r="S109" s="2202">
        <v>2623</v>
      </c>
      <c r="T109" s="2202">
        <v>499</v>
      </c>
      <c r="U109" s="2199">
        <f t="shared" si="13"/>
        <v>0.19024018299656881</v>
      </c>
      <c r="V109" s="2202">
        <v>2525</v>
      </c>
      <c r="W109" s="2202">
        <v>492</v>
      </c>
      <c r="X109" s="2199">
        <f t="shared" si="14"/>
        <v>0.19485148514851486</v>
      </c>
      <c r="Y109" s="2202">
        <v>2485</v>
      </c>
      <c r="Z109" s="2202">
        <v>405</v>
      </c>
      <c r="AA109" s="2199">
        <f t="shared" si="15"/>
        <v>0.16297786720321933</v>
      </c>
    </row>
    <row r="110" spans="1:27" x14ac:dyDescent="0.3">
      <c r="A110" s="56" t="s">
        <v>105</v>
      </c>
      <c r="B110" s="84" t="s">
        <v>106</v>
      </c>
      <c r="C110" s="57" t="s">
        <v>251</v>
      </c>
      <c r="D110" s="2202">
        <v>42754</v>
      </c>
      <c r="E110" s="2202">
        <v>9122</v>
      </c>
      <c r="F110" s="2199">
        <f t="shared" si="8"/>
        <v>0.21336015343593581</v>
      </c>
      <c r="G110" s="2202">
        <v>42946</v>
      </c>
      <c r="H110" s="2202">
        <v>9162</v>
      </c>
      <c r="I110" s="2199">
        <f t="shared" si="9"/>
        <v>0.2133376798770549</v>
      </c>
      <c r="J110" s="2202">
        <v>42869</v>
      </c>
      <c r="K110" s="2202">
        <v>8509</v>
      </c>
      <c r="L110" s="2199">
        <f t="shared" si="10"/>
        <v>0.1984884182042968</v>
      </c>
      <c r="M110" s="2202">
        <v>42042</v>
      </c>
      <c r="N110" s="2202">
        <v>6361</v>
      </c>
      <c r="O110" s="2199">
        <f t="shared" si="11"/>
        <v>0.15130107987250843</v>
      </c>
      <c r="P110" s="2202">
        <v>40272</v>
      </c>
      <c r="Q110" s="2202">
        <v>5522</v>
      </c>
      <c r="R110" s="2199">
        <f t="shared" si="12"/>
        <v>0.13711760031783871</v>
      </c>
      <c r="S110" s="2202">
        <v>38919</v>
      </c>
      <c r="T110" s="2202">
        <v>5623</v>
      </c>
      <c r="U110" s="2199">
        <f t="shared" si="13"/>
        <v>0.14447956011202753</v>
      </c>
      <c r="V110" s="2202">
        <v>38116</v>
      </c>
      <c r="W110" s="2202">
        <v>5039</v>
      </c>
      <c r="X110" s="2199">
        <f t="shared" si="14"/>
        <v>0.13220170007345997</v>
      </c>
      <c r="Y110" s="2202">
        <v>35604</v>
      </c>
      <c r="Z110" s="2202">
        <v>3900</v>
      </c>
      <c r="AA110" s="2199">
        <f t="shared" si="15"/>
        <v>0.10953825412874958</v>
      </c>
    </row>
    <row r="111" spans="1:27" x14ac:dyDescent="0.3">
      <c r="A111" s="56" t="s">
        <v>115</v>
      </c>
      <c r="B111" s="84" t="s">
        <v>116</v>
      </c>
      <c r="C111" s="57" t="s">
        <v>253</v>
      </c>
      <c r="D111" s="2202">
        <v>9560</v>
      </c>
      <c r="E111" s="2202">
        <v>2010</v>
      </c>
      <c r="F111" s="2199">
        <f t="shared" si="8"/>
        <v>0.21025104602510461</v>
      </c>
      <c r="G111" s="2202">
        <v>9573</v>
      </c>
      <c r="H111" s="2202">
        <v>1808</v>
      </c>
      <c r="I111" s="2199">
        <f t="shared" si="9"/>
        <v>0.18886451478115535</v>
      </c>
      <c r="J111" s="2202">
        <v>9486</v>
      </c>
      <c r="K111" s="2202">
        <v>1717</v>
      </c>
      <c r="L111" s="2199">
        <f t="shared" si="10"/>
        <v>0.18100358422939067</v>
      </c>
      <c r="M111" s="2202">
        <v>9186</v>
      </c>
      <c r="N111" s="2202">
        <v>1430</v>
      </c>
      <c r="O111" s="2199">
        <f t="shared" si="11"/>
        <v>0.15567167428695841</v>
      </c>
      <c r="P111" s="2202">
        <v>9395</v>
      </c>
      <c r="Q111" s="2202">
        <v>1343</v>
      </c>
      <c r="R111" s="2199">
        <f t="shared" si="12"/>
        <v>0.14294837679616818</v>
      </c>
      <c r="S111" s="2202">
        <v>9259</v>
      </c>
      <c r="T111" s="2202">
        <v>1332</v>
      </c>
      <c r="U111" s="2199">
        <f t="shared" si="13"/>
        <v>0.14386002808078627</v>
      </c>
      <c r="V111" s="2202">
        <v>9339</v>
      </c>
      <c r="W111" s="2202">
        <v>1363</v>
      </c>
      <c r="X111" s="2199">
        <f t="shared" si="14"/>
        <v>0.1459471035442767</v>
      </c>
      <c r="Y111" s="2202">
        <v>9327</v>
      </c>
      <c r="Z111" s="2202">
        <v>909</v>
      </c>
      <c r="AA111" s="2199">
        <f t="shared" si="15"/>
        <v>9.7458990028948214E-2</v>
      </c>
    </row>
    <row r="112" spans="1:27" x14ac:dyDescent="0.3">
      <c r="A112" s="56" t="s">
        <v>137</v>
      </c>
      <c r="B112" s="84" t="s">
        <v>138</v>
      </c>
      <c r="C112" s="57" t="s">
        <v>252</v>
      </c>
      <c r="D112" s="2202">
        <v>27026</v>
      </c>
      <c r="E112" s="2202">
        <v>6406</v>
      </c>
      <c r="F112" s="2199">
        <f t="shared" si="8"/>
        <v>0.23703100717827277</v>
      </c>
      <c r="G112" s="2202">
        <v>27360</v>
      </c>
      <c r="H112" s="2202">
        <v>6123</v>
      </c>
      <c r="I112" s="2199">
        <f t="shared" si="9"/>
        <v>0.22379385964912279</v>
      </c>
      <c r="J112" s="2202">
        <v>27791</v>
      </c>
      <c r="K112" s="2202">
        <v>5286</v>
      </c>
      <c r="L112" s="2199">
        <f t="shared" si="10"/>
        <v>0.19020546219999279</v>
      </c>
      <c r="M112" s="2202">
        <v>26810</v>
      </c>
      <c r="N112" s="2202">
        <v>4595</v>
      </c>
      <c r="O112" s="2199">
        <f t="shared" si="11"/>
        <v>0.17139127191346512</v>
      </c>
      <c r="P112" s="2202">
        <v>25838</v>
      </c>
      <c r="Q112" s="2202">
        <v>4023</v>
      </c>
      <c r="R112" s="2199">
        <f t="shared" si="12"/>
        <v>0.15570090564285161</v>
      </c>
      <c r="S112" s="2202">
        <v>25890</v>
      </c>
      <c r="T112" s="2202">
        <v>3778</v>
      </c>
      <c r="U112" s="2199">
        <f t="shared" si="13"/>
        <v>0.1459250675936655</v>
      </c>
      <c r="V112" s="2202">
        <v>26746</v>
      </c>
      <c r="W112" s="2202">
        <v>4031</v>
      </c>
      <c r="X112" s="2199">
        <f t="shared" si="14"/>
        <v>0.15071412547670679</v>
      </c>
      <c r="Y112" s="2202">
        <v>25224</v>
      </c>
      <c r="Z112" s="2202">
        <v>3092</v>
      </c>
      <c r="AA112" s="2199">
        <f t="shared" si="15"/>
        <v>0.12258166825245798</v>
      </c>
    </row>
    <row r="113" spans="1:27" x14ac:dyDescent="0.3">
      <c r="A113" s="56" t="s">
        <v>141</v>
      </c>
      <c r="B113" s="84" t="s">
        <v>260</v>
      </c>
      <c r="C113" s="57" t="s">
        <v>254</v>
      </c>
      <c r="D113" s="2202">
        <v>11834</v>
      </c>
      <c r="E113" s="2202">
        <v>4293</v>
      </c>
      <c r="F113" s="2199">
        <f t="shared" si="8"/>
        <v>0.36276829474395811</v>
      </c>
      <c r="G113" s="2202">
        <v>12237</v>
      </c>
      <c r="H113" s="2202">
        <v>4142</v>
      </c>
      <c r="I113" s="2199">
        <f t="shared" si="9"/>
        <v>0.33848165400016345</v>
      </c>
      <c r="J113" s="2202">
        <v>11525</v>
      </c>
      <c r="K113" s="2202">
        <v>3893</v>
      </c>
      <c r="L113" s="2199">
        <f t="shared" si="10"/>
        <v>0.33778741865509759</v>
      </c>
      <c r="M113" s="2202">
        <v>11256</v>
      </c>
      <c r="N113" s="2202">
        <v>3208</v>
      </c>
      <c r="O113" s="2199">
        <f t="shared" si="11"/>
        <v>0.28500355366027008</v>
      </c>
      <c r="P113" s="2202">
        <v>10363</v>
      </c>
      <c r="Q113" s="2202">
        <v>2718</v>
      </c>
      <c r="R113" s="2199">
        <f t="shared" si="12"/>
        <v>0.26227926276174851</v>
      </c>
      <c r="S113" s="2202">
        <v>10130</v>
      </c>
      <c r="T113" s="2202">
        <v>2807</v>
      </c>
      <c r="U113" s="2199">
        <f t="shared" si="13"/>
        <v>0.27709772951628825</v>
      </c>
      <c r="V113" s="2202">
        <v>10214</v>
      </c>
      <c r="W113" s="2202">
        <v>2806</v>
      </c>
      <c r="X113" s="2199">
        <f t="shared" si="14"/>
        <v>0.27472097121597805</v>
      </c>
      <c r="Y113" s="2202">
        <v>9587</v>
      </c>
      <c r="Z113" s="2202">
        <v>2456</v>
      </c>
      <c r="AA113" s="2199">
        <f t="shared" si="15"/>
        <v>0.2561802440805257</v>
      </c>
    </row>
    <row r="114" spans="1:27" x14ac:dyDescent="0.3">
      <c r="A114" s="56" t="s">
        <v>143</v>
      </c>
      <c r="B114" s="84" t="s">
        <v>144</v>
      </c>
      <c r="C114" s="57" t="s">
        <v>254</v>
      </c>
      <c r="D114" s="2202">
        <v>4860</v>
      </c>
      <c r="E114" s="2202">
        <v>1794</v>
      </c>
      <c r="F114" s="2199">
        <f t="shared" si="8"/>
        <v>0.3691358024691358</v>
      </c>
      <c r="G114" s="2202">
        <v>4786</v>
      </c>
      <c r="H114" s="2202">
        <v>1777</v>
      </c>
      <c r="I114" s="2199">
        <f t="shared" si="9"/>
        <v>0.37129126619306307</v>
      </c>
      <c r="J114" s="2202">
        <v>4311</v>
      </c>
      <c r="K114" s="2202">
        <v>1523</v>
      </c>
      <c r="L114" s="2199">
        <f t="shared" si="10"/>
        <v>0.35328230109023429</v>
      </c>
      <c r="M114" s="2202">
        <v>4286</v>
      </c>
      <c r="N114" s="2202">
        <v>1411</v>
      </c>
      <c r="O114" s="2199">
        <f t="shared" si="11"/>
        <v>0.32921138590760618</v>
      </c>
      <c r="P114" s="2202">
        <v>4193</v>
      </c>
      <c r="Q114" s="2202">
        <v>1205</v>
      </c>
      <c r="R114" s="2199">
        <f t="shared" si="12"/>
        <v>0.2873837347960887</v>
      </c>
      <c r="S114" s="2202">
        <v>4316</v>
      </c>
      <c r="T114" s="2202">
        <v>1257</v>
      </c>
      <c r="U114" s="2199">
        <f t="shared" si="13"/>
        <v>0.29124189063948103</v>
      </c>
      <c r="V114" s="2202">
        <v>4536</v>
      </c>
      <c r="W114" s="2202">
        <v>1324</v>
      </c>
      <c r="X114" s="2199">
        <f t="shared" si="14"/>
        <v>0.29188712522045857</v>
      </c>
      <c r="Y114" s="2202">
        <v>4412</v>
      </c>
      <c r="Z114" s="2202">
        <v>1128</v>
      </c>
      <c r="AA114" s="2199">
        <f t="shared" si="15"/>
        <v>0.25566636446056212</v>
      </c>
    </row>
    <row r="115" spans="1:27" x14ac:dyDescent="0.3">
      <c r="A115" s="56" t="s">
        <v>157</v>
      </c>
      <c r="B115" s="84" t="s">
        <v>158</v>
      </c>
      <c r="C115" s="57" t="s">
        <v>251</v>
      </c>
      <c r="D115" s="2202">
        <v>60447</v>
      </c>
      <c r="E115" s="2202">
        <v>14117</v>
      </c>
      <c r="F115" s="2199">
        <f t="shared" si="8"/>
        <v>0.23354343474448691</v>
      </c>
      <c r="G115" s="2202">
        <v>60349</v>
      </c>
      <c r="H115" s="2202">
        <v>13506</v>
      </c>
      <c r="I115" s="2199">
        <f t="shared" si="9"/>
        <v>0.22379824023596082</v>
      </c>
      <c r="J115" s="2202">
        <v>59657</v>
      </c>
      <c r="K115" s="2202">
        <v>11531</v>
      </c>
      <c r="L115" s="2199">
        <f t="shared" si="10"/>
        <v>0.19328829810416212</v>
      </c>
      <c r="M115" s="2202">
        <v>58345</v>
      </c>
      <c r="N115" s="2202">
        <v>9310</v>
      </c>
      <c r="O115" s="2199">
        <f t="shared" si="11"/>
        <v>0.15956808638272346</v>
      </c>
      <c r="P115" s="2202">
        <v>56368</v>
      </c>
      <c r="Q115" s="2202">
        <v>9264</v>
      </c>
      <c r="R115" s="2199">
        <f t="shared" si="12"/>
        <v>0.1643485665625887</v>
      </c>
      <c r="S115" s="2202">
        <v>55892</v>
      </c>
      <c r="T115" s="2202">
        <v>9174</v>
      </c>
      <c r="U115" s="2199">
        <f t="shared" si="13"/>
        <v>0.16413798039075359</v>
      </c>
      <c r="V115" s="2202">
        <v>55028</v>
      </c>
      <c r="W115" s="2202">
        <v>8505</v>
      </c>
      <c r="X115" s="2199">
        <f t="shared" si="14"/>
        <v>0.1545576797266846</v>
      </c>
      <c r="Y115" s="2202">
        <v>53830</v>
      </c>
      <c r="Z115" s="2202">
        <v>6677</v>
      </c>
      <c r="AA115" s="2199">
        <f t="shared" si="15"/>
        <v>0.12403864016347761</v>
      </c>
    </row>
    <row r="116" spans="1:27" x14ac:dyDescent="0.3">
      <c r="A116" s="56" t="s">
        <v>159</v>
      </c>
      <c r="B116" s="84" t="s">
        <v>160</v>
      </c>
      <c r="C116" s="57" t="s">
        <v>251</v>
      </c>
      <c r="D116" s="2202">
        <v>87802</v>
      </c>
      <c r="E116" s="2202">
        <v>19860</v>
      </c>
      <c r="F116" s="2199">
        <f t="shared" si="8"/>
        <v>0.22619074736338579</v>
      </c>
      <c r="G116" s="2202">
        <v>87140</v>
      </c>
      <c r="H116" s="2202">
        <v>19391</v>
      </c>
      <c r="I116" s="2199">
        <f t="shared" si="9"/>
        <v>0.22252696809731468</v>
      </c>
      <c r="J116" s="2202">
        <v>85482</v>
      </c>
      <c r="K116" s="2202">
        <v>17195</v>
      </c>
      <c r="L116" s="2199">
        <f t="shared" si="10"/>
        <v>0.20115345920778643</v>
      </c>
      <c r="M116" s="2202">
        <v>82997</v>
      </c>
      <c r="N116" s="2202">
        <v>14737</v>
      </c>
      <c r="O116" s="2199">
        <f t="shared" si="11"/>
        <v>0.17756063472173694</v>
      </c>
      <c r="P116" s="2202">
        <v>79494</v>
      </c>
      <c r="Q116" s="2202">
        <v>12738</v>
      </c>
      <c r="R116" s="2199">
        <f t="shared" si="12"/>
        <v>0.16023850856668428</v>
      </c>
      <c r="S116" s="2202">
        <v>77229</v>
      </c>
      <c r="T116" s="2202">
        <v>12270</v>
      </c>
      <c r="U116" s="2199">
        <f t="shared" si="13"/>
        <v>0.15887814163073458</v>
      </c>
      <c r="V116" s="2202">
        <v>75188</v>
      </c>
      <c r="W116" s="2202">
        <v>12713</v>
      </c>
      <c r="X116" s="2199">
        <f t="shared" si="14"/>
        <v>0.16908283236686705</v>
      </c>
      <c r="Y116" s="2202">
        <v>71394</v>
      </c>
      <c r="Z116" s="2202">
        <v>9439</v>
      </c>
      <c r="AA116" s="2199">
        <f t="shared" si="15"/>
        <v>0.13220998963498334</v>
      </c>
    </row>
    <row r="117" spans="1:27" x14ac:dyDescent="0.3">
      <c r="A117" s="56" t="s">
        <v>165</v>
      </c>
      <c r="B117" s="84" t="s">
        <v>166</v>
      </c>
      <c r="C117" s="57" t="s">
        <v>255</v>
      </c>
      <c r="D117" s="2202">
        <v>1637</v>
      </c>
      <c r="E117" s="2202">
        <v>305</v>
      </c>
      <c r="F117" s="2199">
        <f t="shared" si="8"/>
        <v>0.18631643249847282</v>
      </c>
      <c r="G117" s="2202">
        <v>1664</v>
      </c>
      <c r="H117" s="2202">
        <v>268</v>
      </c>
      <c r="I117" s="2199">
        <f t="shared" si="9"/>
        <v>0.16105769230769232</v>
      </c>
      <c r="J117" s="2202">
        <v>1650</v>
      </c>
      <c r="K117" s="2202">
        <v>290</v>
      </c>
      <c r="L117" s="2199">
        <f t="shared" si="10"/>
        <v>0.17575757575757575</v>
      </c>
      <c r="M117" s="2202">
        <v>1538</v>
      </c>
      <c r="N117" s="2202">
        <v>242</v>
      </c>
      <c r="O117" s="2199">
        <f t="shared" si="11"/>
        <v>0.15734720416124837</v>
      </c>
      <c r="P117" s="2202">
        <v>1511</v>
      </c>
      <c r="Q117" s="2202">
        <v>203</v>
      </c>
      <c r="R117" s="2199">
        <f t="shared" si="12"/>
        <v>0.1343481138318994</v>
      </c>
      <c r="S117" s="2202">
        <v>1546</v>
      </c>
      <c r="T117" s="2202">
        <v>233</v>
      </c>
      <c r="U117" s="2199">
        <f t="shared" si="13"/>
        <v>0.15071151358344115</v>
      </c>
      <c r="V117" s="2202">
        <v>1557</v>
      </c>
      <c r="W117" s="2202">
        <v>193</v>
      </c>
      <c r="X117" s="2199">
        <f t="shared" si="14"/>
        <v>0.12395632626846499</v>
      </c>
      <c r="Y117" s="2202">
        <v>1497</v>
      </c>
      <c r="Z117" s="2202">
        <v>134</v>
      </c>
      <c r="AA117" s="2199">
        <f t="shared" si="15"/>
        <v>8.9512358049432195E-2</v>
      </c>
    </row>
    <row r="118" spans="1:27" x14ac:dyDescent="0.3">
      <c r="A118" s="56" t="s">
        <v>175</v>
      </c>
      <c r="B118" s="84" t="s">
        <v>176</v>
      </c>
      <c r="C118" s="57" t="s">
        <v>253</v>
      </c>
      <c r="D118" s="2202">
        <v>14794</v>
      </c>
      <c r="E118" s="2202">
        <v>2873</v>
      </c>
      <c r="F118" s="2199">
        <f t="shared" si="8"/>
        <v>0.19420035149384884</v>
      </c>
      <c r="G118" s="2202">
        <v>15135</v>
      </c>
      <c r="H118" s="2202">
        <v>2787</v>
      </c>
      <c r="I118" s="2199">
        <f t="shared" si="9"/>
        <v>0.18414271555996037</v>
      </c>
      <c r="J118" s="2202">
        <v>15200</v>
      </c>
      <c r="K118" s="2202">
        <v>2660</v>
      </c>
      <c r="L118" s="2199">
        <f t="shared" si="10"/>
        <v>0.17499999999999999</v>
      </c>
      <c r="M118" s="2202">
        <v>14849</v>
      </c>
      <c r="N118" s="2202">
        <v>2130</v>
      </c>
      <c r="O118" s="2199">
        <f t="shared" si="11"/>
        <v>0.14344400296316251</v>
      </c>
      <c r="P118" s="2202">
        <v>14266</v>
      </c>
      <c r="Q118" s="2202">
        <v>2007</v>
      </c>
      <c r="R118" s="2199">
        <f t="shared" si="12"/>
        <v>0.14068414411888405</v>
      </c>
      <c r="S118" s="2202">
        <v>14128</v>
      </c>
      <c r="T118" s="2202">
        <v>1765</v>
      </c>
      <c r="U118" s="2199">
        <f t="shared" si="13"/>
        <v>0.12492921857304644</v>
      </c>
      <c r="V118" s="2202">
        <v>14029</v>
      </c>
      <c r="W118" s="2202">
        <v>1844</v>
      </c>
      <c r="X118" s="2199">
        <f t="shared" si="14"/>
        <v>0.1314420129731271</v>
      </c>
      <c r="Y118" s="2202">
        <v>13550</v>
      </c>
      <c r="Z118" s="2202">
        <v>1470</v>
      </c>
      <c r="AA118" s="2199">
        <f t="shared" si="15"/>
        <v>0.10848708487084871</v>
      </c>
    </row>
    <row r="119" spans="1:27" x14ac:dyDescent="0.3">
      <c r="A119" s="56" t="s">
        <v>179</v>
      </c>
      <c r="B119" s="84" t="s">
        <v>180</v>
      </c>
      <c r="C119" s="57" t="s">
        <v>251</v>
      </c>
      <c r="D119" s="2202">
        <v>35287</v>
      </c>
      <c r="E119" s="2202">
        <v>7521</v>
      </c>
      <c r="F119" s="2199">
        <f t="shared" si="8"/>
        <v>0.21313798282653668</v>
      </c>
      <c r="G119" s="2202">
        <v>35006</v>
      </c>
      <c r="H119" s="2202">
        <v>6932</v>
      </c>
      <c r="I119" s="2199">
        <f t="shared" si="9"/>
        <v>0.19802319602353882</v>
      </c>
      <c r="J119" s="2202">
        <v>34231</v>
      </c>
      <c r="K119" s="2202">
        <v>6082</v>
      </c>
      <c r="L119" s="2199">
        <f t="shared" si="10"/>
        <v>0.17767520668399989</v>
      </c>
      <c r="M119" s="2202">
        <v>32864</v>
      </c>
      <c r="N119" s="2202">
        <v>4861</v>
      </c>
      <c r="O119" s="2199">
        <f t="shared" si="11"/>
        <v>0.14791260954235638</v>
      </c>
      <c r="P119" s="2202">
        <v>31572</v>
      </c>
      <c r="Q119" s="2202">
        <v>4209</v>
      </c>
      <c r="R119" s="2199">
        <f t="shared" si="12"/>
        <v>0.13331432915241354</v>
      </c>
      <c r="S119" s="2202">
        <v>31229</v>
      </c>
      <c r="T119" s="2202">
        <v>4525</v>
      </c>
      <c r="U119" s="2199">
        <f t="shared" si="13"/>
        <v>0.14489737103333439</v>
      </c>
      <c r="V119" s="2202">
        <v>31400</v>
      </c>
      <c r="W119" s="2202">
        <v>4096</v>
      </c>
      <c r="X119" s="2199">
        <f t="shared" si="14"/>
        <v>0.13044585987261145</v>
      </c>
      <c r="Y119" s="2202">
        <v>29875</v>
      </c>
      <c r="Z119" s="2202">
        <v>3147</v>
      </c>
      <c r="AA119" s="2199">
        <f t="shared" si="15"/>
        <v>0.10533891213389121</v>
      </c>
    </row>
    <row r="120" spans="1:27" x14ac:dyDescent="0.3">
      <c r="A120" s="56" t="s">
        <v>191</v>
      </c>
      <c r="B120" s="84" t="s">
        <v>192</v>
      </c>
      <c r="C120" s="57" t="s">
        <v>255</v>
      </c>
      <c r="D120" s="2202">
        <v>6418</v>
      </c>
      <c r="E120" s="2202">
        <v>1683</v>
      </c>
      <c r="F120" s="2199">
        <f t="shared" si="8"/>
        <v>0.26223122468058585</v>
      </c>
      <c r="G120" s="2202">
        <v>6969</v>
      </c>
      <c r="H120" s="2202">
        <v>1682</v>
      </c>
      <c r="I120" s="2199">
        <f t="shared" si="9"/>
        <v>0.24135457023963267</v>
      </c>
      <c r="J120" s="2202">
        <v>7084</v>
      </c>
      <c r="K120" s="2202">
        <v>1212</v>
      </c>
      <c r="L120" s="2199">
        <f t="shared" si="10"/>
        <v>0.17108977978543197</v>
      </c>
      <c r="M120" s="2202">
        <v>6718</v>
      </c>
      <c r="N120" s="2202">
        <v>870</v>
      </c>
      <c r="O120" s="2199">
        <f t="shared" si="11"/>
        <v>0.12950282822268533</v>
      </c>
      <c r="P120" s="2202">
        <v>6596</v>
      </c>
      <c r="Q120" s="2202">
        <v>826</v>
      </c>
      <c r="R120" s="2199">
        <f t="shared" si="12"/>
        <v>0.12522741055184961</v>
      </c>
      <c r="S120" s="2202">
        <v>6426</v>
      </c>
      <c r="T120" s="2202">
        <v>826</v>
      </c>
      <c r="U120" s="2199">
        <f t="shared" si="13"/>
        <v>0.12854030501089325</v>
      </c>
      <c r="V120" s="2202">
        <v>6342</v>
      </c>
      <c r="W120" s="2202">
        <v>747</v>
      </c>
      <c r="X120" s="2199">
        <f t="shared" si="14"/>
        <v>0.11778618732261116</v>
      </c>
      <c r="Y120" s="2202">
        <v>5829</v>
      </c>
      <c r="Z120" s="2202">
        <v>579</v>
      </c>
      <c r="AA120" s="2199">
        <f t="shared" si="15"/>
        <v>9.9330931549150792E-2</v>
      </c>
    </row>
    <row r="121" spans="1:27" x14ac:dyDescent="0.3">
      <c r="A121" s="56" t="s">
        <v>195</v>
      </c>
      <c r="B121" s="84" t="s">
        <v>196</v>
      </c>
      <c r="C121" s="57" t="s">
        <v>253</v>
      </c>
      <c r="D121" s="2202">
        <v>88603</v>
      </c>
      <c r="E121" s="2202">
        <v>21823</v>
      </c>
      <c r="F121" s="2199">
        <f t="shared" si="8"/>
        <v>0.24630091531889439</v>
      </c>
      <c r="G121" s="2202">
        <v>88514</v>
      </c>
      <c r="H121" s="2202">
        <v>23254</v>
      </c>
      <c r="I121" s="2199">
        <f t="shared" si="9"/>
        <v>0.26271550263235194</v>
      </c>
      <c r="J121" s="2202">
        <v>85451</v>
      </c>
      <c r="K121" s="2202">
        <v>21317</v>
      </c>
      <c r="L121" s="2199">
        <f t="shared" si="10"/>
        <v>0.24946460544639618</v>
      </c>
      <c r="M121" s="2202">
        <v>82875</v>
      </c>
      <c r="N121" s="2202">
        <v>16908</v>
      </c>
      <c r="O121" s="2199">
        <f t="shared" si="11"/>
        <v>0.20401809954751132</v>
      </c>
      <c r="P121" s="2202">
        <v>81306</v>
      </c>
      <c r="Q121" s="2202">
        <v>13189</v>
      </c>
      <c r="R121" s="2199">
        <f t="shared" si="12"/>
        <v>0.16221435072442378</v>
      </c>
      <c r="S121" s="2202">
        <v>80801</v>
      </c>
      <c r="T121" s="2202">
        <v>15631</v>
      </c>
      <c r="U121" s="2199">
        <f t="shared" si="13"/>
        <v>0.19345057610673136</v>
      </c>
      <c r="V121" s="2202">
        <v>79889</v>
      </c>
      <c r="W121" s="2202">
        <v>14266</v>
      </c>
      <c r="X121" s="2199">
        <f t="shared" si="14"/>
        <v>0.17857276971798369</v>
      </c>
      <c r="Y121" s="2202">
        <v>75959</v>
      </c>
      <c r="Z121" s="2202">
        <v>11508</v>
      </c>
      <c r="AA121" s="2199">
        <f t="shared" si="15"/>
        <v>0.15150278439684567</v>
      </c>
    </row>
    <row r="122" spans="1:27" x14ac:dyDescent="0.3">
      <c r="A122" s="56" t="s">
        <v>199</v>
      </c>
      <c r="B122" s="84" t="s">
        <v>200</v>
      </c>
      <c r="C122" s="57" t="s">
        <v>252</v>
      </c>
      <c r="D122" s="2202">
        <v>39488</v>
      </c>
      <c r="E122" s="2202">
        <v>9843</v>
      </c>
      <c r="F122" s="2199">
        <f t="shared" si="8"/>
        <v>0.24926559967585088</v>
      </c>
      <c r="G122" s="2202">
        <v>40278</v>
      </c>
      <c r="H122" s="2202">
        <v>9215</v>
      </c>
      <c r="I122" s="2199">
        <f t="shared" si="9"/>
        <v>0.22878494463478821</v>
      </c>
      <c r="J122" s="2202">
        <v>39674</v>
      </c>
      <c r="K122" s="2202">
        <v>9085</v>
      </c>
      <c r="L122" s="2199">
        <f t="shared" si="10"/>
        <v>0.22899127892322427</v>
      </c>
      <c r="M122" s="2202">
        <v>38474</v>
      </c>
      <c r="N122" s="2202">
        <v>7039</v>
      </c>
      <c r="O122" s="2199">
        <f t="shared" si="11"/>
        <v>0.18295472266985496</v>
      </c>
      <c r="P122" s="2202">
        <v>37065</v>
      </c>
      <c r="Q122" s="2202">
        <v>6750</v>
      </c>
      <c r="R122" s="2199">
        <f t="shared" si="12"/>
        <v>0.18211250505868071</v>
      </c>
      <c r="S122" s="2202">
        <v>36912</v>
      </c>
      <c r="T122" s="2202">
        <v>6283</v>
      </c>
      <c r="U122" s="2199">
        <f t="shared" si="13"/>
        <v>0.17021564802774167</v>
      </c>
      <c r="V122" s="2202">
        <v>36859</v>
      </c>
      <c r="W122" s="2202">
        <v>6301</v>
      </c>
      <c r="X122" s="2199">
        <f t="shared" si="14"/>
        <v>0.17094875064434739</v>
      </c>
      <c r="Y122" s="2202">
        <v>34282</v>
      </c>
      <c r="Z122" s="2202">
        <v>4675</v>
      </c>
      <c r="AA122" s="2199">
        <f t="shared" si="15"/>
        <v>0.13636893996849658</v>
      </c>
    </row>
    <row r="123" spans="1:27" x14ac:dyDescent="0.3">
      <c r="A123" s="56" t="s">
        <v>221</v>
      </c>
      <c r="B123" s="84" t="s">
        <v>222</v>
      </c>
      <c r="C123" s="57" t="s">
        <v>251</v>
      </c>
      <c r="D123" s="2202">
        <v>21613</v>
      </c>
      <c r="E123" s="2202">
        <v>4796</v>
      </c>
      <c r="F123" s="2199">
        <f t="shared" si="8"/>
        <v>0.2219034840142507</v>
      </c>
      <c r="G123" s="2202">
        <v>21305</v>
      </c>
      <c r="H123" s="2202">
        <v>4620</v>
      </c>
      <c r="I123" s="2199">
        <f t="shared" si="9"/>
        <v>0.21685050457639052</v>
      </c>
      <c r="J123" s="2202">
        <v>21360</v>
      </c>
      <c r="K123" s="2202">
        <v>4157</v>
      </c>
      <c r="L123" s="2199">
        <f t="shared" si="10"/>
        <v>0.19461610486891387</v>
      </c>
      <c r="M123" s="2202">
        <v>20935</v>
      </c>
      <c r="N123" s="2202">
        <v>3369</v>
      </c>
      <c r="O123" s="2199">
        <f t="shared" si="11"/>
        <v>0.1609266778122761</v>
      </c>
      <c r="P123" s="2202">
        <v>20258</v>
      </c>
      <c r="Q123" s="2202">
        <v>3271</v>
      </c>
      <c r="R123" s="2199">
        <f t="shared" si="12"/>
        <v>0.1614670747359068</v>
      </c>
      <c r="S123" s="2202">
        <v>19795</v>
      </c>
      <c r="T123" s="2202">
        <v>2996</v>
      </c>
      <c r="U123" s="2199">
        <f t="shared" si="13"/>
        <v>0.15135135135135136</v>
      </c>
      <c r="V123" s="2202">
        <v>19514</v>
      </c>
      <c r="W123" s="2202">
        <v>2998</v>
      </c>
      <c r="X123" s="2199">
        <f t="shared" si="14"/>
        <v>0.15363328892077482</v>
      </c>
      <c r="Y123" s="2202">
        <v>18568</v>
      </c>
      <c r="Z123" s="2202">
        <v>2390</v>
      </c>
      <c r="AA123" s="2199">
        <f t="shared" si="15"/>
        <v>0.12871607065919863</v>
      </c>
    </row>
    <row r="124" spans="1:27" x14ac:dyDescent="0.3">
      <c r="A124" s="56" t="s">
        <v>229</v>
      </c>
      <c r="B124" s="84" t="s">
        <v>230</v>
      </c>
      <c r="C124" s="57" t="s">
        <v>251</v>
      </c>
      <c r="D124" s="2202">
        <v>98546</v>
      </c>
      <c r="E124" s="2202">
        <v>24113</v>
      </c>
      <c r="F124" s="2199">
        <f t="shared" si="8"/>
        <v>0.24468776003084855</v>
      </c>
      <c r="G124" s="2202">
        <v>96963</v>
      </c>
      <c r="H124" s="2202">
        <v>25185</v>
      </c>
      <c r="I124" s="2199">
        <f t="shared" si="9"/>
        <v>0.2597382506729371</v>
      </c>
      <c r="J124" s="2202">
        <v>95213</v>
      </c>
      <c r="K124" s="2202">
        <v>21338</v>
      </c>
      <c r="L124" s="2199">
        <f t="shared" si="10"/>
        <v>0.22410805247182633</v>
      </c>
      <c r="M124" s="2202">
        <v>92546</v>
      </c>
      <c r="N124" s="2202">
        <v>17297</v>
      </c>
      <c r="O124" s="2199">
        <f t="shared" si="11"/>
        <v>0.18690164890973138</v>
      </c>
      <c r="P124" s="2202">
        <v>88558</v>
      </c>
      <c r="Q124" s="2202">
        <v>15063</v>
      </c>
      <c r="R124" s="2199">
        <f t="shared" si="12"/>
        <v>0.17009191716163419</v>
      </c>
      <c r="S124" s="2202">
        <v>86720</v>
      </c>
      <c r="T124" s="2202">
        <v>14833</v>
      </c>
      <c r="U124" s="2199">
        <f t="shared" si="13"/>
        <v>0.17104474169741699</v>
      </c>
      <c r="V124" s="2202">
        <v>83727</v>
      </c>
      <c r="W124" s="2202">
        <v>15301</v>
      </c>
      <c r="X124" s="2199">
        <f t="shared" si="14"/>
        <v>0.18274869516404504</v>
      </c>
      <c r="Y124" s="2202">
        <v>77631</v>
      </c>
      <c r="Z124" s="2202">
        <v>11871</v>
      </c>
      <c r="AA124" s="2199">
        <f t="shared" si="15"/>
        <v>0.15291571665958187</v>
      </c>
    </row>
    <row r="125" spans="1:27" x14ac:dyDescent="0.3">
      <c r="A125" s="56" t="s">
        <v>237</v>
      </c>
      <c r="B125" s="84" t="s">
        <v>238</v>
      </c>
      <c r="C125" s="57" t="s">
        <v>251</v>
      </c>
      <c r="D125" s="2202">
        <v>3345</v>
      </c>
      <c r="E125" s="2202">
        <v>870</v>
      </c>
      <c r="F125" s="2199">
        <f t="shared" si="8"/>
        <v>0.26008968609865468</v>
      </c>
      <c r="G125" s="2202">
        <v>3430</v>
      </c>
      <c r="H125" s="2202">
        <v>902</v>
      </c>
      <c r="I125" s="2199">
        <f t="shared" si="9"/>
        <v>0.26297376093294461</v>
      </c>
      <c r="J125" s="2202">
        <v>3064</v>
      </c>
      <c r="K125" s="2202">
        <v>669</v>
      </c>
      <c r="L125" s="2199">
        <f t="shared" si="10"/>
        <v>0.2183420365535248</v>
      </c>
      <c r="M125" s="2202">
        <v>3248</v>
      </c>
      <c r="N125" s="2202">
        <v>689</v>
      </c>
      <c r="O125" s="2199">
        <f t="shared" si="11"/>
        <v>0.21213054187192118</v>
      </c>
      <c r="P125" s="2202">
        <v>3109</v>
      </c>
      <c r="Q125" s="2202">
        <v>621</v>
      </c>
      <c r="R125" s="2199">
        <f t="shared" si="12"/>
        <v>0.19974268253457703</v>
      </c>
      <c r="S125" s="2202">
        <v>3105</v>
      </c>
      <c r="T125" s="2202">
        <v>615</v>
      </c>
      <c r="U125" s="2199">
        <f t="shared" si="13"/>
        <v>0.19806763285024154</v>
      </c>
      <c r="V125" s="2202">
        <v>3028</v>
      </c>
      <c r="W125" s="2202">
        <v>533</v>
      </c>
      <c r="X125" s="2199">
        <f t="shared" si="14"/>
        <v>0.17602377807133421</v>
      </c>
      <c r="Y125" s="2202">
        <v>2730</v>
      </c>
      <c r="Z125" s="2202">
        <v>373</v>
      </c>
      <c r="AA125" s="2199">
        <f t="shared" si="15"/>
        <v>0.13663003663003662</v>
      </c>
    </row>
    <row r="126" spans="1:27" x14ac:dyDescent="0.3">
      <c r="A126" s="62" t="s">
        <v>239</v>
      </c>
      <c r="B126" s="86" t="s">
        <v>240</v>
      </c>
      <c r="C126" s="63" t="s">
        <v>254</v>
      </c>
      <c r="D126" s="2202">
        <v>9432</v>
      </c>
      <c r="E126" s="2202">
        <v>2771</v>
      </c>
      <c r="F126" s="2199">
        <f t="shared" si="8"/>
        <v>0.29378710771840544</v>
      </c>
      <c r="G126" s="2202">
        <v>9810</v>
      </c>
      <c r="H126" s="2202">
        <v>2632</v>
      </c>
      <c r="I126" s="2199">
        <f t="shared" si="9"/>
        <v>0.26829765545361878</v>
      </c>
      <c r="J126" s="2202">
        <v>9862</v>
      </c>
      <c r="K126" s="2202">
        <v>2663</v>
      </c>
      <c r="L126" s="2199">
        <f t="shared" si="10"/>
        <v>0.27002636382072603</v>
      </c>
      <c r="M126" s="2202">
        <v>9506</v>
      </c>
      <c r="N126" s="2202">
        <v>2317</v>
      </c>
      <c r="O126" s="2199">
        <f t="shared" si="11"/>
        <v>0.24374079528718703</v>
      </c>
      <c r="P126" s="2202">
        <v>9180</v>
      </c>
      <c r="Q126" s="2202">
        <v>2047</v>
      </c>
      <c r="R126" s="2199">
        <f t="shared" si="12"/>
        <v>0.22298474945533769</v>
      </c>
      <c r="S126" s="2202">
        <v>8872</v>
      </c>
      <c r="T126" s="2202">
        <v>2031</v>
      </c>
      <c r="U126" s="2199">
        <f t="shared" si="13"/>
        <v>0.22892245266005409</v>
      </c>
      <c r="V126" s="2202">
        <v>8537</v>
      </c>
      <c r="W126" s="2202">
        <v>1902</v>
      </c>
      <c r="X126" s="2199">
        <f t="shared" si="14"/>
        <v>0.22279489281949164</v>
      </c>
      <c r="Y126" s="2202">
        <v>8010</v>
      </c>
      <c r="Z126" s="2202">
        <v>1407</v>
      </c>
      <c r="AA126" s="2199">
        <f t="shared" si="15"/>
        <v>0.17565543071161049</v>
      </c>
    </row>
    <row r="127" spans="1:27" x14ac:dyDescent="0.3">
      <c r="A127" s="116"/>
      <c r="B127" s="90"/>
      <c r="C127" s="117"/>
    </row>
    <row r="128" spans="1:27" x14ac:dyDescent="0.3">
      <c r="A128" s="116"/>
      <c r="B128" s="90"/>
      <c r="C128" s="117"/>
    </row>
    <row r="129" spans="1:3" x14ac:dyDescent="0.3">
      <c r="A129" s="772" t="s">
        <v>1038</v>
      </c>
      <c r="B129"/>
      <c r="C129"/>
    </row>
    <row r="130" spans="1:3" x14ac:dyDescent="0.3">
      <c r="A130" s="81" t="s">
        <v>247</v>
      </c>
      <c r="B130" s="81"/>
      <c r="C130" s="81"/>
    </row>
    <row r="131" spans="1:3" x14ac:dyDescent="0.3">
      <c r="A131" s="87" t="s">
        <v>248</v>
      </c>
      <c r="B131" s="71" t="s">
        <v>249</v>
      </c>
      <c r="C131" s="81"/>
    </row>
  </sheetData>
  <mergeCells count="11">
    <mergeCell ref="A4:A5"/>
    <mergeCell ref="B4:B5"/>
    <mergeCell ref="C4:C5"/>
    <mergeCell ref="J4:L4"/>
    <mergeCell ref="G4:I4"/>
    <mergeCell ref="D4:F4"/>
    <mergeCell ref="Y4:AA4"/>
    <mergeCell ref="V4:X4"/>
    <mergeCell ref="S4:U4"/>
    <mergeCell ref="P4:R4"/>
    <mergeCell ref="M4:O4"/>
  </mergeCells>
  <hyperlinks>
    <hyperlink ref="B131"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selection activeCell="Q11" sqref="Q11"/>
    </sheetView>
  </sheetViews>
  <sheetFormatPr defaultColWidth="9" defaultRowHeight="15.6" x14ac:dyDescent="0.3"/>
  <cols>
    <col min="1" max="1" width="7.69921875" style="41" customWidth="1"/>
    <col min="2" max="2" width="28.59765625" style="65" customWidth="1"/>
    <col min="3" max="3" width="10" style="65" customWidth="1"/>
    <col min="4" max="4" width="8.296875" style="65" customWidth="1"/>
    <col min="5" max="7" width="8.296875" style="64" customWidth="1"/>
    <col min="8" max="11" width="6.796875" style="41" customWidth="1"/>
    <col min="12" max="15" width="6.796875" style="42" customWidth="1"/>
    <col min="16" max="16384" width="9" style="41"/>
  </cols>
  <sheetData>
    <row r="1" spans="1:15" x14ac:dyDescent="0.3">
      <c r="A1" s="145" t="s">
        <v>965</v>
      </c>
      <c r="B1" s="145"/>
      <c r="C1" s="145"/>
      <c r="D1" s="145"/>
      <c r="E1" s="145"/>
      <c r="F1" s="145"/>
      <c r="G1" s="145"/>
      <c r="H1" s="145"/>
      <c r="I1" s="146"/>
      <c r="J1" s="146"/>
      <c r="K1" s="146"/>
      <c r="L1" s="146"/>
      <c r="M1" s="146"/>
      <c r="N1" s="146"/>
      <c r="O1" s="146"/>
    </row>
    <row r="2" spans="1:15" x14ac:dyDescent="0.3">
      <c r="A2" s="31"/>
      <c r="B2" s="43"/>
      <c r="C2" s="43"/>
      <c r="D2" s="43"/>
      <c r="E2" s="2523"/>
      <c r="F2" s="2523"/>
      <c r="G2" s="2523"/>
    </row>
    <row r="3" spans="1:15" s="49" customFormat="1" ht="15.75" customHeight="1" x14ac:dyDescent="0.3">
      <c r="A3" s="44"/>
      <c r="B3" s="45"/>
      <c r="C3" s="45"/>
      <c r="D3" s="46" t="s">
        <v>417</v>
      </c>
      <c r="E3" s="47"/>
      <c r="F3" s="47"/>
      <c r="G3" s="48"/>
      <c r="H3" s="2520" t="s">
        <v>418</v>
      </c>
      <c r="I3" s="2521"/>
      <c r="J3" s="2521"/>
      <c r="K3" s="2521"/>
      <c r="L3" s="2521"/>
      <c r="M3" s="2521"/>
      <c r="N3" s="2521"/>
      <c r="O3" s="2521"/>
    </row>
    <row r="4" spans="1:15" s="49" customFormat="1" ht="24.75" customHeight="1" x14ac:dyDescent="0.3">
      <c r="A4" s="2524" t="s">
        <v>4</v>
      </c>
      <c r="B4" s="2526" t="s">
        <v>5</v>
      </c>
      <c r="C4" s="2526" t="s">
        <v>250</v>
      </c>
      <c r="D4" s="2520" t="s">
        <v>419</v>
      </c>
      <c r="E4" s="2521"/>
      <c r="F4" s="2521"/>
      <c r="G4" s="2522"/>
      <c r="H4" s="2520" t="s">
        <v>420</v>
      </c>
      <c r="I4" s="2521"/>
      <c r="J4" s="2521"/>
      <c r="K4" s="2522"/>
      <c r="L4" s="2520" t="s">
        <v>421</v>
      </c>
      <c r="M4" s="2521"/>
      <c r="N4" s="2521"/>
      <c r="O4" s="2522"/>
    </row>
    <row r="5" spans="1:15" s="49" customFormat="1" ht="15" customHeight="1" x14ac:dyDescent="0.3">
      <c r="A5" s="2525"/>
      <c r="B5" s="2527"/>
      <c r="C5" s="2527"/>
      <c r="D5" s="50" t="s">
        <v>422</v>
      </c>
      <c r="E5" s="51" t="s">
        <v>385</v>
      </c>
      <c r="F5" s="51" t="s">
        <v>386</v>
      </c>
      <c r="G5" s="130" t="s">
        <v>423</v>
      </c>
      <c r="H5" s="50" t="s">
        <v>422</v>
      </c>
      <c r="I5" s="51" t="s">
        <v>385</v>
      </c>
      <c r="J5" s="51" t="s">
        <v>386</v>
      </c>
      <c r="K5" s="130" t="s">
        <v>423</v>
      </c>
      <c r="L5" s="50" t="s">
        <v>422</v>
      </c>
      <c r="M5" s="51" t="s">
        <v>385</v>
      </c>
      <c r="N5" s="51" t="s">
        <v>386</v>
      </c>
      <c r="O5" s="52" t="s">
        <v>423</v>
      </c>
    </row>
    <row r="6" spans="1:15" s="49" customFormat="1" ht="15.75" customHeight="1" x14ac:dyDescent="0.3">
      <c r="A6" s="53" t="s">
        <v>7</v>
      </c>
      <c r="B6" s="54" t="s">
        <v>8</v>
      </c>
      <c r="C6" s="55"/>
      <c r="D6" s="131">
        <v>502033</v>
      </c>
      <c r="E6" s="132">
        <v>310540</v>
      </c>
      <c r="F6" s="132">
        <v>105638</v>
      </c>
      <c r="G6" s="133">
        <v>85855</v>
      </c>
      <c r="H6" s="1644">
        <v>172663</v>
      </c>
      <c r="I6" s="692">
        <v>78809</v>
      </c>
      <c r="J6" s="692">
        <v>67326</v>
      </c>
      <c r="K6" s="1645">
        <v>26528</v>
      </c>
      <c r="L6" s="120">
        <f>(H6/D6)</f>
        <v>0.34392759041736298</v>
      </c>
      <c r="M6" s="120">
        <f>(I6/E6)</f>
        <v>0.25378051136729568</v>
      </c>
      <c r="N6" s="120">
        <f>(J6/F6)</f>
        <v>0.63732747685491964</v>
      </c>
      <c r="O6" s="120">
        <f>(K6/G6)</f>
        <v>0.3089860811833906</v>
      </c>
    </row>
    <row r="7" spans="1:15" s="49" customFormat="1" ht="15.75" customHeight="1" x14ac:dyDescent="0.3">
      <c r="A7" s="56" t="s">
        <v>9</v>
      </c>
      <c r="B7" s="83" t="s">
        <v>10</v>
      </c>
      <c r="C7" s="57" t="s">
        <v>251</v>
      </c>
      <c r="D7" s="681">
        <v>1842</v>
      </c>
      <c r="E7" s="682">
        <v>1077</v>
      </c>
      <c r="F7" s="683">
        <v>710</v>
      </c>
      <c r="G7" s="680">
        <v>55</v>
      </c>
      <c r="H7" s="681">
        <v>1034</v>
      </c>
      <c r="I7" s="682">
        <v>462</v>
      </c>
      <c r="J7" s="683">
        <v>546</v>
      </c>
      <c r="K7" s="680">
        <v>26</v>
      </c>
      <c r="L7" s="121">
        <f t="shared" ref="L7:O38" si="0">IF(D7=0,"NA",(H7/D7))</f>
        <v>0.56134636264929427</v>
      </c>
      <c r="M7" s="122">
        <f t="shared" si="0"/>
        <v>0.42896935933147634</v>
      </c>
      <c r="N7" s="122">
        <f t="shared" si="0"/>
        <v>0.76901408450704223</v>
      </c>
      <c r="O7" s="123">
        <f t="shared" si="0"/>
        <v>0.47272727272727272</v>
      </c>
    </row>
    <row r="8" spans="1:15" s="49" customFormat="1" ht="15.75" customHeight="1" x14ac:dyDescent="0.3">
      <c r="A8" s="56" t="s">
        <v>11</v>
      </c>
      <c r="B8" s="84" t="s">
        <v>12</v>
      </c>
      <c r="C8" s="57" t="s">
        <v>252</v>
      </c>
      <c r="D8" s="681">
        <v>5331</v>
      </c>
      <c r="E8" s="682">
        <v>4065</v>
      </c>
      <c r="F8" s="683">
        <v>560</v>
      </c>
      <c r="G8" s="680">
        <v>706</v>
      </c>
      <c r="H8" s="681">
        <v>1394</v>
      </c>
      <c r="I8" s="682">
        <v>820</v>
      </c>
      <c r="J8" s="683">
        <v>356</v>
      </c>
      <c r="K8" s="680">
        <v>218</v>
      </c>
      <c r="L8" s="121">
        <f t="shared" si="0"/>
        <v>0.26148940161320577</v>
      </c>
      <c r="M8" s="122">
        <f t="shared" si="0"/>
        <v>0.20172201722017219</v>
      </c>
      <c r="N8" s="122">
        <f t="shared" si="0"/>
        <v>0.63571428571428568</v>
      </c>
      <c r="O8" s="123">
        <f t="shared" si="0"/>
        <v>0.30878186968838528</v>
      </c>
    </row>
    <row r="9" spans="1:15" s="49" customFormat="1" ht="15.75" customHeight="1" x14ac:dyDescent="0.3">
      <c r="A9" s="56" t="s">
        <v>15</v>
      </c>
      <c r="B9" s="84" t="s">
        <v>273</v>
      </c>
      <c r="C9" s="57" t="s">
        <v>252</v>
      </c>
      <c r="D9" s="681">
        <v>1022</v>
      </c>
      <c r="E9" s="682">
        <v>940</v>
      </c>
      <c r="F9" s="683">
        <v>67</v>
      </c>
      <c r="G9" s="680">
        <v>15</v>
      </c>
      <c r="H9" s="681">
        <v>488</v>
      </c>
      <c r="I9" s="682">
        <v>430</v>
      </c>
      <c r="J9" s="683">
        <v>49</v>
      </c>
      <c r="K9" s="680">
        <v>9</v>
      </c>
      <c r="L9" s="121">
        <f t="shared" si="0"/>
        <v>0.47749510763209391</v>
      </c>
      <c r="M9" s="122">
        <f t="shared" si="0"/>
        <v>0.45744680851063829</v>
      </c>
      <c r="N9" s="122">
        <f t="shared" si="0"/>
        <v>0.73134328358208955</v>
      </c>
      <c r="O9" s="123">
        <f t="shared" si="0"/>
        <v>0.6</v>
      </c>
    </row>
    <row r="10" spans="1:15" s="49" customFormat="1" ht="15.75" customHeight="1" x14ac:dyDescent="0.3">
      <c r="A10" s="56" t="s">
        <v>17</v>
      </c>
      <c r="B10" s="84" t="s">
        <v>18</v>
      </c>
      <c r="C10" s="57" t="s">
        <v>253</v>
      </c>
      <c r="D10" s="681">
        <v>672</v>
      </c>
      <c r="E10" s="682">
        <v>554</v>
      </c>
      <c r="F10" s="683">
        <v>99</v>
      </c>
      <c r="G10" s="680">
        <v>19</v>
      </c>
      <c r="H10" s="681">
        <v>256</v>
      </c>
      <c r="I10" s="682">
        <v>178</v>
      </c>
      <c r="J10" s="683">
        <v>75</v>
      </c>
      <c r="K10" s="680">
        <v>3</v>
      </c>
      <c r="L10" s="121">
        <f t="shared" si="0"/>
        <v>0.38095238095238093</v>
      </c>
      <c r="M10" s="122">
        <f t="shared" si="0"/>
        <v>0.32129963898916969</v>
      </c>
      <c r="N10" s="122">
        <f t="shared" si="0"/>
        <v>0.75757575757575757</v>
      </c>
      <c r="O10" s="123">
        <f t="shared" si="0"/>
        <v>0.15789473684210525</v>
      </c>
    </row>
    <row r="11" spans="1:15" s="49" customFormat="1" ht="13.5" customHeight="1" x14ac:dyDescent="0.3">
      <c r="A11" s="56" t="s">
        <v>19</v>
      </c>
      <c r="B11" s="84" t="s">
        <v>20</v>
      </c>
      <c r="C11" s="57" t="s">
        <v>252</v>
      </c>
      <c r="D11" s="681">
        <v>1638</v>
      </c>
      <c r="E11" s="682">
        <v>1324</v>
      </c>
      <c r="F11" s="683">
        <v>270</v>
      </c>
      <c r="G11" s="680">
        <v>44</v>
      </c>
      <c r="H11" s="681">
        <v>702</v>
      </c>
      <c r="I11" s="682">
        <v>482</v>
      </c>
      <c r="J11" s="683">
        <v>195</v>
      </c>
      <c r="K11" s="680">
        <v>25</v>
      </c>
      <c r="L11" s="121">
        <f t="shared" si="0"/>
        <v>0.42857142857142855</v>
      </c>
      <c r="M11" s="122">
        <f t="shared" si="0"/>
        <v>0.36404833836858008</v>
      </c>
      <c r="N11" s="122">
        <f t="shared" si="0"/>
        <v>0.72222222222222221</v>
      </c>
      <c r="O11" s="123">
        <f t="shared" si="0"/>
        <v>0.56818181818181823</v>
      </c>
    </row>
    <row r="12" spans="1:15" s="49" customFormat="1" ht="13.5" customHeight="1" x14ac:dyDescent="0.3">
      <c r="A12" s="56" t="s">
        <v>21</v>
      </c>
      <c r="B12" s="84" t="s">
        <v>22</v>
      </c>
      <c r="C12" s="57" t="s">
        <v>252</v>
      </c>
      <c r="D12" s="681">
        <v>932</v>
      </c>
      <c r="E12" s="682">
        <v>734</v>
      </c>
      <c r="F12" s="683">
        <v>182</v>
      </c>
      <c r="G12" s="680">
        <v>16</v>
      </c>
      <c r="H12" s="681">
        <v>391</v>
      </c>
      <c r="I12" s="682">
        <v>235</v>
      </c>
      <c r="J12" s="683">
        <v>146</v>
      </c>
      <c r="K12" s="680">
        <v>10</v>
      </c>
      <c r="L12" s="121">
        <f t="shared" si="0"/>
        <v>0.41952789699570814</v>
      </c>
      <c r="M12" s="122">
        <f t="shared" si="0"/>
        <v>0.32016348773841963</v>
      </c>
      <c r="N12" s="122">
        <f t="shared" si="0"/>
        <v>0.80219780219780223</v>
      </c>
      <c r="O12" s="123">
        <f t="shared" si="0"/>
        <v>0.625</v>
      </c>
    </row>
    <row r="13" spans="1:15" s="49" customFormat="1" ht="13.5" customHeight="1" x14ac:dyDescent="0.3">
      <c r="A13" s="56" t="s">
        <v>23</v>
      </c>
      <c r="B13" s="84" t="s">
        <v>24</v>
      </c>
      <c r="C13" s="57" t="s">
        <v>254</v>
      </c>
      <c r="D13" s="681">
        <v>14919</v>
      </c>
      <c r="E13" s="682">
        <v>9920</v>
      </c>
      <c r="F13" s="683">
        <v>1183</v>
      </c>
      <c r="G13" s="680">
        <v>3815</v>
      </c>
      <c r="H13" s="681">
        <v>2387</v>
      </c>
      <c r="I13" s="682">
        <v>1080</v>
      </c>
      <c r="J13" s="683">
        <v>453</v>
      </c>
      <c r="K13" s="680">
        <v>854</v>
      </c>
      <c r="L13" s="121">
        <f t="shared" si="0"/>
        <v>0.15999731885515114</v>
      </c>
      <c r="M13" s="122">
        <f t="shared" si="0"/>
        <v>0.10887096774193548</v>
      </c>
      <c r="N13" s="122">
        <f t="shared" si="0"/>
        <v>0.38292476754015214</v>
      </c>
      <c r="O13" s="123">
        <f t="shared" si="0"/>
        <v>0.22385321100917432</v>
      </c>
    </row>
    <row r="14" spans="1:15" s="49" customFormat="1" ht="13.5" customHeight="1" x14ac:dyDescent="0.3">
      <c r="A14" s="56" t="s">
        <v>25</v>
      </c>
      <c r="B14" s="84" t="s">
        <v>274</v>
      </c>
      <c r="C14" s="57" t="s">
        <v>252</v>
      </c>
      <c r="D14" s="681">
        <v>6277</v>
      </c>
      <c r="E14" s="682">
        <v>5631</v>
      </c>
      <c r="F14" s="683">
        <v>447</v>
      </c>
      <c r="G14" s="680">
        <v>199</v>
      </c>
      <c r="H14" s="681">
        <v>2543</v>
      </c>
      <c r="I14" s="682">
        <v>2137</v>
      </c>
      <c r="J14" s="683">
        <v>326</v>
      </c>
      <c r="K14" s="680">
        <v>80</v>
      </c>
      <c r="L14" s="121">
        <f t="shared" si="0"/>
        <v>0.40512983909510913</v>
      </c>
      <c r="M14" s="122">
        <f t="shared" si="0"/>
        <v>0.37950630438643224</v>
      </c>
      <c r="N14" s="122">
        <f t="shared" si="0"/>
        <v>0.72930648769574946</v>
      </c>
      <c r="O14" s="123">
        <f t="shared" si="0"/>
        <v>0.4020100502512563</v>
      </c>
    </row>
    <row r="15" spans="1:15" s="49" customFormat="1" ht="13.5" customHeight="1" x14ac:dyDescent="0.3">
      <c r="A15" s="56" t="s">
        <v>26</v>
      </c>
      <c r="B15" s="84" t="s">
        <v>27</v>
      </c>
      <c r="C15" s="57" t="s">
        <v>252</v>
      </c>
      <c r="D15" s="681">
        <v>192</v>
      </c>
      <c r="E15" s="682">
        <v>186</v>
      </c>
      <c r="F15" s="683">
        <v>2</v>
      </c>
      <c r="G15" s="680">
        <v>4</v>
      </c>
      <c r="H15" s="681">
        <v>75</v>
      </c>
      <c r="I15" s="682">
        <v>73</v>
      </c>
      <c r="J15" s="683">
        <v>0</v>
      </c>
      <c r="K15" s="680">
        <v>2</v>
      </c>
      <c r="L15" s="121">
        <f t="shared" si="0"/>
        <v>0.390625</v>
      </c>
      <c r="M15" s="122">
        <f t="shared" si="0"/>
        <v>0.39247311827956988</v>
      </c>
      <c r="N15" s="122">
        <f t="shared" si="0"/>
        <v>0</v>
      </c>
      <c r="O15" s="123">
        <f t="shared" si="0"/>
        <v>0.5</v>
      </c>
    </row>
    <row r="16" spans="1:15" s="49" customFormat="1" ht="13.5" customHeight="1" x14ac:dyDescent="0.3">
      <c r="A16" s="56" t="s">
        <v>28</v>
      </c>
      <c r="B16" s="84" t="s">
        <v>568</v>
      </c>
      <c r="C16" s="57" t="s">
        <v>252</v>
      </c>
      <c r="D16" s="681">
        <v>3333</v>
      </c>
      <c r="E16" s="682">
        <v>3016</v>
      </c>
      <c r="F16" s="683">
        <v>238</v>
      </c>
      <c r="G16" s="680">
        <v>79</v>
      </c>
      <c r="H16" s="681">
        <v>1034</v>
      </c>
      <c r="I16" s="682">
        <v>863</v>
      </c>
      <c r="J16" s="683">
        <v>150</v>
      </c>
      <c r="K16" s="680">
        <v>21</v>
      </c>
      <c r="L16" s="121">
        <f t="shared" si="0"/>
        <v>0.31023102310231021</v>
      </c>
      <c r="M16" s="122">
        <f t="shared" si="0"/>
        <v>0.28614058355437666</v>
      </c>
      <c r="N16" s="122">
        <f t="shared" si="0"/>
        <v>0.63025210084033612</v>
      </c>
      <c r="O16" s="123">
        <f t="shared" si="0"/>
        <v>0.26582278481012656</v>
      </c>
    </row>
    <row r="17" spans="1:15" s="49" customFormat="1" ht="13.5" customHeight="1" x14ac:dyDescent="0.3">
      <c r="A17" s="56" t="s">
        <v>29</v>
      </c>
      <c r="B17" s="84" t="s">
        <v>30</v>
      </c>
      <c r="C17" s="57" t="s">
        <v>255</v>
      </c>
      <c r="D17" s="681">
        <v>229</v>
      </c>
      <c r="E17" s="682">
        <v>222</v>
      </c>
      <c r="F17" s="683">
        <v>4</v>
      </c>
      <c r="G17" s="680">
        <v>3</v>
      </c>
      <c r="H17" s="681">
        <v>71</v>
      </c>
      <c r="I17" s="682">
        <v>68</v>
      </c>
      <c r="J17" s="683">
        <v>2</v>
      </c>
      <c r="K17" s="680">
        <v>1</v>
      </c>
      <c r="L17" s="121">
        <f t="shared" si="0"/>
        <v>0.31004366812227074</v>
      </c>
      <c r="M17" s="122">
        <f t="shared" si="0"/>
        <v>0.30630630630630629</v>
      </c>
      <c r="N17" s="122">
        <f t="shared" si="0"/>
        <v>0.5</v>
      </c>
      <c r="O17" s="123">
        <f t="shared" si="0"/>
        <v>0.33333333333333331</v>
      </c>
    </row>
    <row r="18" spans="1:15" s="49" customFormat="1" ht="13.5" customHeight="1" x14ac:dyDescent="0.3">
      <c r="A18" s="56" t="s">
        <v>31</v>
      </c>
      <c r="B18" s="84" t="s">
        <v>32</v>
      </c>
      <c r="C18" s="57" t="s">
        <v>252</v>
      </c>
      <c r="D18" s="681">
        <v>1228</v>
      </c>
      <c r="E18" s="682">
        <v>1201</v>
      </c>
      <c r="F18" s="683">
        <v>15</v>
      </c>
      <c r="G18" s="680">
        <v>12</v>
      </c>
      <c r="H18" s="681">
        <v>344</v>
      </c>
      <c r="I18" s="682">
        <v>336</v>
      </c>
      <c r="J18" s="683">
        <v>8</v>
      </c>
      <c r="K18" s="680">
        <v>0</v>
      </c>
      <c r="L18" s="121">
        <f t="shared" si="0"/>
        <v>0.28013029315960913</v>
      </c>
      <c r="M18" s="122">
        <f t="shared" si="0"/>
        <v>0.279766860949209</v>
      </c>
      <c r="N18" s="122">
        <f t="shared" si="0"/>
        <v>0.53333333333333333</v>
      </c>
      <c r="O18" s="123">
        <f t="shared" si="0"/>
        <v>0</v>
      </c>
    </row>
    <row r="19" spans="1:15" s="49" customFormat="1" ht="13.5" customHeight="1" x14ac:dyDescent="0.3">
      <c r="A19" s="56" t="s">
        <v>35</v>
      </c>
      <c r="B19" s="84" t="s">
        <v>36</v>
      </c>
      <c r="C19" s="57" t="s">
        <v>251</v>
      </c>
      <c r="D19" s="681">
        <v>679</v>
      </c>
      <c r="E19" s="682">
        <v>261</v>
      </c>
      <c r="F19" s="683">
        <v>407</v>
      </c>
      <c r="G19" s="680">
        <v>11</v>
      </c>
      <c r="H19" s="681">
        <v>471</v>
      </c>
      <c r="I19" s="682">
        <v>129</v>
      </c>
      <c r="J19" s="683">
        <v>337</v>
      </c>
      <c r="K19" s="680">
        <v>5</v>
      </c>
      <c r="L19" s="121">
        <f t="shared" si="0"/>
        <v>0.69366715758468334</v>
      </c>
      <c r="M19" s="122">
        <f t="shared" si="0"/>
        <v>0.4942528735632184</v>
      </c>
      <c r="N19" s="122">
        <f t="shared" si="0"/>
        <v>0.82800982800982803</v>
      </c>
      <c r="O19" s="123">
        <f t="shared" si="0"/>
        <v>0.45454545454545453</v>
      </c>
    </row>
    <row r="20" spans="1:15" s="49" customFormat="1" ht="13.5" customHeight="1" x14ac:dyDescent="0.3">
      <c r="A20" s="56" t="s">
        <v>37</v>
      </c>
      <c r="B20" s="84" t="s">
        <v>38</v>
      </c>
      <c r="C20" s="57" t="s">
        <v>255</v>
      </c>
      <c r="D20" s="681">
        <v>855</v>
      </c>
      <c r="E20" s="682">
        <v>842</v>
      </c>
      <c r="F20" s="683">
        <v>2</v>
      </c>
      <c r="G20" s="680">
        <v>11</v>
      </c>
      <c r="H20" s="681">
        <v>309</v>
      </c>
      <c r="I20" s="682">
        <v>306</v>
      </c>
      <c r="J20" s="683">
        <v>1</v>
      </c>
      <c r="K20" s="680">
        <v>2</v>
      </c>
      <c r="L20" s="121">
        <f t="shared" si="0"/>
        <v>0.36140350877192984</v>
      </c>
      <c r="M20" s="122">
        <f t="shared" si="0"/>
        <v>0.36342042755344417</v>
      </c>
      <c r="N20" s="122">
        <f t="shared" si="0"/>
        <v>0.5</v>
      </c>
      <c r="O20" s="123">
        <f t="shared" si="0"/>
        <v>0.18181818181818182</v>
      </c>
    </row>
    <row r="21" spans="1:15" s="49" customFormat="1" ht="13.5" customHeight="1" x14ac:dyDescent="0.3">
      <c r="A21" s="56" t="s">
        <v>39</v>
      </c>
      <c r="B21" s="84" t="s">
        <v>40</v>
      </c>
      <c r="C21" s="57" t="s">
        <v>253</v>
      </c>
      <c r="D21" s="681">
        <v>681</v>
      </c>
      <c r="E21" s="682">
        <v>457</v>
      </c>
      <c r="F21" s="683">
        <v>212</v>
      </c>
      <c r="G21" s="680">
        <v>12</v>
      </c>
      <c r="H21" s="681">
        <v>339</v>
      </c>
      <c r="I21" s="682">
        <v>169</v>
      </c>
      <c r="J21" s="683">
        <v>163</v>
      </c>
      <c r="K21" s="680">
        <v>7</v>
      </c>
      <c r="L21" s="121">
        <f t="shared" si="0"/>
        <v>0.49779735682819382</v>
      </c>
      <c r="M21" s="122">
        <f t="shared" si="0"/>
        <v>0.36980306345733044</v>
      </c>
      <c r="N21" s="122">
        <f t="shared" si="0"/>
        <v>0.76886792452830188</v>
      </c>
      <c r="O21" s="123">
        <f t="shared" si="0"/>
        <v>0.58333333333333337</v>
      </c>
    </row>
    <row r="22" spans="1:15" s="49" customFormat="1" ht="13.5" customHeight="1" x14ac:dyDescent="0.3">
      <c r="A22" s="56" t="s">
        <v>41</v>
      </c>
      <c r="B22" s="84" t="s">
        <v>42</v>
      </c>
      <c r="C22" s="57" t="s">
        <v>252</v>
      </c>
      <c r="D22" s="681">
        <v>2635</v>
      </c>
      <c r="E22" s="682">
        <v>2176</v>
      </c>
      <c r="F22" s="683">
        <v>389</v>
      </c>
      <c r="G22" s="680">
        <v>70</v>
      </c>
      <c r="H22" s="681">
        <v>1023</v>
      </c>
      <c r="I22" s="682">
        <v>704</v>
      </c>
      <c r="J22" s="683">
        <v>296</v>
      </c>
      <c r="K22" s="680">
        <v>23</v>
      </c>
      <c r="L22" s="121">
        <f t="shared" si="0"/>
        <v>0.38823529411764707</v>
      </c>
      <c r="M22" s="122">
        <f t="shared" si="0"/>
        <v>0.3235294117647059</v>
      </c>
      <c r="N22" s="122">
        <f t="shared" si="0"/>
        <v>0.76092544987146526</v>
      </c>
      <c r="O22" s="123">
        <f t="shared" si="0"/>
        <v>0.32857142857142857</v>
      </c>
    </row>
    <row r="23" spans="1:15" s="49" customFormat="1" ht="13.5" customHeight="1" x14ac:dyDescent="0.3">
      <c r="A23" s="56" t="s">
        <v>43</v>
      </c>
      <c r="B23" s="84" t="s">
        <v>44</v>
      </c>
      <c r="C23" s="57" t="s">
        <v>253</v>
      </c>
      <c r="D23" s="681">
        <v>1799</v>
      </c>
      <c r="E23" s="682">
        <v>1327</v>
      </c>
      <c r="F23" s="683">
        <v>373</v>
      </c>
      <c r="G23" s="680">
        <v>99</v>
      </c>
      <c r="H23" s="681">
        <v>755</v>
      </c>
      <c r="I23" s="682">
        <v>459</v>
      </c>
      <c r="J23" s="683">
        <v>254</v>
      </c>
      <c r="K23" s="680">
        <v>42</v>
      </c>
      <c r="L23" s="121">
        <f t="shared" si="0"/>
        <v>0.41967759866592552</v>
      </c>
      <c r="M23" s="122">
        <f t="shared" si="0"/>
        <v>0.34589299171062549</v>
      </c>
      <c r="N23" s="122">
        <f t="shared" si="0"/>
        <v>0.68096514745308312</v>
      </c>
      <c r="O23" s="123">
        <f t="shared" si="0"/>
        <v>0.42424242424242425</v>
      </c>
    </row>
    <row r="24" spans="1:15" s="49" customFormat="1" ht="13.5" customHeight="1" x14ac:dyDescent="0.3">
      <c r="A24" s="56" t="s">
        <v>45</v>
      </c>
      <c r="B24" s="84" t="s">
        <v>46</v>
      </c>
      <c r="C24" s="57" t="s">
        <v>255</v>
      </c>
      <c r="D24" s="681">
        <v>1206</v>
      </c>
      <c r="E24" s="682">
        <v>1136</v>
      </c>
      <c r="F24" s="683">
        <v>9</v>
      </c>
      <c r="G24" s="680">
        <v>61</v>
      </c>
      <c r="H24" s="681">
        <v>430</v>
      </c>
      <c r="I24" s="682">
        <v>396</v>
      </c>
      <c r="J24" s="683">
        <v>7</v>
      </c>
      <c r="K24" s="680">
        <v>27</v>
      </c>
      <c r="L24" s="121">
        <f t="shared" si="0"/>
        <v>0.35655058043117743</v>
      </c>
      <c r="M24" s="122">
        <f t="shared" si="0"/>
        <v>0.34859154929577463</v>
      </c>
      <c r="N24" s="122">
        <f t="shared" si="0"/>
        <v>0.77777777777777779</v>
      </c>
      <c r="O24" s="123">
        <f t="shared" si="0"/>
        <v>0.44262295081967212</v>
      </c>
    </row>
    <row r="25" spans="1:15" s="49" customFormat="1" ht="13.5" customHeight="1" x14ac:dyDescent="0.3">
      <c r="A25" s="56" t="s">
        <v>47</v>
      </c>
      <c r="B25" s="84" t="s">
        <v>256</v>
      </c>
      <c r="C25" s="57" t="s">
        <v>253</v>
      </c>
      <c r="D25" s="681">
        <v>250</v>
      </c>
      <c r="E25" s="682">
        <v>138</v>
      </c>
      <c r="F25" s="683">
        <v>98</v>
      </c>
      <c r="G25" s="680">
        <v>14</v>
      </c>
      <c r="H25" s="681">
        <v>128</v>
      </c>
      <c r="I25" s="682">
        <v>47</v>
      </c>
      <c r="J25" s="683">
        <v>74</v>
      </c>
      <c r="K25" s="680">
        <v>7</v>
      </c>
      <c r="L25" s="121">
        <f t="shared" si="0"/>
        <v>0.51200000000000001</v>
      </c>
      <c r="M25" s="122">
        <f t="shared" si="0"/>
        <v>0.34057971014492755</v>
      </c>
      <c r="N25" s="122">
        <f t="shared" si="0"/>
        <v>0.75510204081632648</v>
      </c>
      <c r="O25" s="123">
        <f t="shared" si="0"/>
        <v>0.5</v>
      </c>
    </row>
    <row r="26" spans="1:15" s="49" customFormat="1" ht="13.5" customHeight="1" x14ac:dyDescent="0.3">
      <c r="A26" s="56" t="s">
        <v>49</v>
      </c>
      <c r="B26" s="84" t="s">
        <v>50</v>
      </c>
      <c r="C26" s="57" t="s">
        <v>252</v>
      </c>
      <c r="D26" s="681">
        <v>660</v>
      </c>
      <c r="E26" s="682">
        <v>483</v>
      </c>
      <c r="F26" s="683">
        <v>166</v>
      </c>
      <c r="G26" s="680">
        <v>11</v>
      </c>
      <c r="H26" s="681">
        <v>270</v>
      </c>
      <c r="I26" s="682">
        <v>158</v>
      </c>
      <c r="J26" s="683">
        <v>109</v>
      </c>
      <c r="K26" s="680">
        <v>3</v>
      </c>
      <c r="L26" s="121">
        <f t="shared" si="0"/>
        <v>0.40909090909090912</v>
      </c>
      <c r="M26" s="122">
        <f t="shared" si="0"/>
        <v>0.32712215320910976</v>
      </c>
      <c r="N26" s="122">
        <f t="shared" si="0"/>
        <v>0.65662650602409633</v>
      </c>
      <c r="O26" s="123">
        <f t="shared" si="0"/>
        <v>0.27272727272727271</v>
      </c>
    </row>
    <row r="27" spans="1:15" s="49" customFormat="1" ht="13.5" customHeight="1" x14ac:dyDescent="0.3">
      <c r="A27" s="56" t="s">
        <v>55</v>
      </c>
      <c r="B27" s="84" t="s">
        <v>271</v>
      </c>
      <c r="C27" s="57" t="s">
        <v>253</v>
      </c>
      <c r="D27" s="681">
        <v>20682</v>
      </c>
      <c r="E27" s="682">
        <v>13692</v>
      </c>
      <c r="F27" s="683">
        <v>4955</v>
      </c>
      <c r="G27" s="680">
        <v>2035</v>
      </c>
      <c r="H27" s="681">
        <v>7462</v>
      </c>
      <c r="I27" s="682">
        <v>3638</v>
      </c>
      <c r="J27" s="683">
        <v>2998</v>
      </c>
      <c r="K27" s="680">
        <v>826</v>
      </c>
      <c r="L27" s="121">
        <f t="shared" si="0"/>
        <v>0.36079682815975245</v>
      </c>
      <c r="M27" s="122">
        <f t="shared" si="0"/>
        <v>0.26570260005842827</v>
      </c>
      <c r="N27" s="122">
        <f t="shared" si="0"/>
        <v>0.60504540867810297</v>
      </c>
      <c r="O27" s="123">
        <f t="shared" si="0"/>
        <v>0.40589680589680588</v>
      </c>
    </row>
    <row r="28" spans="1:15" s="49" customFormat="1" ht="13.5" customHeight="1" x14ac:dyDescent="0.3">
      <c r="A28" s="56" t="s">
        <v>57</v>
      </c>
      <c r="B28" s="84" t="s">
        <v>58</v>
      </c>
      <c r="C28" s="57" t="s">
        <v>254</v>
      </c>
      <c r="D28" s="681">
        <v>643</v>
      </c>
      <c r="E28" s="682">
        <v>594</v>
      </c>
      <c r="F28" s="683">
        <v>23</v>
      </c>
      <c r="G28" s="680">
        <v>26</v>
      </c>
      <c r="H28" s="681">
        <v>178</v>
      </c>
      <c r="I28" s="682">
        <v>152</v>
      </c>
      <c r="J28" s="683">
        <v>16</v>
      </c>
      <c r="K28" s="680">
        <v>10</v>
      </c>
      <c r="L28" s="121">
        <f t="shared" si="0"/>
        <v>0.27682737169517885</v>
      </c>
      <c r="M28" s="122">
        <f t="shared" si="0"/>
        <v>0.25589225589225589</v>
      </c>
      <c r="N28" s="122">
        <f t="shared" si="0"/>
        <v>0.69565217391304346</v>
      </c>
      <c r="O28" s="123">
        <f t="shared" si="0"/>
        <v>0.38461538461538464</v>
      </c>
    </row>
    <row r="29" spans="1:15" s="49" customFormat="1" ht="13.5" customHeight="1" x14ac:dyDescent="0.3">
      <c r="A29" s="56" t="s">
        <v>59</v>
      </c>
      <c r="B29" s="84" t="s">
        <v>60</v>
      </c>
      <c r="C29" s="57" t="s">
        <v>252</v>
      </c>
      <c r="D29" s="681">
        <v>200</v>
      </c>
      <c r="E29" s="682">
        <v>200</v>
      </c>
      <c r="F29" s="683">
        <v>0</v>
      </c>
      <c r="G29" s="680">
        <v>0</v>
      </c>
      <c r="H29" s="681">
        <v>74</v>
      </c>
      <c r="I29" s="682">
        <v>74</v>
      </c>
      <c r="J29" s="683">
        <v>0</v>
      </c>
      <c r="K29" s="680">
        <v>0</v>
      </c>
      <c r="L29" s="121">
        <f t="shared" si="0"/>
        <v>0.37</v>
      </c>
      <c r="M29" s="122">
        <f t="shared" si="0"/>
        <v>0.37</v>
      </c>
      <c r="N29" s="122" t="str">
        <f t="shared" si="0"/>
        <v>NA</v>
      </c>
      <c r="O29" s="123" t="str">
        <f t="shared" si="0"/>
        <v>NA</v>
      </c>
    </row>
    <row r="30" spans="1:15" s="49" customFormat="1" ht="13.5" customHeight="1" x14ac:dyDescent="0.3">
      <c r="A30" s="56" t="s">
        <v>61</v>
      </c>
      <c r="B30" s="84" t="s">
        <v>62</v>
      </c>
      <c r="C30" s="57" t="s">
        <v>254</v>
      </c>
      <c r="D30" s="681">
        <v>3251</v>
      </c>
      <c r="E30" s="682">
        <v>2637</v>
      </c>
      <c r="F30" s="683">
        <v>425</v>
      </c>
      <c r="G30" s="680">
        <v>189</v>
      </c>
      <c r="H30" s="681">
        <v>1406</v>
      </c>
      <c r="I30" s="682">
        <v>1014</v>
      </c>
      <c r="J30" s="683">
        <v>308</v>
      </c>
      <c r="K30" s="680">
        <v>84</v>
      </c>
      <c r="L30" s="121">
        <f t="shared" si="0"/>
        <v>0.4324823131344202</v>
      </c>
      <c r="M30" s="122">
        <f t="shared" si="0"/>
        <v>0.38452787258248011</v>
      </c>
      <c r="N30" s="122">
        <f t="shared" si="0"/>
        <v>0.7247058823529412</v>
      </c>
      <c r="O30" s="123">
        <f t="shared" si="0"/>
        <v>0.44444444444444442</v>
      </c>
    </row>
    <row r="31" spans="1:15" s="49" customFormat="1" ht="13.5" customHeight="1" x14ac:dyDescent="0.3">
      <c r="A31" s="56" t="s">
        <v>63</v>
      </c>
      <c r="B31" s="84" t="s">
        <v>64</v>
      </c>
      <c r="C31" s="57" t="s">
        <v>253</v>
      </c>
      <c r="D31" s="681">
        <v>420</v>
      </c>
      <c r="E31" s="682">
        <v>304</v>
      </c>
      <c r="F31" s="683">
        <v>111</v>
      </c>
      <c r="G31" s="680">
        <v>5</v>
      </c>
      <c r="H31" s="681">
        <v>207</v>
      </c>
      <c r="I31" s="682">
        <v>118</v>
      </c>
      <c r="J31" s="683">
        <v>87</v>
      </c>
      <c r="K31" s="680">
        <v>2</v>
      </c>
      <c r="L31" s="121">
        <f t="shared" si="0"/>
        <v>0.49285714285714288</v>
      </c>
      <c r="M31" s="122">
        <f t="shared" si="0"/>
        <v>0.38815789473684209</v>
      </c>
      <c r="N31" s="122">
        <f t="shared" si="0"/>
        <v>0.78378378378378377</v>
      </c>
      <c r="O31" s="123">
        <f t="shared" si="0"/>
        <v>0.4</v>
      </c>
    </row>
    <row r="32" spans="1:15" s="49" customFormat="1" ht="13.5" customHeight="1" x14ac:dyDescent="0.3">
      <c r="A32" s="56" t="s">
        <v>67</v>
      </c>
      <c r="B32" s="84" t="s">
        <v>68</v>
      </c>
      <c r="C32" s="57" t="s">
        <v>255</v>
      </c>
      <c r="D32" s="681">
        <v>615</v>
      </c>
      <c r="E32" s="682">
        <v>609</v>
      </c>
      <c r="F32" s="683">
        <v>2</v>
      </c>
      <c r="G32" s="680">
        <v>4</v>
      </c>
      <c r="H32" s="681">
        <v>226</v>
      </c>
      <c r="I32" s="682">
        <v>225</v>
      </c>
      <c r="J32" s="683">
        <v>1</v>
      </c>
      <c r="K32" s="680">
        <v>0</v>
      </c>
      <c r="L32" s="121">
        <f t="shared" si="0"/>
        <v>0.36747967479674798</v>
      </c>
      <c r="M32" s="122">
        <f t="shared" si="0"/>
        <v>0.36945812807881773</v>
      </c>
      <c r="N32" s="122">
        <f t="shared" si="0"/>
        <v>0.5</v>
      </c>
      <c r="O32" s="123">
        <f t="shared" si="0"/>
        <v>0</v>
      </c>
    </row>
    <row r="33" spans="1:15" s="49" customFormat="1" ht="13.5" customHeight="1" x14ac:dyDescent="0.3">
      <c r="A33" s="56" t="s">
        <v>69</v>
      </c>
      <c r="B33" s="84" t="s">
        <v>70</v>
      </c>
      <c r="C33" s="57" t="s">
        <v>251</v>
      </c>
      <c r="D33" s="681">
        <v>1079</v>
      </c>
      <c r="E33" s="682">
        <v>820</v>
      </c>
      <c r="F33" s="683">
        <v>221</v>
      </c>
      <c r="G33" s="680">
        <v>38</v>
      </c>
      <c r="H33" s="681">
        <v>501</v>
      </c>
      <c r="I33" s="682">
        <v>311</v>
      </c>
      <c r="J33" s="683">
        <v>168</v>
      </c>
      <c r="K33" s="680">
        <v>22</v>
      </c>
      <c r="L33" s="121">
        <f t="shared" si="0"/>
        <v>0.4643188137164041</v>
      </c>
      <c r="M33" s="122">
        <f t="shared" si="0"/>
        <v>0.37926829268292683</v>
      </c>
      <c r="N33" s="122">
        <f t="shared" si="0"/>
        <v>0.76018099547511309</v>
      </c>
      <c r="O33" s="123">
        <f t="shared" si="0"/>
        <v>0.57894736842105265</v>
      </c>
    </row>
    <row r="34" spans="1:15" s="49" customFormat="1" ht="13.5" customHeight="1" x14ac:dyDescent="0.3">
      <c r="A34" s="56" t="s">
        <v>71</v>
      </c>
      <c r="B34" s="84" t="s">
        <v>72</v>
      </c>
      <c r="C34" s="57" t="s">
        <v>253</v>
      </c>
      <c r="D34" s="681">
        <v>554</v>
      </c>
      <c r="E34" s="682">
        <v>299</v>
      </c>
      <c r="F34" s="683">
        <v>224</v>
      </c>
      <c r="G34" s="680">
        <v>31</v>
      </c>
      <c r="H34" s="681">
        <v>334</v>
      </c>
      <c r="I34" s="682">
        <v>131</v>
      </c>
      <c r="J34" s="683">
        <v>190</v>
      </c>
      <c r="K34" s="680">
        <v>13</v>
      </c>
      <c r="L34" s="121">
        <f t="shared" si="0"/>
        <v>0.6028880866425993</v>
      </c>
      <c r="M34" s="122">
        <f t="shared" si="0"/>
        <v>0.43812709030100333</v>
      </c>
      <c r="N34" s="122">
        <f t="shared" si="0"/>
        <v>0.8482142857142857</v>
      </c>
      <c r="O34" s="123">
        <f t="shared" si="0"/>
        <v>0.41935483870967744</v>
      </c>
    </row>
    <row r="35" spans="1:15" s="49" customFormat="1" ht="13.5" customHeight="1" x14ac:dyDescent="0.3">
      <c r="A35" s="56" t="s">
        <v>73</v>
      </c>
      <c r="B35" s="84" t="s">
        <v>405</v>
      </c>
      <c r="C35" s="57" t="s">
        <v>254</v>
      </c>
      <c r="D35" s="681">
        <v>74378</v>
      </c>
      <c r="E35" s="682">
        <v>36502</v>
      </c>
      <c r="F35" s="683">
        <v>7779</v>
      </c>
      <c r="G35" s="680">
        <v>30096</v>
      </c>
      <c r="H35" s="681">
        <v>15881</v>
      </c>
      <c r="I35" s="682">
        <v>3793</v>
      </c>
      <c r="J35" s="683">
        <v>2804</v>
      </c>
      <c r="K35" s="680">
        <v>9284</v>
      </c>
      <c r="L35" s="121">
        <f t="shared" si="0"/>
        <v>0.21351743795208261</v>
      </c>
      <c r="M35" s="122">
        <f t="shared" si="0"/>
        <v>0.10391211440469016</v>
      </c>
      <c r="N35" s="122">
        <f t="shared" si="0"/>
        <v>0.36045764237048467</v>
      </c>
      <c r="O35" s="123">
        <f t="shared" si="0"/>
        <v>0.30847953216374269</v>
      </c>
    </row>
    <row r="36" spans="1:15" s="49" customFormat="1" ht="13.5" customHeight="1" x14ac:dyDescent="0.3">
      <c r="A36" s="56" t="s">
        <v>75</v>
      </c>
      <c r="B36" s="84" t="s">
        <v>76</v>
      </c>
      <c r="C36" s="57" t="s">
        <v>254</v>
      </c>
      <c r="D36" s="681">
        <v>3756</v>
      </c>
      <c r="E36" s="682">
        <v>3213</v>
      </c>
      <c r="F36" s="683">
        <v>242</v>
      </c>
      <c r="G36" s="680">
        <v>301</v>
      </c>
      <c r="H36" s="681">
        <v>1008</v>
      </c>
      <c r="I36" s="682">
        <v>760</v>
      </c>
      <c r="J36" s="683">
        <v>157</v>
      </c>
      <c r="K36" s="680">
        <v>91</v>
      </c>
      <c r="L36" s="121">
        <f t="shared" si="0"/>
        <v>0.26837060702875398</v>
      </c>
      <c r="M36" s="122">
        <f t="shared" si="0"/>
        <v>0.23653906006847183</v>
      </c>
      <c r="N36" s="122">
        <f t="shared" si="0"/>
        <v>0.64876033057851235</v>
      </c>
      <c r="O36" s="123">
        <f t="shared" si="0"/>
        <v>0.30232558139534882</v>
      </c>
    </row>
    <row r="37" spans="1:15" s="49" customFormat="1" ht="13.5" customHeight="1" x14ac:dyDescent="0.3">
      <c r="A37" s="56" t="s">
        <v>77</v>
      </c>
      <c r="B37" s="84" t="s">
        <v>78</v>
      </c>
      <c r="C37" s="57" t="s">
        <v>255</v>
      </c>
      <c r="D37" s="681">
        <v>715</v>
      </c>
      <c r="E37" s="682">
        <v>702</v>
      </c>
      <c r="F37" s="683">
        <v>7</v>
      </c>
      <c r="G37" s="680">
        <v>6</v>
      </c>
      <c r="H37" s="681">
        <v>232</v>
      </c>
      <c r="I37" s="682">
        <v>225</v>
      </c>
      <c r="J37" s="683">
        <v>4</v>
      </c>
      <c r="K37" s="680">
        <v>3</v>
      </c>
      <c r="L37" s="121">
        <f t="shared" si="0"/>
        <v>0.32447552447552447</v>
      </c>
      <c r="M37" s="122">
        <f t="shared" si="0"/>
        <v>0.32051282051282054</v>
      </c>
      <c r="N37" s="122">
        <f t="shared" si="0"/>
        <v>0.5714285714285714</v>
      </c>
      <c r="O37" s="123">
        <f t="shared" si="0"/>
        <v>0.5</v>
      </c>
    </row>
    <row r="38" spans="1:15" s="49" customFormat="1" ht="13.5" customHeight="1" x14ac:dyDescent="0.3">
      <c r="A38" s="56" t="s">
        <v>79</v>
      </c>
      <c r="B38" s="84" t="s">
        <v>80</v>
      </c>
      <c r="C38" s="57" t="s">
        <v>253</v>
      </c>
      <c r="D38" s="681">
        <v>1276</v>
      </c>
      <c r="E38" s="682">
        <v>1062</v>
      </c>
      <c r="F38" s="683">
        <v>166</v>
      </c>
      <c r="G38" s="680">
        <v>48</v>
      </c>
      <c r="H38" s="681">
        <v>446</v>
      </c>
      <c r="I38" s="682">
        <v>303</v>
      </c>
      <c r="J38" s="683">
        <v>123</v>
      </c>
      <c r="K38" s="680">
        <v>20</v>
      </c>
      <c r="L38" s="121">
        <f t="shared" si="0"/>
        <v>0.34952978056426331</v>
      </c>
      <c r="M38" s="122">
        <f t="shared" si="0"/>
        <v>0.28531073446327682</v>
      </c>
      <c r="N38" s="122">
        <f t="shared" si="0"/>
        <v>0.74096385542168675</v>
      </c>
      <c r="O38" s="123">
        <f t="shared" si="0"/>
        <v>0.41666666666666669</v>
      </c>
    </row>
    <row r="39" spans="1:15" s="49" customFormat="1" ht="13.5" customHeight="1" x14ac:dyDescent="0.3">
      <c r="A39" s="56" t="s">
        <v>83</v>
      </c>
      <c r="B39" s="84" t="s">
        <v>84</v>
      </c>
      <c r="C39" s="57" t="s">
        <v>252</v>
      </c>
      <c r="D39" s="681">
        <v>2534</v>
      </c>
      <c r="E39" s="682">
        <v>2334</v>
      </c>
      <c r="F39" s="683">
        <v>175</v>
      </c>
      <c r="G39" s="680">
        <v>25</v>
      </c>
      <c r="H39" s="681">
        <v>1057</v>
      </c>
      <c r="I39" s="682">
        <v>918</v>
      </c>
      <c r="J39" s="683">
        <v>131</v>
      </c>
      <c r="K39" s="680">
        <v>8</v>
      </c>
      <c r="L39" s="121">
        <f t="shared" ref="L39:O70" si="1">IF(D39=0,"NA",(H39/D39))</f>
        <v>0.41712707182320441</v>
      </c>
      <c r="M39" s="122">
        <f t="shared" si="1"/>
        <v>0.39331619537275064</v>
      </c>
      <c r="N39" s="122">
        <f t="shared" si="1"/>
        <v>0.74857142857142855</v>
      </c>
      <c r="O39" s="123">
        <f t="shared" si="1"/>
        <v>0.32</v>
      </c>
    </row>
    <row r="40" spans="1:15" s="49" customFormat="1" ht="13.5" customHeight="1" x14ac:dyDescent="0.3">
      <c r="A40" s="56" t="s">
        <v>85</v>
      </c>
      <c r="B40" s="84" t="s">
        <v>86</v>
      </c>
      <c r="C40" s="57" t="s">
        <v>254</v>
      </c>
      <c r="D40" s="681">
        <v>4823</v>
      </c>
      <c r="E40" s="682">
        <v>4263</v>
      </c>
      <c r="F40" s="683">
        <v>189</v>
      </c>
      <c r="G40" s="680">
        <v>371</v>
      </c>
      <c r="H40" s="681">
        <v>1656</v>
      </c>
      <c r="I40" s="682">
        <v>1427</v>
      </c>
      <c r="J40" s="683">
        <v>107</v>
      </c>
      <c r="K40" s="680">
        <v>122</v>
      </c>
      <c r="L40" s="121">
        <f t="shared" si="1"/>
        <v>0.34335475844909807</v>
      </c>
      <c r="M40" s="122">
        <f t="shared" si="1"/>
        <v>0.33474079286887171</v>
      </c>
      <c r="N40" s="122">
        <f t="shared" si="1"/>
        <v>0.56613756613756616</v>
      </c>
      <c r="O40" s="123">
        <f t="shared" si="1"/>
        <v>0.32884097035040433</v>
      </c>
    </row>
    <row r="41" spans="1:15" s="49" customFormat="1" ht="13.5" customHeight="1" x14ac:dyDescent="0.3">
      <c r="A41" s="56" t="s">
        <v>91</v>
      </c>
      <c r="B41" s="84" t="s">
        <v>92</v>
      </c>
      <c r="C41" s="57" t="s">
        <v>255</v>
      </c>
      <c r="D41" s="681">
        <v>833</v>
      </c>
      <c r="E41" s="682">
        <v>820</v>
      </c>
      <c r="F41" s="683">
        <v>7</v>
      </c>
      <c r="G41" s="680">
        <v>6</v>
      </c>
      <c r="H41" s="681">
        <v>336</v>
      </c>
      <c r="I41" s="682">
        <v>327</v>
      </c>
      <c r="J41" s="683">
        <v>6</v>
      </c>
      <c r="K41" s="680">
        <v>3</v>
      </c>
      <c r="L41" s="121">
        <f t="shared" si="1"/>
        <v>0.40336134453781514</v>
      </c>
      <c r="M41" s="122">
        <f t="shared" si="1"/>
        <v>0.39878048780487807</v>
      </c>
      <c r="N41" s="122">
        <f t="shared" si="1"/>
        <v>0.8571428571428571</v>
      </c>
      <c r="O41" s="123">
        <f t="shared" si="1"/>
        <v>0.5</v>
      </c>
    </row>
    <row r="42" spans="1:15" s="49" customFormat="1" ht="13.5" customHeight="1" x14ac:dyDescent="0.3">
      <c r="A42" s="56" t="s">
        <v>93</v>
      </c>
      <c r="B42" s="84" t="s">
        <v>94</v>
      </c>
      <c r="C42" s="57" t="s">
        <v>251</v>
      </c>
      <c r="D42" s="681">
        <v>1746</v>
      </c>
      <c r="E42" s="682">
        <v>1560</v>
      </c>
      <c r="F42" s="683">
        <v>109</v>
      </c>
      <c r="G42" s="680">
        <v>77</v>
      </c>
      <c r="H42" s="681">
        <v>610</v>
      </c>
      <c r="I42" s="682">
        <v>510</v>
      </c>
      <c r="J42" s="683">
        <v>68</v>
      </c>
      <c r="K42" s="680">
        <v>32</v>
      </c>
      <c r="L42" s="121">
        <f t="shared" si="1"/>
        <v>0.34936998854524626</v>
      </c>
      <c r="M42" s="122">
        <f t="shared" si="1"/>
        <v>0.32692307692307693</v>
      </c>
      <c r="N42" s="122">
        <f t="shared" si="1"/>
        <v>0.62385321100917435</v>
      </c>
      <c r="O42" s="123">
        <f t="shared" si="1"/>
        <v>0.41558441558441561</v>
      </c>
    </row>
    <row r="43" spans="1:15" s="49" customFormat="1" ht="13.5" customHeight="1" x14ac:dyDescent="0.3">
      <c r="A43" s="56" t="s">
        <v>95</v>
      </c>
      <c r="B43" s="84" t="s">
        <v>96</v>
      </c>
      <c r="C43" s="57" t="s">
        <v>253</v>
      </c>
      <c r="D43" s="681">
        <v>801</v>
      </c>
      <c r="E43" s="682">
        <v>652</v>
      </c>
      <c r="F43" s="683">
        <v>116</v>
      </c>
      <c r="G43" s="680">
        <v>33</v>
      </c>
      <c r="H43" s="681">
        <v>199</v>
      </c>
      <c r="I43" s="682">
        <v>117</v>
      </c>
      <c r="J43" s="683">
        <v>76</v>
      </c>
      <c r="K43" s="680">
        <v>6</v>
      </c>
      <c r="L43" s="121">
        <f t="shared" si="1"/>
        <v>0.24843945068664169</v>
      </c>
      <c r="M43" s="122">
        <f t="shared" si="1"/>
        <v>0.17944785276073619</v>
      </c>
      <c r="N43" s="122">
        <f t="shared" si="1"/>
        <v>0.65517241379310343</v>
      </c>
      <c r="O43" s="123">
        <f t="shared" si="1"/>
        <v>0.18181818181818182</v>
      </c>
    </row>
    <row r="44" spans="1:15" s="49" customFormat="1" ht="13.5" customHeight="1" x14ac:dyDescent="0.3">
      <c r="A44" s="56" t="s">
        <v>97</v>
      </c>
      <c r="B44" s="84" t="s">
        <v>98</v>
      </c>
      <c r="C44" s="57" t="s">
        <v>255</v>
      </c>
      <c r="D44" s="681">
        <v>626</v>
      </c>
      <c r="E44" s="682">
        <v>589</v>
      </c>
      <c r="F44" s="683">
        <v>11</v>
      </c>
      <c r="G44" s="680">
        <v>26</v>
      </c>
      <c r="H44" s="681">
        <v>243</v>
      </c>
      <c r="I44" s="682">
        <v>223</v>
      </c>
      <c r="J44" s="683">
        <v>6</v>
      </c>
      <c r="K44" s="680">
        <v>14</v>
      </c>
      <c r="L44" s="121">
        <f t="shared" si="1"/>
        <v>0.38817891373801916</v>
      </c>
      <c r="M44" s="122">
        <f t="shared" si="1"/>
        <v>0.37860780984719866</v>
      </c>
      <c r="N44" s="122">
        <f t="shared" si="1"/>
        <v>0.54545454545454541</v>
      </c>
      <c r="O44" s="123">
        <f t="shared" si="1"/>
        <v>0.53846153846153844</v>
      </c>
    </row>
    <row r="45" spans="1:15" s="49" customFormat="1" ht="13.5" customHeight="1" x14ac:dyDescent="0.3">
      <c r="A45" s="56" t="s">
        <v>99</v>
      </c>
      <c r="B45" s="84" t="s">
        <v>100</v>
      </c>
      <c r="C45" s="57" t="s">
        <v>254</v>
      </c>
      <c r="D45" s="681">
        <v>1081</v>
      </c>
      <c r="E45" s="682">
        <v>931</v>
      </c>
      <c r="F45" s="683">
        <v>85</v>
      </c>
      <c r="G45" s="680">
        <v>65</v>
      </c>
      <c r="H45" s="681">
        <v>400</v>
      </c>
      <c r="I45" s="682">
        <v>317</v>
      </c>
      <c r="J45" s="683">
        <v>53</v>
      </c>
      <c r="K45" s="680">
        <v>30</v>
      </c>
      <c r="L45" s="121">
        <f t="shared" si="1"/>
        <v>0.37002775208140609</v>
      </c>
      <c r="M45" s="122">
        <f t="shared" si="1"/>
        <v>0.34049409237379163</v>
      </c>
      <c r="N45" s="122">
        <f t="shared" si="1"/>
        <v>0.62352941176470589</v>
      </c>
      <c r="O45" s="123">
        <f t="shared" si="1"/>
        <v>0.46153846153846156</v>
      </c>
    </row>
    <row r="46" spans="1:15" s="49" customFormat="1" ht="13.5" customHeight="1" x14ac:dyDescent="0.3">
      <c r="A46" s="56" t="s">
        <v>101</v>
      </c>
      <c r="B46" s="84" t="s">
        <v>263</v>
      </c>
      <c r="C46" s="57" t="s">
        <v>251</v>
      </c>
      <c r="D46" s="681">
        <v>884</v>
      </c>
      <c r="E46" s="682">
        <v>241</v>
      </c>
      <c r="F46" s="683">
        <v>602</v>
      </c>
      <c r="G46" s="680">
        <v>41</v>
      </c>
      <c r="H46" s="681">
        <v>593</v>
      </c>
      <c r="I46" s="682">
        <v>94</v>
      </c>
      <c r="J46" s="683">
        <v>479</v>
      </c>
      <c r="K46" s="680">
        <v>20</v>
      </c>
      <c r="L46" s="121">
        <f t="shared" si="1"/>
        <v>0.670814479638009</v>
      </c>
      <c r="M46" s="122">
        <f t="shared" si="1"/>
        <v>0.39004149377593361</v>
      </c>
      <c r="N46" s="122">
        <f t="shared" si="1"/>
        <v>0.79568106312292364</v>
      </c>
      <c r="O46" s="123">
        <f t="shared" si="1"/>
        <v>0.48780487804878048</v>
      </c>
    </row>
    <row r="47" spans="1:15" s="49" customFormat="1" ht="13.5" customHeight="1" x14ac:dyDescent="0.3">
      <c r="A47" s="56" t="s">
        <v>103</v>
      </c>
      <c r="B47" s="84" t="s">
        <v>104</v>
      </c>
      <c r="C47" s="57" t="s">
        <v>252</v>
      </c>
      <c r="D47" s="681">
        <v>1851</v>
      </c>
      <c r="E47" s="682">
        <v>1106</v>
      </c>
      <c r="F47" s="683">
        <v>710</v>
      </c>
      <c r="G47" s="680">
        <v>35</v>
      </c>
      <c r="H47" s="681">
        <v>970</v>
      </c>
      <c r="I47" s="682">
        <v>393</v>
      </c>
      <c r="J47" s="683">
        <v>564</v>
      </c>
      <c r="K47" s="680">
        <v>13</v>
      </c>
      <c r="L47" s="121">
        <f t="shared" si="1"/>
        <v>0.52404105888708807</v>
      </c>
      <c r="M47" s="122">
        <f t="shared" si="1"/>
        <v>0.3553345388788427</v>
      </c>
      <c r="N47" s="122">
        <f t="shared" si="1"/>
        <v>0.79436619718309864</v>
      </c>
      <c r="O47" s="123">
        <f t="shared" si="1"/>
        <v>0.37142857142857144</v>
      </c>
    </row>
    <row r="48" spans="1:15" s="49" customFormat="1" ht="13.5" customHeight="1" x14ac:dyDescent="0.3">
      <c r="A48" s="56" t="s">
        <v>107</v>
      </c>
      <c r="B48" s="84" t="s">
        <v>108</v>
      </c>
      <c r="C48" s="57" t="s">
        <v>253</v>
      </c>
      <c r="D48" s="681">
        <v>4734</v>
      </c>
      <c r="E48" s="682">
        <v>4048</v>
      </c>
      <c r="F48" s="683">
        <v>415</v>
      </c>
      <c r="G48" s="680">
        <v>271</v>
      </c>
      <c r="H48" s="681">
        <v>1195</v>
      </c>
      <c r="I48" s="682">
        <v>869</v>
      </c>
      <c r="J48" s="683">
        <v>249</v>
      </c>
      <c r="K48" s="680">
        <v>77</v>
      </c>
      <c r="L48" s="121">
        <f t="shared" si="1"/>
        <v>0.25242923531896916</v>
      </c>
      <c r="M48" s="122">
        <f t="shared" si="1"/>
        <v>0.21467391304347827</v>
      </c>
      <c r="N48" s="122">
        <f t="shared" si="1"/>
        <v>0.6</v>
      </c>
      <c r="O48" s="123">
        <f t="shared" si="1"/>
        <v>0.28413284132841327</v>
      </c>
    </row>
    <row r="49" spans="1:15" s="49" customFormat="1" ht="13.5" customHeight="1" x14ac:dyDescent="0.3">
      <c r="A49" s="56" t="s">
        <v>109</v>
      </c>
      <c r="B49" s="84" t="s">
        <v>110</v>
      </c>
      <c r="C49" s="57" t="s">
        <v>253</v>
      </c>
      <c r="D49" s="681">
        <v>19405</v>
      </c>
      <c r="E49" s="682">
        <v>10665</v>
      </c>
      <c r="F49" s="683">
        <v>5319</v>
      </c>
      <c r="G49" s="680">
        <v>3421</v>
      </c>
      <c r="H49" s="681">
        <v>6507</v>
      </c>
      <c r="I49" s="682">
        <v>2479</v>
      </c>
      <c r="J49" s="683">
        <v>3558</v>
      </c>
      <c r="K49" s="680">
        <v>470</v>
      </c>
      <c r="L49" s="121">
        <f t="shared" si="1"/>
        <v>0.33532594692089668</v>
      </c>
      <c r="M49" s="122">
        <f t="shared" si="1"/>
        <v>0.23244256915142991</v>
      </c>
      <c r="N49" s="122">
        <f t="shared" si="1"/>
        <v>0.66892272983643541</v>
      </c>
      <c r="O49" s="123">
        <f t="shared" si="1"/>
        <v>0.1373867290266004</v>
      </c>
    </row>
    <row r="50" spans="1:15" s="49" customFormat="1" ht="13.5" customHeight="1" x14ac:dyDescent="0.3">
      <c r="A50" s="56" t="s">
        <v>111</v>
      </c>
      <c r="B50" s="84" t="s">
        <v>275</v>
      </c>
      <c r="C50" s="57" t="s">
        <v>252</v>
      </c>
      <c r="D50" s="681">
        <v>3218</v>
      </c>
      <c r="E50" s="682">
        <v>2134</v>
      </c>
      <c r="F50" s="683">
        <v>918</v>
      </c>
      <c r="G50" s="680">
        <v>166</v>
      </c>
      <c r="H50" s="681">
        <v>1713</v>
      </c>
      <c r="I50" s="682">
        <v>940</v>
      </c>
      <c r="J50" s="683">
        <v>683</v>
      </c>
      <c r="K50" s="680">
        <v>90</v>
      </c>
      <c r="L50" s="121">
        <f t="shared" si="1"/>
        <v>0.53231821006836544</v>
      </c>
      <c r="M50" s="122">
        <f t="shared" si="1"/>
        <v>0.44048734770384257</v>
      </c>
      <c r="N50" s="122">
        <f t="shared" si="1"/>
        <v>0.74400871459694984</v>
      </c>
      <c r="O50" s="123">
        <f t="shared" si="1"/>
        <v>0.54216867469879515</v>
      </c>
    </row>
    <row r="51" spans="1:15" s="49" customFormat="1" ht="13.5" customHeight="1" x14ac:dyDescent="0.3">
      <c r="A51" s="56" t="s">
        <v>113</v>
      </c>
      <c r="B51" s="84" t="s">
        <v>114</v>
      </c>
      <c r="C51" s="57" t="s">
        <v>252</v>
      </c>
      <c r="D51" s="681">
        <v>86</v>
      </c>
      <c r="E51" s="682">
        <v>86</v>
      </c>
      <c r="F51" s="683">
        <v>0</v>
      </c>
      <c r="G51" s="680">
        <v>0</v>
      </c>
      <c r="H51" s="681">
        <v>16</v>
      </c>
      <c r="I51" s="682">
        <v>16</v>
      </c>
      <c r="J51" s="683">
        <v>0</v>
      </c>
      <c r="K51" s="680">
        <v>0</v>
      </c>
      <c r="L51" s="121">
        <f t="shared" si="1"/>
        <v>0.18604651162790697</v>
      </c>
      <c r="M51" s="122">
        <f t="shared" si="1"/>
        <v>0.18604651162790697</v>
      </c>
      <c r="N51" s="122" t="str">
        <f t="shared" si="1"/>
        <v>NA</v>
      </c>
      <c r="O51" s="123" t="str">
        <f t="shared" si="1"/>
        <v>NA</v>
      </c>
    </row>
    <row r="52" spans="1:15" s="49" customFormat="1" ht="13.5" customHeight="1" x14ac:dyDescent="0.3">
      <c r="A52" s="56" t="s">
        <v>117</v>
      </c>
      <c r="B52" s="84" t="s">
        <v>257</v>
      </c>
      <c r="C52" s="57" t="s">
        <v>251</v>
      </c>
      <c r="D52" s="681">
        <v>1814</v>
      </c>
      <c r="E52" s="682">
        <v>1331</v>
      </c>
      <c r="F52" s="683">
        <v>422</v>
      </c>
      <c r="G52" s="680">
        <v>61</v>
      </c>
      <c r="H52" s="681">
        <v>645</v>
      </c>
      <c r="I52" s="682">
        <v>344</v>
      </c>
      <c r="J52" s="683">
        <v>283</v>
      </c>
      <c r="K52" s="680">
        <v>18</v>
      </c>
      <c r="L52" s="121">
        <f t="shared" si="1"/>
        <v>0.35556780595369347</v>
      </c>
      <c r="M52" s="122">
        <f t="shared" si="1"/>
        <v>0.25845229151014276</v>
      </c>
      <c r="N52" s="122">
        <f t="shared" si="1"/>
        <v>0.67061611374407581</v>
      </c>
      <c r="O52" s="123">
        <f t="shared" si="1"/>
        <v>0.29508196721311475</v>
      </c>
    </row>
    <row r="53" spans="1:15" s="49" customFormat="1" ht="13.5" customHeight="1" x14ac:dyDescent="0.3">
      <c r="A53" s="56" t="s">
        <v>119</v>
      </c>
      <c r="B53" s="84" t="s">
        <v>120</v>
      </c>
      <c r="C53" s="57" t="s">
        <v>251</v>
      </c>
      <c r="D53" s="681">
        <v>3525</v>
      </c>
      <c r="E53" s="682">
        <v>2457</v>
      </c>
      <c r="F53" s="683">
        <v>602</v>
      </c>
      <c r="G53" s="680">
        <v>466</v>
      </c>
      <c r="H53" s="681">
        <v>1104</v>
      </c>
      <c r="I53" s="682">
        <v>497</v>
      </c>
      <c r="J53" s="683">
        <v>393</v>
      </c>
      <c r="K53" s="680">
        <v>214</v>
      </c>
      <c r="L53" s="121">
        <f t="shared" si="1"/>
        <v>0.3131914893617021</v>
      </c>
      <c r="M53" s="122">
        <f t="shared" si="1"/>
        <v>0.20227920227920229</v>
      </c>
      <c r="N53" s="122">
        <f t="shared" si="1"/>
        <v>0.65282392026578073</v>
      </c>
      <c r="O53" s="123">
        <f t="shared" si="1"/>
        <v>0.45922746781115881</v>
      </c>
    </row>
    <row r="54" spans="1:15" s="49" customFormat="1" ht="13.5" customHeight="1" x14ac:dyDescent="0.3">
      <c r="A54" s="56" t="s">
        <v>121</v>
      </c>
      <c r="B54" s="84" t="s">
        <v>258</v>
      </c>
      <c r="C54" s="57" t="s">
        <v>253</v>
      </c>
      <c r="D54" s="681">
        <v>308</v>
      </c>
      <c r="E54" s="682">
        <v>220</v>
      </c>
      <c r="F54" s="683">
        <v>80</v>
      </c>
      <c r="G54" s="680">
        <v>8</v>
      </c>
      <c r="H54" s="681">
        <v>158</v>
      </c>
      <c r="I54" s="682">
        <v>89</v>
      </c>
      <c r="J54" s="683">
        <v>64</v>
      </c>
      <c r="K54" s="680">
        <v>5</v>
      </c>
      <c r="L54" s="121">
        <f t="shared" si="1"/>
        <v>0.51298701298701299</v>
      </c>
      <c r="M54" s="122">
        <f t="shared" si="1"/>
        <v>0.40454545454545454</v>
      </c>
      <c r="N54" s="122">
        <f t="shared" si="1"/>
        <v>0.8</v>
      </c>
      <c r="O54" s="123">
        <f t="shared" si="1"/>
        <v>0.625</v>
      </c>
    </row>
    <row r="55" spans="1:15" s="49" customFormat="1" ht="13.5" customHeight="1" x14ac:dyDescent="0.3">
      <c r="A55" s="56" t="s">
        <v>123</v>
      </c>
      <c r="B55" s="84" t="s">
        <v>124</v>
      </c>
      <c r="C55" s="57" t="s">
        <v>254</v>
      </c>
      <c r="D55" s="681">
        <v>1509</v>
      </c>
      <c r="E55" s="682">
        <v>1224</v>
      </c>
      <c r="F55" s="683">
        <v>228</v>
      </c>
      <c r="G55" s="680">
        <v>57</v>
      </c>
      <c r="H55" s="681">
        <v>482</v>
      </c>
      <c r="I55" s="682">
        <v>304</v>
      </c>
      <c r="J55" s="683">
        <v>156</v>
      </c>
      <c r="K55" s="680">
        <v>22</v>
      </c>
      <c r="L55" s="121">
        <f t="shared" si="1"/>
        <v>0.31941683233929757</v>
      </c>
      <c r="M55" s="122">
        <f t="shared" si="1"/>
        <v>0.24836601307189543</v>
      </c>
      <c r="N55" s="122">
        <f t="shared" si="1"/>
        <v>0.68421052631578949</v>
      </c>
      <c r="O55" s="123">
        <f t="shared" si="1"/>
        <v>0.38596491228070173</v>
      </c>
    </row>
    <row r="56" spans="1:15" s="49" customFormat="1" ht="13.5" customHeight="1" x14ac:dyDescent="0.3">
      <c r="A56" s="56" t="s">
        <v>125</v>
      </c>
      <c r="B56" s="84" t="s">
        <v>126</v>
      </c>
      <c r="C56" s="57" t="s">
        <v>253</v>
      </c>
      <c r="D56" s="681">
        <v>1000</v>
      </c>
      <c r="E56" s="682">
        <v>846</v>
      </c>
      <c r="F56" s="683">
        <v>116</v>
      </c>
      <c r="G56" s="680">
        <v>38</v>
      </c>
      <c r="H56" s="681">
        <v>323</v>
      </c>
      <c r="I56" s="682">
        <v>224</v>
      </c>
      <c r="J56" s="683">
        <v>84</v>
      </c>
      <c r="K56" s="680">
        <v>15</v>
      </c>
      <c r="L56" s="121">
        <f t="shared" si="1"/>
        <v>0.32300000000000001</v>
      </c>
      <c r="M56" s="122">
        <f t="shared" si="1"/>
        <v>0.26477541371158392</v>
      </c>
      <c r="N56" s="122">
        <f t="shared" si="1"/>
        <v>0.72413793103448276</v>
      </c>
      <c r="O56" s="123">
        <f t="shared" si="1"/>
        <v>0.39473684210526316</v>
      </c>
    </row>
    <row r="57" spans="1:15" s="49" customFormat="1" ht="13.5" customHeight="1" x14ac:dyDescent="0.3">
      <c r="A57" s="56" t="s">
        <v>127</v>
      </c>
      <c r="B57" s="84" t="s">
        <v>128</v>
      </c>
      <c r="C57" s="57" t="s">
        <v>253</v>
      </c>
      <c r="D57" s="681">
        <v>428</v>
      </c>
      <c r="E57" s="682">
        <v>205</v>
      </c>
      <c r="F57" s="683">
        <v>208</v>
      </c>
      <c r="G57" s="680">
        <v>15</v>
      </c>
      <c r="H57" s="681">
        <v>257</v>
      </c>
      <c r="I57" s="682">
        <v>79</v>
      </c>
      <c r="J57" s="683">
        <v>172</v>
      </c>
      <c r="K57" s="680">
        <v>6</v>
      </c>
      <c r="L57" s="121">
        <f t="shared" si="1"/>
        <v>0.60046728971962615</v>
      </c>
      <c r="M57" s="122">
        <f t="shared" si="1"/>
        <v>0.38536585365853659</v>
      </c>
      <c r="N57" s="122">
        <f t="shared" si="1"/>
        <v>0.82692307692307687</v>
      </c>
      <c r="O57" s="123">
        <f t="shared" si="1"/>
        <v>0.4</v>
      </c>
    </row>
    <row r="58" spans="1:15" s="49" customFormat="1" ht="13.5" customHeight="1" x14ac:dyDescent="0.3">
      <c r="A58" s="56" t="s">
        <v>129</v>
      </c>
      <c r="B58" s="84" t="s">
        <v>130</v>
      </c>
      <c r="C58" s="57" t="s">
        <v>255</v>
      </c>
      <c r="D58" s="681">
        <v>1053</v>
      </c>
      <c r="E58" s="682">
        <v>1046</v>
      </c>
      <c r="F58" s="683">
        <v>1</v>
      </c>
      <c r="G58" s="680">
        <v>6</v>
      </c>
      <c r="H58" s="681">
        <v>411</v>
      </c>
      <c r="I58" s="682">
        <v>407</v>
      </c>
      <c r="J58" s="683">
        <v>1</v>
      </c>
      <c r="K58" s="680">
        <v>3</v>
      </c>
      <c r="L58" s="121">
        <f t="shared" si="1"/>
        <v>0.3903133903133903</v>
      </c>
      <c r="M58" s="122">
        <f t="shared" si="1"/>
        <v>0.38910133843212236</v>
      </c>
      <c r="N58" s="122">
        <f t="shared" si="1"/>
        <v>1</v>
      </c>
      <c r="O58" s="123">
        <f t="shared" si="1"/>
        <v>0.5</v>
      </c>
    </row>
    <row r="59" spans="1:15" s="49" customFormat="1" ht="13.5" customHeight="1" x14ac:dyDescent="0.3">
      <c r="A59" s="56" t="s">
        <v>131</v>
      </c>
      <c r="B59" s="84" t="s">
        <v>132</v>
      </c>
      <c r="C59" s="57" t="s">
        <v>254</v>
      </c>
      <c r="D59" s="681">
        <v>25785</v>
      </c>
      <c r="E59" s="682">
        <v>14555</v>
      </c>
      <c r="F59" s="683">
        <v>1892</v>
      </c>
      <c r="G59" s="680">
        <v>9338</v>
      </c>
      <c r="H59" s="681">
        <v>4011</v>
      </c>
      <c r="I59" s="682">
        <v>1469</v>
      </c>
      <c r="J59" s="683">
        <v>537</v>
      </c>
      <c r="K59" s="680">
        <v>2005</v>
      </c>
      <c r="L59" s="121">
        <f t="shared" si="1"/>
        <v>0.15555555555555556</v>
      </c>
      <c r="M59" s="122">
        <f t="shared" si="1"/>
        <v>0.1009275163174167</v>
      </c>
      <c r="N59" s="122">
        <f t="shared" si="1"/>
        <v>0.28382663847780126</v>
      </c>
      <c r="O59" s="123">
        <f t="shared" si="1"/>
        <v>0.21471407153566074</v>
      </c>
    </row>
    <row r="60" spans="1:15" s="49" customFormat="1" ht="13.5" customHeight="1" x14ac:dyDescent="0.3">
      <c r="A60" s="56" t="s">
        <v>133</v>
      </c>
      <c r="B60" s="84" t="s">
        <v>134</v>
      </c>
      <c r="C60" s="57" t="s">
        <v>254</v>
      </c>
      <c r="D60" s="681">
        <v>1861</v>
      </c>
      <c r="E60" s="682">
        <v>1559</v>
      </c>
      <c r="F60" s="683">
        <v>234</v>
      </c>
      <c r="G60" s="680">
        <v>68</v>
      </c>
      <c r="H60" s="681">
        <v>746</v>
      </c>
      <c r="I60" s="682">
        <v>544</v>
      </c>
      <c r="J60" s="683">
        <v>174</v>
      </c>
      <c r="K60" s="680">
        <v>28</v>
      </c>
      <c r="L60" s="121">
        <f t="shared" si="1"/>
        <v>0.40085975282106395</v>
      </c>
      <c r="M60" s="122">
        <f t="shared" si="1"/>
        <v>0.34894162924951894</v>
      </c>
      <c r="N60" s="122">
        <f t="shared" si="1"/>
        <v>0.74358974358974361</v>
      </c>
      <c r="O60" s="123">
        <f t="shared" si="1"/>
        <v>0.41176470588235292</v>
      </c>
    </row>
    <row r="61" spans="1:15" s="49" customFormat="1" ht="13.5" customHeight="1" x14ac:dyDescent="0.3">
      <c r="A61" s="56" t="s">
        <v>135</v>
      </c>
      <c r="B61" s="84" t="s">
        <v>136</v>
      </c>
      <c r="C61" s="57" t="s">
        <v>253</v>
      </c>
      <c r="D61" s="681">
        <v>559</v>
      </c>
      <c r="E61" s="682">
        <v>346</v>
      </c>
      <c r="F61" s="683">
        <v>183</v>
      </c>
      <c r="G61" s="680">
        <v>30</v>
      </c>
      <c r="H61" s="681">
        <v>338</v>
      </c>
      <c r="I61" s="682">
        <v>162</v>
      </c>
      <c r="J61" s="683">
        <v>155</v>
      </c>
      <c r="K61" s="680">
        <v>21</v>
      </c>
      <c r="L61" s="121">
        <f t="shared" si="1"/>
        <v>0.60465116279069764</v>
      </c>
      <c r="M61" s="122">
        <f t="shared" si="1"/>
        <v>0.46820809248554912</v>
      </c>
      <c r="N61" s="122">
        <f t="shared" si="1"/>
        <v>0.84699453551912574</v>
      </c>
      <c r="O61" s="123">
        <f t="shared" si="1"/>
        <v>0.7</v>
      </c>
    </row>
    <row r="62" spans="1:15" s="49" customFormat="1" ht="13.5" customHeight="1" x14ac:dyDescent="0.3">
      <c r="A62" s="56" t="s">
        <v>139</v>
      </c>
      <c r="B62" s="84" t="s">
        <v>140</v>
      </c>
      <c r="C62" s="57" t="s">
        <v>254</v>
      </c>
      <c r="D62" s="681">
        <v>677</v>
      </c>
      <c r="E62" s="682">
        <v>608</v>
      </c>
      <c r="F62" s="683">
        <v>47</v>
      </c>
      <c r="G62" s="680">
        <v>22</v>
      </c>
      <c r="H62" s="681">
        <v>239</v>
      </c>
      <c r="I62" s="682">
        <v>194</v>
      </c>
      <c r="J62" s="683">
        <v>35</v>
      </c>
      <c r="K62" s="680">
        <v>10</v>
      </c>
      <c r="L62" s="121">
        <f t="shared" si="1"/>
        <v>0.35302806499261447</v>
      </c>
      <c r="M62" s="122">
        <f t="shared" si="1"/>
        <v>0.31907894736842107</v>
      </c>
      <c r="N62" s="122">
        <f t="shared" si="1"/>
        <v>0.74468085106382975</v>
      </c>
      <c r="O62" s="123">
        <f t="shared" si="1"/>
        <v>0.45454545454545453</v>
      </c>
    </row>
    <row r="63" spans="1:15" s="49" customFormat="1" ht="13.5" customHeight="1" x14ac:dyDescent="0.3">
      <c r="A63" s="56" t="s">
        <v>145</v>
      </c>
      <c r="B63" s="84" t="s">
        <v>146</v>
      </c>
      <c r="C63" s="57" t="s">
        <v>251</v>
      </c>
      <c r="D63" s="681">
        <v>302</v>
      </c>
      <c r="E63" s="682">
        <v>268</v>
      </c>
      <c r="F63" s="683">
        <v>22</v>
      </c>
      <c r="G63" s="680">
        <v>12</v>
      </c>
      <c r="H63" s="681">
        <v>107</v>
      </c>
      <c r="I63" s="682">
        <v>88</v>
      </c>
      <c r="J63" s="683">
        <v>14</v>
      </c>
      <c r="K63" s="680">
        <v>5</v>
      </c>
      <c r="L63" s="121">
        <f t="shared" si="1"/>
        <v>0.35430463576158938</v>
      </c>
      <c r="M63" s="122">
        <f t="shared" si="1"/>
        <v>0.32835820895522388</v>
      </c>
      <c r="N63" s="122">
        <f t="shared" si="1"/>
        <v>0.63636363636363635</v>
      </c>
      <c r="O63" s="123">
        <f t="shared" si="1"/>
        <v>0.41666666666666669</v>
      </c>
    </row>
    <row r="64" spans="1:15" s="49" customFormat="1" ht="13.5" customHeight="1" x14ac:dyDescent="0.3">
      <c r="A64" s="56" t="s">
        <v>147</v>
      </c>
      <c r="B64" s="84" t="s">
        <v>148</v>
      </c>
      <c r="C64" s="57" t="s">
        <v>252</v>
      </c>
      <c r="D64" s="681">
        <v>1515</v>
      </c>
      <c r="E64" s="682">
        <v>839</v>
      </c>
      <c r="F64" s="683">
        <v>621</v>
      </c>
      <c r="G64" s="680">
        <v>55</v>
      </c>
      <c r="H64" s="681">
        <v>833</v>
      </c>
      <c r="I64" s="682">
        <v>328</v>
      </c>
      <c r="J64" s="683">
        <v>487</v>
      </c>
      <c r="K64" s="680">
        <v>18</v>
      </c>
      <c r="L64" s="121">
        <f t="shared" si="1"/>
        <v>0.54983498349834981</v>
      </c>
      <c r="M64" s="122">
        <f t="shared" si="1"/>
        <v>0.3909415971394517</v>
      </c>
      <c r="N64" s="122">
        <f t="shared" si="1"/>
        <v>0.784219001610306</v>
      </c>
      <c r="O64" s="123">
        <f t="shared" si="1"/>
        <v>0.32727272727272727</v>
      </c>
    </row>
    <row r="65" spans="1:15" s="49" customFormat="1" ht="13.5" customHeight="1" x14ac:dyDescent="0.3">
      <c r="A65" s="56" t="s">
        <v>149</v>
      </c>
      <c r="B65" s="84" t="s">
        <v>150</v>
      </c>
      <c r="C65" s="57" t="s">
        <v>253</v>
      </c>
      <c r="D65" s="681">
        <v>445</v>
      </c>
      <c r="E65" s="682">
        <v>355</v>
      </c>
      <c r="F65" s="683">
        <v>67</v>
      </c>
      <c r="G65" s="680">
        <v>23</v>
      </c>
      <c r="H65" s="681">
        <v>223</v>
      </c>
      <c r="I65" s="682">
        <v>156</v>
      </c>
      <c r="J65" s="683">
        <v>52</v>
      </c>
      <c r="K65" s="680">
        <v>15</v>
      </c>
      <c r="L65" s="121">
        <f t="shared" si="1"/>
        <v>0.50112359550561802</v>
      </c>
      <c r="M65" s="122">
        <f t="shared" si="1"/>
        <v>0.43943661971830988</v>
      </c>
      <c r="N65" s="122">
        <f t="shared" si="1"/>
        <v>0.77611940298507465</v>
      </c>
      <c r="O65" s="123">
        <f t="shared" si="1"/>
        <v>0.65217391304347827</v>
      </c>
    </row>
    <row r="66" spans="1:15" s="49" customFormat="1" ht="13.5" customHeight="1" x14ac:dyDescent="0.3">
      <c r="A66" s="56" t="s">
        <v>151</v>
      </c>
      <c r="B66" s="84" t="s">
        <v>152</v>
      </c>
      <c r="C66" s="57" t="s">
        <v>255</v>
      </c>
      <c r="D66" s="681">
        <v>4075</v>
      </c>
      <c r="E66" s="682">
        <v>3556</v>
      </c>
      <c r="F66" s="683">
        <v>168</v>
      </c>
      <c r="G66" s="680">
        <v>351</v>
      </c>
      <c r="H66" s="681">
        <v>1080</v>
      </c>
      <c r="I66" s="682">
        <v>954</v>
      </c>
      <c r="J66" s="683">
        <v>99</v>
      </c>
      <c r="K66" s="680">
        <v>27</v>
      </c>
      <c r="L66" s="121">
        <f t="shared" si="1"/>
        <v>0.26503067484662579</v>
      </c>
      <c r="M66" s="122">
        <f t="shared" si="1"/>
        <v>0.26827896512935884</v>
      </c>
      <c r="N66" s="122">
        <f t="shared" si="1"/>
        <v>0.5892857142857143</v>
      </c>
      <c r="O66" s="123">
        <f t="shared" si="1"/>
        <v>7.6923076923076927E-2</v>
      </c>
    </row>
    <row r="67" spans="1:15" s="49" customFormat="1" ht="13.5" customHeight="1" x14ac:dyDescent="0.3">
      <c r="A67" s="56" t="s">
        <v>153</v>
      </c>
      <c r="B67" s="84" t="s">
        <v>154</v>
      </c>
      <c r="C67" s="57" t="s">
        <v>252</v>
      </c>
      <c r="D67" s="681">
        <v>662</v>
      </c>
      <c r="E67" s="682">
        <v>555</v>
      </c>
      <c r="F67" s="683">
        <v>68</v>
      </c>
      <c r="G67" s="680">
        <v>39</v>
      </c>
      <c r="H67" s="681">
        <v>272</v>
      </c>
      <c r="I67" s="682">
        <v>203</v>
      </c>
      <c r="J67" s="683">
        <v>54</v>
      </c>
      <c r="K67" s="680">
        <v>15</v>
      </c>
      <c r="L67" s="121">
        <f t="shared" si="1"/>
        <v>0.41087613293051362</v>
      </c>
      <c r="M67" s="122">
        <f t="shared" si="1"/>
        <v>0.36576576576576575</v>
      </c>
      <c r="N67" s="122">
        <f t="shared" si="1"/>
        <v>0.79411764705882348</v>
      </c>
      <c r="O67" s="123">
        <f t="shared" si="1"/>
        <v>0.38461538461538464</v>
      </c>
    </row>
    <row r="68" spans="1:15" s="49" customFormat="1" ht="13.5" customHeight="1" x14ac:dyDescent="0.3">
      <c r="A68" s="56" t="s">
        <v>155</v>
      </c>
      <c r="B68" s="84" t="s">
        <v>156</v>
      </c>
      <c r="C68" s="57" t="s">
        <v>253</v>
      </c>
      <c r="D68" s="681">
        <v>1067</v>
      </c>
      <c r="E68" s="682">
        <v>923</v>
      </c>
      <c r="F68" s="683">
        <v>91</v>
      </c>
      <c r="G68" s="680">
        <v>53</v>
      </c>
      <c r="H68" s="681">
        <v>279</v>
      </c>
      <c r="I68" s="682">
        <v>211</v>
      </c>
      <c r="J68" s="683">
        <v>52</v>
      </c>
      <c r="K68" s="680">
        <v>16</v>
      </c>
      <c r="L68" s="121">
        <f t="shared" si="1"/>
        <v>0.2614807872539831</v>
      </c>
      <c r="M68" s="122">
        <f t="shared" si="1"/>
        <v>0.228602383531961</v>
      </c>
      <c r="N68" s="122">
        <f t="shared" si="1"/>
        <v>0.5714285714285714</v>
      </c>
      <c r="O68" s="123">
        <f t="shared" si="1"/>
        <v>0.30188679245283018</v>
      </c>
    </row>
    <row r="69" spans="1:15" s="49" customFormat="1" ht="13.5" customHeight="1" x14ac:dyDescent="0.3">
      <c r="A69" s="56" t="s">
        <v>161</v>
      </c>
      <c r="B69" s="84" t="s">
        <v>162</v>
      </c>
      <c r="C69" s="57" t="s">
        <v>251</v>
      </c>
      <c r="D69" s="681">
        <v>590</v>
      </c>
      <c r="E69" s="682">
        <v>323</v>
      </c>
      <c r="F69" s="683">
        <v>244</v>
      </c>
      <c r="G69" s="680">
        <v>23</v>
      </c>
      <c r="H69" s="681">
        <v>350</v>
      </c>
      <c r="I69" s="682">
        <v>138</v>
      </c>
      <c r="J69" s="683">
        <v>204</v>
      </c>
      <c r="K69" s="680">
        <v>8</v>
      </c>
      <c r="L69" s="121">
        <f t="shared" si="1"/>
        <v>0.59322033898305082</v>
      </c>
      <c r="M69" s="122">
        <f t="shared" si="1"/>
        <v>0.42724458204334365</v>
      </c>
      <c r="N69" s="122">
        <f t="shared" si="1"/>
        <v>0.83606557377049184</v>
      </c>
      <c r="O69" s="123">
        <f t="shared" si="1"/>
        <v>0.34782608695652173</v>
      </c>
    </row>
    <row r="70" spans="1:15" s="49" customFormat="1" ht="13.5" customHeight="1" x14ac:dyDescent="0.3">
      <c r="A70" s="56" t="s">
        <v>163</v>
      </c>
      <c r="B70" s="84" t="s">
        <v>164</v>
      </c>
      <c r="C70" s="57" t="s">
        <v>253</v>
      </c>
      <c r="D70" s="681">
        <v>427</v>
      </c>
      <c r="E70" s="682">
        <v>247</v>
      </c>
      <c r="F70" s="683">
        <v>167</v>
      </c>
      <c r="G70" s="680">
        <v>13</v>
      </c>
      <c r="H70" s="681">
        <v>249</v>
      </c>
      <c r="I70" s="682">
        <v>104</v>
      </c>
      <c r="J70" s="683">
        <v>137</v>
      </c>
      <c r="K70" s="680">
        <v>8</v>
      </c>
      <c r="L70" s="121">
        <f t="shared" si="1"/>
        <v>0.58313817330210771</v>
      </c>
      <c r="M70" s="122">
        <f t="shared" si="1"/>
        <v>0.42105263157894735</v>
      </c>
      <c r="N70" s="122">
        <f t="shared" si="1"/>
        <v>0.82035928143712578</v>
      </c>
      <c r="O70" s="123">
        <f t="shared" si="1"/>
        <v>0.61538461538461542</v>
      </c>
    </row>
    <row r="71" spans="1:15" s="49" customFormat="1" ht="13.5" customHeight="1" x14ac:dyDescent="0.3">
      <c r="A71" s="56" t="s">
        <v>167</v>
      </c>
      <c r="B71" s="84" t="s">
        <v>168</v>
      </c>
      <c r="C71" s="57" t="s">
        <v>253</v>
      </c>
      <c r="D71" s="681">
        <v>786</v>
      </c>
      <c r="E71" s="682">
        <v>477</v>
      </c>
      <c r="F71" s="683">
        <v>288</v>
      </c>
      <c r="G71" s="680">
        <v>21</v>
      </c>
      <c r="H71" s="681">
        <v>436</v>
      </c>
      <c r="I71" s="682">
        <v>196</v>
      </c>
      <c r="J71" s="683">
        <v>228</v>
      </c>
      <c r="K71" s="680">
        <v>12</v>
      </c>
      <c r="L71" s="121">
        <f t="shared" ref="L71:O102" si="2">IF(D71=0,"NA",(H71/D71))</f>
        <v>0.55470737913486001</v>
      </c>
      <c r="M71" s="122">
        <f t="shared" si="2"/>
        <v>0.41090146750524109</v>
      </c>
      <c r="N71" s="122">
        <f t="shared" si="2"/>
        <v>0.79166666666666663</v>
      </c>
      <c r="O71" s="123">
        <f t="shared" si="2"/>
        <v>0.5714285714285714</v>
      </c>
    </row>
    <row r="72" spans="1:15" s="49" customFormat="1" ht="13.5" customHeight="1" x14ac:dyDescent="0.3">
      <c r="A72" s="56" t="s">
        <v>169</v>
      </c>
      <c r="B72" s="84" t="s">
        <v>170</v>
      </c>
      <c r="C72" s="57" t="s">
        <v>254</v>
      </c>
      <c r="D72" s="681">
        <v>2007</v>
      </c>
      <c r="E72" s="682">
        <v>1621</v>
      </c>
      <c r="F72" s="683">
        <v>266</v>
      </c>
      <c r="G72" s="680">
        <v>120</v>
      </c>
      <c r="H72" s="681">
        <v>835</v>
      </c>
      <c r="I72" s="682">
        <v>598</v>
      </c>
      <c r="J72" s="683">
        <v>183</v>
      </c>
      <c r="K72" s="680">
        <v>54</v>
      </c>
      <c r="L72" s="121">
        <f t="shared" si="2"/>
        <v>0.41604384653712007</v>
      </c>
      <c r="M72" s="122">
        <f t="shared" si="2"/>
        <v>0.36890808143121528</v>
      </c>
      <c r="N72" s="122">
        <f t="shared" si="2"/>
        <v>0.68796992481203012</v>
      </c>
      <c r="O72" s="123">
        <f t="shared" si="2"/>
        <v>0.45</v>
      </c>
    </row>
    <row r="73" spans="1:15" s="49" customFormat="1" ht="13.5" customHeight="1" x14ac:dyDescent="0.3">
      <c r="A73" s="56" t="s">
        <v>171</v>
      </c>
      <c r="B73" s="84" t="s">
        <v>172</v>
      </c>
      <c r="C73" s="57" t="s">
        <v>254</v>
      </c>
      <c r="D73" s="681">
        <v>1237</v>
      </c>
      <c r="E73" s="682">
        <v>1184</v>
      </c>
      <c r="F73" s="683">
        <v>28</v>
      </c>
      <c r="G73" s="680">
        <v>25</v>
      </c>
      <c r="H73" s="681">
        <v>598</v>
      </c>
      <c r="I73" s="682">
        <v>569</v>
      </c>
      <c r="J73" s="683">
        <v>20</v>
      </c>
      <c r="K73" s="680">
        <v>9</v>
      </c>
      <c r="L73" s="121">
        <f t="shared" si="2"/>
        <v>0.4834276475343573</v>
      </c>
      <c r="M73" s="122">
        <f t="shared" si="2"/>
        <v>0.48057432432432434</v>
      </c>
      <c r="N73" s="122">
        <f t="shared" si="2"/>
        <v>0.7142857142857143</v>
      </c>
      <c r="O73" s="123">
        <f t="shared" si="2"/>
        <v>0.36</v>
      </c>
    </row>
    <row r="74" spans="1:15" s="49" customFormat="1" ht="13.5" customHeight="1" x14ac:dyDescent="0.3">
      <c r="A74" s="56" t="s">
        <v>173</v>
      </c>
      <c r="B74" s="84" t="s">
        <v>174</v>
      </c>
      <c r="C74" s="57" t="s">
        <v>255</v>
      </c>
      <c r="D74" s="681">
        <v>683</v>
      </c>
      <c r="E74" s="682">
        <v>640</v>
      </c>
      <c r="F74" s="683">
        <v>23</v>
      </c>
      <c r="G74" s="680">
        <v>20</v>
      </c>
      <c r="H74" s="681">
        <v>232</v>
      </c>
      <c r="I74" s="682">
        <v>210</v>
      </c>
      <c r="J74" s="683">
        <v>14</v>
      </c>
      <c r="K74" s="680">
        <v>8</v>
      </c>
      <c r="L74" s="121">
        <f t="shared" si="2"/>
        <v>0.3396778916544656</v>
      </c>
      <c r="M74" s="122">
        <f t="shared" si="2"/>
        <v>0.328125</v>
      </c>
      <c r="N74" s="122">
        <f t="shared" si="2"/>
        <v>0.60869565217391308</v>
      </c>
      <c r="O74" s="123">
        <f t="shared" si="2"/>
        <v>0.4</v>
      </c>
    </row>
    <row r="75" spans="1:15" s="49" customFormat="1" ht="13.5" customHeight="1" x14ac:dyDescent="0.3">
      <c r="A75" s="56" t="s">
        <v>177</v>
      </c>
      <c r="B75" s="84" t="s">
        <v>178</v>
      </c>
      <c r="C75" s="57" t="s">
        <v>252</v>
      </c>
      <c r="D75" s="681">
        <v>2462</v>
      </c>
      <c r="E75" s="682">
        <v>1867</v>
      </c>
      <c r="F75" s="683">
        <v>496</v>
      </c>
      <c r="G75" s="680">
        <v>99</v>
      </c>
      <c r="H75" s="681">
        <v>1119</v>
      </c>
      <c r="I75" s="682">
        <v>681</v>
      </c>
      <c r="J75" s="683">
        <v>380</v>
      </c>
      <c r="K75" s="680">
        <v>58</v>
      </c>
      <c r="L75" s="121">
        <f t="shared" si="2"/>
        <v>0.4545085296506905</v>
      </c>
      <c r="M75" s="122">
        <f t="shared" si="2"/>
        <v>0.36475629351901445</v>
      </c>
      <c r="N75" s="122">
        <f t="shared" si="2"/>
        <v>0.7661290322580645</v>
      </c>
      <c r="O75" s="123">
        <f t="shared" si="2"/>
        <v>0.58585858585858586</v>
      </c>
    </row>
    <row r="76" spans="1:15" s="49" customFormat="1" ht="13.5" customHeight="1" x14ac:dyDescent="0.3">
      <c r="A76" s="56" t="s">
        <v>181</v>
      </c>
      <c r="B76" s="84" t="s">
        <v>182</v>
      </c>
      <c r="C76" s="57" t="s">
        <v>253</v>
      </c>
      <c r="D76" s="681">
        <v>1210</v>
      </c>
      <c r="E76" s="682">
        <v>1130</v>
      </c>
      <c r="F76" s="683">
        <v>41</v>
      </c>
      <c r="G76" s="680">
        <v>39</v>
      </c>
      <c r="H76" s="681">
        <v>288</v>
      </c>
      <c r="I76" s="682">
        <v>251</v>
      </c>
      <c r="J76" s="683">
        <v>23</v>
      </c>
      <c r="K76" s="680">
        <v>14</v>
      </c>
      <c r="L76" s="121">
        <f t="shared" si="2"/>
        <v>0.23801652892561984</v>
      </c>
      <c r="M76" s="122">
        <f t="shared" si="2"/>
        <v>0.22212389380530972</v>
      </c>
      <c r="N76" s="122">
        <f t="shared" si="2"/>
        <v>0.56097560975609762</v>
      </c>
      <c r="O76" s="123">
        <f t="shared" si="2"/>
        <v>0.35897435897435898</v>
      </c>
    </row>
    <row r="77" spans="1:15" s="49" customFormat="1" ht="13.5" customHeight="1" x14ac:dyDescent="0.3">
      <c r="A77" s="56" t="s">
        <v>183</v>
      </c>
      <c r="B77" s="84" t="s">
        <v>184</v>
      </c>
      <c r="C77" s="57" t="s">
        <v>253</v>
      </c>
      <c r="D77" s="681">
        <v>1142</v>
      </c>
      <c r="E77" s="682">
        <v>679</v>
      </c>
      <c r="F77" s="683">
        <v>434</v>
      </c>
      <c r="G77" s="680">
        <v>29</v>
      </c>
      <c r="H77" s="681">
        <v>566</v>
      </c>
      <c r="I77" s="682">
        <v>208</v>
      </c>
      <c r="J77" s="683">
        <v>347</v>
      </c>
      <c r="K77" s="680">
        <v>11</v>
      </c>
      <c r="L77" s="121">
        <f t="shared" si="2"/>
        <v>0.49562171628721541</v>
      </c>
      <c r="M77" s="122">
        <f t="shared" si="2"/>
        <v>0.30633284241531666</v>
      </c>
      <c r="N77" s="122">
        <f t="shared" si="2"/>
        <v>0.79953917050691248</v>
      </c>
      <c r="O77" s="123">
        <f t="shared" si="2"/>
        <v>0.37931034482758619</v>
      </c>
    </row>
    <row r="78" spans="1:15" s="49" customFormat="1" ht="13.5" customHeight="1" x14ac:dyDescent="0.3">
      <c r="A78" s="56" t="s">
        <v>185</v>
      </c>
      <c r="B78" s="84" t="s">
        <v>186</v>
      </c>
      <c r="C78" s="57" t="s">
        <v>251</v>
      </c>
      <c r="D78" s="681">
        <v>1771</v>
      </c>
      <c r="E78" s="682">
        <v>1132</v>
      </c>
      <c r="F78" s="683">
        <v>492</v>
      </c>
      <c r="G78" s="680">
        <v>147</v>
      </c>
      <c r="H78" s="681">
        <v>569</v>
      </c>
      <c r="I78" s="682">
        <v>265</v>
      </c>
      <c r="J78" s="683">
        <v>268</v>
      </c>
      <c r="K78" s="680">
        <v>36</v>
      </c>
      <c r="L78" s="121">
        <f t="shared" si="2"/>
        <v>0.32128740824392998</v>
      </c>
      <c r="M78" s="122">
        <f t="shared" si="2"/>
        <v>0.23409893992932862</v>
      </c>
      <c r="N78" s="122">
        <f t="shared" si="2"/>
        <v>0.54471544715447151</v>
      </c>
      <c r="O78" s="123">
        <f t="shared" si="2"/>
        <v>0.24489795918367346</v>
      </c>
    </row>
    <row r="79" spans="1:15" s="49" customFormat="1" ht="13.5" customHeight="1" x14ac:dyDescent="0.3">
      <c r="A79" s="56" t="s">
        <v>187</v>
      </c>
      <c r="B79" s="84" t="s">
        <v>188</v>
      </c>
      <c r="C79" s="57" t="s">
        <v>254</v>
      </c>
      <c r="D79" s="681">
        <v>32710</v>
      </c>
      <c r="E79" s="682">
        <v>16851</v>
      </c>
      <c r="F79" s="683">
        <v>6940</v>
      </c>
      <c r="G79" s="680">
        <v>8919</v>
      </c>
      <c r="H79" s="681">
        <v>10029</v>
      </c>
      <c r="I79" s="682">
        <v>4176</v>
      </c>
      <c r="J79" s="683">
        <v>3127</v>
      </c>
      <c r="K79" s="680">
        <v>2726</v>
      </c>
      <c r="L79" s="121">
        <f t="shared" si="2"/>
        <v>0.30660348517273006</v>
      </c>
      <c r="M79" s="122">
        <f t="shared" si="2"/>
        <v>0.24781912052697169</v>
      </c>
      <c r="N79" s="122">
        <f t="shared" si="2"/>
        <v>0.45057636887608071</v>
      </c>
      <c r="O79" s="123">
        <f t="shared" si="2"/>
        <v>0.30563964570019059</v>
      </c>
    </row>
    <row r="80" spans="1:15" s="49" customFormat="1" ht="13.5" customHeight="1" x14ac:dyDescent="0.3">
      <c r="A80" s="56" t="s">
        <v>189</v>
      </c>
      <c r="B80" s="84" t="s">
        <v>190</v>
      </c>
      <c r="C80" s="57" t="s">
        <v>255</v>
      </c>
      <c r="D80" s="681">
        <v>1538</v>
      </c>
      <c r="E80" s="682">
        <v>1437</v>
      </c>
      <c r="F80" s="683">
        <v>78</v>
      </c>
      <c r="G80" s="680">
        <v>23</v>
      </c>
      <c r="H80" s="681">
        <v>745</v>
      </c>
      <c r="I80" s="682">
        <v>671</v>
      </c>
      <c r="J80" s="683">
        <v>67</v>
      </c>
      <c r="K80" s="680">
        <v>7</v>
      </c>
      <c r="L80" s="121">
        <f t="shared" si="2"/>
        <v>0.48439531859557866</v>
      </c>
      <c r="M80" s="122">
        <f t="shared" si="2"/>
        <v>0.46694502435629787</v>
      </c>
      <c r="N80" s="122">
        <f t="shared" si="2"/>
        <v>0.85897435897435892</v>
      </c>
      <c r="O80" s="123">
        <f t="shared" si="2"/>
        <v>0.30434782608695654</v>
      </c>
    </row>
    <row r="81" spans="1:15" s="49" customFormat="1" ht="13.5" customHeight="1" x14ac:dyDescent="0.3">
      <c r="A81" s="56" t="s">
        <v>193</v>
      </c>
      <c r="B81" s="84" t="s">
        <v>194</v>
      </c>
      <c r="C81" s="57" t="s">
        <v>254</v>
      </c>
      <c r="D81" s="681">
        <v>261</v>
      </c>
      <c r="E81" s="682">
        <v>254</v>
      </c>
      <c r="F81" s="683">
        <v>6</v>
      </c>
      <c r="G81" s="680">
        <v>1</v>
      </c>
      <c r="H81" s="681">
        <v>96</v>
      </c>
      <c r="I81" s="682">
        <v>92</v>
      </c>
      <c r="J81" s="683">
        <v>4</v>
      </c>
      <c r="K81" s="680">
        <v>0</v>
      </c>
      <c r="L81" s="121">
        <f t="shared" si="2"/>
        <v>0.36781609195402298</v>
      </c>
      <c r="M81" s="122">
        <f t="shared" si="2"/>
        <v>0.36220472440944884</v>
      </c>
      <c r="N81" s="122">
        <f t="shared" si="2"/>
        <v>0.66666666666666663</v>
      </c>
      <c r="O81" s="123">
        <f t="shared" si="2"/>
        <v>0</v>
      </c>
    </row>
    <row r="82" spans="1:15" s="49" customFormat="1" ht="13.5" customHeight="1" x14ac:dyDescent="0.3">
      <c r="A82" s="56" t="s">
        <v>197</v>
      </c>
      <c r="B82" s="84" t="s">
        <v>259</v>
      </c>
      <c r="C82" s="57" t="s">
        <v>253</v>
      </c>
      <c r="D82" s="681">
        <v>386</v>
      </c>
      <c r="E82" s="682">
        <v>247</v>
      </c>
      <c r="F82" s="683">
        <v>107</v>
      </c>
      <c r="G82" s="680">
        <v>32</v>
      </c>
      <c r="H82" s="681">
        <v>191</v>
      </c>
      <c r="I82" s="682">
        <v>92</v>
      </c>
      <c r="J82" s="683">
        <v>91</v>
      </c>
      <c r="K82" s="680">
        <v>8</v>
      </c>
      <c r="L82" s="121">
        <f t="shared" si="2"/>
        <v>0.49481865284974091</v>
      </c>
      <c r="M82" s="122">
        <f t="shared" si="2"/>
        <v>0.37246963562753038</v>
      </c>
      <c r="N82" s="122">
        <f t="shared" si="2"/>
        <v>0.85046728971962615</v>
      </c>
      <c r="O82" s="123">
        <f t="shared" si="2"/>
        <v>0.25</v>
      </c>
    </row>
    <row r="83" spans="1:15" s="49" customFormat="1" ht="13.5" customHeight="1" x14ac:dyDescent="0.3">
      <c r="A83" s="56" t="s">
        <v>201</v>
      </c>
      <c r="B83" s="84" t="s">
        <v>276</v>
      </c>
      <c r="C83" s="57" t="s">
        <v>252</v>
      </c>
      <c r="D83" s="681">
        <v>5081</v>
      </c>
      <c r="E83" s="682">
        <v>4376</v>
      </c>
      <c r="F83" s="683">
        <v>403</v>
      </c>
      <c r="G83" s="680">
        <v>302</v>
      </c>
      <c r="H83" s="681">
        <v>1577</v>
      </c>
      <c r="I83" s="682">
        <v>1268</v>
      </c>
      <c r="J83" s="683">
        <v>246</v>
      </c>
      <c r="K83" s="680">
        <v>63</v>
      </c>
      <c r="L83" s="121">
        <f t="shared" si="2"/>
        <v>0.31037197402086203</v>
      </c>
      <c r="M83" s="122">
        <f t="shared" si="2"/>
        <v>0.28976234003656309</v>
      </c>
      <c r="N83" s="122">
        <f t="shared" si="2"/>
        <v>0.61042183622828783</v>
      </c>
      <c r="O83" s="123">
        <f t="shared" si="2"/>
        <v>0.20860927152317882</v>
      </c>
    </row>
    <row r="84" spans="1:15" s="49" customFormat="1" ht="13.5" customHeight="1" x14ac:dyDescent="0.3">
      <c r="A84" s="56" t="s">
        <v>203</v>
      </c>
      <c r="B84" s="84" t="s">
        <v>269</v>
      </c>
      <c r="C84" s="57" t="s">
        <v>252</v>
      </c>
      <c r="D84" s="681">
        <v>1591</v>
      </c>
      <c r="E84" s="682">
        <v>1494</v>
      </c>
      <c r="F84" s="683">
        <v>54</v>
      </c>
      <c r="G84" s="680">
        <v>43</v>
      </c>
      <c r="H84" s="681">
        <v>649</v>
      </c>
      <c r="I84" s="682">
        <v>606</v>
      </c>
      <c r="J84" s="683">
        <v>35</v>
      </c>
      <c r="K84" s="680">
        <v>8</v>
      </c>
      <c r="L84" s="121">
        <f t="shared" si="2"/>
        <v>0.40791954745443115</v>
      </c>
      <c r="M84" s="122">
        <f t="shared" si="2"/>
        <v>0.40562248995983935</v>
      </c>
      <c r="N84" s="122">
        <f t="shared" si="2"/>
        <v>0.64814814814814814</v>
      </c>
      <c r="O84" s="123">
        <f t="shared" si="2"/>
        <v>0.18604651162790697</v>
      </c>
    </row>
    <row r="85" spans="1:15" s="49" customFormat="1" ht="13.5" customHeight="1" x14ac:dyDescent="0.3">
      <c r="A85" s="56" t="s">
        <v>205</v>
      </c>
      <c r="B85" s="84" t="s">
        <v>270</v>
      </c>
      <c r="C85" s="57" t="s">
        <v>254</v>
      </c>
      <c r="D85" s="681">
        <v>7495</v>
      </c>
      <c r="E85" s="682">
        <v>6063</v>
      </c>
      <c r="F85" s="683">
        <v>429</v>
      </c>
      <c r="G85" s="680">
        <v>1003</v>
      </c>
      <c r="H85" s="681">
        <v>2614</v>
      </c>
      <c r="I85" s="682">
        <v>1870</v>
      </c>
      <c r="J85" s="683">
        <v>228</v>
      </c>
      <c r="K85" s="680">
        <v>516</v>
      </c>
      <c r="L85" s="121">
        <f t="shared" si="2"/>
        <v>0.34876584389593063</v>
      </c>
      <c r="M85" s="122">
        <f t="shared" si="2"/>
        <v>0.30842817087250535</v>
      </c>
      <c r="N85" s="122">
        <f t="shared" si="2"/>
        <v>0.53146853146853146</v>
      </c>
      <c r="O85" s="123">
        <f t="shared" si="2"/>
        <v>0.51445663010967102</v>
      </c>
    </row>
    <row r="86" spans="1:15" s="49" customFormat="1" ht="13.5" customHeight="1" x14ac:dyDescent="0.3">
      <c r="A86" s="56" t="s">
        <v>207</v>
      </c>
      <c r="B86" s="84" t="s">
        <v>208</v>
      </c>
      <c r="C86" s="57" t="s">
        <v>255</v>
      </c>
      <c r="D86" s="681">
        <v>1267</v>
      </c>
      <c r="E86" s="682">
        <v>1249</v>
      </c>
      <c r="F86" s="683">
        <v>8</v>
      </c>
      <c r="G86" s="680">
        <v>10</v>
      </c>
      <c r="H86" s="681">
        <v>426</v>
      </c>
      <c r="I86" s="682">
        <v>422</v>
      </c>
      <c r="J86" s="683">
        <v>4</v>
      </c>
      <c r="K86" s="680">
        <v>0</v>
      </c>
      <c r="L86" s="121">
        <f t="shared" si="2"/>
        <v>0.33622730860299921</v>
      </c>
      <c r="M86" s="122">
        <f t="shared" si="2"/>
        <v>0.33787029623698961</v>
      </c>
      <c r="N86" s="122">
        <f t="shared" si="2"/>
        <v>0.5</v>
      </c>
      <c r="O86" s="123">
        <f t="shared" si="2"/>
        <v>0</v>
      </c>
    </row>
    <row r="87" spans="1:15" s="49" customFormat="1" ht="13.5" customHeight="1" x14ac:dyDescent="0.3">
      <c r="A87" s="56" t="s">
        <v>209</v>
      </c>
      <c r="B87" s="84" t="s">
        <v>210</v>
      </c>
      <c r="C87" s="57" t="s">
        <v>255</v>
      </c>
      <c r="D87" s="681">
        <v>852</v>
      </c>
      <c r="E87" s="682">
        <v>841</v>
      </c>
      <c r="F87" s="683">
        <v>4</v>
      </c>
      <c r="G87" s="680">
        <v>7</v>
      </c>
      <c r="H87" s="681">
        <v>252</v>
      </c>
      <c r="I87" s="682">
        <v>249</v>
      </c>
      <c r="J87" s="683">
        <v>1</v>
      </c>
      <c r="K87" s="680">
        <v>2</v>
      </c>
      <c r="L87" s="121">
        <f t="shared" si="2"/>
        <v>0.29577464788732394</v>
      </c>
      <c r="M87" s="122">
        <f t="shared" si="2"/>
        <v>0.29607609988109396</v>
      </c>
      <c r="N87" s="122">
        <f t="shared" si="2"/>
        <v>0.25</v>
      </c>
      <c r="O87" s="123">
        <f t="shared" si="2"/>
        <v>0.2857142857142857</v>
      </c>
    </row>
    <row r="88" spans="1:15" s="49" customFormat="1" ht="13.5" customHeight="1" x14ac:dyDescent="0.3">
      <c r="A88" s="56" t="s">
        <v>211</v>
      </c>
      <c r="B88" s="84" t="s">
        <v>212</v>
      </c>
      <c r="C88" s="57" t="s">
        <v>254</v>
      </c>
      <c r="D88" s="681">
        <v>2342</v>
      </c>
      <c r="E88" s="682">
        <v>2177</v>
      </c>
      <c r="F88" s="683">
        <v>72</v>
      </c>
      <c r="G88" s="680">
        <v>93</v>
      </c>
      <c r="H88" s="681">
        <v>973</v>
      </c>
      <c r="I88" s="682">
        <v>888</v>
      </c>
      <c r="J88" s="683">
        <v>46</v>
      </c>
      <c r="K88" s="680">
        <v>39</v>
      </c>
      <c r="L88" s="121">
        <f t="shared" si="2"/>
        <v>0.41545687446626817</v>
      </c>
      <c r="M88" s="122">
        <f t="shared" si="2"/>
        <v>0.40790078089113457</v>
      </c>
      <c r="N88" s="122">
        <f t="shared" si="2"/>
        <v>0.63888888888888884</v>
      </c>
      <c r="O88" s="123">
        <f t="shared" si="2"/>
        <v>0.41935483870967744</v>
      </c>
    </row>
    <row r="89" spans="1:15" s="49" customFormat="1" ht="13.5" customHeight="1" x14ac:dyDescent="0.3">
      <c r="A89" s="56" t="s">
        <v>213</v>
      </c>
      <c r="B89" s="84" t="s">
        <v>214</v>
      </c>
      <c r="C89" s="57" t="s">
        <v>255</v>
      </c>
      <c r="D89" s="681">
        <v>1404</v>
      </c>
      <c r="E89" s="682">
        <v>1353</v>
      </c>
      <c r="F89" s="683">
        <v>21</v>
      </c>
      <c r="G89" s="680">
        <v>30</v>
      </c>
      <c r="H89" s="681">
        <v>594</v>
      </c>
      <c r="I89" s="682">
        <v>571</v>
      </c>
      <c r="J89" s="683">
        <v>9</v>
      </c>
      <c r="K89" s="680">
        <v>14</v>
      </c>
      <c r="L89" s="121">
        <f t="shared" si="2"/>
        <v>0.42307692307692307</v>
      </c>
      <c r="M89" s="122">
        <f t="shared" si="2"/>
        <v>0.42202512934220249</v>
      </c>
      <c r="N89" s="122">
        <f t="shared" si="2"/>
        <v>0.42857142857142855</v>
      </c>
      <c r="O89" s="123">
        <f t="shared" si="2"/>
        <v>0.46666666666666667</v>
      </c>
    </row>
    <row r="90" spans="1:15" s="49" customFormat="1" ht="13.5" customHeight="1" x14ac:dyDescent="0.3">
      <c r="A90" s="56" t="s">
        <v>215</v>
      </c>
      <c r="B90" s="84" t="s">
        <v>216</v>
      </c>
      <c r="C90" s="57" t="s">
        <v>251</v>
      </c>
      <c r="D90" s="681">
        <v>650</v>
      </c>
      <c r="E90" s="682">
        <v>398</v>
      </c>
      <c r="F90" s="683">
        <v>238</v>
      </c>
      <c r="G90" s="680">
        <v>14</v>
      </c>
      <c r="H90" s="681">
        <v>303</v>
      </c>
      <c r="I90" s="682">
        <v>116</v>
      </c>
      <c r="J90" s="683">
        <v>182</v>
      </c>
      <c r="K90" s="680">
        <v>5</v>
      </c>
      <c r="L90" s="121">
        <f t="shared" si="2"/>
        <v>0.46615384615384614</v>
      </c>
      <c r="M90" s="122">
        <f t="shared" si="2"/>
        <v>0.29145728643216079</v>
      </c>
      <c r="N90" s="122">
        <f t="shared" si="2"/>
        <v>0.76470588235294112</v>
      </c>
      <c r="O90" s="123">
        <f t="shared" si="2"/>
        <v>0.35714285714285715</v>
      </c>
    </row>
    <row r="91" spans="1:15" s="49" customFormat="1" ht="13.5" customHeight="1" x14ac:dyDescent="0.3">
      <c r="A91" s="56" t="s">
        <v>217</v>
      </c>
      <c r="B91" s="84" t="s">
        <v>218</v>
      </c>
      <c r="C91" s="57" t="s">
        <v>254</v>
      </c>
      <c r="D91" s="681">
        <v>7716</v>
      </c>
      <c r="E91" s="682">
        <v>5490</v>
      </c>
      <c r="F91" s="683">
        <v>1204</v>
      </c>
      <c r="G91" s="680">
        <v>1022</v>
      </c>
      <c r="H91" s="681">
        <v>2767</v>
      </c>
      <c r="I91" s="682">
        <v>1618</v>
      </c>
      <c r="J91" s="683">
        <v>720</v>
      </c>
      <c r="K91" s="680">
        <v>429</v>
      </c>
      <c r="L91" s="121">
        <f t="shared" si="2"/>
        <v>0.35860549507516848</v>
      </c>
      <c r="M91" s="122">
        <f t="shared" si="2"/>
        <v>0.29471766848816028</v>
      </c>
      <c r="N91" s="122">
        <f t="shared" si="2"/>
        <v>0.59800664451827246</v>
      </c>
      <c r="O91" s="123">
        <f t="shared" si="2"/>
        <v>0.41976516634050881</v>
      </c>
    </row>
    <row r="92" spans="1:15" s="49" customFormat="1" ht="13.5" customHeight="1" x14ac:dyDescent="0.3">
      <c r="A92" s="56" t="s">
        <v>219</v>
      </c>
      <c r="B92" s="84" t="s">
        <v>220</v>
      </c>
      <c r="C92" s="57" t="s">
        <v>254</v>
      </c>
      <c r="D92" s="681">
        <v>8604</v>
      </c>
      <c r="E92" s="682">
        <v>5558</v>
      </c>
      <c r="F92" s="683">
        <v>1761</v>
      </c>
      <c r="G92" s="680">
        <v>1285</v>
      </c>
      <c r="H92" s="681">
        <v>2628</v>
      </c>
      <c r="I92" s="682">
        <v>1405</v>
      </c>
      <c r="J92" s="683">
        <v>837</v>
      </c>
      <c r="K92" s="680">
        <v>386</v>
      </c>
      <c r="L92" s="121">
        <f t="shared" si="2"/>
        <v>0.30543933054393307</v>
      </c>
      <c r="M92" s="122">
        <f t="shared" si="2"/>
        <v>0.25278877293990643</v>
      </c>
      <c r="N92" s="122">
        <f t="shared" si="2"/>
        <v>0.47529812606473593</v>
      </c>
      <c r="O92" s="123">
        <f t="shared" si="2"/>
        <v>0.30038910505836575</v>
      </c>
    </row>
    <row r="93" spans="1:15" s="49" customFormat="1" ht="13.5" customHeight="1" x14ac:dyDescent="0.3">
      <c r="A93" s="56" t="s">
        <v>223</v>
      </c>
      <c r="B93" s="84" t="s">
        <v>224</v>
      </c>
      <c r="C93" s="57" t="s">
        <v>251</v>
      </c>
      <c r="D93" s="681">
        <v>304</v>
      </c>
      <c r="E93" s="682">
        <v>188</v>
      </c>
      <c r="F93" s="683">
        <v>109</v>
      </c>
      <c r="G93" s="680">
        <v>7</v>
      </c>
      <c r="H93" s="681">
        <v>144</v>
      </c>
      <c r="I93" s="682">
        <v>61</v>
      </c>
      <c r="J93" s="683">
        <v>81</v>
      </c>
      <c r="K93" s="680">
        <v>2</v>
      </c>
      <c r="L93" s="121">
        <f t="shared" si="2"/>
        <v>0.47368421052631576</v>
      </c>
      <c r="M93" s="122">
        <f t="shared" si="2"/>
        <v>0.32446808510638298</v>
      </c>
      <c r="N93" s="122">
        <f t="shared" si="2"/>
        <v>0.74311926605504586</v>
      </c>
      <c r="O93" s="123">
        <f t="shared" si="2"/>
        <v>0.2857142857142857</v>
      </c>
    </row>
    <row r="94" spans="1:15" s="49" customFormat="1" ht="13.5" customHeight="1" x14ac:dyDescent="0.3">
      <c r="A94" s="56" t="s">
        <v>225</v>
      </c>
      <c r="B94" s="84" t="s">
        <v>226</v>
      </c>
      <c r="C94" s="57" t="s">
        <v>251</v>
      </c>
      <c r="D94" s="681">
        <v>438</v>
      </c>
      <c r="E94" s="682">
        <v>199</v>
      </c>
      <c r="F94" s="683">
        <v>234</v>
      </c>
      <c r="G94" s="680">
        <v>5</v>
      </c>
      <c r="H94" s="681">
        <v>286</v>
      </c>
      <c r="I94" s="682">
        <v>91</v>
      </c>
      <c r="J94" s="683">
        <v>192</v>
      </c>
      <c r="K94" s="680">
        <v>3</v>
      </c>
      <c r="L94" s="121">
        <f t="shared" si="2"/>
        <v>0.65296803652968038</v>
      </c>
      <c r="M94" s="122">
        <f t="shared" si="2"/>
        <v>0.457286432160804</v>
      </c>
      <c r="N94" s="122">
        <f t="shared" si="2"/>
        <v>0.82051282051282048</v>
      </c>
      <c r="O94" s="123">
        <f t="shared" si="2"/>
        <v>0.6</v>
      </c>
    </row>
    <row r="95" spans="1:15" s="49" customFormat="1" ht="13.5" customHeight="1" x14ac:dyDescent="0.3">
      <c r="A95" s="56" t="s">
        <v>227</v>
      </c>
      <c r="B95" s="84" t="s">
        <v>228</v>
      </c>
      <c r="C95" s="57" t="s">
        <v>255</v>
      </c>
      <c r="D95" s="681">
        <v>2036</v>
      </c>
      <c r="E95" s="682">
        <v>1993</v>
      </c>
      <c r="F95" s="683">
        <v>31</v>
      </c>
      <c r="G95" s="680">
        <v>12</v>
      </c>
      <c r="H95" s="681">
        <v>702</v>
      </c>
      <c r="I95" s="682">
        <v>675</v>
      </c>
      <c r="J95" s="683">
        <v>23</v>
      </c>
      <c r="K95" s="680">
        <v>4</v>
      </c>
      <c r="L95" s="121">
        <f t="shared" si="2"/>
        <v>0.34479371316306484</v>
      </c>
      <c r="M95" s="122">
        <f t="shared" si="2"/>
        <v>0.33868539889613647</v>
      </c>
      <c r="N95" s="122">
        <f t="shared" si="2"/>
        <v>0.74193548387096775</v>
      </c>
      <c r="O95" s="123">
        <f t="shared" si="2"/>
        <v>0.33333333333333331</v>
      </c>
    </row>
    <row r="96" spans="1:15" s="49" customFormat="1" ht="13.5" customHeight="1" x14ac:dyDescent="0.3">
      <c r="A96" s="56" t="s">
        <v>231</v>
      </c>
      <c r="B96" s="84" t="s">
        <v>232</v>
      </c>
      <c r="C96" s="57" t="s">
        <v>254</v>
      </c>
      <c r="D96" s="681">
        <v>2397</v>
      </c>
      <c r="E96" s="682">
        <v>2177</v>
      </c>
      <c r="F96" s="683">
        <v>112</v>
      </c>
      <c r="G96" s="680">
        <v>108</v>
      </c>
      <c r="H96" s="681">
        <v>951</v>
      </c>
      <c r="I96" s="682">
        <v>821</v>
      </c>
      <c r="J96" s="683">
        <v>92</v>
      </c>
      <c r="K96" s="680">
        <v>38</v>
      </c>
      <c r="L96" s="121">
        <f t="shared" si="2"/>
        <v>0.39674593241551942</v>
      </c>
      <c r="M96" s="122">
        <f t="shared" si="2"/>
        <v>0.37712448323380798</v>
      </c>
      <c r="N96" s="122">
        <f t="shared" si="2"/>
        <v>0.8214285714285714</v>
      </c>
      <c r="O96" s="123">
        <f t="shared" si="2"/>
        <v>0.35185185185185186</v>
      </c>
    </row>
    <row r="97" spans="1:15" s="49" customFormat="1" ht="13.5" customHeight="1" x14ac:dyDescent="0.3">
      <c r="A97" s="56" t="s">
        <v>233</v>
      </c>
      <c r="B97" s="84" t="s">
        <v>234</v>
      </c>
      <c r="C97" s="57" t="s">
        <v>255</v>
      </c>
      <c r="D97" s="681">
        <v>2414</v>
      </c>
      <c r="E97" s="682">
        <v>2347</v>
      </c>
      <c r="F97" s="683">
        <v>29</v>
      </c>
      <c r="G97" s="680">
        <v>38</v>
      </c>
      <c r="H97" s="681">
        <v>757</v>
      </c>
      <c r="I97" s="682">
        <v>726</v>
      </c>
      <c r="J97" s="683">
        <v>20</v>
      </c>
      <c r="K97" s="680">
        <v>11</v>
      </c>
      <c r="L97" s="121">
        <f t="shared" si="2"/>
        <v>0.31358740679370339</v>
      </c>
      <c r="M97" s="122">
        <f t="shared" si="2"/>
        <v>0.30933106092884533</v>
      </c>
      <c r="N97" s="122">
        <f t="shared" si="2"/>
        <v>0.68965517241379315</v>
      </c>
      <c r="O97" s="123">
        <f t="shared" si="2"/>
        <v>0.28947368421052633</v>
      </c>
    </row>
    <row r="98" spans="1:15" s="49" customFormat="1" ht="13.5" customHeight="1" x14ac:dyDescent="0.3">
      <c r="A98" s="56" t="s">
        <v>235</v>
      </c>
      <c r="B98" s="84" t="s">
        <v>236</v>
      </c>
      <c r="C98" s="57" t="s">
        <v>253</v>
      </c>
      <c r="D98" s="681">
        <v>932</v>
      </c>
      <c r="E98" s="682">
        <v>626</v>
      </c>
      <c r="F98" s="683">
        <v>251</v>
      </c>
      <c r="G98" s="680">
        <v>55</v>
      </c>
      <c r="H98" s="681">
        <v>472</v>
      </c>
      <c r="I98" s="682">
        <v>263</v>
      </c>
      <c r="J98" s="683">
        <v>188</v>
      </c>
      <c r="K98" s="680">
        <v>21</v>
      </c>
      <c r="L98" s="121">
        <f t="shared" si="2"/>
        <v>0.50643776824034337</v>
      </c>
      <c r="M98" s="122">
        <f t="shared" si="2"/>
        <v>0.42012779552715657</v>
      </c>
      <c r="N98" s="122">
        <f t="shared" si="2"/>
        <v>0.74900398406374502</v>
      </c>
      <c r="O98" s="123">
        <f t="shared" si="2"/>
        <v>0.38181818181818183</v>
      </c>
    </row>
    <row r="99" spans="1:15" s="49" customFormat="1" ht="13.5" customHeight="1" x14ac:dyDescent="0.3">
      <c r="A99" s="56" t="s">
        <v>241</v>
      </c>
      <c r="B99" s="84" t="s">
        <v>242</v>
      </c>
      <c r="C99" s="57" t="s">
        <v>255</v>
      </c>
      <c r="D99" s="681">
        <v>1854</v>
      </c>
      <c r="E99" s="682">
        <v>1808</v>
      </c>
      <c r="F99" s="683">
        <v>25</v>
      </c>
      <c r="G99" s="680">
        <v>21</v>
      </c>
      <c r="H99" s="681">
        <v>814</v>
      </c>
      <c r="I99" s="682">
        <v>785</v>
      </c>
      <c r="J99" s="683">
        <v>19</v>
      </c>
      <c r="K99" s="680">
        <v>10</v>
      </c>
      <c r="L99" s="121">
        <f t="shared" si="2"/>
        <v>0.43905070118662354</v>
      </c>
      <c r="M99" s="122">
        <f t="shared" si="2"/>
        <v>0.43418141592920356</v>
      </c>
      <c r="N99" s="122">
        <f t="shared" si="2"/>
        <v>0.76</v>
      </c>
      <c r="O99" s="123">
        <f t="shared" si="2"/>
        <v>0.47619047619047616</v>
      </c>
    </row>
    <row r="100" spans="1:15" s="49" customFormat="1" ht="13.5" customHeight="1" x14ac:dyDescent="0.3">
      <c r="A100" s="56" t="s">
        <v>243</v>
      </c>
      <c r="B100" s="84" t="s">
        <v>244</v>
      </c>
      <c r="C100" s="57" t="s">
        <v>255</v>
      </c>
      <c r="D100" s="681">
        <v>1418</v>
      </c>
      <c r="E100" s="682">
        <v>1361</v>
      </c>
      <c r="F100" s="683">
        <v>35</v>
      </c>
      <c r="G100" s="680">
        <v>22</v>
      </c>
      <c r="H100" s="681">
        <v>596</v>
      </c>
      <c r="I100" s="682">
        <v>556</v>
      </c>
      <c r="J100" s="683">
        <v>30</v>
      </c>
      <c r="K100" s="680">
        <v>10</v>
      </c>
      <c r="L100" s="121">
        <f t="shared" si="2"/>
        <v>0.42031029619181948</v>
      </c>
      <c r="M100" s="122">
        <f t="shared" si="2"/>
        <v>0.40852314474650991</v>
      </c>
      <c r="N100" s="122">
        <f t="shared" si="2"/>
        <v>0.8571428571428571</v>
      </c>
      <c r="O100" s="123">
        <f t="shared" si="2"/>
        <v>0.45454545454545453</v>
      </c>
    </row>
    <row r="101" spans="1:15" s="49" customFormat="1" ht="13.5" customHeight="1" x14ac:dyDescent="0.3">
      <c r="A101" s="56" t="s">
        <v>245</v>
      </c>
      <c r="B101" s="84" t="s">
        <v>246</v>
      </c>
      <c r="C101" s="57" t="s">
        <v>251</v>
      </c>
      <c r="D101" s="681">
        <v>3703</v>
      </c>
      <c r="E101" s="682">
        <v>2755</v>
      </c>
      <c r="F101" s="683">
        <v>502</v>
      </c>
      <c r="G101" s="680">
        <v>446</v>
      </c>
      <c r="H101" s="681">
        <v>794</v>
      </c>
      <c r="I101" s="682">
        <v>479</v>
      </c>
      <c r="J101" s="683">
        <v>251</v>
      </c>
      <c r="K101" s="680">
        <v>64</v>
      </c>
      <c r="L101" s="121">
        <f t="shared" si="2"/>
        <v>0.21442073994058872</v>
      </c>
      <c r="M101" s="122">
        <f t="shared" si="2"/>
        <v>0.17386569872958257</v>
      </c>
      <c r="N101" s="122">
        <f t="shared" si="2"/>
        <v>0.5</v>
      </c>
      <c r="O101" s="123">
        <f t="shared" si="2"/>
        <v>0.14349775784753363</v>
      </c>
    </row>
    <row r="102" spans="1:15" s="49" customFormat="1" ht="13.5" customHeight="1" x14ac:dyDescent="0.3">
      <c r="A102" s="56" t="s">
        <v>13</v>
      </c>
      <c r="B102" s="84" t="s">
        <v>14</v>
      </c>
      <c r="C102" s="57" t="s">
        <v>254</v>
      </c>
      <c r="D102" s="681">
        <v>13476</v>
      </c>
      <c r="E102" s="682">
        <v>7751</v>
      </c>
      <c r="F102" s="683">
        <v>2595</v>
      </c>
      <c r="G102" s="680">
        <v>3130</v>
      </c>
      <c r="H102" s="681">
        <v>3083</v>
      </c>
      <c r="I102" s="682">
        <v>881</v>
      </c>
      <c r="J102" s="683">
        <v>1103</v>
      </c>
      <c r="K102" s="680">
        <v>1099</v>
      </c>
      <c r="L102" s="121">
        <f t="shared" si="2"/>
        <v>0.22877708518848322</v>
      </c>
      <c r="M102" s="122">
        <f t="shared" si="2"/>
        <v>0.11366275319313637</v>
      </c>
      <c r="N102" s="122">
        <f t="shared" si="2"/>
        <v>0.42504816955684005</v>
      </c>
      <c r="O102" s="123">
        <f t="shared" si="2"/>
        <v>0.3511182108626198</v>
      </c>
    </row>
    <row r="103" spans="1:15" s="49" customFormat="1" ht="13.5" customHeight="1" x14ac:dyDescent="0.3">
      <c r="A103" s="56" t="s">
        <v>33</v>
      </c>
      <c r="B103" s="84" t="s">
        <v>34</v>
      </c>
      <c r="C103" s="57" t="s">
        <v>255</v>
      </c>
      <c r="D103" s="681">
        <v>828</v>
      </c>
      <c r="E103" s="682">
        <v>757</v>
      </c>
      <c r="F103" s="683">
        <v>52</v>
      </c>
      <c r="G103" s="680">
        <v>19</v>
      </c>
      <c r="H103" s="681">
        <v>333</v>
      </c>
      <c r="I103" s="682">
        <v>296</v>
      </c>
      <c r="J103" s="683">
        <v>29</v>
      </c>
      <c r="K103" s="680">
        <v>8</v>
      </c>
      <c r="L103" s="121">
        <f t="shared" ref="L103:O126" si="3">IF(D103=0,"NA",(H103/D103))</f>
        <v>0.40217391304347827</v>
      </c>
      <c r="M103" s="122">
        <f t="shared" si="3"/>
        <v>0.39101717305151917</v>
      </c>
      <c r="N103" s="122">
        <f t="shared" si="3"/>
        <v>0.55769230769230771</v>
      </c>
      <c r="O103" s="123">
        <f t="shared" si="3"/>
        <v>0.42105263157894735</v>
      </c>
    </row>
    <row r="104" spans="1:15" s="49" customFormat="1" ht="13.5" customHeight="1" x14ac:dyDescent="0.3">
      <c r="A104" s="56" t="s">
        <v>51</v>
      </c>
      <c r="B104" s="84" t="s">
        <v>52</v>
      </c>
      <c r="C104" s="57" t="s">
        <v>252</v>
      </c>
      <c r="D104" s="681">
        <v>2949</v>
      </c>
      <c r="E104" s="682">
        <v>2012</v>
      </c>
      <c r="F104" s="683">
        <v>577</v>
      </c>
      <c r="G104" s="680">
        <v>360</v>
      </c>
      <c r="H104" s="681">
        <v>893</v>
      </c>
      <c r="I104" s="682">
        <v>354</v>
      </c>
      <c r="J104" s="683">
        <v>452</v>
      </c>
      <c r="K104" s="680">
        <v>87</v>
      </c>
      <c r="L104" s="121">
        <f t="shared" si="3"/>
        <v>0.30281451339437099</v>
      </c>
      <c r="M104" s="122">
        <f t="shared" si="3"/>
        <v>0.17594433399602386</v>
      </c>
      <c r="N104" s="122">
        <f t="shared" si="3"/>
        <v>0.78336221837088393</v>
      </c>
      <c r="O104" s="123">
        <f t="shared" si="3"/>
        <v>0.24166666666666667</v>
      </c>
    </row>
    <row r="105" spans="1:15" s="49" customFormat="1" ht="13.5" customHeight="1" x14ac:dyDescent="0.3">
      <c r="A105" s="56" t="s">
        <v>53</v>
      </c>
      <c r="B105" s="84" t="s">
        <v>54</v>
      </c>
      <c r="C105" s="57" t="s">
        <v>251</v>
      </c>
      <c r="D105" s="681">
        <v>14594</v>
      </c>
      <c r="E105" s="682">
        <v>8697</v>
      </c>
      <c r="F105" s="683">
        <v>4469</v>
      </c>
      <c r="G105" s="680">
        <v>1428</v>
      </c>
      <c r="H105" s="681">
        <v>5086</v>
      </c>
      <c r="I105" s="682">
        <v>1939</v>
      </c>
      <c r="J105" s="683">
        <v>2685</v>
      </c>
      <c r="K105" s="680">
        <v>462</v>
      </c>
      <c r="L105" s="121">
        <f t="shared" si="3"/>
        <v>0.34849938330820884</v>
      </c>
      <c r="M105" s="122">
        <f t="shared" si="3"/>
        <v>0.22295044268138439</v>
      </c>
      <c r="N105" s="122">
        <f t="shared" si="3"/>
        <v>0.60080554933989705</v>
      </c>
      <c r="O105" s="123">
        <f t="shared" si="3"/>
        <v>0.3235294117647059</v>
      </c>
    </row>
    <row r="106" spans="1:15" s="49" customFormat="1" ht="13.5" customHeight="1" x14ac:dyDescent="0.3">
      <c r="A106" s="56" t="s">
        <v>65</v>
      </c>
      <c r="B106" s="84" t="s">
        <v>66</v>
      </c>
      <c r="C106" s="57" t="s">
        <v>252</v>
      </c>
      <c r="D106" s="681">
        <v>2413</v>
      </c>
      <c r="E106" s="682">
        <v>820</v>
      </c>
      <c r="F106" s="683">
        <v>1413</v>
      </c>
      <c r="G106" s="680">
        <v>180</v>
      </c>
      <c r="H106" s="681">
        <v>1614</v>
      </c>
      <c r="I106" s="682">
        <v>372</v>
      </c>
      <c r="J106" s="683">
        <v>1150</v>
      </c>
      <c r="K106" s="680">
        <v>92</v>
      </c>
      <c r="L106" s="121">
        <f t="shared" si="3"/>
        <v>0.66887691670120186</v>
      </c>
      <c r="M106" s="122">
        <f t="shared" si="3"/>
        <v>0.45365853658536587</v>
      </c>
      <c r="N106" s="122">
        <f t="shared" si="3"/>
        <v>0.81387119603680114</v>
      </c>
      <c r="O106" s="123">
        <f t="shared" si="3"/>
        <v>0.51111111111111107</v>
      </c>
    </row>
    <row r="107" spans="1:15" s="49" customFormat="1" ht="13.5" customHeight="1" x14ac:dyDescent="0.3">
      <c r="A107" s="56" t="s">
        <v>81</v>
      </c>
      <c r="B107" s="84" t="s">
        <v>82</v>
      </c>
      <c r="C107" s="57" t="s">
        <v>251</v>
      </c>
      <c r="D107" s="681">
        <v>720</v>
      </c>
      <c r="E107" s="682">
        <v>271</v>
      </c>
      <c r="F107" s="683">
        <v>430</v>
      </c>
      <c r="G107" s="680">
        <v>19</v>
      </c>
      <c r="H107" s="681">
        <v>444</v>
      </c>
      <c r="I107" s="682">
        <v>90</v>
      </c>
      <c r="J107" s="683">
        <v>349</v>
      </c>
      <c r="K107" s="680">
        <v>5</v>
      </c>
      <c r="L107" s="121">
        <f t="shared" si="3"/>
        <v>0.6166666666666667</v>
      </c>
      <c r="M107" s="122">
        <f t="shared" si="3"/>
        <v>0.33210332103321033</v>
      </c>
      <c r="N107" s="122">
        <f t="shared" si="3"/>
        <v>0.81162790697674414</v>
      </c>
      <c r="O107" s="123">
        <f t="shared" si="3"/>
        <v>0.26315789473684209</v>
      </c>
    </row>
    <row r="108" spans="1:15" s="49" customFormat="1" ht="13.5" customHeight="1" x14ac:dyDescent="0.3">
      <c r="A108" s="56" t="s">
        <v>87</v>
      </c>
      <c r="B108" s="84" t="s">
        <v>88</v>
      </c>
      <c r="C108" s="57" t="s">
        <v>254</v>
      </c>
      <c r="D108" s="681">
        <v>1984</v>
      </c>
      <c r="E108" s="682">
        <v>1085</v>
      </c>
      <c r="F108" s="683">
        <v>564</v>
      </c>
      <c r="G108" s="680">
        <v>335</v>
      </c>
      <c r="H108" s="681">
        <v>932</v>
      </c>
      <c r="I108" s="682">
        <v>392</v>
      </c>
      <c r="J108" s="683">
        <v>406</v>
      </c>
      <c r="K108" s="680">
        <v>134</v>
      </c>
      <c r="L108" s="121">
        <f t="shared" si="3"/>
        <v>0.46975806451612906</v>
      </c>
      <c r="M108" s="122">
        <f t="shared" si="3"/>
        <v>0.36129032258064514</v>
      </c>
      <c r="N108" s="122">
        <f t="shared" si="3"/>
        <v>0.71985815602836878</v>
      </c>
      <c r="O108" s="123">
        <f t="shared" si="3"/>
        <v>0.4</v>
      </c>
    </row>
    <row r="109" spans="1:15" s="49" customFormat="1" ht="13.5" customHeight="1" x14ac:dyDescent="0.3">
      <c r="A109" s="56" t="s">
        <v>89</v>
      </c>
      <c r="B109" s="84" t="s">
        <v>90</v>
      </c>
      <c r="C109" s="57" t="s">
        <v>255</v>
      </c>
      <c r="D109" s="681">
        <v>434</v>
      </c>
      <c r="E109" s="682">
        <v>348</v>
      </c>
      <c r="F109" s="683">
        <v>15</v>
      </c>
      <c r="G109" s="680">
        <v>71</v>
      </c>
      <c r="H109" s="681">
        <v>226</v>
      </c>
      <c r="I109" s="682">
        <v>164</v>
      </c>
      <c r="J109" s="683">
        <v>14</v>
      </c>
      <c r="K109" s="680">
        <v>48</v>
      </c>
      <c r="L109" s="121">
        <f t="shared" si="3"/>
        <v>0.52073732718894006</v>
      </c>
      <c r="M109" s="122">
        <f t="shared" si="3"/>
        <v>0.47126436781609193</v>
      </c>
      <c r="N109" s="122">
        <f t="shared" si="3"/>
        <v>0.93333333333333335</v>
      </c>
      <c r="O109" s="123">
        <f t="shared" si="3"/>
        <v>0.676056338028169</v>
      </c>
    </row>
    <row r="110" spans="1:15" s="49" customFormat="1" ht="13.5" customHeight="1" x14ac:dyDescent="0.3">
      <c r="A110" s="56" t="s">
        <v>105</v>
      </c>
      <c r="B110" s="84" t="s">
        <v>106</v>
      </c>
      <c r="C110" s="57" t="s">
        <v>251</v>
      </c>
      <c r="D110" s="681">
        <v>8436</v>
      </c>
      <c r="E110" s="682">
        <v>3412</v>
      </c>
      <c r="F110" s="683">
        <v>4178</v>
      </c>
      <c r="G110" s="680">
        <v>846</v>
      </c>
      <c r="H110" s="681">
        <v>4061</v>
      </c>
      <c r="I110" s="682">
        <v>1012</v>
      </c>
      <c r="J110" s="683">
        <v>2741</v>
      </c>
      <c r="K110" s="680">
        <v>308</v>
      </c>
      <c r="L110" s="121">
        <f t="shared" si="3"/>
        <v>0.48138928402086295</v>
      </c>
      <c r="M110" s="122">
        <f t="shared" si="3"/>
        <v>0.29660023446658851</v>
      </c>
      <c r="N110" s="122">
        <f t="shared" si="3"/>
        <v>0.65605552896122543</v>
      </c>
      <c r="O110" s="123">
        <f t="shared" si="3"/>
        <v>0.36406619385342792</v>
      </c>
    </row>
    <row r="111" spans="1:15" s="49" customFormat="1" ht="13.5" customHeight="1" x14ac:dyDescent="0.3">
      <c r="A111" s="56" t="s">
        <v>115</v>
      </c>
      <c r="B111" s="84" t="s">
        <v>116</v>
      </c>
      <c r="C111" s="57" t="s">
        <v>253</v>
      </c>
      <c r="D111" s="681">
        <v>1728</v>
      </c>
      <c r="E111" s="682">
        <v>819</v>
      </c>
      <c r="F111" s="683">
        <v>819</v>
      </c>
      <c r="G111" s="680">
        <v>90</v>
      </c>
      <c r="H111" s="681">
        <v>1140</v>
      </c>
      <c r="I111" s="682">
        <v>438</v>
      </c>
      <c r="J111" s="683">
        <v>656</v>
      </c>
      <c r="K111" s="680">
        <v>46</v>
      </c>
      <c r="L111" s="121">
        <f t="shared" si="3"/>
        <v>0.65972222222222221</v>
      </c>
      <c r="M111" s="122">
        <f t="shared" si="3"/>
        <v>0.53479853479853479</v>
      </c>
      <c r="N111" s="122">
        <f t="shared" si="3"/>
        <v>0.80097680097680102</v>
      </c>
      <c r="O111" s="123">
        <f t="shared" si="3"/>
        <v>0.51111111111111107</v>
      </c>
    </row>
    <row r="112" spans="1:15" s="49" customFormat="1" ht="13.5" customHeight="1" x14ac:dyDescent="0.3">
      <c r="A112" s="56" t="s">
        <v>137</v>
      </c>
      <c r="B112" s="84" t="s">
        <v>138</v>
      </c>
      <c r="C112" s="57" t="s">
        <v>252</v>
      </c>
      <c r="D112" s="681">
        <v>5562</v>
      </c>
      <c r="E112" s="682">
        <v>3530</v>
      </c>
      <c r="F112" s="683">
        <v>1751</v>
      </c>
      <c r="G112" s="680">
        <v>281</v>
      </c>
      <c r="H112" s="681">
        <v>2250</v>
      </c>
      <c r="I112" s="683">
        <v>859</v>
      </c>
      <c r="J112" s="683">
        <v>1320</v>
      </c>
      <c r="K112" s="680">
        <v>71</v>
      </c>
      <c r="L112" s="121">
        <f t="shared" si="3"/>
        <v>0.4045307443365696</v>
      </c>
      <c r="M112" s="122">
        <f t="shared" si="3"/>
        <v>0.24334277620396599</v>
      </c>
      <c r="N112" s="122">
        <f t="shared" si="3"/>
        <v>0.75385494003426612</v>
      </c>
      <c r="O112" s="123">
        <f t="shared" si="3"/>
        <v>0.25266903914590749</v>
      </c>
    </row>
    <row r="113" spans="1:15" s="49" customFormat="1" ht="13.5" customHeight="1" x14ac:dyDescent="0.3">
      <c r="A113" s="56" t="s">
        <v>141</v>
      </c>
      <c r="B113" s="84" t="s">
        <v>260</v>
      </c>
      <c r="C113" s="57" t="s">
        <v>254</v>
      </c>
      <c r="D113" s="681">
        <v>3706</v>
      </c>
      <c r="E113" s="682">
        <v>2543</v>
      </c>
      <c r="F113" s="683">
        <v>453</v>
      </c>
      <c r="G113" s="680">
        <v>710</v>
      </c>
      <c r="H113" s="681">
        <v>1574</v>
      </c>
      <c r="I113" s="682">
        <v>1053</v>
      </c>
      <c r="J113" s="683">
        <v>240</v>
      </c>
      <c r="K113" s="680">
        <v>281</v>
      </c>
      <c r="L113" s="121">
        <f t="shared" si="3"/>
        <v>0.42471667566109012</v>
      </c>
      <c r="M113" s="122">
        <f t="shared" si="3"/>
        <v>0.41407786079433739</v>
      </c>
      <c r="N113" s="122">
        <f t="shared" si="3"/>
        <v>0.5298013245033113</v>
      </c>
      <c r="O113" s="123">
        <f t="shared" si="3"/>
        <v>0.39577464788732392</v>
      </c>
    </row>
    <row r="114" spans="1:15" s="49" customFormat="1" ht="13.5" customHeight="1" x14ac:dyDescent="0.3">
      <c r="A114" s="56" t="s">
        <v>143</v>
      </c>
      <c r="B114" s="84" t="s">
        <v>144</v>
      </c>
      <c r="C114" s="57" t="s">
        <v>254</v>
      </c>
      <c r="D114" s="681">
        <v>607</v>
      </c>
      <c r="E114" s="682">
        <v>357</v>
      </c>
      <c r="F114" s="683">
        <v>75</v>
      </c>
      <c r="G114" s="680">
        <v>175</v>
      </c>
      <c r="H114" s="681">
        <v>219</v>
      </c>
      <c r="I114" s="682">
        <v>136</v>
      </c>
      <c r="J114" s="683">
        <v>21</v>
      </c>
      <c r="K114" s="680">
        <v>62</v>
      </c>
      <c r="L114" s="121">
        <f t="shared" si="3"/>
        <v>0.36079077429983525</v>
      </c>
      <c r="M114" s="122">
        <f t="shared" si="3"/>
        <v>0.38095238095238093</v>
      </c>
      <c r="N114" s="122">
        <f t="shared" si="3"/>
        <v>0.28000000000000003</v>
      </c>
      <c r="O114" s="123">
        <f t="shared" si="3"/>
        <v>0.35428571428571426</v>
      </c>
    </row>
    <row r="115" spans="1:15" s="49" customFormat="1" ht="13.5" customHeight="1" x14ac:dyDescent="0.3">
      <c r="A115" s="56" t="s">
        <v>157</v>
      </c>
      <c r="B115" s="84" t="s">
        <v>158</v>
      </c>
      <c r="C115" s="57" t="s">
        <v>251</v>
      </c>
      <c r="D115" s="681">
        <v>13646</v>
      </c>
      <c r="E115" s="682">
        <v>5202</v>
      </c>
      <c r="F115" s="683">
        <v>6457</v>
      </c>
      <c r="G115" s="680">
        <v>1987</v>
      </c>
      <c r="H115" s="681">
        <v>6705</v>
      </c>
      <c r="I115" s="682">
        <v>1388</v>
      </c>
      <c r="J115" s="683">
        <v>4447</v>
      </c>
      <c r="K115" s="680">
        <v>870</v>
      </c>
      <c r="L115" s="121">
        <f t="shared" si="3"/>
        <v>0.49135277737065808</v>
      </c>
      <c r="M115" s="122">
        <f t="shared" si="3"/>
        <v>0.26682045367166474</v>
      </c>
      <c r="N115" s="122">
        <f t="shared" si="3"/>
        <v>0.68870992721077895</v>
      </c>
      <c r="O115" s="123">
        <f t="shared" si="3"/>
        <v>0.4378459989934575</v>
      </c>
    </row>
    <row r="116" spans="1:15" s="49" customFormat="1" ht="13.5" customHeight="1" x14ac:dyDescent="0.3">
      <c r="A116" s="56" t="s">
        <v>159</v>
      </c>
      <c r="B116" s="84" t="s">
        <v>160</v>
      </c>
      <c r="C116" s="57" t="s">
        <v>251</v>
      </c>
      <c r="D116" s="681">
        <v>17418</v>
      </c>
      <c r="E116" s="682">
        <v>7677</v>
      </c>
      <c r="F116" s="683">
        <v>7743</v>
      </c>
      <c r="G116" s="680">
        <v>1998</v>
      </c>
      <c r="H116" s="681">
        <v>8072</v>
      </c>
      <c r="I116" s="682">
        <v>1756</v>
      </c>
      <c r="J116" s="683">
        <v>5481</v>
      </c>
      <c r="K116" s="680">
        <v>835</v>
      </c>
      <c r="L116" s="121">
        <f t="shared" si="3"/>
        <v>0.46342863704214032</v>
      </c>
      <c r="M116" s="122">
        <f t="shared" si="3"/>
        <v>0.22873518301419826</v>
      </c>
      <c r="N116" s="122">
        <f t="shared" si="3"/>
        <v>0.7078651685393258</v>
      </c>
      <c r="O116" s="123">
        <f t="shared" si="3"/>
        <v>0.41791791791791794</v>
      </c>
    </row>
    <row r="117" spans="1:15" s="49" customFormat="1" ht="13.5" customHeight="1" x14ac:dyDescent="0.3">
      <c r="A117" s="56" t="s">
        <v>165</v>
      </c>
      <c r="B117" s="84" t="s">
        <v>166</v>
      </c>
      <c r="C117" s="57" t="s">
        <v>255</v>
      </c>
      <c r="D117" s="681">
        <v>238</v>
      </c>
      <c r="E117" s="682">
        <v>221</v>
      </c>
      <c r="F117" s="683">
        <v>11</v>
      </c>
      <c r="G117" s="680">
        <v>6</v>
      </c>
      <c r="H117" s="681">
        <v>133</v>
      </c>
      <c r="I117" s="682">
        <v>123</v>
      </c>
      <c r="J117" s="683">
        <v>7</v>
      </c>
      <c r="K117" s="680">
        <v>3</v>
      </c>
      <c r="L117" s="121">
        <f t="shared" si="3"/>
        <v>0.55882352941176472</v>
      </c>
      <c r="M117" s="122">
        <f t="shared" si="3"/>
        <v>0.5565610859728507</v>
      </c>
      <c r="N117" s="122">
        <f t="shared" si="3"/>
        <v>0.63636363636363635</v>
      </c>
      <c r="O117" s="123">
        <f t="shared" si="3"/>
        <v>0.5</v>
      </c>
    </row>
    <row r="118" spans="1:15" s="49" customFormat="1" ht="13.5" customHeight="1" x14ac:dyDescent="0.3">
      <c r="A118" s="56" t="s">
        <v>175</v>
      </c>
      <c r="B118" s="84" t="s">
        <v>176</v>
      </c>
      <c r="C118" s="57" t="s">
        <v>253</v>
      </c>
      <c r="D118" s="681">
        <v>3250</v>
      </c>
      <c r="E118" s="682">
        <v>941</v>
      </c>
      <c r="F118" s="683">
        <v>2160</v>
      </c>
      <c r="G118" s="680">
        <v>149</v>
      </c>
      <c r="H118" s="681">
        <v>2346</v>
      </c>
      <c r="I118" s="682">
        <v>444</v>
      </c>
      <c r="J118" s="683">
        <v>1817</v>
      </c>
      <c r="K118" s="680">
        <v>85</v>
      </c>
      <c r="L118" s="121">
        <f t="shared" si="3"/>
        <v>0.7218461538461538</v>
      </c>
      <c r="M118" s="122">
        <f t="shared" si="3"/>
        <v>0.4718384697130712</v>
      </c>
      <c r="N118" s="122">
        <f t="shared" si="3"/>
        <v>0.84120370370370368</v>
      </c>
      <c r="O118" s="123">
        <f t="shared" si="3"/>
        <v>0.57046979865771807</v>
      </c>
    </row>
    <row r="119" spans="1:15" s="49" customFormat="1" ht="13.5" customHeight="1" x14ac:dyDescent="0.3">
      <c r="A119" s="56" t="s">
        <v>179</v>
      </c>
      <c r="B119" s="84" t="s">
        <v>180</v>
      </c>
      <c r="C119" s="57" t="s">
        <v>251</v>
      </c>
      <c r="D119" s="681">
        <v>7287</v>
      </c>
      <c r="E119" s="682">
        <v>2641</v>
      </c>
      <c r="F119" s="683">
        <v>4234</v>
      </c>
      <c r="G119" s="680">
        <v>412</v>
      </c>
      <c r="H119" s="681">
        <v>4022</v>
      </c>
      <c r="I119" s="682">
        <v>803</v>
      </c>
      <c r="J119" s="683">
        <v>3043</v>
      </c>
      <c r="K119" s="680">
        <v>176</v>
      </c>
      <c r="L119" s="121">
        <f t="shared" si="3"/>
        <v>0.55194181418965282</v>
      </c>
      <c r="M119" s="122">
        <f t="shared" si="3"/>
        <v>0.30405149564558881</v>
      </c>
      <c r="N119" s="122">
        <f t="shared" si="3"/>
        <v>0.71870571563533303</v>
      </c>
      <c r="O119" s="123">
        <f t="shared" si="3"/>
        <v>0.42718446601941745</v>
      </c>
    </row>
    <row r="120" spans="1:15" s="49" customFormat="1" ht="13.5" customHeight="1" x14ac:dyDescent="0.3">
      <c r="A120" s="56" t="s">
        <v>191</v>
      </c>
      <c r="B120" s="84" t="s">
        <v>192</v>
      </c>
      <c r="C120" s="57" t="s">
        <v>255</v>
      </c>
      <c r="D120" s="681">
        <v>656</v>
      </c>
      <c r="E120" s="682">
        <v>568</v>
      </c>
      <c r="F120" s="683">
        <v>69</v>
      </c>
      <c r="G120" s="680">
        <v>19</v>
      </c>
      <c r="H120" s="681">
        <v>264</v>
      </c>
      <c r="I120" s="682">
        <v>203</v>
      </c>
      <c r="J120" s="683">
        <v>53</v>
      </c>
      <c r="K120" s="680">
        <v>8</v>
      </c>
      <c r="L120" s="121">
        <f t="shared" si="3"/>
        <v>0.40243902439024393</v>
      </c>
      <c r="M120" s="122">
        <f t="shared" si="3"/>
        <v>0.35739436619718312</v>
      </c>
      <c r="N120" s="122">
        <f t="shared" si="3"/>
        <v>0.76811594202898548</v>
      </c>
      <c r="O120" s="123">
        <f t="shared" si="3"/>
        <v>0.42105263157894735</v>
      </c>
    </row>
    <row r="121" spans="1:15" s="49" customFormat="1" ht="13.5" customHeight="1" x14ac:dyDescent="0.3">
      <c r="A121" s="56" t="s">
        <v>195</v>
      </c>
      <c r="B121" s="84" t="s">
        <v>196</v>
      </c>
      <c r="C121" s="57" t="s">
        <v>253</v>
      </c>
      <c r="D121" s="681">
        <v>15346</v>
      </c>
      <c r="E121" s="682">
        <v>6080</v>
      </c>
      <c r="F121" s="683">
        <v>8051</v>
      </c>
      <c r="G121" s="680">
        <v>1215</v>
      </c>
      <c r="H121" s="681">
        <v>9241</v>
      </c>
      <c r="I121" s="682">
        <v>1877</v>
      </c>
      <c r="J121" s="683">
        <v>6727</v>
      </c>
      <c r="K121" s="680">
        <v>637</v>
      </c>
      <c r="L121" s="121">
        <f t="shared" si="3"/>
        <v>0.60217646292193405</v>
      </c>
      <c r="M121" s="122">
        <f t="shared" si="3"/>
        <v>0.30871710526315788</v>
      </c>
      <c r="N121" s="122">
        <f t="shared" si="3"/>
        <v>0.83554837908334367</v>
      </c>
      <c r="O121" s="123">
        <f t="shared" si="3"/>
        <v>0.52427983539094647</v>
      </c>
    </row>
    <row r="122" spans="1:15" s="49" customFormat="1" ht="13.5" customHeight="1" x14ac:dyDescent="0.3">
      <c r="A122" s="56" t="s">
        <v>199</v>
      </c>
      <c r="B122" s="84" t="s">
        <v>200</v>
      </c>
      <c r="C122" s="57" t="s">
        <v>252</v>
      </c>
      <c r="D122" s="681">
        <v>7125</v>
      </c>
      <c r="E122" s="682">
        <v>4693</v>
      </c>
      <c r="F122" s="683">
        <v>2130</v>
      </c>
      <c r="G122" s="680">
        <v>302</v>
      </c>
      <c r="H122" s="681">
        <v>3928</v>
      </c>
      <c r="I122" s="682">
        <v>2136</v>
      </c>
      <c r="J122" s="683">
        <v>1690</v>
      </c>
      <c r="K122" s="680">
        <v>102</v>
      </c>
      <c r="L122" s="121">
        <f t="shared" si="3"/>
        <v>0.55129824561403507</v>
      </c>
      <c r="M122" s="122">
        <f t="shared" si="3"/>
        <v>0.45514596207116981</v>
      </c>
      <c r="N122" s="122">
        <f t="shared" si="3"/>
        <v>0.79342723004694837</v>
      </c>
      <c r="O122" s="123">
        <f t="shared" si="3"/>
        <v>0.33774834437086093</v>
      </c>
    </row>
    <row r="123" spans="1:15" s="49" customFormat="1" ht="13.5" customHeight="1" x14ac:dyDescent="0.3">
      <c r="A123" s="56" t="s">
        <v>221</v>
      </c>
      <c r="B123" s="84" t="s">
        <v>222</v>
      </c>
      <c r="C123" s="57" t="s">
        <v>251</v>
      </c>
      <c r="D123" s="681">
        <v>5707</v>
      </c>
      <c r="E123" s="682">
        <v>2877</v>
      </c>
      <c r="F123" s="683">
        <v>2488</v>
      </c>
      <c r="G123" s="680">
        <v>342</v>
      </c>
      <c r="H123" s="681">
        <v>2187</v>
      </c>
      <c r="I123" s="682">
        <v>543</v>
      </c>
      <c r="J123" s="683">
        <v>1562</v>
      </c>
      <c r="K123" s="680">
        <v>82</v>
      </c>
      <c r="L123" s="121">
        <f t="shared" si="3"/>
        <v>0.38321359733660415</v>
      </c>
      <c r="M123" s="122">
        <f t="shared" si="3"/>
        <v>0.18873826903023982</v>
      </c>
      <c r="N123" s="122">
        <f t="shared" si="3"/>
        <v>0.62781350482315113</v>
      </c>
      <c r="O123" s="123">
        <f t="shared" si="3"/>
        <v>0.23976608187134502</v>
      </c>
    </row>
    <row r="124" spans="1:15" s="49" customFormat="1" ht="13.5" customHeight="1" x14ac:dyDescent="0.3">
      <c r="A124" s="56" t="s">
        <v>229</v>
      </c>
      <c r="B124" s="84" t="s">
        <v>230</v>
      </c>
      <c r="C124" s="57" t="s">
        <v>251</v>
      </c>
      <c r="D124" s="681">
        <v>28756</v>
      </c>
      <c r="E124" s="682">
        <v>18424</v>
      </c>
      <c r="F124" s="683">
        <v>6144</v>
      </c>
      <c r="G124" s="680">
        <v>4188</v>
      </c>
      <c r="H124" s="681">
        <v>8782</v>
      </c>
      <c r="I124" s="682">
        <v>3968</v>
      </c>
      <c r="J124" s="683">
        <v>3588</v>
      </c>
      <c r="K124" s="680">
        <v>1226</v>
      </c>
      <c r="L124" s="121">
        <f t="shared" si="3"/>
        <v>0.30539713451105854</v>
      </c>
      <c r="M124" s="122">
        <f t="shared" si="3"/>
        <v>0.21537125488493269</v>
      </c>
      <c r="N124" s="122">
        <f t="shared" si="3"/>
        <v>0.583984375</v>
      </c>
      <c r="O124" s="123">
        <f t="shared" si="3"/>
        <v>0.2927411652340019</v>
      </c>
    </row>
    <row r="125" spans="1:15" s="49" customFormat="1" ht="13.5" customHeight="1" x14ac:dyDescent="0.3">
      <c r="A125" s="56" t="s">
        <v>237</v>
      </c>
      <c r="B125" s="84" t="s">
        <v>238</v>
      </c>
      <c r="C125" s="57" t="s">
        <v>251</v>
      </c>
      <c r="D125" s="681">
        <v>460</v>
      </c>
      <c r="E125" s="682">
        <v>202</v>
      </c>
      <c r="F125" s="683">
        <v>124</v>
      </c>
      <c r="G125" s="680">
        <v>134</v>
      </c>
      <c r="H125" s="681">
        <v>215</v>
      </c>
      <c r="I125" s="682">
        <v>47</v>
      </c>
      <c r="J125" s="683">
        <v>94</v>
      </c>
      <c r="K125" s="680">
        <v>74</v>
      </c>
      <c r="L125" s="121">
        <f t="shared" si="3"/>
        <v>0.46739130434782611</v>
      </c>
      <c r="M125" s="122">
        <f t="shared" si="3"/>
        <v>0.23267326732673269</v>
      </c>
      <c r="N125" s="122">
        <f t="shared" si="3"/>
        <v>0.75806451612903225</v>
      </c>
      <c r="O125" s="123">
        <f t="shared" si="3"/>
        <v>0.55223880597014929</v>
      </c>
    </row>
    <row r="126" spans="1:15" s="49" customFormat="1" ht="13.5" customHeight="1" x14ac:dyDescent="0.3">
      <c r="A126" s="62" t="s">
        <v>239</v>
      </c>
      <c r="B126" s="86" t="s">
        <v>240</v>
      </c>
      <c r="C126" s="63" t="s">
        <v>254</v>
      </c>
      <c r="D126" s="684">
        <v>1844</v>
      </c>
      <c r="E126" s="685">
        <v>1423</v>
      </c>
      <c r="F126" s="686">
        <v>210</v>
      </c>
      <c r="G126" s="687">
        <v>211</v>
      </c>
      <c r="H126" s="684">
        <v>908</v>
      </c>
      <c r="I126" s="685">
        <v>654</v>
      </c>
      <c r="J126" s="686">
        <v>159</v>
      </c>
      <c r="K126" s="687">
        <v>95</v>
      </c>
      <c r="L126" s="124">
        <f t="shared" si="3"/>
        <v>0.49240780911062909</v>
      </c>
      <c r="M126" s="125">
        <f t="shared" si="3"/>
        <v>0.4595924104005622</v>
      </c>
      <c r="N126" s="125">
        <f t="shared" si="3"/>
        <v>0.75714285714285712</v>
      </c>
      <c r="O126" s="126">
        <f t="shared" si="3"/>
        <v>0.45023696682464454</v>
      </c>
    </row>
    <row r="127" spans="1:15" s="49" customFormat="1" ht="15.75" customHeight="1" x14ac:dyDescent="0.3">
      <c r="A127" s="116"/>
      <c r="B127" s="90"/>
      <c r="C127" s="117"/>
      <c r="D127" s="59"/>
      <c r="E127" s="58"/>
      <c r="F127" s="59"/>
      <c r="G127" s="118"/>
      <c r="H127" s="59"/>
      <c r="I127" s="58"/>
      <c r="J127" s="59"/>
      <c r="K127" s="58"/>
      <c r="L127" s="119"/>
      <c r="M127" s="119"/>
      <c r="N127" s="119"/>
      <c r="O127" s="119"/>
    </row>
    <row r="128" spans="1:15" s="49" customFormat="1" ht="15.75" customHeight="1" x14ac:dyDescent="0.3">
      <c r="A128" s="116" t="s">
        <v>253</v>
      </c>
      <c r="B128" s="90"/>
      <c r="C128" s="117"/>
      <c r="D128" s="127">
        <v>80288</v>
      </c>
      <c r="E128" s="61">
        <v>47339</v>
      </c>
      <c r="F128" s="60">
        <v>25151</v>
      </c>
      <c r="G128" s="128">
        <v>7798</v>
      </c>
      <c r="H128" s="127">
        <v>34335</v>
      </c>
      <c r="I128" s="61">
        <v>13302</v>
      </c>
      <c r="J128" s="60">
        <v>18640</v>
      </c>
      <c r="K128" s="129">
        <v>2393</v>
      </c>
      <c r="L128" s="121">
        <f t="shared" ref="L128:O132" si="4">H128/D128</f>
        <v>0.42764796731765642</v>
      </c>
      <c r="M128" s="122">
        <f t="shared" si="4"/>
        <v>0.28099452882401404</v>
      </c>
      <c r="N128" s="122">
        <f t="shared" si="4"/>
        <v>0.74112361337521371</v>
      </c>
      <c r="O128" s="123">
        <f t="shared" si="4"/>
        <v>0.30687355732239036</v>
      </c>
    </row>
    <row r="129" spans="1:15" s="49" customFormat="1" ht="15.75" customHeight="1" x14ac:dyDescent="0.3">
      <c r="A129" s="116" t="s">
        <v>251</v>
      </c>
      <c r="B129" s="90"/>
      <c r="C129" s="117"/>
      <c r="D129" s="127">
        <v>116351</v>
      </c>
      <c r="E129" s="61">
        <v>62413</v>
      </c>
      <c r="F129" s="60">
        <v>41181</v>
      </c>
      <c r="G129" s="128">
        <v>12757</v>
      </c>
      <c r="H129" s="127">
        <v>47085</v>
      </c>
      <c r="I129" s="61">
        <v>15131</v>
      </c>
      <c r="J129" s="60">
        <v>27456</v>
      </c>
      <c r="K129" s="129">
        <v>4498</v>
      </c>
      <c r="L129" s="121">
        <f t="shared" si="4"/>
        <v>0.404680664540915</v>
      </c>
      <c r="M129" s="122">
        <f t="shared" si="4"/>
        <v>0.24243346738660215</v>
      </c>
      <c r="N129" s="122">
        <f t="shared" si="4"/>
        <v>0.66671523275296862</v>
      </c>
      <c r="O129" s="123">
        <f t="shared" si="4"/>
        <v>0.35259073449870659</v>
      </c>
    </row>
    <row r="130" spans="1:15" s="49" customFormat="1" ht="15.75" customHeight="1" x14ac:dyDescent="0.3">
      <c r="A130" s="116" t="s">
        <v>254</v>
      </c>
      <c r="B130" s="90"/>
      <c r="C130" s="117"/>
      <c r="D130" s="127">
        <v>219069</v>
      </c>
      <c r="E130" s="61">
        <v>130540</v>
      </c>
      <c r="F130" s="60">
        <v>27042</v>
      </c>
      <c r="G130" s="128">
        <v>61485</v>
      </c>
      <c r="H130" s="127">
        <v>56601</v>
      </c>
      <c r="I130" s="61">
        <v>26207</v>
      </c>
      <c r="J130" s="60">
        <v>11986</v>
      </c>
      <c r="K130" s="129">
        <v>18408</v>
      </c>
      <c r="L130" s="121">
        <f t="shared" si="4"/>
        <v>0.25837065034304263</v>
      </c>
      <c r="M130" s="122">
        <f t="shared" si="4"/>
        <v>0.20075838823349165</v>
      </c>
      <c r="N130" s="122">
        <f t="shared" si="4"/>
        <v>0.44323644700835735</v>
      </c>
      <c r="O130" s="123">
        <f t="shared" si="4"/>
        <v>0.29939009514515735</v>
      </c>
    </row>
    <row r="131" spans="1:15" s="49" customFormat="1" ht="15.75" customHeight="1" x14ac:dyDescent="0.3">
      <c r="A131" s="116" t="s">
        <v>252</v>
      </c>
      <c r="B131" s="90"/>
      <c r="C131" s="117"/>
      <c r="D131" s="127">
        <v>60497</v>
      </c>
      <c r="E131" s="61">
        <v>45802</v>
      </c>
      <c r="F131" s="60">
        <v>11652</v>
      </c>
      <c r="G131" s="128">
        <v>3043</v>
      </c>
      <c r="H131" s="127">
        <v>25229</v>
      </c>
      <c r="I131" s="61">
        <v>15386</v>
      </c>
      <c r="J131" s="60">
        <v>8827</v>
      </c>
      <c r="K131" s="129">
        <v>1016</v>
      </c>
      <c r="L131" s="121">
        <f t="shared" si="4"/>
        <v>0.41702894358397935</v>
      </c>
      <c r="M131" s="122">
        <f t="shared" si="4"/>
        <v>0.33592419544998037</v>
      </c>
      <c r="N131" s="122">
        <f t="shared" si="4"/>
        <v>0.75755235152763478</v>
      </c>
      <c r="O131" s="123">
        <f t="shared" si="4"/>
        <v>0.3338810384488991</v>
      </c>
    </row>
    <row r="132" spans="1:15" s="49" customFormat="1" ht="15.75" customHeight="1" x14ac:dyDescent="0.3">
      <c r="A132" s="116" t="s">
        <v>255</v>
      </c>
      <c r="B132" s="90"/>
      <c r="C132" s="117"/>
      <c r="D132" s="127">
        <v>25829</v>
      </c>
      <c r="E132" s="61">
        <v>24445</v>
      </c>
      <c r="F132" s="60">
        <v>612</v>
      </c>
      <c r="G132" s="128">
        <v>772</v>
      </c>
      <c r="H132" s="127">
        <v>9412</v>
      </c>
      <c r="I132" s="61">
        <v>8782</v>
      </c>
      <c r="J132" s="60">
        <v>417</v>
      </c>
      <c r="K132" s="129">
        <v>213</v>
      </c>
      <c r="L132" s="121">
        <f t="shared" si="4"/>
        <v>0.36439660846335514</v>
      </c>
      <c r="M132" s="122">
        <f t="shared" si="4"/>
        <v>0.35925547146655756</v>
      </c>
      <c r="N132" s="122">
        <f t="shared" si="4"/>
        <v>0.68137254901960786</v>
      </c>
      <c r="O132" s="123">
        <f t="shared" si="4"/>
        <v>0.27590673575129532</v>
      </c>
    </row>
    <row r="133" spans="1:15" s="49" customFormat="1" ht="15.75" customHeight="1" x14ac:dyDescent="0.3">
      <c r="A133" s="116"/>
      <c r="B133" s="90"/>
      <c r="C133" s="117"/>
      <c r="D133" s="59"/>
      <c r="E133" s="58"/>
      <c r="F133" s="59"/>
      <c r="G133" s="118"/>
      <c r="H133" s="59"/>
      <c r="I133" s="58"/>
      <c r="J133" s="59"/>
      <c r="K133" s="58"/>
      <c r="L133" s="119"/>
      <c r="M133" s="119"/>
      <c r="N133" s="119"/>
      <c r="O133" s="119"/>
    </row>
    <row r="134" spans="1:15" ht="28.5" customHeight="1" x14ac:dyDescent="0.3">
      <c r="A134" s="2519" t="s">
        <v>836</v>
      </c>
      <c r="B134" s="2519"/>
      <c r="C134" s="2519"/>
      <c r="D134" s="2519"/>
      <c r="E134" s="2519"/>
      <c r="F134" s="2519"/>
      <c r="G134" s="2519"/>
      <c r="H134" s="2519"/>
      <c r="I134" s="2519"/>
      <c r="J134" s="2519"/>
      <c r="K134" s="2519"/>
      <c r="L134" s="2519"/>
      <c r="M134" s="2519"/>
      <c r="N134" s="2519"/>
      <c r="O134" s="2519"/>
    </row>
    <row r="135" spans="1:15" s="81" customFormat="1" ht="13.8" x14ac:dyDescent="0.3">
      <c r="A135" s="81" t="s">
        <v>247</v>
      </c>
    </row>
    <row r="136" spans="1:15" s="81" customFormat="1" ht="13.8" x14ac:dyDescent="0.3">
      <c r="A136" s="87" t="s">
        <v>248</v>
      </c>
      <c r="B136" s="71" t="s">
        <v>249</v>
      </c>
    </row>
  </sheetData>
  <mergeCells count="9">
    <mergeCell ref="A134:O134"/>
    <mergeCell ref="E2:G2"/>
    <mergeCell ref="H3:O3"/>
    <mergeCell ref="A4:A5"/>
    <mergeCell ref="B4:B5"/>
    <mergeCell ref="C4:C5"/>
    <mergeCell ref="D4:G4"/>
    <mergeCell ref="H4:K4"/>
    <mergeCell ref="L4:O4"/>
  </mergeCells>
  <hyperlinks>
    <hyperlink ref="B136"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107" activePane="bottomRight" state="frozen"/>
      <selection pane="topRight" activeCell="C1" sqref="C1"/>
      <selection pane="bottomLeft" activeCell="A6" sqref="A6"/>
      <selection pane="bottomRight" sqref="A1:XFD1048576"/>
    </sheetView>
  </sheetViews>
  <sheetFormatPr defaultColWidth="9" defaultRowHeight="13.8" x14ac:dyDescent="0.3"/>
  <cols>
    <col min="1" max="1" width="9" style="726"/>
    <col min="2" max="2" width="24.5" style="726" customWidth="1"/>
    <col min="3" max="3" width="13.59765625" style="726" customWidth="1"/>
    <col min="4" max="7" width="9" style="726"/>
    <col min="8" max="11" width="7.09765625" style="726" customWidth="1"/>
    <col min="12" max="15" width="6.796875" style="726" customWidth="1"/>
    <col min="16" max="16384" width="9" style="726"/>
  </cols>
  <sheetData>
    <row r="1" spans="1:15" ht="15.6" x14ac:dyDescent="0.3">
      <c r="A1" s="725" t="s">
        <v>896</v>
      </c>
    </row>
    <row r="3" spans="1:15" x14ac:dyDescent="0.3">
      <c r="B3" s="727"/>
      <c r="C3" s="727"/>
      <c r="D3" s="2532" t="s">
        <v>849</v>
      </c>
      <c r="E3" s="2533"/>
      <c r="F3" s="2533"/>
      <c r="G3" s="2534"/>
      <c r="H3" s="2532" t="s">
        <v>626</v>
      </c>
      <c r="I3" s="2533"/>
      <c r="J3" s="2533"/>
      <c r="K3" s="2534"/>
      <c r="L3" s="2535" t="s">
        <v>548</v>
      </c>
      <c r="M3" s="2535"/>
      <c r="N3" s="2535"/>
      <c r="O3" s="2535"/>
    </row>
    <row r="4" spans="1:15" x14ac:dyDescent="0.3">
      <c r="A4" s="728" t="s">
        <v>4</v>
      </c>
      <c r="B4" s="728" t="s">
        <v>402</v>
      </c>
      <c r="C4" s="728" t="s">
        <v>250</v>
      </c>
      <c r="D4" s="729" t="s">
        <v>262</v>
      </c>
      <c r="E4" s="730" t="s">
        <v>2</v>
      </c>
      <c r="F4" s="730" t="s">
        <v>298</v>
      </c>
      <c r="G4" s="731" t="s">
        <v>299</v>
      </c>
      <c r="H4" s="729" t="s">
        <v>262</v>
      </c>
      <c r="I4" s="730" t="s">
        <v>2</v>
      </c>
      <c r="J4" s="730" t="s">
        <v>298</v>
      </c>
      <c r="K4" s="731" t="s">
        <v>299</v>
      </c>
      <c r="L4" s="729" t="s">
        <v>262</v>
      </c>
      <c r="M4" s="730" t="s">
        <v>2</v>
      </c>
      <c r="N4" s="730" t="s">
        <v>298</v>
      </c>
      <c r="O4" s="731" t="s">
        <v>299</v>
      </c>
    </row>
    <row r="5" spans="1:15" x14ac:dyDescent="0.3">
      <c r="A5" s="736" t="s">
        <v>7</v>
      </c>
      <c r="B5" s="737" t="s">
        <v>8</v>
      </c>
      <c r="C5" s="737"/>
      <c r="D5" s="738">
        <f>SUM(D6:D125)</f>
        <v>3651</v>
      </c>
      <c r="E5" s="739">
        <f t="shared" ref="E5:G5" si="0">SUM(E6:E125)</f>
        <v>1858</v>
      </c>
      <c r="F5" s="739">
        <f t="shared" si="0"/>
        <v>1192</v>
      </c>
      <c r="G5" s="740">
        <f t="shared" si="0"/>
        <v>601</v>
      </c>
      <c r="H5" s="738">
        <f t="shared" ref="H5" si="1">SUM(H6:H125)</f>
        <v>523702</v>
      </c>
      <c r="I5" s="741">
        <f t="shared" ref="I5" si="2">SUM(I6:I125)</f>
        <v>353561</v>
      </c>
      <c r="J5" s="741">
        <f t="shared" ref="J5" si="3">SUM(J6:J125)</f>
        <v>123843</v>
      </c>
      <c r="K5" s="740">
        <f t="shared" ref="K5" si="4">SUM(K6:K125)</f>
        <v>46298</v>
      </c>
      <c r="L5" s="749">
        <f t="shared" ref="L5" si="5">IF(H5=0,"NA",(D5/H5)*1000)</f>
        <v>6.9715219724194295</v>
      </c>
      <c r="M5" s="750">
        <f t="shared" ref="M5:O5" si="6">IF(I5=0,"NA",(E5/I5)*1000)</f>
        <v>5.2551044939911362</v>
      </c>
      <c r="N5" s="750">
        <f t="shared" si="6"/>
        <v>9.6250898314801798</v>
      </c>
      <c r="O5" s="751">
        <f t="shared" si="6"/>
        <v>12.981122294699556</v>
      </c>
    </row>
    <row r="6" spans="1:15" x14ac:dyDescent="0.3">
      <c r="A6" s="726" t="s">
        <v>9</v>
      </c>
      <c r="B6" s="726" t="s">
        <v>10</v>
      </c>
      <c r="C6" s="726" t="s">
        <v>251</v>
      </c>
      <c r="D6" s="732">
        <v>25</v>
      </c>
      <c r="E6" s="733">
        <v>9</v>
      </c>
      <c r="F6" s="733">
        <v>13</v>
      </c>
      <c r="G6" s="734">
        <v>3</v>
      </c>
      <c r="H6" s="732">
        <v>1746</v>
      </c>
      <c r="I6" s="733">
        <v>1072</v>
      </c>
      <c r="J6" s="733">
        <v>622</v>
      </c>
      <c r="K6" s="734">
        <v>52</v>
      </c>
      <c r="L6" s="752">
        <f t="shared" ref="L6:L37" si="7">IF(H6=0,"NA",(D6/H6)*1000)</f>
        <v>14.318442153493699</v>
      </c>
      <c r="M6" s="753">
        <f t="shared" ref="M6:M37" si="8">IF(I6=0,"NA",(E6/I6)*1000)</f>
        <v>8.3955223880597014</v>
      </c>
      <c r="N6" s="753">
        <f t="shared" ref="N6:N37" si="9">IF(J6=0,"NA",(F6/J6)*1000)</f>
        <v>20.90032154340836</v>
      </c>
      <c r="O6" s="754">
        <f t="shared" ref="O6:O37" si="10">IF(K6=0,"NA",(G6/K6)*1000)</f>
        <v>57.692307692307693</v>
      </c>
    </row>
    <row r="7" spans="1:15" x14ac:dyDescent="0.3">
      <c r="A7" s="726" t="s">
        <v>11</v>
      </c>
      <c r="B7" s="726" t="s">
        <v>12</v>
      </c>
      <c r="C7" s="726" t="s">
        <v>252</v>
      </c>
      <c r="D7" s="732">
        <v>16</v>
      </c>
      <c r="E7" s="733">
        <v>13</v>
      </c>
      <c r="F7" s="733">
        <v>3</v>
      </c>
      <c r="G7" s="734">
        <v>0</v>
      </c>
      <c r="H7" s="732">
        <v>7799</v>
      </c>
      <c r="I7" s="733">
        <v>6164</v>
      </c>
      <c r="J7" s="733">
        <v>947</v>
      </c>
      <c r="K7" s="734">
        <v>688</v>
      </c>
      <c r="L7" s="752">
        <f t="shared" si="7"/>
        <v>2.051545069880754</v>
      </c>
      <c r="M7" s="753">
        <f t="shared" si="8"/>
        <v>2.109020116807268</v>
      </c>
      <c r="N7" s="753">
        <f t="shared" si="9"/>
        <v>3.1678986272439285</v>
      </c>
      <c r="O7" s="754">
        <f t="shared" si="10"/>
        <v>0</v>
      </c>
    </row>
    <row r="8" spans="1:15" x14ac:dyDescent="0.3">
      <c r="A8" s="726" t="s">
        <v>15</v>
      </c>
      <c r="B8" s="726" t="s">
        <v>273</v>
      </c>
      <c r="C8" s="726" t="s">
        <v>252</v>
      </c>
      <c r="D8" s="732">
        <v>11</v>
      </c>
      <c r="E8" s="733">
        <v>10</v>
      </c>
      <c r="F8" s="733">
        <v>1</v>
      </c>
      <c r="G8" s="734">
        <v>0</v>
      </c>
      <c r="H8" s="732">
        <v>1079</v>
      </c>
      <c r="I8" s="733">
        <v>964</v>
      </c>
      <c r="J8" s="733">
        <v>104</v>
      </c>
      <c r="K8" s="734">
        <v>11</v>
      </c>
      <c r="L8" s="752">
        <f t="shared" si="7"/>
        <v>10.194624652455978</v>
      </c>
      <c r="M8" s="753">
        <f t="shared" si="8"/>
        <v>10.37344398340249</v>
      </c>
      <c r="N8" s="753">
        <f t="shared" si="9"/>
        <v>9.6153846153846168</v>
      </c>
      <c r="O8" s="754">
        <f t="shared" si="10"/>
        <v>0</v>
      </c>
    </row>
    <row r="9" spans="1:15" x14ac:dyDescent="0.3">
      <c r="A9" s="726" t="s">
        <v>17</v>
      </c>
      <c r="B9" s="726" t="s">
        <v>18</v>
      </c>
      <c r="C9" s="726" t="s">
        <v>253</v>
      </c>
      <c r="D9" s="732">
        <v>9</v>
      </c>
      <c r="E9" s="733">
        <v>6</v>
      </c>
      <c r="F9" s="733">
        <v>3</v>
      </c>
      <c r="G9" s="734">
        <v>0</v>
      </c>
      <c r="H9" s="732">
        <v>750</v>
      </c>
      <c r="I9" s="733">
        <v>581</v>
      </c>
      <c r="J9" s="733">
        <v>150</v>
      </c>
      <c r="K9" s="734">
        <v>19</v>
      </c>
      <c r="L9" s="752">
        <f t="shared" si="7"/>
        <v>12</v>
      </c>
      <c r="M9" s="753">
        <f t="shared" si="8"/>
        <v>10.327022375215147</v>
      </c>
      <c r="N9" s="753">
        <f t="shared" si="9"/>
        <v>20</v>
      </c>
      <c r="O9" s="754">
        <f t="shared" si="10"/>
        <v>0</v>
      </c>
    </row>
    <row r="10" spans="1:15" x14ac:dyDescent="0.3">
      <c r="A10" s="726" t="s">
        <v>19</v>
      </c>
      <c r="B10" s="726" t="s">
        <v>20</v>
      </c>
      <c r="C10" s="726" t="s">
        <v>252</v>
      </c>
      <c r="D10" s="732">
        <v>12</v>
      </c>
      <c r="E10" s="733">
        <v>7</v>
      </c>
      <c r="F10" s="733">
        <v>5</v>
      </c>
      <c r="G10" s="734">
        <v>0</v>
      </c>
      <c r="H10" s="732">
        <v>1758</v>
      </c>
      <c r="I10" s="733">
        <v>1354</v>
      </c>
      <c r="J10" s="733">
        <v>372</v>
      </c>
      <c r="K10" s="734">
        <v>32</v>
      </c>
      <c r="L10" s="752">
        <f t="shared" si="7"/>
        <v>6.8259385665529013</v>
      </c>
      <c r="M10" s="753">
        <f t="shared" si="8"/>
        <v>5.1698670605613</v>
      </c>
      <c r="N10" s="753">
        <f t="shared" si="9"/>
        <v>13.440860215053764</v>
      </c>
      <c r="O10" s="754">
        <f t="shared" si="10"/>
        <v>0</v>
      </c>
    </row>
    <row r="11" spans="1:15" x14ac:dyDescent="0.3">
      <c r="A11" s="726" t="s">
        <v>21</v>
      </c>
      <c r="B11" s="726" t="s">
        <v>22</v>
      </c>
      <c r="C11" s="726" t="s">
        <v>252</v>
      </c>
      <c r="D11" s="732">
        <v>12</v>
      </c>
      <c r="E11" s="733">
        <v>8</v>
      </c>
      <c r="F11" s="733">
        <v>4</v>
      </c>
      <c r="G11" s="734">
        <v>0</v>
      </c>
      <c r="H11" s="732">
        <v>915</v>
      </c>
      <c r="I11" s="733">
        <v>705</v>
      </c>
      <c r="J11" s="733">
        <v>208</v>
      </c>
      <c r="K11" s="734">
        <v>2</v>
      </c>
      <c r="L11" s="752">
        <f t="shared" si="7"/>
        <v>13.114754098360656</v>
      </c>
      <c r="M11" s="753">
        <f t="shared" si="8"/>
        <v>11.347517730496454</v>
      </c>
      <c r="N11" s="753">
        <f t="shared" si="9"/>
        <v>19.230769230769234</v>
      </c>
      <c r="O11" s="754">
        <f t="shared" si="10"/>
        <v>0</v>
      </c>
    </row>
    <row r="12" spans="1:15" x14ac:dyDescent="0.3">
      <c r="A12" s="726" t="s">
        <v>23</v>
      </c>
      <c r="B12" s="726" t="s">
        <v>24</v>
      </c>
      <c r="C12" s="726" t="s">
        <v>254</v>
      </c>
      <c r="D12" s="732">
        <v>43</v>
      </c>
      <c r="E12" s="733">
        <v>32</v>
      </c>
      <c r="F12" s="733">
        <v>2</v>
      </c>
      <c r="G12" s="734">
        <v>9</v>
      </c>
      <c r="H12" s="732">
        <v>10140</v>
      </c>
      <c r="I12" s="733">
        <v>7561</v>
      </c>
      <c r="J12" s="733">
        <v>1269</v>
      </c>
      <c r="K12" s="734">
        <v>1310</v>
      </c>
      <c r="L12" s="752">
        <f t="shared" si="7"/>
        <v>4.2406311637080867</v>
      </c>
      <c r="M12" s="753">
        <f t="shared" si="8"/>
        <v>4.2322444121147997</v>
      </c>
      <c r="N12" s="753">
        <f t="shared" si="9"/>
        <v>1.5760441292356187</v>
      </c>
      <c r="O12" s="754">
        <f t="shared" si="10"/>
        <v>6.8702290076335872</v>
      </c>
    </row>
    <row r="13" spans="1:15" x14ac:dyDescent="0.3">
      <c r="A13" s="726" t="s">
        <v>25</v>
      </c>
      <c r="B13" s="726" t="s">
        <v>274</v>
      </c>
      <c r="C13" s="726" t="s">
        <v>252</v>
      </c>
      <c r="D13" s="732">
        <v>54</v>
      </c>
      <c r="E13" s="733">
        <v>51</v>
      </c>
      <c r="F13" s="733">
        <v>3</v>
      </c>
      <c r="G13" s="734">
        <v>0</v>
      </c>
      <c r="H13" s="732">
        <v>6674</v>
      </c>
      <c r="I13" s="733">
        <v>5773</v>
      </c>
      <c r="J13" s="733">
        <v>791</v>
      </c>
      <c r="K13" s="734">
        <v>110</v>
      </c>
      <c r="L13" s="752">
        <f t="shared" si="7"/>
        <v>8.0910997902307464</v>
      </c>
      <c r="M13" s="753">
        <f t="shared" si="8"/>
        <v>8.834228304174605</v>
      </c>
      <c r="N13" s="753">
        <f t="shared" si="9"/>
        <v>3.7926675094816686</v>
      </c>
      <c r="O13" s="754">
        <f t="shared" si="10"/>
        <v>0</v>
      </c>
    </row>
    <row r="14" spans="1:15" x14ac:dyDescent="0.3">
      <c r="A14" s="726" t="s">
        <v>26</v>
      </c>
      <c r="B14" s="726" t="s">
        <v>27</v>
      </c>
      <c r="C14" s="726" t="s">
        <v>252</v>
      </c>
      <c r="D14" s="732">
        <v>2</v>
      </c>
      <c r="E14" s="733">
        <v>2</v>
      </c>
      <c r="F14" s="733">
        <v>0</v>
      </c>
      <c r="G14" s="734">
        <v>0</v>
      </c>
      <c r="H14" s="732">
        <v>168</v>
      </c>
      <c r="I14" s="733">
        <v>155</v>
      </c>
      <c r="J14" s="733">
        <v>13</v>
      </c>
      <c r="K14" s="734">
        <v>0</v>
      </c>
      <c r="L14" s="752">
        <f t="shared" si="7"/>
        <v>11.904761904761903</v>
      </c>
      <c r="M14" s="753">
        <f t="shared" si="8"/>
        <v>12.903225806451612</v>
      </c>
      <c r="N14" s="753">
        <f t="shared" si="9"/>
        <v>0</v>
      </c>
      <c r="O14" s="754" t="str">
        <f t="shared" si="10"/>
        <v>NA</v>
      </c>
    </row>
    <row r="15" spans="1:15" x14ac:dyDescent="0.3">
      <c r="A15" s="726" t="s">
        <v>28</v>
      </c>
      <c r="B15" s="726" t="s">
        <v>568</v>
      </c>
      <c r="C15" s="726" t="s">
        <v>252</v>
      </c>
      <c r="D15" s="732">
        <v>34</v>
      </c>
      <c r="E15" s="733">
        <v>27</v>
      </c>
      <c r="F15" s="733">
        <v>6</v>
      </c>
      <c r="G15" s="734">
        <v>1</v>
      </c>
      <c r="H15" s="732">
        <v>4499</v>
      </c>
      <c r="I15" s="733">
        <v>3969</v>
      </c>
      <c r="J15" s="733">
        <v>391</v>
      </c>
      <c r="K15" s="734">
        <v>139</v>
      </c>
      <c r="L15" s="752">
        <f t="shared" si="7"/>
        <v>7.557234941098022</v>
      </c>
      <c r="M15" s="753">
        <f t="shared" si="8"/>
        <v>6.8027210884353737</v>
      </c>
      <c r="N15" s="753">
        <f t="shared" si="9"/>
        <v>15.34526854219949</v>
      </c>
      <c r="O15" s="754">
        <f t="shared" si="10"/>
        <v>7.1942446043165473</v>
      </c>
    </row>
    <row r="16" spans="1:15" x14ac:dyDescent="0.3">
      <c r="A16" s="726" t="s">
        <v>29</v>
      </c>
      <c r="B16" s="726" t="s">
        <v>30</v>
      </c>
      <c r="C16" s="726" t="s">
        <v>255</v>
      </c>
      <c r="D16" s="732">
        <v>2</v>
      </c>
      <c r="E16" s="733">
        <v>1</v>
      </c>
      <c r="F16" s="733">
        <v>1</v>
      </c>
      <c r="G16" s="734">
        <v>0</v>
      </c>
      <c r="H16" s="732">
        <v>274</v>
      </c>
      <c r="I16" s="733">
        <v>263</v>
      </c>
      <c r="J16" s="733">
        <v>9</v>
      </c>
      <c r="K16" s="734">
        <v>2</v>
      </c>
      <c r="L16" s="752">
        <f t="shared" si="7"/>
        <v>7.2992700729927007</v>
      </c>
      <c r="M16" s="753">
        <f t="shared" si="8"/>
        <v>3.8022813688212929</v>
      </c>
      <c r="N16" s="753">
        <f t="shared" si="9"/>
        <v>111.1111111111111</v>
      </c>
      <c r="O16" s="754">
        <f t="shared" si="10"/>
        <v>0</v>
      </c>
    </row>
    <row r="17" spans="1:15" x14ac:dyDescent="0.3">
      <c r="A17" s="726" t="s">
        <v>31</v>
      </c>
      <c r="B17" s="726" t="s">
        <v>32</v>
      </c>
      <c r="C17" s="726" t="s">
        <v>252</v>
      </c>
      <c r="D17" s="732">
        <v>5</v>
      </c>
      <c r="E17" s="733">
        <v>5</v>
      </c>
      <c r="F17" s="733">
        <v>0</v>
      </c>
      <c r="G17" s="734">
        <v>0</v>
      </c>
      <c r="H17" s="732">
        <v>1904</v>
      </c>
      <c r="I17" s="733">
        <v>1790</v>
      </c>
      <c r="J17" s="733">
        <v>69</v>
      </c>
      <c r="K17" s="734">
        <v>45</v>
      </c>
      <c r="L17" s="752">
        <f t="shared" si="7"/>
        <v>2.6260504201680672</v>
      </c>
      <c r="M17" s="753">
        <f t="shared" si="8"/>
        <v>2.7932960893854748</v>
      </c>
      <c r="N17" s="753">
        <f t="shared" si="9"/>
        <v>0</v>
      </c>
      <c r="O17" s="754">
        <f t="shared" si="10"/>
        <v>0</v>
      </c>
    </row>
    <row r="18" spans="1:15" x14ac:dyDescent="0.3">
      <c r="A18" s="726" t="s">
        <v>35</v>
      </c>
      <c r="B18" s="726" t="s">
        <v>36</v>
      </c>
      <c r="C18" s="726" t="s">
        <v>251</v>
      </c>
      <c r="D18" s="732">
        <v>8</v>
      </c>
      <c r="E18" s="733">
        <v>2</v>
      </c>
      <c r="F18" s="733">
        <v>5</v>
      </c>
      <c r="G18" s="734">
        <v>1</v>
      </c>
      <c r="H18" s="732">
        <v>729</v>
      </c>
      <c r="I18" s="733">
        <v>286</v>
      </c>
      <c r="J18" s="733">
        <v>428</v>
      </c>
      <c r="K18" s="734">
        <v>15</v>
      </c>
      <c r="L18" s="752">
        <f t="shared" si="7"/>
        <v>10.973936899862824</v>
      </c>
      <c r="M18" s="753">
        <f t="shared" si="8"/>
        <v>6.9930069930069934</v>
      </c>
      <c r="N18" s="753">
        <f t="shared" si="9"/>
        <v>11.682242990654204</v>
      </c>
      <c r="O18" s="754">
        <f t="shared" si="10"/>
        <v>66.666666666666671</v>
      </c>
    </row>
    <row r="19" spans="1:15" x14ac:dyDescent="0.3">
      <c r="A19" s="726" t="s">
        <v>37</v>
      </c>
      <c r="B19" s="726" t="s">
        <v>38</v>
      </c>
      <c r="C19" s="726" t="s">
        <v>255</v>
      </c>
      <c r="D19" s="732">
        <v>18</v>
      </c>
      <c r="E19" s="733">
        <v>18</v>
      </c>
      <c r="F19" s="733">
        <v>0</v>
      </c>
      <c r="G19" s="734">
        <v>0</v>
      </c>
      <c r="H19" s="732">
        <v>1047</v>
      </c>
      <c r="I19" s="733">
        <v>966</v>
      </c>
      <c r="J19" s="733">
        <v>77</v>
      </c>
      <c r="K19" s="734">
        <v>4</v>
      </c>
      <c r="L19" s="752">
        <f t="shared" si="7"/>
        <v>17.191977077363898</v>
      </c>
      <c r="M19" s="753">
        <f t="shared" si="8"/>
        <v>18.633540372670808</v>
      </c>
      <c r="N19" s="753">
        <f t="shared" si="9"/>
        <v>0</v>
      </c>
      <c r="O19" s="754">
        <f t="shared" si="10"/>
        <v>0</v>
      </c>
    </row>
    <row r="20" spans="1:15" x14ac:dyDescent="0.3">
      <c r="A20" s="726" t="s">
        <v>39</v>
      </c>
      <c r="B20" s="726" t="s">
        <v>40</v>
      </c>
      <c r="C20" s="726" t="s">
        <v>253</v>
      </c>
      <c r="D20" s="732">
        <v>5</v>
      </c>
      <c r="E20" s="733">
        <v>4</v>
      </c>
      <c r="F20" s="733">
        <v>1</v>
      </c>
      <c r="G20" s="734">
        <v>0</v>
      </c>
      <c r="H20" s="732">
        <v>832</v>
      </c>
      <c r="I20" s="733">
        <v>523</v>
      </c>
      <c r="J20" s="733">
        <v>299</v>
      </c>
      <c r="K20" s="734">
        <v>10</v>
      </c>
      <c r="L20" s="752">
        <f t="shared" si="7"/>
        <v>6.009615384615385</v>
      </c>
      <c r="M20" s="753">
        <f t="shared" si="8"/>
        <v>7.6481835564053533</v>
      </c>
      <c r="N20" s="753">
        <f t="shared" si="9"/>
        <v>3.3444816053511706</v>
      </c>
      <c r="O20" s="754">
        <f t="shared" si="10"/>
        <v>0</v>
      </c>
    </row>
    <row r="21" spans="1:15" x14ac:dyDescent="0.3">
      <c r="A21" s="726" t="s">
        <v>41</v>
      </c>
      <c r="B21" s="726" t="s">
        <v>42</v>
      </c>
      <c r="C21" s="726" t="s">
        <v>252</v>
      </c>
      <c r="D21" s="732">
        <v>27</v>
      </c>
      <c r="E21" s="733">
        <v>17</v>
      </c>
      <c r="F21" s="733">
        <v>10</v>
      </c>
      <c r="G21" s="734">
        <v>0</v>
      </c>
      <c r="H21" s="732">
        <v>2967</v>
      </c>
      <c r="I21" s="733">
        <v>2423</v>
      </c>
      <c r="J21" s="733">
        <v>488</v>
      </c>
      <c r="K21" s="734">
        <v>56</v>
      </c>
      <c r="L21" s="752">
        <f t="shared" si="7"/>
        <v>9.1001011122345812</v>
      </c>
      <c r="M21" s="753">
        <f t="shared" si="8"/>
        <v>7.0160957490713995</v>
      </c>
      <c r="N21" s="753">
        <f t="shared" si="9"/>
        <v>20.491803278688522</v>
      </c>
      <c r="O21" s="754">
        <f t="shared" si="10"/>
        <v>0</v>
      </c>
    </row>
    <row r="22" spans="1:15" x14ac:dyDescent="0.3">
      <c r="A22" s="726" t="s">
        <v>43</v>
      </c>
      <c r="B22" s="726" t="s">
        <v>44</v>
      </c>
      <c r="C22" s="726" t="s">
        <v>253</v>
      </c>
      <c r="D22" s="732">
        <v>15</v>
      </c>
      <c r="E22" s="733">
        <v>9</v>
      </c>
      <c r="F22" s="733">
        <v>6</v>
      </c>
      <c r="G22" s="734">
        <v>0</v>
      </c>
      <c r="H22" s="732">
        <v>1719</v>
      </c>
      <c r="I22" s="733">
        <v>1161</v>
      </c>
      <c r="J22" s="733">
        <v>521</v>
      </c>
      <c r="K22" s="734">
        <v>37</v>
      </c>
      <c r="L22" s="752">
        <f t="shared" si="7"/>
        <v>8.7260034904013963</v>
      </c>
      <c r="M22" s="753">
        <f t="shared" si="8"/>
        <v>7.7519379844961236</v>
      </c>
      <c r="N22" s="753">
        <f t="shared" si="9"/>
        <v>11.516314779270633</v>
      </c>
      <c r="O22" s="754">
        <f t="shared" si="10"/>
        <v>0</v>
      </c>
    </row>
    <row r="23" spans="1:15" x14ac:dyDescent="0.3">
      <c r="A23" s="726" t="s">
        <v>45</v>
      </c>
      <c r="B23" s="726" t="s">
        <v>46</v>
      </c>
      <c r="C23" s="726" t="s">
        <v>255</v>
      </c>
      <c r="D23" s="732">
        <v>22</v>
      </c>
      <c r="E23" s="733">
        <v>22</v>
      </c>
      <c r="F23" s="733">
        <v>0</v>
      </c>
      <c r="G23" s="734">
        <v>0</v>
      </c>
      <c r="H23" s="732">
        <v>1551</v>
      </c>
      <c r="I23" s="733">
        <v>1506</v>
      </c>
      <c r="J23" s="733">
        <v>26</v>
      </c>
      <c r="K23" s="734">
        <v>19</v>
      </c>
      <c r="L23" s="752">
        <f t="shared" si="7"/>
        <v>14.184397163120567</v>
      </c>
      <c r="M23" s="753">
        <f t="shared" si="8"/>
        <v>14.608233731739707</v>
      </c>
      <c r="N23" s="753">
        <f t="shared" si="9"/>
        <v>0</v>
      </c>
      <c r="O23" s="754">
        <f t="shared" si="10"/>
        <v>0</v>
      </c>
    </row>
    <row r="24" spans="1:15" x14ac:dyDescent="0.3">
      <c r="A24" s="726" t="s">
        <v>47</v>
      </c>
      <c r="B24" s="726" t="s">
        <v>256</v>
      </c>
      <c r="C24" s="726" t="s">
        <v>253</v>
      </c>
      <c r="D24" s="732">
        <v>3</v>
      </c>
      <c r="E24" s="733">
        <v>2</v>
      </c>
      <c r="F24" s="733">
        <v>1</v>
      </c>
      <c r="G24" s="734">
        <v>0</v>
      </c>
      <c r="H24" s="732">
        <v>299</v>
      </c>
      <c r="I24" s="733">
        <v>121</v>
      </c>
      <c r="J24" s="733">
        <v>146</v>
      </c>
      <c r="K24" s="734">
        <v>32</v>
      </c>
      <c r="L24" s="752">
        <f t="shared" si="7"/>
        <v>10.033444816053512</v>
      </c>
      <c r="M24" s="753">
        <f t="shared" si="8"/>
        <v>16.528925619834713</v>
      </c>
      <c r="N24" s="753">
        <f t="shared" si="9"/>
        <v>6.8493150684931505</v>
      </c>
      <c r="O24" s="754">
        <f t="shared" si="10"/>
        <v>0</v>
      </c>
    </row>
    <row r="25" spans="1:15" x14ac:dyDescent="0.3">
      <c r="A25" s="726" t="s">
        <v>49</v>
      </c>
      <c r="B25" s="726" t="s">
        <v>50</v>
      </c>
      <c r="C25" s="726" t="s">
        <v>252</v>
      </c>
      <c r="D25" s="732">
        <v>3</v>
      </c>
      <c r="E25" s="733">
        <v>2</v>
      </c>
      <c r="F25" s="733">
        <v>1</v>
      </c>
      <c r="G25" s="734">
        <v>0</v>
      </c>
      <c r="H25" s="732">
        <v>681</v>
      </c>
      <c r="I25" s="733">
        <v>459</v>
      </c>
      <c r="J25" s="733">
        <v>209</v>
      </c>
      <c r="K25" s="734">
        <v>13</v>
      </c>
      <c r="L25" s="752">
        <f t="shared" si="7"/>
        <v>4.4052863436123353</v>
      </c>
      <c r="M25" s="753">
        <f t="shared" si="8"/>
        <v>4.3572984749455346</v>
      </c>
      <c r="N25" s="753">
        <f t="shared" si="9"/>
        <v>4.7846889952153111</v>
      </c>
      <c r="O25" s="754">
        <f t="shared" si="10"/>
        <v>0</v>
      </c>
    </row>
    <row r="26" spans="1:15" x14ac:dyDescent="0.3">
      <c r="A26" s="726" t="s">
        <v>55</v>
      </c>
      <c r="B26" s="726" t="s">
        <v>271</v>
      </c>
      <c r="C26" s="726" t="s">
        <v>253</v>
      </c>
      <c r="D26" s="732">
        <v>124</v>
      </c>
      <c r="E26" s="733">
        <v>65</v>
      </c>
      <c r="F26" s="733">
        <v>41</v>
      </c>
      <c r="G26" s="734">
        <v>18</v>
      </c>
      <c r="H26" s="732">
        <v>24959</v>
      </c>
      <c r="I26" s="733">
        <v>16057</v>
      </c>
      <c r="J26" s="733">
        <v>7728</v>
      </c>
      <c r="K26" s="734">
        <v>1174</v>
      </c>
      <c r="L26" s="752">
        <f t="shared" si="7"/>
        <v>4.9681477623302213</v>
      </c>
      <c r="M26" s="753">
        <f t="shared" si="8"/>
        <v>4.0480787195615626</v>
      </c>
      <c r="N26" s="753">
        <f t="shared" si="9"/>
        <v>5.3053830227743273</v>
      </c>
      <c r="O26" s="754">
        <f t="shared" si="10"/>
        <v>15.332197614991482</v>
      </c>
    </row>
    <row r="27" spans="1:15" x14ac:dyDescent="0.3">
      <c r="A27" s="726" t="s">
        <v>57</v>
      </c>
      <c r="B27" s="726" t="s">
        <v>58</v>
      </c>
      <c r="C27" s="726" t="s">
        <v>254</v>
      </c>
      <c r="D27" s="732">
        <v>5</v>
      </c>
      <c r="E27" s="733">
        <v>2</v>
      </c>
      <c r="F27" s="733">
        <v>2</v>
      </c>
      <c r="G27" s="734">
        <v>1</v>
      </c>
      <c r="H27" s="732">
        <v>897</v>
      </c>
      <c r="I27" s="733">
        <v>832</v>
      </c>
      <c r="J27" s="733">
        <v>41</v>
      </c>
      <c r="K27" s="734">
        <v>24</v>
      </c>
      <c r="L27" s="752">
        <f t="shared" si="7"/>
        <v>5.574136008918618</v>
      </c>
      <c r="M27" s="753">
        <f t="shared" si="8"/>
        <v>2.4038461538461542</v>
      </c>
      <c r="N27" s="753">
        <f t="shared" si="9"/>
        <v>48.780487804878049</v>
      </c>
      <c r="O27" s="754">
        <f t="shared" si="10"/>
        <v>41.666666666666664</v>
      </c>
    </row>
    <row r="28" spans="1:15" x14ac:dyDescent="0.3">
      <c r="A28" s="726" t="s">
        <v>59</v>
      </c>
      <c r="B28" s="726" t="s">
        <v>60</v>
      </c>
      <c r="C28" s="726" t="s">
        <v>252</v>
      </c>
      <c r="D28" s="732">
        <v>3</v>
      </c>
      <c r="E28" s="733">
        <v>3</v>
      </c>
      <c r="F28" s="733">
        <v>0</v>
      </c>
      <c r="G28" s="734">
        <v>0</v>
      </c>
      <c r="H28" s="732">
        <v>266</v>
      </c>
      <c r="I28" s="733">
        <v>257</v>
      </c>
      <c r="J28" s="733">
        <v>6</v>
      </c>
      <c r="K28" s="734">
        <v>3</v>
      </c>
      <c r="L28" s="752">
        <f t="shared" si="7"/>
        <v>11.278195488721805</v>
      </c>
      <c r="M28" s="753">
        <f t="shared" si="8"/>
        <v>11.673151750972762</v>
      </c>
      <c r="N28" s="753">
        <f t="shared" si="9"/>
        <v>0</v>
      </c>
      <c r="O28" s="754">
        <f t="shared" si="10"/>
        <v>0</v>
      </c>
    </row>
    <row r="29" spans="1:15" x14ac:dyDescent="0.3">
      <c r="A29" s="726" t="s">
        <v>61</v>
      </c>
      <c r="B29" s="726" t="s">
        <v>62</v>
      </c>
      <c r="C29" s="726" t="s">
        <v>254</v>
      </c>
      <c r="D29" s="732">
        <v>52</v>
      </c>
      <c r="E29" s="733">
        <v>48</v>
      </c>
      <c r="F29" s="733">
        <v>3</v>
      </c>
      <c r="G29" s="734">
        <v>1</v>
      </c>
      <c r="H29" s="732">
        <v>3617</v>
      </c>
      <c r="I29" s="733">
        <v>2907</v>
      </c>
      <c r="J29" s="733">
        <v>576</v>
      </c>
      <c r="K29" s="734">
        <v>134</v>
      </c>
      <c r="L29" s="752">
        <f t="shared" si="7"/>
        <v>14.376555156206802</v>
      </c>
      <c r="M29" s="753">
        <f t="shared" si="8"/>
        <v>16.511867905056757</v>
      </c>
      <c r="N29" s="753">
        <f t="shared" si="9"/>
        <v>5.208333333333333</v>
      </c>
      <c r="O29" s="754">
        <f t="shared" si="10"/>
        <v>7.4626865671641793</v>
      </c>
    </row>
    <row r="30" spans="1:15" x14ac:dyDescent="0.3">
      <c r="A30" s="726" t="s">
        <v>63</v>
      </c>
      <c r="B30" s="726" t="s">
        <v>64</v>
      </c>
      <c r="C30" s="726" t="s">
        <v>253</v>
      </c>
      <c r="D30" s="732">
        <v>2</v>
      </c>
      <c r="E30" s="733">
        <v>2</v>
      </c>
      <c r="F30" s="733">
        <v>0</v>
      </c>
      <c r="G30" s="734">
        <v>0</v>
      </c>
      <c r="H30" s="732">
        <v>550</v>
      </c>
      <c r="I30" s="733">
        <v>343</v>
      </c>
      <c r="J30" s="733">
        <v>200</v>
      </c>
      <c r="K30" s="734">
        <v>7</v>
      </c>
      <c r="L30" s="752">
        <f t="shared" si="7"/>
        <v>3.6363636363636362</v>
      </c>
      <c r="M30" s="753">
        <f t="shared" si="8"/>
        <v>5.8309037900874632</v>
      </c>
      <c r="N30" s="753">
        <f t="shared" si="9"/>
        <v>0</v>
      </c>
      <c r="O30" s="754">
        <f t="shared" si="10"/>
        <v>0</v>
      </c>
    </row>
    <row r="31" spans="1:15" x14ac:dyDescent="0.3">
      <c r="A31" s="726" t="s">
        <v>67</v>
      </c>
      <c r="B31" s="726" t="s">
        <v>68</v>
      </c>
      <c r="C31" s="726" t="s">
        <v>255</v>
      </c>
      <c r="D31" s="732">
        <v>5</v>
      </c>
      <c r="E31" s="733">
        <v>5</v>
      </c>
      <c r="F31" s="733">
        <v>0</v>
      </c>
      <c r="G31" s="734">
        <v>0</v>
      </c>
      <c r="H31" s="732">
        <v>756</v>
      </c>
      <c r="I31" s="733">
        <v>747</v>
      </c>
      <c r="J31" s="733">
        <v>6</v>
      </c>
      <c r="K31" s="734">
        <v>3</v>
      </c>
      <c r="L31" s="752">
        <f t="shared" si="7"/>
        <v>6.6137566137566131</v>
      </c>
      <c r="M31" s="753">
        <f t="shared" si="8"/>
        <v>6.6934404283801872</v>
      </c>
      <c r="N31" s="753">
        <f t="shared" si="9"/>
        <v>0</v>
      </c>
      <c r="O31" s="754">
        <f t="shared" si="10"/>
        <v>0</v>
      </c>
    </row>
    <row r="32" spans="1:15" x14ac:dyDescent="0.3">
      <c r="A32" s="726" t="s">
        <v>69</v>
      </c>
      <c r="B32" s="726" t="s">
        <v>70</v>
      </c>
      <c r="C32" s="726" t="s">
        <v>251</v>
      </c>
      <c r="D32" s="732">
        <v>8</v>
      </c>
      <c r="E32" s="733">
        <v>5</v>
      </c>
      <c r="F32" s="733">
        <v>3</v>
      </c>
      <c r="G32" s="734">
        <v>0</v>
      </c>
      <c r="H32" s="732">
        <v>1665</v>
      </c>
      <c r="I32" s="733">
        <v>1022</v>
      </c>
      <c r="J32" s="733">
        <v>619</v>
      </c>
      <c r="K32" s="734">
        <v>24</v>
      </c>
      <c r="L32" s="752">
        <f t="shared" si="7"/>
        <v>4.8048048048048049</v>
      </c>
      <c r="M32" s="753">
        <f t="shared" si="8"/>
        <v>4.8923679060665357</v>
      </c>
      <c r="N32" s="753">
        <f t="shared" si="9"/>
        <v>4.8465266558966071</v>
      </c>
      <c r="O32" s="754">
        <f t="shared" si="10"/>
        <v>0</v>
      </c>
    </row>
    <row r="33" spans="1:15" x14ac:dyDescent="0.3">
      <c r="A33" s="726" t="s">
        <v>71</v>
      </c>
      <c r="B33" s="726" t="s">
        <v>72</v>
      </c>
      <c r="C33" s="726" t="s">
        <v>253</v>
      </c>
      <c r="D33" s="732">
        <v>5</v>
      </c>
      <c r="E33" s="733">
        <v>2</v>
      </c>
      <c r="F33" s="733">
        <v>3</v>
      </c>
      <c r="G33" s="734">
        <v>0</v>
      </c>
      <c r="H33" s="732">
        <v>637</v>
      </c>
      <c r="I33" s="733">
        <v>319</v>
      </c>
      <c r="J33" s="733">
        <v>284</v>
      </c>
      <c r="K33" s="734">
        <v>34</v>
      </c>
      <c r="L33" s="752">
        <f t="shared" si="7"/>
        <v>7.8492935635792769</v>
      </c>
      <c r="M33" s="753">
        <f t="shared" si="8"/>
        <v>6.2695924764890281</v>
      </c>
      <c r="N33" s="753">
        <f t="shared" si="9"/>
        <v>10.56338028169014</v>
      </c>
      <c r="O33" s="754">
        <f t="shared" si="10"/>
        <v>0</v>
      </c>
    </row>
    <row r="34" spans="1:15" x14ac:dyDescent="0.3">
      <c r="A34" s="726" t="s">
        <v>73</v>
      </c>
      <c r="B34" s="726" t="s">
        <v>272</v>
      </c>
      <c r="C34" s="726" t="s">
        <v>254</v>
      </c>
      <c r="D34" s="732">
        <v>321</v>
      </c>
      <c r="E34" s="733">
        <v>63</v>
      </c>
      <c r="F34" s="733">
        <v>25</v>
      </c>
      <c r="G34" s="734">
        <v>233</v>
      </c>
      <c r="H34" s="732">
        <v>74541</v>
      </c>
      <c r="I34" s="733">
        <v>48675</v>
      </c>
      <c r="J34" s="733">
        <v>9235</v>
      </c>
      <c r="K34" s="734">
        <v>16631</v>
      </c>
      <c r="L34" s="752">
        <f t="shared" si="7"/>
        <v>4.3063548919386649</v>
      </c>
      <c r="M34" s="753">
        <f t="shared" si="8"/>
        <v>1.2942989214175655</v>
      </c>
      <c r="N34" s="753">
        <f t="shared" si="9"/>
        <v>2.7070925825663235</v>
      </c>
      <c r="O34" s="754">
        <f t="shared" si="10"/>
        <v>14.009981360110636</v>
      </c>
    </row>
    <row r="35" spans="1:15" x14ac:dyDescent="0.3">
      <c r="A35" s="726" t="s">
        <v>75</v>
      </c>
      <c r="B35" s="726" t="s">
        <v>76</v>
      </c>
      <c r="C35" s="726" t="s">
        <v>254</v>
      </c>
      <c r="D35" s="732">
        <v>15</v>
      </c>
      <c r="E35" s="733">
        <v>13</v>
      </c>
      <c r="F35" s="733">
        <v>1</v>
      </c>
      <c r="G35" s="734">
        <v>1</v>
      </c>
      <c r="H35" s="732">
        <v>4607</v>
      </c>
      <c r="I35" s="733">
        <v>4071</v>
      </c>
      <c r="J35" s="733">
        <v>395</v>
      </c>
      <c r="K35" s="734">
        <v>141</v>
      </c>
      <c r="L35" s="752">
        <f t="shared" si="7"/>
        <v>3.2559149120902973</v>
      </c>
      <c r="M35" s="753">
        <f t="shared" si="8"/>
        <v>3.1933185949398184</v>
      </c>
      <c r="N35" s="753">
        <f t="shared" si="9"/>
        <v>2.5316455696202533</v>
      </c>
      <c r="O35" s="754">
        <f t="shared" si="10"/>
        <v>7.0921985815602833</v>
      </c>
    </row>
    <row r="36" spans="1:15" x14ac:dyDescent="0.3">
      <c r="A36" s="726" t="s">
        <v>77</v>
      </c>
      <c r="B36" s="726" t="s">
        <v>78</v>
      </c>
      <c r="C36" s="726" t="s">
        <v>255</v>
      </c>
      <c r="D36" s="732">
        <v>8</v>
      </c>
      <c r="E36" s="733">
        <v>8</v>
      </c>
      <c r="F36" s="733">
        <v>0</v>
      </c>
      <c r="G36" s="734">
        <v>0</v>
      </c>
      <c r="H36" s="732">
        <v>860</v>
      </c>
      <c r="I36" s="733">
        <v>832</v>
      </c>
      <c r="J36" s="733">
        <v>24</v>
      </c>
      <c r="K36" s="734">
        <v>4</v>
      </c>
      <c r="L36" s="752">
        <f t="shared" si="7"/>
        <v>9.3023255813953494</v>
      </c>
      <c r="M36" s="753">
        <f t="shared" si="8"/>
        <v>9.6153846153846168</v>
      </c>
      <c r="N36" s="753">
        <f t="shared" si="9"/>
        <v>0</v>
      </c>
      <c r="O36" s="754">
        <f t="shared" si="10"/>
        <v>0</v>
      </c>
    </row>
    <row r="37" spans="1:15" x14ac:dyDescent="0.3">
      <c r="A37" s="726" t="s">
        <v>79</v>
      </c>
      <c r="B37" s="726" t="s">
        <v>80</v>
      </c>
      <c r="C37" s="726" t="s">
        <v>253</v>
      </c>
      <c r="D37" s="732">
        <v>7</v>
      </c>
      <c r="E37" s="733">
        <v>6</v>
      </c>
      <c r="F37" s="733">
        <v>1</v>
      </c>
      <c r="G37" s="734">
        <v>0</v>
      </c>
      <c r="H37" s="732">
        <v>1599</v>
      </c>
      <c r="I37" s="733">
        <v>1288</v>
      </c>
      <c r="J37" s="733">
        <v>278</v>
      </c>
      <c r="K37" s="734">
        <v>33</v>
      </c>
      <c r="L37" s="752">
        <f t="shared" si="7"/>
        <v>4.3777360850531579</v>
      </c>
      <c r="M37" s="753">
        <f t="shared" si="8"/>
        <v>4.658385093167702</v>
      </c>
      <c r="N37" s="753">
        <f t="shared" si="9"/>
        <v>3.5971223021582737</v>
      </c>
      <c r="O37" s="754">
        <f t="shared" si="10"/>
        <v>0</v>
      </c>
    </row>
    <row r="38" spans="1:15" x14ac:dyDescent="0.3">
      <c r="A38" s="726" t="s">
        <v>83</v>
      </c>
      <c r="B38" s="726" t="s">
        <v>84</v>
      </c>
      <c r="C38" s="726" t="s">
        <v>252</v>
      </c>
      <c r="D38" s="732">
        <v>35</v>
      </c>
      <c r="E38" s="733">
        <v>29</v>
      </c>
      <c r="F38" s="733">
        <v>6</v>
      </c>
      <c r="G38" s="734">
        <v>0</v>
      </c>
      <c r="H38" s="732">
        <v>3233</v>
      </c>
      <c r="I38" s="733">
        <v>2837</v>
      </c>
      <c r="J38" s="733">
        <v>346</v>
      </c>
      <c r="K38" s="734">
        <v>50</v>
      </c>
      <c r="L38" s="752">
        <f t="shared" ref="L38:L69" si="11">IF(H38=0,"NA",(D38/H38)*1000)</f>
        <v>10.825858335910917</v>
      </c>
      <c r="M38" s="753">
        <f t="shared" ref="M38:M69" si="12">IF(I38=0,"NA",(E38/I38)*1000)</f>
        <v>10.222065562213606</v>
      </c>
      <c r="N38" s="753">
        <f t="shared" ref="N38:N69" si="13">IF(J38=0,"NA",(F38/J38)*1000)</f>
        <v>17.341040462427745</v>
      </c>
      <c r="O38" s="754">
        <f t="shared" ref="O38:O69" si="14">IF(K38=0,"NA",(G38/K38)*1000)</f>
        <v>0</v>
      </c>
    </row>
    <row r="39" spans="1:15" x14ac:dyDescent="0.3">
      <c r="A39" s="726" t="s">
        <v>85</v>
      </c>
      <c r="B39" s="726" t="s">
        <v>86</v>
      </c>
      <c r="C39" s="726" t="s">
        <v>254</v>
      </c>
      <c r="D39" s="732">
        <v>28</v>
      </c>
      <c r="E39" s="733">
        <v>25</v>
      </c>
      <c r="F39" s="733">
        <v>1</v>
      </c>
      <c r="G39" s="734">
        <v>2</v>
      </c>
      <c r="H39" s="732">
        <v>5506</v>
      </c>
      <c r="I39" s="733">
        <v>4973</v>
      </c>
      <c r="J39" s="733">
        <v>376</v>
      </c>
      <c r="K39" s="734">
        <v>157</v>
      </c>
      <c r="L39" s="752">
        <f t="shared" si="11"/>
        <v>5.0853614239011993</v>
      </c>
      <c r="M39" s="753">
        <f t="shared" si="12"/>
        <v>5.0271465915946107</v>
      </c>
      <c r="N39" s="753">
        <f t="shared" si="13"/>
        <v>2.6595744680851063</v>
      </c>
      <c r="O39" s="754">
        <f t="shared" si="14"/>
        <v>12.738853503184714</v>
      </c>
    </row>
    <row r="40" spans="1:15" x14ac:dyDescent="0.3">
      <c r="A40" s="726" t="s">
        <v>91</v>
      </c>
      <c r="B40" s="726" t="s">
        <v>92</v>
      </c>
      <c r="C40" s="726" t="s">
        <v>255</v>
      </c>
      <c r="D40" s="732">
        <v>6</v>
      </c>
      <c r="E40" s="733">
        <v>6</v>
      </c>
      <c r="F40" s="733">
        <v>0</v>
      </c>
      <c r="G40" s="734">
        <v>0</v>
      </c>
      <c r="H40" s="732">
        <v>945</v>
      </c>
      <c r="I40" s="733">
        <v>913</v>
      </c>
      <c r="J40" s="733">
        <v>19</v>
      </c>
      <c r="K40" s="734">
        <v>13</v>
      </c>
      <c r="L40" s="752">
        <f t="shared" si="11"/>
        <v>6.3492063492063489</v>
      </c>
      <c r="M40" s="753">
        <f t="shared" si="12"/>
        <v>6.5717415115005471</v>
      </c>
      <c r="N40" s="753">
        <f t="shared" si="13"/>
        <v>0</v>
      </c>
      <c r="O40" s="754">
        <f t="shared" si="14"/>
        <v>0</v>
      </c>
    </row>
    <row r="41" spans="1:15" x14ac:dyDescent="0.3">
      <c r="A41" s="726" t="s">
        <v>93</v>
      </c>
      <c r="B41" s="726" t="s">
        <v>94</v>
      </c>
      <c r="C41" s="726" t="s">
        <v>251</v>
      </c>
      <c r="D41" s="732">
        <v>18</v>
      </c>
      <c r="E41" s="733">
        <v>15</v>
      </c>
      <c r="F41" s="733">
        <v>2</v>
      </c>
      <c r="G41" s="734">
        <v>1</v>
      </c>
      <c r="H41" s="732">
        <v>2029</v>
      </c>
      <c r="I41" s="733">
        <v>1812</v>
      </c>
      <c r="J41" s="733">
        <v>172</v>
      </c>
      <c r="K41" s="734">
        <v>45</v>
      </c>
      <c r="L41" s="752">
        <f t="shared" si="11"/>
        <v>8.8713652045342535</v>
      </c>
      <c r="M41" s="753">
        <f t="shared" si="12"/>
        <v>8.2781456953642394</v>
      </c>
      <c r="N41" s="753">
        <f t="shared" si="13"/>
        <v>11.627906976744185</v>
      </c>
      <c r="O41" s="754">
        <f t="shared" si="14"/>
        <v>22.222222222222221</v>
      </c>
    </row>
    <row r="42" spans="1:15" x14ac:dyDescent="0.3">
      <c r="A42" s="726" t="s">
        <v>95</v>
      </c>
      <c r="B42" s="726" t="s">
        <v>96</v>
      </c>
      <c r="C42" s="726" t="s">
        <v>253</v>
      </c>
      <c r="D42" s="732">
        <v>3</v>
      </c>
      <c r="E42" s="733">
        <v>2</v>
      </c>
      <c r="F42" s="733">
        <v>1</v>
      </c>
      <c r="G42" s="734">
        <v>0</v>
      </c>
      <c r="H42" s="732">
        <v>1218</v>
      </c>
      <c r="I42" s="733">
        <v>1005</v>
      </c>
      <c r="J42" s="733">
        <v>186</v>
      </c>
      <c r="K42" s="734">
        <v>27</v>
      </c>
      <c r="L42" s="752">
        <f t="shared" si="11"/>
        <v>2.4630541871921183</v>
      </c>
      <c r="M42" s="753">
        <f t="shared" si="12"/>
        <v>1.9900497512437809</v>
      </c>
      <c r="N42" s="753">
        <f t="shared" si="13"/>
        <v>5.3763440860215059</v>
      </c>
      <c r="O42" s="754">
        <f t="shared" si="14"/>
        <v>0</v>
      </c>
    </row>
    <row r="43" spans="1:15" x14ac:dyDescent="0.3">
      <c r="A43" s="726" t="s">
        <v>97</v>
      </c>
      <c r="B43" s="726" t="s">
        <v>98</v>
      </c>
      <c r="C43" s="726" t="s">
        <v>255</v>
      </c>
      <c r="D43" s="732">
        <v>12</v>
      </c>
      <c r="E43" s="733">
        <v>12</v>
      </c>
      <c r="F43" s="733">
        <v>0</v>
      </c>
      <c r="G43" s="734">
        <v>0</v>
      </c>
      <c r="H43" s="732">
        <v>711</v>
      </c>
      <c r="I43" s="733">
        <v>669</v>
      </c>
      <c r="J43" s="733">
        <v>36</v>
      </c>
      <c r="K43" s="734">
        <v>6</v>
      </c>
      <c r="L43" s="752">
        <f t="shared" si="11"/>
        <v>16.877637130801688</v>
      </c>
      <c r="M43" s="753">
        <f t="shared" si="12"/>
        <v>17.937219730941703</v>
      </c>
      <c r="N43" s="753">
        <f t="shared" si="13"/>
        <v>0</v>
      </c>
      <c r="O43" s="754">
        <f t="shared" si="14"/>
        <v>0</v>
      </c>
    </row>
    <row r="44" spans="1:15" x14ac:dyDescent="0.3">
      <c r="A44" s="726" t="s">
        <v>99</v>
      </c>
      <c r="B44" s="726" t="s">
        <v>100</v>
      </c>
      <c r="C44" s="726" t="s">
        <v>254</v>
      </c>
      <c r="D44" s="732">
        <v>3</v>
      </c>
      <c r="E44" s="733">
        <v>3</v>
      </c>
      <c r="F44" s="733">
        <v>0</v>
      </c>
      <c r="G44" s="734">
        <v>0</v>
      </c>
      <c r="H44" s="732">
        <v>1272</v>
      </c>
      <c r="I44" s="733">
        <v>1108</v>
      </c>
      <c r="J44" s="733">
        <v>110</v>
      </c>
      <c r="K44" s="734">
        <v>54</v>
      </c>
      <c r="L44" s="752">
        <f t="shared" si="11"/>
        <v>2.3584905660377355</v>
      </c>
      <c r="M44" s="753">
        <f t="shared" si="12"/>
        <v>2.7075812274368229</v>
      </c>
      <c r="N44" s="753">
        <f t="shared" si="13"/>
        <v>0</v>
      </c>
      <c r="O44" s="754">
        <f t="shared" si="14"/>
        <v>0</v>
      </c>
    </row>
    <row r="45" spans="1:15" x14ac:dyDescent="0.3">
      <c r="A45" s="726" t="s">
        <v>101</v>
      </c>
      <c r="B45" s="726" t="s">
        <v>263</v>
      </c>
      <c r="C45" s="726" t="s">
        <v>251</v>
      </c>
      <c r="D45" s="732">
        <v>15</v>
      </c>
      <c r="E45" s="733">
        <v>3</v>
      </c>
      <c r="F45" s="733">
        <v>11</v>
      </c>
      <c r="G45" s="734">
        <v>1</v>
      </c>
      <c r="H45" s="732">
        <v>875</v>
      </c>
      <c r="I45" s="733">
        <v>290</v>
      </c>
      <c r="J45" s="733">
        <v>569</v>
      </c>
      <c r="K45" s="734">
        <v>16</v>
      </c>
      <c r="L45" s="752">
        <f t="shared" si="11"/>
        <v>17.142857142857142</v>
      </c>
      <c r="M45" s="753">
        <f t="shared" si="12"/>
        <v>10.344827586206897</v>
      </c>
      <c r="N45" s="753">
        <f t="shared" si="13"/>
        <v>19.332161687170473</v>
      </c>
      <c r="O45" s="754">
        <f t="shared" si="14"/>
        <v>62.5</v>
      </c>
    </row>
    <row r="46" spans="1:15" x14ac:dyDescent="0.3">
      <c r="A46" s="726" t="s">
        <v>103</v>
      </c>
      <c r="B46" s="726" t="s">
        <v>104</v>
      </c>
      <c r="C46" s="726" t="s">
        <v>252</v>
      </c>
      <c r="D46" s="732">
        <v>29</v>
      </c>
      <c r="E46" s="733">
        <v>11</v>
      </c>
      <c r="F46" s="733">
        <v>18</v>
      </c>
      <c r="G46" s="734">
        <v>0</v>
      </c>
      <c r="H46" s="732">
        <v>1959</v>
      </c>
      <c r="I46" s="733">
        <v>1132</v>
      </c>
      <c r="J46" s="733">
        <v>804</v>
      </c>
      <c r="K46" s="734">
        <v>23</v>
      </c>
      <c r="L46" s="752">
        <f t="shared" si="11"/>
        <v>14.803471158754466</v>
      </c>
      <c r="M46" s="753">
        <f t="shared" si="12"/>
        <v>9.7173144876325086</v>
      </c>
      <c r="N46" s="753">
        <f t="shared" si="13"/>
        <v>22.388059701492537</v>
      </c>
      <c r="O46" s="754">
        <f t="shared" si="14"/>
        <v>0</v>
      </c>
    </row>
    <row r="47" spans="1:15" x14ac:dyDescent="0.3">
      <c r="A47" s="726" t="s">
        <v>107</v>
      </c>
      <c r="B47" s="726" t="s">
        <v>108</v>
      </c>
      <c r="C47" s="726" t="s">
        <v>253</v>
      </c>
      <c r="D47" s="732">
        <v>17</v>
      </c>
      <c r="E47" s="733">
        <v>15</v>
      </c>
      <c r="F47" s="733">
        <v>1</v>
      </c>
      <c r="G47" s="734">
        <v>1</v>
      </c>
      <c r="H47" s="732">
        <v>7036</v>
      </c>
      <c r="I47" s="733">
        <v>6075</v>
      </c>
      <c r="J47" s="733">
        <v>717</v>
      </c>
      <c r="K47" s="734">
        <v>244</v>
      </c>
      <c r="L47" s="752">
        <f t="shared" si="11"/>
        <v>2.4161455372370666</v>
      </c>
      <c r="M47" s="753">
        <f t="shared" si="12"/>
        <v>2.4691358024691357</v>
      </c>
      <c r="N47" s="753">
        <f t="shared" si="13"/>
        <v>1.3947001394700138</v>
      </c>
      <c r="O47" s="754">
        <f t="shared" si="14"/>
        <v>4.0983606557377055</v>
      </c>
    </row>
    <row r="48" spans="1:15" x14ac:dyDescent="0.3">
      <c r="A48" s="726" t="s">
        <v>109</v>
      </c>
      <c r="B48" s="726" t="s">
        <v>110</v>
      </c>
      <c r="C48" s="726" t="s">
        <v>253</v>
      </c>
      <c r="D48" s="732">
        <v>92</v>
      </c>
      <c r="E48" s="733">
        <v>41</v>
      </c>
      <c r="F48" s="733">
        <v>42</v>
      </c>
      <c r="G48" s="734">
        <v>9</v>
      </c>
      <c r="H48" s="732">
        <v>20145</v>
      </c>
      <c r="I48" s="733">
        <v>10564</v>
      </c>
      <c r="J48" s="733">
        <v>7460</v>
      </c>
      <c r="K48" s="734">
        <v>2121</v>
      </c>
      <c r="L48" s="752">
        <f t="shared" si="11"/>
        <v>4.5668900471581031</v>
      </c>
      <c r="M48" s="753">
        <f t="shared" si="12"/>
        <v>3.8811056418023475</v>
      </c>
      <c r="N48" s="753">
        <f t="shared" si="13"/>
        <v>5.6300268096514738</v>
      </c>
      <c r="O48" s="754">
        <f t="shared" si="14"/>
        <v>4.2432814710042432</v>
      </c>
    </row>
    <row r="49" spans="1:15" x14ac:dyDescent="0.3">
      <c r="A49" s="726" t="s">
        <v>111</v>
      </c>
      <c r="B49" s="726" t="s">
        <v>275</v>
      </c>
      <c r="C49" s="726" t="s">
        <v>252</v>
      </c>
      <c r="D49" s="732">
        <v>45</v>
      </c>
      <c r="E49" s="733">
        <v>31</v>
      </c>
      <c r="F49" s="733">
        <v>11</v>
      </c>
      <c r="G49" s="734">
        <v>3</v>
      </c>
      <c r="H49" s="732">
        <v>3563</v>
      </c>
      <c r="I49" s="733">
        <v>2372</v>
      </c>
      <c r="J49" s="733">
        <v>1133</v>
      </c>
      <c r="K49" s="734">
        <v>58</v>
      </c>
      <c r="L49" s="752">
        <f t="shared" si="11"/>
        <v>12.629806342969408</v>
      </c>
      <c r="M49" s="753">
        <f t="shared" si="12"/>
        <v>13.069139966273188</v>
      </c>
      <c r="N49" s="753">
        <f t="shared" si="13"/>
        <v>9.7087378640776691</v>
      </c>
      <c r="O49" s="754">
        <f t="shared" si="14"/>
        <v>51.724137931034484</v>
      </c>
    </row>
    <row r="50" spans="1:15" x14ac:dyDescent="0.3">
      <c r="A50" s="726" t="s">
        <v>113</v>
      </c>
      <c r="B50" s="726" t="s">
        <v>114</v>
      </c>
      <c r="C50" s="726" t="s">
        <v>252</v>
      </c>
      <c r="D50" s="732">
        <v>0</v>
      </c>
      <c r="E50" s="733">
        <v>0</v>
      </c>
      <c r="F50" s="733">
        <v>0</v>
      </c>
      <c r="G50" s="734">
        <v>0</v>
      </c>
      <c r="H50" s="732">
        <v>70</v>
      </c>
      <c r="I50" s="733">
        <v>69</v>
      </c>
      <c r="J50" s="733">
        <v>1</v>
      </c>
      <c r="K50" s="734">
        <v>0</v>
      </c>
      <c r="L50" s="752">
        <f t="shared" si="11"/>
        <v>0</v>
      </c>
      <c r="M50" s="753">
        <f t="shared" si="12"/>
        <v>0</v>
      </c>
      <c r="N50" s="753">
        <f t="shared" si="13"/>
        <v>0</v>
      </c>
      <c r="O50" s="754" t="str">
        <f t="shared" si="14"/>
        <v>NA</v>
      </c>
    </row>
    <row r="51" spans="1:15" x14ac:dyDescent="0.3">
      <c r="A51" s="726" t="s">
        <v>117</v>
      </c>
      <c r="B51" s="726" t="s">
        <v>257</v>
      </c>
      <c r="C51" s="726" t="s">
        <v>251</v>
      </c>
      <c r="D51" s="732">
        <v>7</v>
      </c>
      <c r="E51" s="733">
        <v>5</v>
      </c>
      <c r="F51" s="733">
        <v>2</v>
      </c>
      <c r="G51" s="734">
        <v>0</v>
      </c>
      <c r="H51" s="732">
        <v>2180</v>
      </c>
      <c r="I51" s="733">
        <v>1573</v>
      </c>
      <c r="J51" s="733">
        <v>564</v>
      </c>
      <c r="K51" s="734">
        <v>43</v>
      </c>
      <c r="L51" s="752">
        <f t="shared" si="11"/>
        <v>3.2110091743119269</v>
      </c>
      <c r="M51" s="753">
        <f t="shared" si="12"/>
        <v>3.1786395422759059</v>
      </c>
      <c r="N51" s="753">
        <f t="shared" si="13"/>
        <v>3.5460992907801416</v>
      </c>
      <c r="O51" s="754">
        <f t="shared" si="14"/>
        <v>0</v>
      </c>
    </row>
    <row r="52" spans="1:15" x14ac:dyDescent="0.3">
      <c r="A52" s="726" t="s">
        <v>119</v>
      </c>
      <c r="B52" s="726" t="s">
        <v>120</v>
      </c>
      <c r="C52" s="726" t="s">
        <v>251</v>
      </c>
      <c r="D52" s="732">
        <v>26</v>
      </c>
      <c r="E52" s="733">
        <v>12</v>
      </c>
      <c r="F52" s="733">
        <v>6</v>
      </c>
      <c r="G52" s="734">
        <v>8</v>
      </c>
      <c r="H52" s="732">
        <v>4305</v>
      </c>
      <c r="I52" s="733">
        <v>3352</v>
      </c>
      <c r="J52" s="733">
        <v>730</v>
      </c>
      <c r="K52" s="734">
        <v>223</v>
      </c>
      <c r="L52" s="752">
        <f t="shared" si="11"/>
        <v>6.0394889663182347</v>
      </c>
      <c r="M52" s="753">
        <f t="shared" si="12"/>
        <v>3.5799522673031028</v>
      </c>
      <c r="N52" s="753">
        <f t="shared" si="13"/>
        <v>8.2191780821917799</v>
      </c>
      <c r="O52" s="754">
        <f t="shared" si="14"/>
        <v>35.874439461883405</v>
      </c>
    </row>
    <row r="53" spans="1:15" x14ac:dyDescent="0.3">
      <c r="A53" s="726" t="s">
        <v>121</v>
      </c>
      <c r="B53" s="726" t="s">
        <v>268</v>
      </c>
      <c r="C53" s="726" t="s">
        <v>253</v>
      </c>
      <c r="D53" s="732">
        <v>3</v>
      </c>
      <c r="E53" s="733">
        <v>2</v>
      </c>
      <c r="F53" s="733">
        <v>1</v>
      </c>
      <c r="G53" s="734">
        <v>0</v>
      </c>
      <c r="H53" s="732">
        <v>335</v>
      </c>
      <c r="I53" s="733">
        <v>211</v>
      </c>
      <c r="J53" s="733">
        <v>112</v>
      </c>
      <c r="K53" s="734">
        <v>12</v>
      </c>
      <c r="L53" s="752">
        <f t="shared" si="11"/>
        <v>8.9552238805970159</v>
      </c>
      <c r="M53" s="753">
        <f t="shared" si="12"/>
        <v>9.4786729857819907</v>
      </c>
      <c r="N53" s="753">
        <f t="shared" si="13"/>
        <v>8.9285714285714288</v>
      </c>
      <c r="O53" s="754">
        <f t="shared" si="14"/>
        <v>0</v>
      </c>
    </row>
    <row r="54" spans="1:15" x14ac:dyDescent="0.3">
      <c r="A54" s="726" t="s">
        <v>123</v>
      </c>
      <c r="B54" s="726" t="s">
        <v>124</v>
      </c>
      <c r="C54" s="726" t="s">
        <v>254</v>
      </c>
      <c r="D54" s="732">
        <v>6</v>
      </c>
      <c r="E54" s="733">
        <v>4</v>
      </c>
      <c r="F54" s="733">
        <v>2</v>
      </c>
      <c r="G54" s="734">
        <v>0</v>
      </c>
      <c r="H54" s="732">
        <v>1845</v>
      </c>
      <c r="I54" s="733">
        <v>1458</v>
      </c>
      <c r="J54" s="733">
        <v>325</v>
      </c>
      <c r="K54" s="734">
        <v>62</v>
      </c>
      <c r="L54" s="752">
        <f t="shared" si="11"/>
        <v>3.2520325203252032</v>
      </c>
      <c r="M54" s="753">
        <f t="shared" si="12"/>
        <v>2.7434842249657061</v>
      </c>
      <c r="N54" s="753">
        <f t="shared" si="13"/>
        <v>6.1538461538461542</v>
      </c>
      <c r="O54" s="754">
        <f t="shared" si="14"/>
        <v>0</v>
      </c>
    </row>
    <row r="55" spans="1:15" x14ac:dyDescent="0.3">
      <c r="A55" s="726" t="s">
        <v>125</v>
      </c>
      <c r="B55" s="726" t="s">
        <v>126</v>
      </c>
      <c r="C55" s="726" t="s">
        <v>253</v>
      </c>
      <c r="D55" s="732">
        <v>4</v>
      </c>
      <c r="E55" s="733">
        <v>3</v>
      </c>
      <c r="F55" s="733">
        <v>1</v>
      </c>
      <c r="G55" s="734">
        <v>0</v>
      </c>
      <c r="H55" s="732">
        <v>1054</v>
      </c>
      <c r="I55" s="733">
        <v>840</v>
      </c>
      <c r="J55" s="733">
        <v>177</v>
      </c>
      <c r="K55" s="734">
        <v>37</v>
      </c>
      <c r="L55" s="752">
        <f t="shared" si="11"/>
        <v>3.795066413662239</v>
      </c>
      <c r="M55" s="753">
        <f t="shared" si="12"/>
        <v>3.5714285714285712</v>
      </c>
      <c r="N55" s="753">
        <f t="shared" si="13"/>
        <v>5.6497175141242941</v>
      </c>
      <c r="O55" s="754">
        <f t="shared" si="14"/>
        <v>0</v>
      </c>
    </row>
    <row r="56" spans="1:15" x14ac:dyDescent="0.3">
      <c r="A56" s="726" t="s">
        <v>127</v>
      </c>
      <c r="B56" s="726" t="s">
        <v>128</v>
      </c>
      <c r="C56" s="726" t="s">
        <v>253</v>
      </c>
      <c r="D56" s="732">
        <v>7</v>
      </c>
      <c r="E56" s="733">
        <v>2</v>
      </c>
      <c r="F56" s="733">
        <v>5</v>
      </c>
      <c r="G56" s="734">
        <v>0</v>
      </c>
      <c r="H56" s="732">
        <v>414</v>
      </c>
      <c r="I56" s="733">
        <v>236</v>
      </c>
      <c r="J56" s="733">
        <v>171</v>
      </c>
      <c r="K56" s="734">
        <v>7</v>
      </c>
      <c r="L56" s="752">
        <f t="shared" si="11"/>
        <v>16.908212560386474</v>
      </c>
      <c r="M56" s="753">
        <f t="shared" si="12"/>
        <v>8.4745762711864412</v>
      </c>
      <c r="N56" s="753">
        <f t="shared" si="13"/>
        <v>29.239766081871345</v>
      </c>
      <c r="O56" s="754">
        <f t="shared" si="14"/>
        <v>0</v>
      </c>
    </row>
    <row r="57" spans="1:15" x14ac:dyDescent="0.3">
      <c r="A57" s="726" t="s">
        <v>129</v>
      </c>
      <c r="B57" s="726" t="s">
        <v>130</v>
      </c>
      <c r="C57" s="726" t="s">
        <v>255</v>
      </c>
      <c r="D57" s="732">
        <v>22</v>
      </c>
      <c r="E57" s="733">
        <v>21</v>
      </c>
      <c r="F57" s="733">
        <v>0</v>
      </c>
      <c r="G57" s="734">
        <v>1</v>
      </c>
      <c r="H57" s="732">
        <v>1184</v>
      </c>
      <c r="I57" s="733">
        <v>1159</v>
      </c>
      <c r="J57" s="733">
        <v>21</v>
      </c>
      <c r="K57" s="734">
        <v>4</v>
      </c>
      <c r="L57" s="752">
        <f t="shared" si="11"/>
        <v>18.581081081081081</v>
      </c>
      <c r="M57" s="753">
        <f t="shared" si="12"/>
        <v>18.119068162208801</v>
      </c>
      <c r="N57" s="753">
        <f t="shared" si="13"/>
        <v>0</v>
      </c>
      <c r="O57" s="754">
        <f t="shared" si="14"/>
        <v>250</v>
      </c>
    </row>
    <row r="58" spans="1:15" x14ac:dyDescent="0.3">
      <c r="A58" s="726" t="s">
        <v>131</v>
      </c>
      <c r="B58" s="726" t="s">
        <v>132</v>
      </c>
      <c r="C58" s="726" t="s">
        <v>254</v>
      </c>
      <c r="D58" s="732">
        <v>64</v>
      </c>
      <c r="E58" s="733">
        <v>19</v>
      </c>
      <c r="F58" s="733">
        <v>2</v>
      </c>
      <c r="G58" s="734">
        <v>43</v>
      </c>
      <c r="H58" s="732">
        <v>31526</v>
      </c>
      <c r="I58" s="733">
        <v>21659</v>
      </c>
      <c r="J58" s="733">
        <v>2793</v>
      </c>
      <c r="K58" s="734">
        <v>7074</v>
      </c>
      <c r="L58" s="752">
        <f t="shared" si="11"/>
        <v>2.0300704180676266</v>
      </c>
      <c r="M58" s="753">
        <f t="shared" si="12"/>
        <v>0.87723348261692602</v>
      </c>
      <c r="N58" s="753">
        <f t="shared" si="13"/>
        <v>0.71607590404582888</v>
      </c>
      <c r="O58" s="754">
        <f t="shared" si="14"/>
        <v>6.0785976816511162</v>
      </c>
    </row>
    <row r="59" spans="1:15" x14ac:dyDescent="0.3">
      <c r="A59" s="726" t="s">
        <v>133</v>
      </c>
      <c r="B59" s="726" t="s">
        <v>134</v>
      </c>
      <c r="C59" s="726" t="s">
        <v>254</v>
      </c>
      <c r="D59" s="732">
        <v>11</v>
      </c>
      <c r="E59" s="733">
        <v>10</v>
      </c>
      <c r="F59" s="733">
        <v>1</v>
      </c>
      <c r="G59" s="734">
        <v>0</v>
      </c>
      <c r="H59" s="732">
        <v>2030</v>
      </c>
      <c r="I59" s="733">
        <v>1619</v>
      </c>
      <c r="J59" s="733">
        <v>376</v>
      </c>
      <c r="K59" s="734">
        <v>35</v>
      </c>
      <c r="L59" s="752">
        <f t="shared" si="11"/>
        <v>5.4187192118226601</v>
      </c>
      <c r="M59" s="753">
        <f t="shared" si="12"/>
        <v>6.1766522544780731</v>
      </c>
      <c r="N59" s="753">
        <f t="shared" si="13"/>
        <v>2.6595744680851063</v>
      </c>
      <c r="O59" s="754">
        <f t="shared" si="14"/>
        <v>0</v>
      </c>
    </row>
    <row r="60" spans="1:15" x14ac:dyDescent="0.3">
      <c r="A60" s="726" t="s">
        <v>135</v>
      </c>
      <c r="B60" s="726" t="s">
        <v>136</v>
      </c>
      <c r="C60" s="726" t="s">
        <v>253</v>
      </c>
      <c r="D60" s="732">
        <v>3</v>
      </c>
      <c r="E60" s="733">
        <v>2</v>
      </c>
      <c r="F60" s="733">
        <v>1</v>
      </c>
      <c r="G60" s="734">
        <v>0</v>
      </c>
      <c r="H60" s="732">
        <v>609</v>
      </c>
      <c r="I60" s="733">
        <v>418</v>
      </c>
      <c r="J60" s="733">
        <v>177</v>
      </c>
      <c r="K60" s="734">
        <v>14</v>
      </c>
      <c r="L60" s="752">
        <f t="shared" si="11"/>
        <v>4.9261083743842367</v>
      </c>
      <c r="M60" s="753">
        <f t="shared" si="12"/>
        <v>4.7846889952153111</v>
      </c>
      <c r="N60" s="753">
        <f t="shared" si="13"/>
        <v>5.6497175141242941</v>
      </c>
      <c r="O60" s="754">
        <f t="shared" si="14"/>
        <v>0</v>
      </c>
    </row>
    <row r="61" spans="1:15" x14ac:dyDescent="0.3">
      <c r="A61" s="726" t="s">
        <v>139</v>
      </c>
      <c r="B61" s="726" t="s">
        <v>140</v>
      </c>
      <c r="C61" s="726" t="s">
        <v>254</v>
      </c>
      <c r="D61" s="732">
        <v>8</v>
      </c>
      <c r="E61" s="733">
        <v>8</v>
      </c>
      <c r="F61" s="733">
        <v>0</v>
      </c>
      <c r="G61" s="734">
        <v>0</v>
      </c>
      <c r="H61" s="732">
        <v>775</v>
      </c>
      <c r="I61" s="733">
        <v>688</v>
      </c>
      <c r="J61" s="733">
        <v>78</v>
      </c>
      <c r="K61" s="734">
        <v>9</v>
      </c>
      <c r="L61" s="752">
        <f t="shared" si="11"/>
        <v>10.32258064516129</v>
      </c>
      <c r="M61" s="753">
        <f t="shared" si="12"/>
        <v>11.627906976744185</v>
      </c>
      <c r="N61" s="753">
        <f t="shared" si="13"/>
        <v>0</v>
      </c>
      <c r="O61" s="754">
        <f t="shared" si="14"/>
        <v>0</v>
      </c>
    </row>
    <row r="62" spans="1:15" x14ac:dyDescent="0.3">
      <c r="A62" s="726" t="s">
        <v>145</v>
      </c>
      <c r="B62" s="726" t="s">
        <v>146</v>
      </c>
      <c r="C62" s="726" t="s">
        <v>251</v>
      </c>
      <c r="D62" s="732">
        <v>3</v>
      </c>
      <c r="E62" s="733">
        <v>3</v>
      </c>
      <c r="F62" s="733">
        <v>0</v>
      </c>
      <c r="G62" s="734">
        <v>0</v>
      </c>
      <c r="H62" s="732">
        <v>416</v>
      </c>
      <c r="I62" s="733">
        <v>379</v>
      </c>
      <c r="J62" s="733">
        <v>30</v>
      </c>
      <c r="K62" s="734">
        <v>7</v>
      </c>
      <c r="L62" s="752">
        <f t="shared" si="11"/>
        <v>7.2115384615384617</v>
      </c>
      <c r="M62" s="753">
        <f t="shared" si="12"/>
        <v>7.9155672823219003</v>
      </c>
      <c r="N62" s="753">
        <f t="shared" si="13"/>
        <v>0</v>
      </c>
      <c r="O62" s="754">
        <f t="shared" si="14"/>
        <v>0</v>
      </c>
    </row>
    <row r="63" spans="1:15" x14ac:dyDescent="0.3">
      <c r="A63" s="726" t="s">
        <v>147</v>
      </c>
      <c r="B63" s="726" t="s">
        <v>148</v>
      </c>
      <c r="C63" s="726" t="s">
        <v>252</v>
      </c>
      <c r="D63" s="732">
        <v>15</v>
      </c>
      <c r="E63" s="733">
        <v>8</v>
      </c>
      <c r="F63" s="733">
        <v>6</v>
      </c>
      <c r="G63" s="734">
        <v>1</v>
      </c>
      <c r="H63" s="732">
        <v>1578</v>
      </c>
      <c r="I63" s="733">
        <v>908</v>
      </c>
      <c r="J63" s="733">
        <v>647</v>
      </c>
      <c r="K63" s="734">
        <v>23</v>
      </c>
      <c r="L63" s="752">
        <f t="shared" si="11"/>
        <v>9.5057034220532319</v>
      </c>
      <c r="M63" s="753">
        <f t="shared" si="12"/>
        <v>8.8105726872246706</v>
      </c>
      <c r="N63" s="753">
        <f t="shared" si="13"/>
        <v>9.2735703245749601</v>
      </c>
      <c r="O63" s="754">
        <f t="shared" si="14"/>
        <v>43.478260869565219</v>
      </c>
    </row>
    <row r="64" spans="1:15" x14ac:dyDescent="0.3">
      <c r="A64" s="726" t="s">
        <v>149</v>
      </c>
      <c r="B64" s="726" t="s">
        <v>150</v>
      </c>
      <c r="C64" s="726" t="s">
        <v>253</v>
      </c>
      <c r="D64" s="732">
        <v>4</v>
      </c>
      <c r="E64" s="733">
        <v>2</v>
      </c>
      <c r="F64" s="733">
        <v>2</v>
      </c>
      <c r="G64" s="734">
        <v>0</v>
      </c>
      <c r="H64" s="732">
        <v>467</v>
      </c>
      <c r="I64" s="733">
        <v>389</v>
      </c>
      <c r="J64" s="733">
        <v>73</v>
      </c>
      <c r="K64" s="734">
        <v>5</v>
      </c>
      <c r="L64" s="752">
        <f t="shared" si="11"/>
        <v>8.565310492505354</v>
      </c>
      <c r="M64" s="753">
        <f t="shared" si="12"/>
        <v>5.1413881748071972</v>
      </c>
      <c r="N64" s="753">
        <f t="shared" si="13"/>
        <v>27.397260273972602</v>
      </c>
      <c r="O64" s="754">
        <f t="shared" si="14"/>
        <v>0</v>
      </c>
    </row>
    <row r="65" spans="1:15" x14ac:dyDescent="0.3">
      <c r="A65" s="726" t="s">
        <v>151</v>
      </c>
      <c r="B65" s="726" t="s">
        <v>152</v>
      </c>
      <c r="C65" s="726" t="s">
        <v>255</v>
      </c>
      <c r="D65" s="732">
        <v>20</v>
      </c>
      <c r="E65" s="733">
        <v>17</v>
      </c>
      <c r="F65" s="733">
        <v>3</v>
      </c>
      <c r="G65" s="734">
        <v>0</v>
      </c>
      <c r="H65" s="732">
        <v>7003</v>
      </c>
      <c r="I65" s="733">
        <v>6089</v>
      </c>
      <c r="J65" s="733">
        <v>375</v>
      </c>
      <c r="K65" s="734">
        <v>539</v>
      </c>
      <c r="L65" s="752">
        <f t="shared" si="11"/>
        <v>2.8559188919034697</v>
      </c>
      <c r="M65" s="753">
        <f t="shared" si="12"/>
        <v>2.7919198554770897</v>
      </c>
      <c r="N65" s="753">
        <f t="shared" si="13"/>
        <v>8</v>
      </c>
      <c r="O65" s="754">
        <f t="shared" si="14"/>
        <v>0</v>
      </c>
    </row>
    <row r="66" spans="1:15" x14ac:dyDescent="0.3">
      <c r="A66" s="726" t="s">
        <v>153</v>
      </c>
      <c r="B66" s="726" t="s">
        <v>154</v>
      </c>
      <c r="C66" s="726" t="s">
        <v>252</v>
      </c>
      <c r="D66" s="732">
        <v>11</v>
      </c>
      <c r="E66" s="733">
        <v>8</v>
      </c>
      <c r="F66" s="733">
        <v>3</v>
      </c>
      <c r="G66" s="734">
        <v>0</v>
      </c>
      <c r="H66" s="732">
        <v>758</v>
      </c>
      <c r="I66" s="733">
        <v>615</v>
      </c>
      <c r="J66" s="733">
        <v>133</v>
      </c>
      <c r="K66" s="734">
        <v>10</v>
      </c>
      <c r="L66" s="752">
        <f t="shared" si="11"/>
        <v>14.511873350923484</v>
      </c>
      <c r="M66" s="753">
        <f t="shared" si="12"/>
        <v>13.008130081300813</v>
      </c>
      <c r="N66" s="753">
        <f t="shared" si="13"/>
        <v>22.556390977443609</v>
      </c>
      <c r="O66" s="754">
        <f t="shared" si="14"/>
        <v>0</v>
      </c>
    </row>
    <row r="67" spans="1:15" x14ac:dyDescent="0.3">
      <c r="A67" s="726" t="s">
        <v>155</v>
      </c>
      <c r="B67" s="726" t="s">
        <v>156</v>
      </c>
      <c r="C67" s="726" t="s">
        <v>253</v>
      </c>
      <c r="D67" s="732">
        <v>0</v>
      </c>
      <c r="E67" s="733">
        <v>0</v>
      </c>
      <c r="F67" s="733">
        <v>0</v>
      </c>
      <c r="G67" s="734">
        <v>0</v>
      </c>
      <c r="H67" s="732">
        <v>1197</v>
      </c>
      <c r="I67" s="733">
        <v>978</v>
      </c>
      <c r="J67" s="733">
        <v>175</v>
      </c>
      <c r="K67" s="734">
        <v>44</v>
      </c>
      <c r="L67" s="752">
        <f t="shared" si="11"/>
        <v>0</v>
      </c>
      <c r="M67" s="753">
        <f t="shared" si="12"/>
        <v>0</v>
      </c>
      <c r="N67" s="753">
        <f t="shared" si="13"/>
        <v>0</v>
      </c>
      <c r="O67" s="754">
        <f t="shared" si="14"/>
        <v>0</v>
      </c>
    </row>
    <row r="68" spans="1:15" x14ac:dyDescent="0.3">
      <c r="A68" s="726" t="s">
        <v>161</v>
      </c>
      <c r="B68" s="726" t="s">
        <v>162</v>
      </c>
      <c r="C68" s="726" t="s">
        <v>251</v>
      </c>
      <c r="D68" s="732">
        <v>5</v>
      </c>
      <c r="E68" s="733">
        <v>0</v>
      </c>
      <c r="F68" s="733">
        <v>5</v>
      </c>
      <c r="G68" s="734">
        <v>0</v>
      </c>
      <c r="H68" s="732">
        <v>599</v>
      </c>
      <c r="I68" s="733">
        <v>349</v>
      </c>
      <c r="J68" s="733">
        <v>239</v>
      </c>
      <c r="K68" s="734">
        <v>11</v>
      </c>
      <c r="L68" s="752">
        <f t="shared" si="11"/>
        <v>8.3472454090150254</v>
      </c>
      <c r="M68" s="753">
        <f t="shared" si="12"/>
        <v>0</v>
      </c>
      <c r="N68" s="753">
        <f t="shared" si="13"/>
        <v>20.920502092050206</v>
      </c>
      <c r="O68" s="754">
        <f t="shared" si="14"/>
        <v>0</v>
      </c>
    </row>
    <row r="69" spans="1:15" x14ac:dyDescent="0.3">
      <c r="A69" s="726" t="s">
        <v>163</v>
      </c>
      <c r="B69" s="726" t="s">
        <v>164</v>
      </c>
      <c r="C69" s="726" t="s">
        <v>253</v>
      </c>
      <c r="D69" s="732">
        <v>8</v>
      </c>
      <c r="E69" s="733">
        <v>3</v>
      </c>
      <c r="F69" s="733">
        <v>5</v>
      </c>
      <c r="G69" s="734">
        <v>0</v>
      </c>
      <c r="H69" s="732">
        <v>486</v>
      </c>
      <c r="I69" s="733">
        <v>281</v>
      </c>
      <c r="J69" s="733">
        <v>196</v>
      </c>
      <c r="K69" s="734">
        <v>9</v>
      </c>
      <c r="L69" s="752">
        <f t="shared" si="11"/>
        <v>16.460905349794238</v>
      </c>
      <c r="M69" s="753">
        <f t="shared" si="12"/>
        <v>10.676156583629894</v>
      </c>
      <c r="N69" s="753">
        <f t="shared" si="13"/>
        <v>25.510204081632654</v>
      </c>
      <c r="O69" s="754">
        <f t="shared" si="14"/>
        <v>0</v>
      </c>
    </row>
    <row r="70" spans="1:15" x14ac:dyDescent="0.3">
      <c r="A70" s="726" t="s">
        <v>167</v>
      </c>
      <c r="B70" s="726" t="s">
        <v>168</v>
      </c>
      <c r="C70" s="726" t="s">
        <v>253</v>
      </c>
      <c r="D70" s="732">
        <v>6</v>
      </c>
      <c r="E70" s="733">
        <v>4</v>
      </c>
      <c r="F70" s="733">
        <v>2</v>
      </c>
      <c r="G70" s="734">
        <v>0</v>
      </c>
      <c r="H70" s="732">
        <v>812</v>
      </c>
      <c r="I70" s="733">
        <v>482</v>
      </c>
      <c r="J70" s="733">
        <v>317</v>
      </c>
      <c r="K70" s="734">
        <v>13</v>
      </c>
      <c r="L70" s="752">
        <f t="shared" ref="L70:L101" si="15">IF(H70=0,"NA",(D70/H70)*1000)</f>
        <v>7.3891625615763541</v>
      </c>
      <c r="M70" s="753">
        <f t="shared" ref="M70:M101" si="16">IF(I70=0,"NA",(E70/I70)*1000)</f>
        <v>8.2987551867219924</v>
      </c>
      <c r="N70" s="753">
        <f t="shared" ref="N70:N101" si="17">IF(J70=0,"NA",(F70/J70)*1000)</f>
        <v>6.309148264984227</v>
      </c>
      <c r="O70" s="754">
        <f t="shared" ref="O70:O101" si="18">IF(K70=0,"NA",(G70/K70)*1000)</f>
        <v>0</v>
      </c>
    </row>
    <row r="71" spans="1:15" x14ac:dyDescent="0.3">
      <c r="A71" s="726" t="s">
        <v>169</v>
      </c>
      <c r="B71" s="726" t="s">
        <v>170</v>
      </c>
      <c r="C71" s="726" t="s">
        <v>254</v>
      </c>
      <c r="D71" s="732">
        <v>16</v>
      </c>
      <c r="E71" s="733">
        <v>11</v>
      </c>
      <c r="F71" s="733">
        <v>3</v>
      </c>
      <c r="G71" s="734">
        <v>2</v>
      </c>
      <c r="H71" s="732">
        <v>2084</v>
      </c>
      <c r="I71" s="733">
        <v>1682</v>
      </c>
      <c r="J71" s="733">
        <v>357</v>
      </c>
      <c r="K71" s="734">
        <v>45</v>
      </c>
      <c r="L71" s="752">
        <f t="shared" si="15"/>
        <v>7.6775431861804222</v>
      </c>
      <c r="M71" s="753">
        <f t="shared" si="16"/>
        <v>6.5398335315101068</v>
      </c>
      <c r="N71" s="753">
        <f t="shared" si="17"/>
        <v>8.4033613445378155</v>
      </c>
      <c r="O71" s="754">
        <f t="shared" si="18"/>
        <v>44.444444444444443</v>
      </c>
    </row>
    <row r="72" spans="1:15" x14ac:dyDescent="0.3">
      <c r="A72" s="726" t="s">
        <v>171</v>
      </c>
      <c r="B72" s="726" t="s">
        <v>172</v>
      </c>
      <c r="C72" s="726" t="s">
        <v>254</v>
      </c>
      <c r="D72" s="732">
        <v>15</v>
      </c>
      <c r="E72" s="733">
        <v>15</v>
      </c>
      <c r="F72" s="733">
        <v>0</v>
      </c>
      <c r="G72" s="734">
        <v>0</v>
      </c>
      <c r="H72" s="732">
        <v>1309</v>
      </c>
      <c r="I72" s="733">
        <v>1259</v>
      </c>
      <c r="J72" s="733">
        <v>41</v>
      </c>
      <c r="K72" s="734">
        <v>9</v>
      </c>
      <c r="L72" s="752">
        <f t="shared" si="15"/>
        <v>11.45912910618793</v>
      </c>
      <c r="M72" s="753">
        <f t="shared" si="16"/>
        <v>11.914217633042098</v>
      </c>
      <c r="N72" s="753">
        <f t="shared" si="17"/>
        <v>0</v>
      </c>
      <c r="O72" s="754">
        <f t="shared" si="18"/>
        <v>0</v>
      </c>
    </row>
    <row r="73" spans="1:15" x14ac:dyDescent="0.3">
      <c r="A73" s="726" t="s">
        <v>173</v>
      </c>
      <c r="B73" s="726" t="s">
        <v>174</v>
      </c>
      <c r="C73" s="726" t="s">
        <v>255</v>
      </c>
      <c r="D73" s="732">
        <v>9</v>
      </c>
      <c r="E73" s="733">
        <v>9</v>
      </c>
      <c r="F73" s="733">
        <v>0</v>
      </c>
      <c r="G73" s="734">
        <v>0</v>
      </c>
      <c r="H73" s="732">
        <v>866</v>
      </c>
      <c r="I73" s="733">
        <v>799</v>
      </c>
      <c r="J73" s="733">
        <v>53</v>
      </c>
      <c r="K73" s="734">
        <v>14</v>
      </c>
      <c r="L73" s="752">
        <f t="shared" si="15"/>
        <v>10.392609699769052</v>
      </c>
      <c r="M73" s="753">
        <f t="shared" si="16"/>
        <v>11.264080100125156</v>
      </c>
      <c r="N73" s="753">
        <f t="shared" si="17"/>
        <v>0</v>
      </c>
      <c r="O73" s="754">
        <f t="shared" si="18"/>
        <v>0</v>
      </c>
    </row>
    <row r="74" spans="1:15" x14ac:dyDescent="0.3">
      <c r="A74" s="726" t="s">
        <v>177</v>
      </c>
      <c r="B74" s="726" t="s">
        <v>178</v>
      </c>
      <c r="C74" s="726" t="s">
        <v>252</v>
      </c>
      <c r="D74" s="732">
        <v>33</v>
      </c>
      <c r="E74" s="733">
        <v>21</v>
      </c>
      <c r="F74" s="733">
        <v>11</v>
      </c>
      <c r="G74" s="734">
        <v>1</v>
      </c>
      <c r="H74" s="732">
        <v>3416</v>
      </c>
      <c r="I74" s="733">
        <v>2624</v>
      </c>
      <c r="J74" s="733">
        <v>754</v>
      </c>
      <c r="K74" s="734">
        <v>38</v>
      </c>
      <c r="L74" s="752">
        <f t="shared" si="15"/>
        <v>9.6604215456674485</v>
      </c>
      <c r="M74" s="753">
        <f t="shared" si="16"/>
        <v>8.0030487804878057</v>
      </c>
      <c r="N74" s="753">
        <f t="shared" si="17"/>
        <v>14.588859416445624</v>
      </c>
      <c r="O74" s="754">
        <f t="shared" si="18"/>
        <v>26.315789473684209</v>
      </c>
    </row>
    <row r="75" spans="1:15" x14ac:dyDescent="0.3">
      <c r="A75" s="726" t="s">
        <v>181</v>
      </c>
      <c r="B75" s="726" t="s">
        <v>182</v>
      </c>
      <c r="C75" s="726" t="s">
        <v>253</v>
      </c>
      <c r="D75" s="732">
        <v>5</v>
      </c>
      <c r="E75" s="733">
        <v>5</v>
      </c>
      <c r="F75" s="733">
        <v>0</v>
      </c>
      <c r="G75" s="734">
        <v>0</v>
      </c>
      <c r="H75" s="732">
        <v>1458</v>
      </c>
      <c r="I75" s="733">
        <v>1318</v>
      </c>
      <c r="J75" s="733">
        <v>113</v>
      </c>
      <c r="K75" s="734">
        <v>27</v>
      </c>
      <c r="L75" s="752">
        <f t="shared" si="15"/>
        <v>3.4293552812071328</v>
      </c>
      <c r="M75" s="753">
        <f t="shared" si="16"/>
        <v>3.7936267071320184</v>
      </c>
      <c r="N75" s="753">
        <f t="shared" si="17"/>
        <v>0</v>
      </c>
      <c r="O75" s="754">
        <f t="shared" si="18"/>
        <v>0</v>
      </c>
    </row>
    <row r="76" spans="1:15" x14ac:dyDescent="0.3">
      <c r="A76" s="726" t="s">
        <v>183</v>
      </c>
      <c r="B76" s="726" t="s">
        <v>184</v>
      </c>
      <c r="C76" s="726" t="s">
        <v>253</v>
      </c>
      <c r="D76" s="732">
        <v>15</v>
      </c>
      <c r="E76" s="733">
        <v>7</v>
      </c>
      <c r="F76" s="733">
        <v>8</v>
      </c>
      <c r="G76" s="734">
        <v>0</v>
      </c>
      <c r="H76" s="732">
        <v>1904</v>
      </c>
      <c r="I76" s="733">
        <v>1293</v>
      </c>
      <c r="J76" s="733">
        <v>546</v>
      </c>
      <c r="K76" s="734">
        <v>65</v>
      </c>
      <c r="L76" s="752">
        <f t="shared" si="15"/>
        <v>7.8781512605042012</v>
      </c>
      <c r="M76" s="753">
        <f t="shared" si="16"/>
        <v>5.4137664346481049</v>
      </c>
      <c r="N76" s="753">
        <f t="shared" si="17"/>
        <v>14.652014652014651</v>
      </c>
      <c r="O76" s="754">
        <f t="shared" si="18"/>
        <v>0</v>
      </c>
    </row>
    <row r="77" spans="1:15" x14ac:dyDescent="0.3">
      <c r="A77" s="726" t="s">
        <v>185</v>
      </c>
      <c r="B77" s="726" t="s">
        <v>186</v>
      </c>
      <c r="C77" s="726" t="s">
        <v>251</v>
      </c>
      <c r="D77" s="732">
        <v>11</v>
      </c>
      <c r="E77" s="733">
        <v>6</v>
      </c>
      <c r="F77" s="733">
        <v>5</v>
      </c>
      <c r="G77" s="734">
        <v>0</v>
      </c>
      <c r="H77" s="732">
        <v>2297</v>
      </c>
      <c r="I77" s="733">
        <v>1350</v>
      </c>
      <c r="J77" s="733">
        <v>863</v>
      </c>
      <c r="K77" s="734">
        <v>84</v>
      </c>
      <c r="L77" s="752">
        <f t="shared" si="15"/>
        <v>4.78885502829778</v>
      </c>
      <c r="M77" s="753">
        <f t="shared" si="16"/>
        <v>4.4444444444444446</v>
      </c>
      <c r="N77" s="753">
        <f t="shared" si="17"/>
        <v>5.793742757821553</v>
      </c>
      <c r="O77" s="754">
        <f t="shared" si="18"/>
        <v>0</v>
      </c>
    </row>
    <row r="78" spans="1:15" x14ac:dyDescent="0.3">
      <c r="A78" s="726" t="s">
        <v>187</v>
      </c>
      <c r="B78" s="726" t="s">
        <v>188</v>
      </c>
      <c r="C78" s="726" t="s">
        <v>254</v>
      </c>
      <c r="D78" s="732">
        <v>174</v>
      </c>
      <c r="E78" s="733">
        <v>78</v>
      </c>
      <c r="F78" s="733">
        <v>35</v>
      </c>
      <c r="G78" s="734">
        <v>61</v>
      </c>
      <c r="H78" s="732">
        <v>33472</v>
      </c>
      <c r="I78" s="733">
        <v>21234</v>
      </c>
      <c r="J78" s="733">
        <v>8373</v>
      </c>
      <c r="K78" s="734">
        <v>3865</v>
      </c>
      <c r="L78" s="752">
        <f t="shared" si="15"/>
        <v>5.1983747609942634</v>
      </c>
      <c r="M78" s="753">
        <f t="shared" si="16"/>
        <v>3.6733540548177452</v>
      </c>
      <c r="N78" s="753">
        <f t="shared" si="17"/>
        <v>4.1801027110951869</v>
      </c>
      <c r="O78" s="754">
        <f t="shared" si="18"/>
        <v>15.782664941785253</v>
      </c>
    </row>
    <row r="79" spans="1:15" x14ac:dyDescent="0.3">
      <c r="A79" s="726" t="s">
        <v>189</v>
      </c>
      <c r="B79" s="726" t="s">
        <v>190</v>
      </c>
      <c r="C79" s="726" t="s">
        <v>255</v>
      </c>
      <c r="D79" s="732">
        <v>29</v>
      </c>
      <c r="E79" s="733">
        <v>26</v>
      </c>
      <c r="F79" s="733">
        <v>3</v>
      </c>
      <c r="G79" s="734">
        <v>0</v>
      </c>
      <c r="H79" s="732">
        <v>1650</v>
      </c>
      <c r="I79" s="733">
        <v>1506</v>
      </c>
      <c r="J79" s="733">
        <v>121</v>
      </c>
      <c r="K79" s="734">
        <v>23</v>
      </c>
      <c r="L79" s="752">
        <f t="shared" si="15"/>
        <v>17.575757575757574</v>
      </c>
      <c r="M79" s="753">
        <f t="shared" si="16"/>
        <v>17.264276228419654</v>
      </c>
      <c r="N79" s="753">
        <f t="shared" si="17"/>
        <v>24.793388429752067</v>
      </c>
      <c r="O79" s="754">
        <f t="shared" si="18"/>
        <v>0</v>
      </c>
    </row>
    <row r="80" spans="1:15" x14ac:dyDescent="0.3">
      <c r="A80" s="726" t="s">
        <v>193</v>
      </c>
      <c r="B80" s="726" t="s">
        <v>194</v>
      </c>
      <c r="C80" s="726" t="s">
        <v>254</v>
      </c>
      <c r="D80" s="732">
        <v>1</v>
      </c>
      <c r="E80" s="733">
        <v>1</v>
      </c>
      <c r="F80" s="733">
        <v>0</v>
      </c>
      <c r="G80" s="734">
        <v>0</v>
      </c>
      <c r="H80" s="732">
        <v>358</v>
      </c>
      <c r="I80" s="733">
        <v>332</v>
      </c>
      <c r="J80" s="733">
        <v>21</v>
      </c>
      <c r="K80" s="734">
        <v>5</v>
      </c>
      <c r="L80" s="752">
        <f t="shared" si="15"/>
        <v>2.7932960893854748</v>
      </c>
      <c r="M80" s="753">
        <f t="shared" si="16"/>
        <v>3.0120481927710845</v>
      </c>
      <c r="N80" s="753">
        <f t="shared" si="17"/>
        <v>0</v>
      </c>
      <c r="O80" s="754">
        <f t="shared" si="18"/>
        <v>0</v>
      </c>
    </row>
    <row r="81" spans="1:15" x14ac:dyDescent="0.3">
      <c r="A81" s="726" t="s">
        <v>197</v>
      </c>
      <c r="B81" s="726" t="s">
        <v>259</v>
      </c>
      <c r="C81" s="726" t="s">
        <v>253</v>
      </c>
      <c r="D81" s="732">
        <v>6</v>
      </c>
      <c r="E81" s="733">
        <v>5</v>
      </c>
      <c r="F81" s="733">
        <v>1</v>
      </c>
      <c r="G81" s="734">
        <v>0</v>
      </c>
      <c r="H81" s="732">
        <v>447</v>
      </c>
      <c r="I81" s="733">
        <v>309</v>
      </c>
      <c r="J81" s="733">
        <v>130</v>
      </c>
      <c r="K81" s="734">
        <v>8</v>
      </c>
      <c r="L81" s="752">
        <f t="shared" si="15"/>
        <v>13.422818791946309</v>
      </c>
      <c r="M81" s="753">
        <f t="shared" si="16"/>
        <v>16.181229773462782</v>
      </c>
      <c r="N81" s="753">
        <f t="shared" si="17"/>
        <v>7.6923076923076925</v>
      </c>
      <c r="O81" s="754">
        <f t="shared" si="18"/>
        <v>0</v>
      </c>
    </row>
    <row r="82" spans="1:15" x14ac:dyDescent="0.3">
      <c r="A82" s="726" t="s">
        <v>201</v>
      </c>
      <c r="B82" s="726" t="s">
        <v>276</v>
      </c>
      <c r="C82" s="726" t="s">
        <v>252</v>
      </c>
      <c r="D82" s="732">
        <v>26</v>
      </c>
      <c r="E82" s="733">
        <v>18</v>
      </c>
      <c r="F82" s="733">
        <v>6</v>
      </c>
      <c r="G82" s="734">
        <v>2</v>
      </c>
      <c r="H82" s="732">
        <v>7270</v>
      </c>
      <c r="I82" s="733">
        <v>6246</v>
      </c>
      <c r="J82" s="733">
        <v>674</v>
      </c>
      <c r="K82" s="734">
        <v>350</v>
      </c>
      <c r="L82" s="752">
        <f t="shared" si="15"/>
        <v>3.5763411279229711</v>
      </c>
      <c r="M82" s="753">
        <f t="shared" si="16"/>
        <v>2.8818443804034581</v>
      </c>
      <c r="N82" s="753">
        <f t="shared" si="17"/>
        <v>8.9020771513353125</v>
      </c>
      <c r="O82" s="754">
        <f t="shared" si="18"/>
        <v>5.7142857142857144</v>
      </c>
    </row>
    <row r="83" spans="1:15" x14ac:dyDescent="0.3">
      <c r="A83" s="726" t="s">
        <v>203</v>
      </c>
      <c r="B83" s="726" t="s">
        <v>269</v>
      </c>
      <c r="C83" s="726" t="s">
        <v>252</v>
      </c>
      <c r="D83" s="732">
        <v>13</v>
      </c>
      <c r="E83" s="733">
        <v>13</v>
      </c>
      <c r="F83" s="733">
        <v>0</v>
      </c>
      <c r="G83" s="734">
        <v>0</v>
      </c>
      <c r="H83" s="732">
        <v>2308</v>
      </c>
      <c r="I83" s="733">
        <v>2102</v>
      </c>
      <c r="J83" s="733">
        <v>145</v>
      </c>
      <c r="K83" s="734">
        <v>61</v>
      </c>
      <c r="L83" s="752">
        <f t="shared" si="15"/>
        <v>5.6325823223570195</v>
      </c>
      <c r="M83" s="753">
        <f t="shared" si="16"/>
        <v>6.1845861084681255</v>
      </c>
      <c r="N83" s="753">
        <f t="shared" si="17"/>
        <v>0</v>
      </c>
      <c r="O83" s="754">
        <f t="shared" si="18"/>
        <v>0</v>
      </c>
    </row>
    <row r="84" spans="1:15" x14ac:dyDescent="0.3">
      <c r="A84" s="726" t="s">
        <v>205</v>
      </c>
      <c r="B84" s="726" t="s">
        <v>270</v>
      </c>
      <c r="C84" s="726" t="s">
        <v>254</v>
      </c>
      <c r="D84" s="732">
        <v>84</v>
      </c>
      <c r="E84" s="733">
        <v>62</v>
      </c>
      <c r="F84" s="733">
        <v>6</v>
      </c>
      <c r="G84" s="734">
        <v>16</v>
      </c>
      <c r="H84" s="732">
        <v>10839</v>
      </c>
      <c r="I84" s="733">
        <v>9653</v>
      </c>
      <c r="J84" s="733">
        <v>682</v>
      </c>
      <c r="K84" s="734">
        <v>504</v>
      </c>
      <c r="L84" s="752">
        <f t="shared" si="15"/>
        <v>7.7497924162745644</v>
      </c>
      <c r="M84" s="753">
        <f t="shared" si="16"/>
        <v>6.4228737180151247</v>
      </c>
      <c r="N84" s="753">
        <f t="shared" si="17"/>
        <v>8.7976539589442826</v>
      </c>
      <c r="O84" s="754">
        <f t="shared" si="18"/>
        <v>31.746031746031743</v>
      </c>
    </row>
    <row r="85" spans="1:15" x14ac:dyDescent="0.3">
      <c r="A85" s="726" t="s">
        <v>207</v>
      </c>
      <c r="B85" s="726" t="s">
        <v>208</v>
      </c>
      <c r="C85" s="726" t="s">
        <v>255</v>
      </c>
      <c r="D85" s="732">
        <v>16</v>
      </c>
      <c r="E85" s="733">
        <v>16</v>
      </c>
      <c r="F85" s="733">
        <v>0</v>
      </c>
      <c r="G85" s="734">
        <v>0</v>
      </c>
      <c r="H85" s="732">
        <v>1415</v>
      </c>
      <c r="I85" s="733">
        <v>1389</v>
      </c>
      <c r="J85" s="733">
        <v>13</v>
      </c>
      <c r="K85" s="734">
        <v>13</v>
      </c>
      <c r="L85" s="752">
        <f t="shared" si="15"/>
        <v>11.307420494699645</v>
      </c>
      <c r="M85" s="753">
        <f t="shared" si="16"/>
        <v>11.519078473722102</v>
      </c>
      <c r="N85" s="753">
        <f t="shared" si="17"/>
        <v>0</v>
      </c>
      <c r="O85" s="754">
        <f t="shared" si="18"/>
        <v>0</v>
      </c>
    </row>
    <row r="86" spans="1:15" x14ac:dyDescent="0.3">
      <c r="A86" s="726" t="s">
        <v>209</v>
      </c>
      <c r="B86" s="726" t="s">
        <v>210</v>
      </c>
      <c r="C86" s="726" t="s">
        <v>255</v>
      </c>
      <c r="D86" s="732">
        <v>8</v>
      </c>
      <c r="E86" s="733">
        <v>7</v>
      </c>
      <c r="F86" s="733">
        <v>0</v>
      </c>
      <c r="G86" s="734">
        <v>1</v>
      </c>
      <c r="H86" s="732">
        <v>1108</v>
      </c>
      <c r="I86" s="733">
        <v>1088</v>
      </c>
      <c r="J86" s="733">
        <v>11</v>
      </c>
      <c r="K86" s="734">
        <v>9</v>
      </c>
      <c r="L86" s="752">
        <f t="shared" si="15"/>
        <v>7.2202166064981954</v>
      </c>
      <c r="M86" s="753">
        <f t="shared" si="16"/>
        <v>6.4338235294117645</v>
      </c>
      <c r="N86" s="753">
        <f t="shared" si="17"/>
        <v>0</v>
      </c>
      <c r="O86" s="754">
        <f t="shared" si="18"/>
        <v>111.1111111111111</v>
      </c>
    </row>
    <row r="87" spans="1:15" x14ac:dyDescent="0.3">
      <c r="A87" s="726" t="s">
        <v>211</v>
      </c>
      <c r="B87" s="726" t="s">
        <v>212</v>
      </c>
      <c r="C87" s="726" t="s">
        <v>254</v>
      </c>
      <c r="D87" s="732">
        <v>28</v>
      </c>
      <c r="E87" s="733">
        <v>28</v>
      </c>
      <c r="F87" s="733">
        <v>0</v>
      </c>
      <c r="G87" s="734">
        <v>0</v>
      </c>
      <c r="H87" s="732">
        <v>2454</v>
      </c>
      <c r="I87" s="733">
        <v>2295</v>
      </c>
      <c r="J87" s="733">
        <v>112</v>
      </c>
      <c r="K87" s="734">
        <v>47</v>
      </c>
      <c r="L87" s="752">
        <f t="shared" si="15"/>
        <v>11.409942950285249</v>
      </c>
      <c r="M87" s="753">
        <f t="shared" si="16"/>
        <v>12.200435729847493</v>
      </c>
      <c r="N87" s="753">
        <f t="shared" si="17"/>
        <v>0</v>
      </c>
      <c r="O87" s="754">
        <f t="shared" si="18"/>
        <v>0</v>
      </c>
    </row>
    <row r="88" spans="1:15" x14ac:dyDescent="0.3">
      <c r="A88" s="726" t="s">
        <v>213</v>
      </c>
      <c r="B88" s="726" t="s">
        <v>214</v>
      </c>
      <c r="C88" s="726" t="s">
        <v>255</v>
      </c>
      <c r="D88" s="732">
        <v>17</v>
      </c>
      <c r="E88" s="733">
        <v>17</v>
      </c>
      <c r="F88" s="733">
        <v>0</v>
      </c>
      <c r="G88" s="734">
        <v>0</v>
      </c>
      <c r="H88" s="732">
        <v>1670</v>
      </c>
      <c r="I88" s="733">
        <v>1563</v>
      </c>
      <c r="J88" s="733">
        <v>84</v>
      </c>
      <c r="K88" s="734">
        <v>23</v>
      </c>
      <c r="L88" s="752">
        <f t="shared" si="15"/>
        <v>10.179640718562874</v>
      </c>
      <c r="M88" s="753">
        <f t="shared" si="16"/>
        <v>10.876519513755598</v>
      </c>
      <c r="N88" s="753">
        <f t="shared" si="17"/>
        <v>0</v>
      </c>
      <c r="O88" s="754">
        <f t="shared" si="18"/>
        <v>0</v>
      </c>
    </row>
    <row r="89" spans="1:15" x14ac:dyDescent="0.3">
      <c r="A89" s="726" t="s">
        <v>215</v>
      </c>
      <c r="B89" s="726" t="s">
        <v>216</v>
      </c>
      <c r="C89" s="726" t="s">
        <v>251</v>
      </c>
      <c r="D89" s="732">
        <v>5</v>
      </c>
      <c r="E89" s="733">
        <v>1</v>
      </c>
      <c r="F89" s="733">
        <v>4</v>
      </c>
      <c r="G89" s="734">
        <v>0</v>
      </c>
      <c r="H89" s="732">
        <v>965</v>
      </c>
      <c r="I89" s="733">
        <v>576</v>
      </c>
      <c r="J89" s="733">
        <v>371</v>
      </c>
      <c r="K89" s="734">
        <v>18</v>
      </c>
      <c r="L89" s="752">
        <f t="shared" si="15"/>
        <v>5.1813471502590671</v>
      </c>
      <c r="M89" s="753">
        <f t="shared" si="16"/>
        <v>1.7361111111111109</v>
      </c>
      <c r="N89" s="753">
        <f t="shared" si="17"/>
        <v>10.781671159029651</v>
      </c>
      <c r="O89" s="754">
        <f t="shared" si="18"/>
        <v>0</v>
      </c>
    </row>
    <row r="90" spans="1:15" x14ac:dyDescent="0.3">
      <c r="A90" s="726" t="s">
        <v>217</v>
      </c>
      <c r="B90" s="726" t="s">
        <v>218</v>
      </c>
      <c r="C90" s="726" t="s">
        <v>254</v>
      </c>
      <c r="D90" s="732">
        <v>55</v>
      </c>
      <c r="E90" s="733">
        <v>28</v>
      </c>
      <c r="F90" s="733">
        <v>14</v>
      </c>
      <c r="G90" s="734">
        <v>13</v>
      </c>
      <c r="H90" s="732">
        <v>9371</v>
      </c>
      <c r="I90" s="733">
        <v>7058</v>
      </c>
      <c r="J90" s="733">
        <v>1897</v>
      </c>
      <c r="K90" s="734">
        <v>416</v>
      </c>
      <c r="L90" s="752">
        <f t="shared" si="15"/>
        <v>5.8691708462277239</v>
      </c>
      <c r="M90" s="753">
        <f t="shared" si="16"/>
        <v>3.9671294984414849</v>
      </c>
      <c r="N90" s="753">
        <f t="shared" si="17"/>
        <v>7.3800738007380069</v>
      </c>
      <c r="O90" s="754">
        <f t="shared" si="18"/>
        <v>31.25</v>
      </c>
    </row>
    <row r="91" spans="1:15" x14ac:dyDescent="0.3">
      <c r="A91" s="726" t="s">
        <v>219</v>
      </c>
      <c r="B91" s="726" t="s">
        <v>220</v>
      </c>
      <c r="C91" s="726" t="s">
        <v>254</v>
      </c>
      <c r="D91" s="732">
        <v>45</v>
      </c>
      <c r="E91" s="733">
        <v>29</v>
      </c>
      <c r="F91" s="733">
        <v>7</v>
      </c>
      <c r="G91" s="734">
        <v>9</v>
      </c>
      <c r="H91" s="732">
        <v>11204</v>
      </c>
      <c r="I91" s="733">
        <v>7890</v>
      </c>
      <c r="J91" s="733">
        <v>2684</v>
      </c>
      <c r="K91" s="734">
        <v>630</v>
      </c>
      <c r="L91" s="752">
        <f t="shared" si="15"/>
        <v>4.0164227061763649</v>
      </c>
      <c r="M91" s="753">
        <f t="shared" si="16"/>
        <v>3.6755386565272494</v>
      </c>
      <c r="N91" s="753">
        <f t="shared" si="17"/>
        <v>2.6080476900149034</v>
      </c>
      <c r="O91" s="754">
        <f t="shared" si="18"/>
        <v>14.285714285714285</v>
      </c>
    </row>
    <row r="92" spans="1:15" x14ac:dyDescent="0.3">
      <c r="A92" s="726" t="s">
        <v>223</v>
      </c>
      <c r="B92" s="726" t="s">
        <v>224</v>
      </c>
      <c r="C92" s="726" t="s">
        <v>251</v>
      </c>
      <c r="D92" s="732">
        <v>4</v>
      </c>
      <c r="E92" s="733">
        <v>0</v>
      </c>
      <c r="F92" s="733">
        <v>4</v>
      </c>
      <c r="G92" s="734">
        <v>0</v>
      </c>
      <c r="H92" s="732">
        <v>281</v>
      </c>
      <c r="I92" s="733">
        <v>137</v>
      </c>
      <c r="J92" s="733">
        <v>139</v>
      </c>
      <c r="K92" s="734">
        <v>5</v>
      </c>
      <c r="L92" s="752">
        <f t="shared" si="15"/>
        <v>14.234875444839856</v>
      </c>
      <c r="M92" s="753">
        <f t="shared" si="16"/>
        <v>0</v>
      </c>
      <c r="N92" s="753">
        <f t="shared" si="17"/>
        <v>28.776978417266189</v>
      </c>
      <c r="O92" s="754">
        <f t="shared" si="18"/>
        <v>0</v>
      </c>
    </row>
    <row r="93" spans="1:15" x14ac:dyDescent="0.3">
      <c r="A93" s="726" t="s">
        <v>225</v>
      </c>
      <c r="B93" s="726" t="s">
        <v>226</v>
      </c>
      <c r="C93" s="726" t="s">
        <v>251</v>
      </c>
      <c r="D93" s="732">
        <v>3</v>
      </c>
      <c r="E93" s="733">
        <v>0</v>
      </c>
      <c r="F93" s="733">
        <v>3</v>
      </c>
      <c r="G93" s="734">
        <v>0</v>
      </c>
      <c r="H93" s="732">
        <v>472</v>
      </c>
      <c r="I93" s="733">
        <v>198</v>
      </c>
      <c r="J93" s="733">
        <v>265</v>
      </c>
      <c r="K93" s="734">
        <v>9</v>
      </c>
      <c r="L93" s="752">
        <f t="shared" si="15"/>
        <v>6.3559322033898313</v>
      </c>
      <c r="M93" s="753">
        <f t="shared" si="16"/>
        <v>0</v>
      </c>
      <c r="N93" s="753">
        <f t="shared" si="17"/>
        <v>11.320754716981131</v>
      </c>
      <c r="O93" s="754">
        <f t="shared" si="18"/>
        <v>0</v>
      </c>
    </row>
    <row r="94" spans="1:15" x14ac:dyDescent="0.3">
      <c r="A94" s="726" t="s">
        <v>227</v>
      </c>
      <c r="B94" s="726" t="s">
        <v>228</v>
      </c>
      <c r="C94" s="726" t="s">
        <v>255</v>
      </c>
      <c r="D94" s="732">
        <v>25</v>
      </c>
      <c r="E94" s="733">
        <v>24</v>
      </c>
      <c r="F94" s="733">
        <v>0</v>
      </c>
      <c r="G94" s="734">
        <v>1</v>
      </c>
      <c r="H94" s="732">
        <v>2262</v>
      </c>
      <c r="I94" s="733">
        <v>2162</v>
      </c>
      <c r="J94" s="733">
        <v>76</v>
      </c>
      <c r="K94" s="734">
        <v>24</v>
      </c>
      <c r="L94" s="752">
        <f t="shared" si="15"/>
        <v>11.052166224580018</v>
      </c>
      <c r="M94" s="753">
        <f t="shared" si="16"/>
        <v>11.100832562442182</v>
      </c>
      <c r="N94" s="753">
        <f t="shared" si="17"/>
        <v>0</v>
      </c>
      <c r="O94" s="754">
        <f t="shared" si="18"/>
        <v>41.666666666666664</v>
      </c>
    </row>
    <row r="95" spans="1:15" x14ac:dyDescent="0.3">
      <c r="A95" s="726" t="s">
        <v>231</v>
      </c>
      <c r="B95" s="726" t="s">
        <v>232</v>
      </c>
      <c r="C95" s="726" t="s">
        <v>254</v>
      </c>
      <c r="D95" s="732">
        <v>31</v>
      </c>
      <c r="E95" s="733">
        <v>25</v>
      </c>
      <c r="F95" s="733">
        <v>3</v>
      </c>
      <c r="G95" s="734">
        <v>3</v>
      </c>
      <c r="H95" s="732">
        <v>2419</v>
      </c>
      <c r="I95" s="733">
        <v>2205</v>
      </c>
      <c r="J95" s="733">
        <v>143</v>
      </c>
      <c r="K95" s="734">
        <v>71</v>
      </c>
      <c r="L95" s="752">
        <f t="shared" si="15"/>
        <v>12.815212897891691</v>
      </c>
      <c r="M95" s="753">
        <f t="shared" si="16"/>
        <v>11.337868480725623</v>
      </c>
      <c r="N95" s="753">
        <f t="shared" si="17"/>
        <v>20.97902097902098</v>
      </c>
      <c r="O95" s="754">
        <f t="shared" si="18"/>
        <v>42.25352112676056</v>
      </c>
    </row>
    <row r="96" spans="1:15" x14ac:dyDescent="0.3">
      <c r="A96" s="726" t="s">
        <v>233</v>
      </c>
      <c r="B96" s="726" t="s">
        <v>234</v>
      </c>
      <c r="C96" s="726" t="s">
        <v>255</v>
      </c>
      <c r="D96" s="732">
        <v>34</v>
      </c>
      <c r="E96" s="733">
        <v>34</v>
      </c>
      <c r="F96" s="733">
        <v>0</v>
      </c>
      <c r="G96" s="734">
        <v>0</v>
      </c>
      <c r="H96" s="732">
        <v>3002</v>
      </c>
      <c r="I96" s="733">
        <v>2889</v>
      </c>
      <c r="J96" s="733">
        <v>66</v>
      </c>
      <c r="K96" s="734">
        <v>47</v>
      </c>
      <c r="L96" s="752">
        <f t="shared" si="15"/>
        <v>11.325782811459028</v>
      </c>
      <c r="M96" s="753">
        <f t="shared" si="16"/>
        <v>11.76877812391831</v>
      </c>
      <c r="N96" s="753">
        <f t="shared" si="17"/>
        <v>0</v>
      </c>
      <c r="O96" s="754">
        <f t="shared" si="18"/>
        <v>0</v>
      </c>
    </row>
    <row r="97" spans="1:15" x14ac:dyDescent="0.3">
      <c r="A97" s="726" t="s">
        <v>235</v>
      </c>
      <c r="B97" s="726" t="s">
        <v>236</v>
      </c>
      <c r="C97" s="726" t="s">
        <v>253</v>
      </c>
      <c r="D97" s="732">
        <v>11</v>
      </c>
      <c r="E97" s="733">
        <v>7</v>
      </c>
      <c r="F97" s="733">
        <v>3</v>
      </c>
      <c r="G97" s="734">
        <v>1</v>
      </c>
      <c r="H97" s="732">
        <v>870</v>
      </c>
      <c r="I97" s="733">
        <v>571</v>
      </c>
      <c r="J97" s="733">
        <v>281</v>
      </c>
      <c r="K97" s="734">
        <v>18</v>
      </c>
      <c r="L97" s="752">
        <f t="shared" si="15"/>
        <v>12.64367816091954</v>
      </c>
      <c r="M97" s="753">
        <f t="shared" si="16"/>
        <v>12.259194395796849</v>
      </c>
      <c r="N97" s="753">
        <f t="shared" si="17"/>
        <v>10.676156583629894</v>
      </c>
      <c r="O97" s="754">
        <f t="shared" si="18"/>
        <v>55.55555555555555</v>
      </c>
    </row>
    <row r="98" spans="1:15" x14ac:dyDescent="0.3">
      <c r="A98" s="726" t="s">
        <v>241</v>
      </c>
      <c r="B98" s="726" t="s">
        <v>242</v>
      </c>
      <c r="C98" s="726" t="s">
        <v>255</v>
      </c>
      <c r="D98" s="732">
        <v>31</v>
      </c>
      <c r="E98" s="733">
        <v>31</v>
      </c>
      <c r="F98" s="733">
        <v>0</v>
      </c>
      <c r="G98" s="734">
        <v>0</v>
      </c>
      <c r="H98" s="732">
        <v>2099</v>
      </c>
      <c r="I98" s="733">
        <v>2009</v>
      </c>
      <c r="J98" s="733">
        <v>76</v>
      </c>
      <c r="K98" s="734">
        <v>14</v>
      </c>
      <c r="L98" s="752">
        <f t="shared" si="15"/>
        <v>14.768937589328253</v>
      </c>
      <c r="M98" s="753">
        <f t="shared" si="16"/>
        <v>15.430562468889995</v>
      </c>
      <c r="N98" s="753">
        <f t="shared" si="17"/>
        <v>0</v>
      </c>
      <c r="O98" s="754">
        <f t="shared" si="18"/>
        <v>0</v>
      </c>
    </row>
    <row r="99" spans="1:15" x14ac:dyDescent="0.3">
      <c r="A99" s="726" t="s">
        <v>243</v>
      </c>
      <c r="B99" s="726" t="s">
        <v>244</v>
      </c>
      <c r="C99" s="726" t="s">
        <v>255</v>
      </c>
      <c r="D99" s="732">
        <v>26</v>
      </c>
      <c r="E99" s="733">
        <v>26</v>
      </c>
      <c r="F99" s="733">
        <v>0</v>
      </c>
      <c r="G99" s="734">
        <v>0</v>
      </c>
      <c r="H99" s="732">
        <v>1571</v>
      </c>
      <c r="I99" s="733">
        <v>1477</v>
      </c>
      <c r="J99" s="733">
        <v>78</v>
      </c>
      <c r="K99" s="734">
        <v>16</v>
      </c>
      <c r="L99" s="752">
        <f t="shared" si="15"/>
        <v>16.549968173138126</v>
      </c>
      <c r="M99" s="753">
        <f t="shared" si="16"/>
        <v>17.603249830737983</v>
      </c>
      <c r="N99" s="753">
        <f t="shared" si="17"/>
        <v>0</v>
      </c>
      <c r="O99" s="754">
        <f t="shared" si="18"/>
        <v>0</v>
      </c>
    </row>
    <row r="100" spans="1:15" x14ac:dyDescent="0.3">
      <c r="A100" s="1009" t="s">
        <v>245</v>
      </c>
      <c r="B100" s="1009" t="s">
        <v>246</v>
      </c>
      <c r="C100" s="1009" t="s">
        <v>251</v>
      </c>
      <c r="D100" s="732">
        <v>13</v>
      </c>
      <c r="E100" s="733">
        <v>11</v>
      </c>
      <c r="F100" s="733">
        <v>2</v>
      </c>
      <c r="G100" s="734">
        <v>0</v>
      </c>
      <c r="H100" s="732">
        <v>5464</v>
      </c>
      <c r="I100" s="733">
        <v>4240</v>
      </c>
      <c r="J100" s="733">
        <v>779</v>
      </c>
      <c r="K100" s="734">
        <v>445</v>
      </c>
      <c r="L100" s="752">
        <f t="shared" si="15"/>
        <v>2.3792093704245976</v>
      </c>
      <c r="M100" s="753">
        <f t="shared" si="16"/>
        <v>2.5943396226415092</v>
      </c>
      <c r="N100" s="753">
        <f t="shared" si="17"/>
        <v>2.5673940949935812</v>
      </c>
      <c r="O100" s="754">
        <f t="shared" si="18"/>
        <v>0</v>
      </c>
    </row>
    <row r="101" spans="1:15" x14ac:dyDescent="0.3">
      <c r="A101" s="726" t="s">
        <v>13</v>
      </c>
      <c r="B101" s="726" t="s">
        <v>14</v>
      </c>
      <c r="C101" s="726" t="s">
        <v>254</v>
      </c>
      <c r="D101" s="732">
        <v>48</v>
      </c>
      <c r="E101" s="733">
        <v>4</v>
      </c>
      <c r="F101" s="733">
        <v>8</v>
      </c>
      <c r="G101" s="734">
        <v>36</v>
      </c>
      <c r="H101" s="732">
        <v>5952</v>
      </c>
      <c r="I101" s="733">
        <v>3905</v>
      </c>
      <c r="J101" s="733">
        <v>1664</v>
      </c>
      <c r="K101" s="734">
        <v>383</v>
      </c>
      <c r="L101" s="752">
        <f t="shared" si="15"/>
        <v>8.064516129032258</v>
      </c>
      <c r="M101" s="753">
        <f t="shared" si="16"/>
        <v>1.0243277848911652</v>
      </c>
      <c r="N101" s="753">
        <f t="shared" si="17"/>
        <v>4.8076923076923084</v>
      </c>
      <c r="O101" s="754">
        <f t="shared" si="18"/>
        <v>93.994778067885122</v>
      </c>
    </row>
    <row r="102" spans="1:15" x14ac:dyDescent="0.3">
      <c r="A102" s="726" t="s">
        <v>33</v>
      </c>
      <c r="B102" s="726" t="s">
        <v>34</v>
      </c>
      <c r="C102" s="726" t="s">
        <v>255</v>
      </c>
      <c r="D102" s="732">
        <v>12</v>
      </c>
      <c r="E102" s="733">
        <v>11</v>
      </c>
      <c r="F102" s="733">
        <v>1</v>
      </c>
      <c r="G102" s="734">
        <v>0</v>
      </c>
      <c r="H102" s="732">
        <v>902</v>
      </c>
      <c r="I102" s="733">
        <v>803</v>
      </c>
      <c r="J102" s="733">
        <v>88</v>
      </c>
      <c r="K102" s="734">
        <v>11</v>
      </c>
      <c r="L102" s="752">
        <f t="shared" ref="L102:L125" si="19">IF(H102=0,"NA",(D102/H102)*1000)</f>
        <v>13.303769401330378</v>
      </c>
      <c r="M102" s="753">
        <f t="shared" ref="M102:M125" si="20">IF(I102=0,"NA",(E102/I102)*1000)</f>
        <v>13.698630136986301</v>
      </c>
      <c r="N102" s="753">
        <f t="shared" ref="N102:N125" si="21">IF(J102=0,"NA",(F102/J102)*1000)</f>
        <v>11.363636363636363</v>
      </c>
      <c r="O102" s="754">
        <f t="shared" ref="O102:O125" si="22">IF(K102=0,"NA",(G102/K102)*1000)</f>
        <v>0</v>
      </c>
    </row>
    <row r="103" spans="1:15" x14ac:dyDescent="0.3">
      <c r="A103" s="726" t="s">
        <v>51</v>
      </c>
      <c r="B103" s="726" t="s">
        <v>52</v>
      </c>
      <c r="C103" s="726" t="s">
        <v>252</v>
      </c>
      <c r="D103" s="732">
        <v>13</v>
      </c>
      <c r="E103" s="733">
        <v>8</v>
      </c>
      <c r="F103" s="733">
        <v>5</v>
      </c>
      <c r="G103" s="734">
        <v>0</v>
      </c>
      <c r="H103" s="732">
        <v>2067</v>
      </c>
      <c r="I103" s="733">
        <v>1283</v>
      </c>
      <c r="J103" s="733">
        <v>555</v>
      </c>
      <c r="K103" s="734">
        <v>229</v>
      </c>
      <c r="L103" s="752">
        <f t="shared" si="19"/>
        <v>6.2893081761006293</v>
      </c>
      <c r="M103" s="753">
        <f t="shared" si="20"/>
        <v>6.2353858144972722</v>
      </c>
      <c r="N103" s="753">
        <f t="shared" si="21"/>
        <v>9.0090090090090094</v>
      </c>
      <c r="O103" s="754">
        <f t="shared" si="22"/>
        <v>0</v>
      </c>
    </row>
    <row r="104" spans="1:15" x14ac:dyDescent="0.3">
      <c r="A104" s="726" t="s">
        <v>53</v>
      </c>
      <c r="B104" s="726" t="s">
        <v>54</v>
      </c>
      <c r="C104" s="726" t="s">
        <v>251</v>
      </c>
      <c r="D104" s="732">
        <v>105</v>
      </c>
      <c r="E104" s="733">
        <v>41</v>
      </c>
      <c r="F104" s="733">
        <v>53</v>
      </c>
      <c r="G104" s="734">
        <v>11</v>
      </c>
      <c r="H104" s="732">
        <v>16094</v>
      </c>
      <c r="I104" s="733">
        <v>9785</v>
      </c>
      <c r="J104" s="733">
        <v>5524</v>
      </c>
      <c r="K104" s="734">
        <v>785</v>
      </c>
      <c r="L104" s="752">
        <f t="shared" si="19"/>
        <v>6.5241704983223556</v>
      </c>
      <c r="M104" s="753">
        <f t="shared" si="20"/>
        <v>4.1900868676545731</v>
      </c>
      <c r="N104" s="753">
        <f t="shared" si="21"/>
        <v>9.5944967414916729</v>
      </c>
      <c r="O104" s="754">
        <f t="shared" si="22"/>
        <v>14.012738853503185</v>
      </c>
    </row>
    <row r="105" spans="1:15" x14ac:dyDescent="0.3">
      <c r="A105" s="726" t="s">
        <v>65</v>
      </c>
      <c r="B105" s="726" t="s">
        <v>66</v>
      </c>
      <c r="C105" s="726" t="s">
        <v>252</v>
      </c>
      <c r="D105" s="732">
        <v>47</v>
      </c>
      <c r="E105" s="733">
        <v>16</v>
      </c>
      <c r="F105" s="733">
        <v>28</v>
      </c>
      <c r="G105" s="734">
        <v>3</v>
      </c>
      <c r="H105" s="732">
        <v>2406</v>
      </c>
      <c r="I105" s="733">
        <v>851</v>
      </c>
      <c r="J105" s="733">
        <v>1511</v>
      </c>
      <c r="K105" s="734">
        <v>44</v>
      </c>
      <c r="L105" s="752">
        <f t="shared" si="19"/>
        <v>19.534497090606816</v>
      </c>
      <c r="M105" s="753">
        <f t="shared" si="20"/>
        <v>18.801410105757931</v>
      </c>
      <c r="N105" s="753">
        <f t="shared" si="21"/>
        <v>18.530774321641296</v>
      </c>
      <c r="O105" s="754">
        <f t="shared" si="22"/>
        <v>68.181818181818173</v>
      </c>
    </row>
    <row r="106" spans="1:15" x14ac:dyDescent="0.3">
      <c r="A106" s="726" t="s">
        <v>81</v>
      </c>
      <c r="B106" s="726" t="s">
        <v>82</v>
      </c>
      <c r="C106" s="726" t="s">
        <v>251</v>
      </c>
      <c r="D106" s="732">
        <v>7</v>
      </c>
      <c r="E106" s="733">
        <v>1</v>
      </c>
      <c r="F106" s="733">
        <v>6</v>
      </c>
      <c r="G106" s="734">
        <v>0</v>
      </c>
      <c r="H106" s="732">
        <v>479</v>
      </c>
      <c r="I106" s="733">
        <v>134</v>
      </c>
      <c r="J106" s="733">
        <v>337</v>
      </c>
      <c r="K106" s="734">
        <v>8</v>
      </c>
      <c r="L106" s="752">
        <f t="shared" si="19"/>
        <v>14.613778705636742</v>
      </c>
      <c r="M106" s="753">
        <f t="shared" si="20"/>
        <v>7.4626865671641793</v>
      </c>
      <c r="N106" s="753">
        <f t="shared" si="21"/>
        <v>17.804154302670625</v>
      </c>
      <c r="O106" s="754">
        <f t="shared" si="22"/>
        <v>0</v>
      </c>
    </row>
    <row r="107" spans="1:15" x14ac:dyDescent="0.3">
      <c r="A107" s="726" t="s">
        <v>87</v>
      </c>
      <c r="B107" s="726" t="s">
        <v>88</v>
      </c>
      <c r="C107" s="726" t="s">
        <v>254</v>
      </c>
      <c r="D107" s="732">
        <v>17</v>
      </c>
      <c r="E107" s="733">
        <v>5</v>
      </c>
      <c r="F107" s="733">
        <v>8</v>
      </c>
      <c r="G107" s="734">
        <v>4</v>
      </c>
      <c r="H107" s="732">
        <v>2314</v>
      </c>
      <c r="I107" s="733">
        <v>1544</v>
      </c>
      <c r="J107" s="733">
        <v>625</v>
      </c>
      <c r="K107" s="734">
        <v>145</v>
      </c>
      <c r="L107" s="752">
        <f t="shared" si="19"/>
        <v>7.3465859982713919</v>
      </c>
      <c r="M107" s="753">
        <f t="shared" si="20"/>
        <v>3.2383419689119171</v>
      </c>
      <c r="N107" s="753">
        <f t="shared" si="21"/>
        <v>12.8</v>
      </c>
      <c r="O107" s="754">
        <f t="shared" si="22"/>
        <v>27.586206896551722</v>
      </c>
    </row>
    <row r="108" spans="1:15" x14ac:dyDescent="0.3">
      <c r="A108" s="726" t="s">
        <v>89</v>
      </c>
      <c r="B108" s="726" t="s">
        <v>90</v>
      </c>
      <c r="C108" s="726" t="s">
        <v>255</v>
      </c>
      <c r="D108" s="732">
        <v>10</v>
      </c>
      <c r="E108" s="733">
        <v>7</v>
      </c>
      <c r="F108" s="733">
        <v>1</v>
      </c>
      <c r="G108" s="734">
        <v>2</v>
      </c>
      <c r="H108" s="732">
        <v>399</v>
      </c>
      <c r="I108" s="733">
        <v>360</v>
      </c>
      <c r="J108" s="733">
        <v>30</v>
      </c>
      <c r="K108" s="734">
        <v>9</v>
      </c>
      <c r="L108" s="752">
        <f t="shared" si="19"/>
        <v>25.062656641604008</v>
      </c>
      <c r="M108" s="753">
        <f t="shared" si="20"/>
        <v>19.444444444444446</v>
      </c>
      <c r="N108" s="753">
        <f t="shared" si="21"/>
        <v>33.333333333333336</v>
      </c>
      <c r="O108" s="754">
        <f t="shared" si="22"/>
        <v>222.2222222222222</v>
      </c>
    </row>
    <row r="109" spans="1:15" x14ac:dyDescent="0.3">
      <c r="A109" s="726" t="s">
        <v>105</v>
      </c>
      <c r="B109" s="726" t="s">
        <v>106</v>
      </c>
      <c r="C109" s="726" t="s">
        <v>251</v>
      </c>
      <c r="D109" s="732">
        <v>82</v>
      </c>
      <c r="E109" s="733">
        <v>20</v>
      </c>
      <c r="F109" s="733">
        <v>56</v>
      </c>
      <c r="G109" s="734">
        <v>6</v>
      </c>
      <c r="H109" s="732">
        <v>8220</v>
      </c>
      <c r="I109" s="733">
        <v>2451</v>
      </c>
      <c r="J109" s="733">
        <v>5461</v>
      </c>
      <c r="K109" s="734">
        <v>308</v>
      </c>
      <c r="L109" s="752">
        <f t="shared" si="19"/>
        <v>9.9756690997566899</v>
      </c>
      <c r="M109" s="753">
        <f t="shared" si="20"/>
        <v>8.1599347205222355</v>
      </c>
      <c r="N109" s="753">
        <f t="shared" si="21"/>
        <v>10.25453213697125</v>
      </c>
      <c r="O109" s="754">
        <f t="shared" si="22"/>
        <v>19.480519480519479</v>
      </c>
    </row>
    <row r="110" spans="1:15" x14ac:dyDescent="0.3">
      <c r="A110" s="726" t="s">
        <v>115</v>
      </c>
      <c r="B110" s="726" t="s">
        <v>116</v>
      </c>
      <c r="C110" s="726" t="s">
        <v>253</v>
      </c>
      <c r="D110" s="732">
        <v>28</v>
      </c>
      <c r="E110" s="733">
        <v>10</v>
      </c>
      <c r="F110" s="733">
        <v>18</v>
      </c>
      <c r="G110" s="734">
        <v>0</v>
      </c>
      <c r="H110" s="732">
        <v>1433</v>
      </c>
      <c r="I110" s="733">
        <v>568</v>
      </c>
      <c r="J110" s="733">
        <v>828</v>
      </c>
      <c r="K110" s="734">
        <v>37</v>
      </c>
      <c r="L110" s="752">
        <f t="shared" si="19"/>
        <v>19.539427773900908</v>
      </c>
      <c r="M110" s="753">
        <f t="shared" si="20"/>
        <v>17.605633802816904</v>
      </c>
      <c r="N110" s="753">
        <f t="shared" si="21"/>
        <v>21.739130434782609</v>
      </c>
      <c r="O110" s="754">
        <f t="shared" si="22"/>
        <v>0</v>
      </c>
    </row>
    <row r="111" spans="1:15" x14ac:dyDescent="0.3">
      <c r="A111" s="726" t="s">
        <v>137</v>
      </c>
      <c r="B111" s="726" t="s">
        <v>138</v>
      </c>
      <c r="C111" s="726" t="s">
        <v>252</v>
      </c>
      <c r="D111" s="732">
        <v>44</v>
      </c>
      <c r="E111" s="733">
        <v>21</v>
      </c>
      <c r="F111" s="733">
        <v>22</v>
      </c>
      <c r="G111" s="734">
        <v>1</v>
      </c>
      <c r="H111" s="732">
        <v>6677</v>
      </c>
      <c r="I111" s="733">
        <v>4382</v>
      </c>
      <c r="J111" s="733">
        <v>2000</v>
      </c>
      <c r="K111" s="734">
        <v>295</v>
      </c>
      <c r="L111" s="752">
        <f t="shared" si="19"/>
        <v>6.5897858319604614</v>
      </c>
      <c r="M111" s="753">
        <f t="shared" si="20"/>
        <v>4.7923322683706067</v>
      </c>
      <c r="N111" s="753">
        <f t="shared" si="21"/>
        <v>11</v>
      </c>
      <c r="O111" s="754">
        <f t="shared" si="22"/>
        <v>3.3898305084745761</v>
      </c>
    </row>
    <row r="112" spans="1:15" x14ac:dyDescent="0.3">
      <c r="A112" s="726" t="s">
        <v>141</v>
      </c>
      <c r="B112" s="726" t="s">
        <v>142</v>
      </c>
      <c r="C112" s="726" t="s">
        <v>254</v>
      </c>
      <c r="D112" s="732">
        <v>54</v>
      </c>
      <c r="E112" s="733">
        <v>47</v>
      </c>
      <c r="F112" s="733">
        <v>3</v>
      </c>
      <c r="G112" s="734">
        <v>4</v>
      </c>
      <c r="H112" s="732">
        <v>2619</v>
      </c>
      <c r="I112" s="733">
        <v>2003</v>
      </c>
      <c r="J112" s="733">
        <v>423</v>
      </c>
      <c r="K112" s="734">
        <v>193</v>
      </c>
      <c r="L112" s="752">
        <f t="shared" si="19"/>
        <v>20.618556701030929</v>
      </c>
      <c r="M112" s="753">
        <f t="shared" si="20"/>
        <v>23.464802795806293</v>
      </c>
      <c r="N112" s="753">
        <f t="shared" si="21"/>
        <v>7.0921985815602833</v>
      </c>
      <c r="O112" s="754">
        <f t="shared" si="22"/>
        <v>20.725388601036268</v>
      </c>
    </row>
    <row r="113" spans="1:15" x14ac:dyDescent="0.3">
      <c r="A113" s="726" t="s">
        <v>143</v>
      </c>
      <c r="B113" s="726" t="s">
        <v>144</v>
      </c>
      <c r="C113" s="726" t="s">
        <v>254</v>
      </c>
      <c r="D113" s="732">
        <v>2</v>
      </c>
      <c r="E113" s="733">
        <v>2</v>
      </c>
      <c r="F113" s="733">
        <v>0</v>
      </c>
      <c r="G113" s="734">
        <v>0</v>
      </c>
      <c r="H113" s="732">
        <v>1187</v>
      </c>
      <c r="I113" s="733">
        <v>875</v>
      </c>
      <c r="J113" s="733">
        <v>178</v>
      </c>
      <c r="K113" s="734">
        <v>134</v>
      </c>
      <c r="L113" s="752">
        <f t="shared" si="19"/>
        <v>1.6849199663016006</v>
      </c>
      <c r="M113" s="753">
        <f t="shared" si="20"/>
        <v>2.285714285714286</v>
      </c>
      <c r="N113" s="753">
        <f t="shared" si="21"/>
        <v>0</v>
      </c>
      <c r="O113" s="754">
        <f t="shared" si="22"/>
        <v>0</v>
      </c>
    </row>
    <row r="114" spans="1:15" x14ac:dyDescent="0.3">
      <c r="A114" s="726" t="s">
        <v>157</v>
      </c>
      <c r="B114" s="726" t="s">
        <v>158</v>
      </c>
      <c r="C114" s="726" t="s">
        <v>251</v>
      </c>
      <c r="D114" s="732">
        <v>130</v>
      </c>
      <c r="E114" s="733">
        <v>27</v>
      </c>
      <c r="F114" s="733">
        <v>79</v>
      </c>
      <c r="G114" s="734">
        <v>24</v>
      </c>
      <c r="H114" s="732">
        <v>11260</v>
      </c>
      <c r="I114" s="733">
        <v>4918</v>
      </c>
      <c r="J114" s="733">
        <v>5843</v>
      </c>
      <c r="K114" s="734">
        <v>499</v>
      </c>
      <c r="L114" s="752">
        <f t="shared" si="19"/>
        <v>11.545293072824157</v>
      </c>
      <c r="M114" s="753">
        <f t="shared" si="20"/>
        <v>5.4900366002440011</v>
      </c>
      <c r="N114" s="753">
        <f t="shared" si="21"/>
        <v>13.520451822693822</v>
      </c>
      <c r="O114" s="754">
        <f t="shared" si="22"/>
        <v>48.096192384769537</v>
      </c>
    </row>
    <row r="115" spans="1:15" x14ac:dyDescent="0.3">
      <c r="A115" s="726" t="s">
        <v>159</v>
      </c>
      <c r="B115" s="726" t="s">
        <v>160</v>
      </c>
      <c r="C115" s="726" t="s">
        <v>251</v>
      </c>
      <c r="D115" s="732">
        <v>189</v>
      </c>
      <c r="E115" s="733">
        <v>48</v>
      </c>
      <c r="F115" s="733">
        <v>127</v>
      </c>
      <c r="G115" s="734">
        <v>14</v>
      </c>
      <c r="H115" s="732">
        <v>13066</v>
      </c>
      <c r="I115" s="733">
        <v>4893</v>
      </c>
      <c r="J115" s="733">
        <v>7542</v>
      </c>
      <c r="K115" s="734">
        <v>631</v>
      </c>
      <c r="L115" s="752">
        <f t="shared" si="19"/>
        <v>14.46502372570029</v>
      </c>
      <c r="M115" s="753">
        <f t="shared" si="20"/>
        <v>9.8099325567136724</v>
      </c>
      <c r="N115" s="753">
        <f t="shared" si="21"/>
        <v>16.839034738796077</v>
      </c>
      <c r="O115" s="754">
        <f t="shared" si="22"/>
        <v>22.187004754358163</v>
      </c>
    </row>
    <row r="116" spans="1:15" x14ac:dyDescent="0.3">
      <c r="A116" s="726" t="s">
        <v>165</v>
      </c>
      <c r="B116" s="726" t="s">
        <v>166</v>
      </c>
      <c r="C116" s="726" t="s">
        <v>255</v>
      </c>
      <c r="D116" s="732">
        <v>7</v>
      </c>
      <c r="E116" s="733">
        <v>7</v>
      </c>
      <c r="F116" s="733">
        <v>0</v>
      </c>
      <c r="G116" s="734">
        <v>0</v>
      </c>
      <c r="H116" s="732">
        <v>238</v>
      </c>
      <c r="I116" s="733">
        <v>209</v>
      </c>
      <c r="J116" s="733">
        <v>28</v>
      </c>
      <c r="K116" s="734">
        <v>1</v>
      </c>
      <c r="L116" s="752">
        <f t="shared" si="19"/>
        <v>29.411764705882351</v>
      </c>
      <c r="M116" s="753">
        <f t="shared" si="20"/>
        <v>33.492822966507177</v>
      </c>
      <c r="N116" s="753">
        <f t="shared" si="21"/>
        <v>0</v>
      </c>
      <c r="O116" s="754">
        <f t="shared" si="22"/>
        <v>0</v>
      </c>
    </row>
    <row r="117" spans="1:15" x14ac:dyDescent="0.3">
      <c r="A117" s="726" t="s">
        <v>175</v>
      </c>
      <c r="B117" s="726" t="s">
        <v>176</v>
      </c>
      <c r="C117" s="726" t="s">
        <v>253</v>
      </c>
      <c r="D117" s="732">
        <v>59</v>
      </c>
      <c r="E117" s="733">
        <v>12</v>
      </c>
      <c r="F117" s="733">
        <v>44</v>
      </c>
      <c r="G117" s="734">
        <v>3</v>
      </c>
      <c r="H117" s="732">
        <v>1539</v>
      </c>
      <c r="I117" s="733">
        <v>227</v>
      </c>
      <c r="J117" s="733">
        <v>1282</v>
      </c>
      <c r="K117" s="734">
        <v>30</v>
      </c>
      <c r="L117" s="752">
        <f t="shared" si="19"/>
        <v>38.336582196231319</v>
      </c>
      <c r="M117" s="753">
        <f t="shared" si="20"/>
        <v>52.863436123348016</v>
      </c>
      <c r="N117" s="753">
        <f t="shared" si="21"/>
        <v>34.321372854914195</v>
      </c>
      <c r="O117" s="754">
        <f t="shared" si="22"/>
        <v>100</v>
      </c>
    </row>
    <row r="118" spans="1:15" x14ac:dyDescent="0.3">
      <c r="A118" s="726" t="s">
        <v>179</v>
      </c>
      <c r="B118" s="726" t="s">
        <v>180</v>
      </c>
      <c r="C118" s="726" t="s">
        <v>251</v>
      </c>
      <c r="D118" s="732">
        <v>73</v>
      </c>
      <c r="E118" s="733">
        <v>14</v>
      </c>
      <c r="F118" s="733">
        <v>58</v>
      </c>
      <c r="G118" s="734">
        <v>1</v>
      </c>
      <c r="H118" s="732">
        <v>5281</v>
      </c>
      <c r="I118" s="733">
        <v>1462</v>
      </c>
      <c r="J118" s="733">
        <v>3692</v>
      </c>
      <c r="K118" s="734">
        <v>127</v>
      </c>
      <c r="L118" s="752">
        <f t="shared" si="19"/>
        <v>13.823139556902102</v>
      </c>
      <c r="M118" s="753">
        <f t="shared" si="20"/>
        <v>9.5759233926128591</v>
      </c>
      <c r="N118" s="753">
        <f t="shared" si="21"/>
        <v>15.70964247020585</v>
      </c>
      <c r="O118" s="754">
        <f t="shared" si="22"/>
        <v>7.8740157480314963</v>
      </c>
    </row>
    <row r="119" spans="1:15" x14ac:dyDescent="0.3">
      <c r="A119" s="726" t="s">
        <v>191</v>
      </c>
      <c r="B119" s="726" t="s">
        <v>192</v>
      </c>
      <c r="C119" s="726" t="s">
        <v>255</v>
      </c>
      <c r="D119" s="732">
        <v>10</v>
      </c>
      <c r="E119" s="733">
        <v>7</v>
      </c>
      <c r="F119" s="733">
        <v>2</v>
      </c>
      <c r="G119" s="734">
        <v>1</v>
      </c>
      <c r="H119" s="732">
        <v>2060</v>
      </c>
      <c r="I119" s="733">
        <v>1819</v>
      </c>
      <c r="J119" s="733">
        <v>200</v>
      </c>
      <c r="K119" s="734">
        <v>41</v>
      </c>
      <c r="L119" s="752">
        <f t="shared" si="19"/>
        <v>4.8543689320388346</v>
      </c>
      <c r="M119" s="753">
        <f t="shared" si="20"/>
        <v>3.8482682792743264</v>
      </c>
      <c r="N119" s="753">
        <f t="shared" si="21"/>
        <v>10</v>
      </c>
      <c r="O119" s="754">
        <f t="shared" si="22"/>
        <v>24.390243902439025</v>
      </c>
    </row>
    <row r="120" spans="1:15" x14ac:dyDescent="0.3">
      <c r="A120" s="726" t="s">
        <v>195</v>
      </c>
      <c r="B120" s="726" t="s">
        <v>196</v>
      </c>
      <c r="C120" s="726" t="s">
        <v>253</v>
      </c>
      <c r="D120" s="732">
        <v>189</v>
      </c>
      <c r="E120" s="733">
        <v>40</v>
      </c>
      <c r="F120" s="733">
        <v>130</v>
      </c>
      <c r="G120" s="734">
        <v>19</v>
      </c>
      <c r="H120" s="732">
        <v>12068</v>
      </c>
      <c r="I120" s="733">
        <v>4443</v>
      </c>
      <c r="J120" s="733">
        <v>7066</v>
      </c>
      <c r="K120" s="734">
        <v>559</v>
      </c>
      <c r="L120" s="752">
        <f t="shared" si="19"/>
        <v>15.661252900232018</v>
      </c>
      <c r="M120" s="753">
        <f t="shared" si="20"/>
        <v>9.0029259509340545</v>
      </c>
      <c r="N120" s="753">
        <f t="shared" si="21"/>
        <v>18.397962071893573</v>
      </c>
      <c r="O120" s="754">
        <f t="shared" si="22"/>
        <v>33.989266547406082</v>
      </c>
    </row>
    <row r="121" spans="1:15" x14ac:dyDescent="0.3">
      <c r="A121" s="726" t="s">
        <v>199</v>
      </c>
      <c r="B121" s="726" t="s">
        <v>200</v>
      </c>
      <c r="C121" s="726" t="s">
        <v>252</v>
      </c>
      <c r="D121" s="732">
        <v>107</v>
      </c>
      <c r="E121" s="733">
        <v>67</v>
      </c>
      <c r="F121" s="733">
        <v>38</v>
      </c>
      <c r="G121" s="734">
        <v>2</v>
      </c>
      <c r="H121" s="732">
        <v>5401</v>
      </c>
      <c r="I121" s="733">
        <v>2790</v>
      </c>
      <c r="J121" s="733">
        <v>2286</v>
      </c>
      <c r="K121" s="734">
        <v>325</v>
      </c>
      <c r="L121" s="752">
        <f t="shared" si="19"/>
        <v>19.811146084058507</v>
      </c>
      <c r="M121" s="753">
        <f t="shared" si="20"/>
        <v>24.014336917562723</v>
      </c>
      <c r="N121" s="753">
        <f t="shared" si="21"/>
        <v>16.622922134733155</v>
      </c>
      <c r="O121" s="754">
        <f t="shared" si="22"/>
        <v>6.1538461538461542</v>
      </c>
    </row>
    <row r="122" spans="1:15" x14ac:dyDescent="0.3">
      <c r="A122" s="726" t="s">
        <v>221</v>
      </c>
      <c r="B122" s="726" t="s">
        <v>222</v>
      </c>
      <c r="C122" s="726" t="s">
        <v>251</v>
      </c>
      <c r="D122" s="732">
        <v>37</v>
      </c>
      <c r="E122" s="733">
        <v>6</v>
      </c>
      <c r="F122" s="733">
        <v>29</v>
      </c>
      <c r="G122" s="734">
        <v>2</v>
      </c>
      <c r="H122" s="732">
        <v>5721</v>
      </c>
      <c r="I122" s="733">
        <v>2498</v>
      </c>
      <c r="J122" s="733">
        <v>3040</v>
      </c>
      <c r="K122" s="734">
        <v>183</v>
      </c>
      <c r="L122" s="752">
        <f t="shared" si="19"/>
        <v>6.4674008040552353</v>
      </c>
      <c r="M122" s="753">
        <f t="shared" si="20"/>
        <v>2.4019215372297835</v>
      </c>
      <c r="N122" s="753">
        <f t="shared" si="21"/>
        <v>9.5394736842105257</v>
      </c>
      <c r="O122" s="754">
        <f t="shared" si="22"/>
        <v>10.928961748633879</v>
      </c>
    </row>
    <row r="123" spans="1:15" x14ac:dyDescent="0.3">
      <c r="A123" s="726" t="s">
        <v>229</v>
      </c>
      <c r="B123" s="726" t="s">
        <v>230</v>
      </c>
      <c r="C123" s="726" t="s">
        <v>251</v>
      </c>
      <c r="D123" s="732">
        <v>149</v>
      </c>
      <c r="E123" s="733">
        <v>61</v>
      </c>
      <c r="F123" s="733">
        <v>71</v>
      </c>
      <c r="G123" s="734">
        <v>17</v>
      </c>
      <c r="H123" s="732">
        <v>26014</v>
      </c>
      <c r="I123" s="733">
        <v>16620</v>
      </c>
      <c r="J123" s="733">
        <v>7006</v>
      </c>
      <c r="K123" s="734">
        <v>2388</v>
      </c>
      <c r="L123" s="752">
        <f t="shared" si="19"/>
        <v>5.7276850926424228</v>
      </c>
      <c r="M123" s="753">
        <f t="shared" si="20"/>
        <v>3.6702767749699157</v>
      </c>
      <c r="N123" s="753">
        <f t="shared" si="21"/>
        <v>10.134170710819298</v>
      </c>
      <c r="O123" s="754">
        <f t="shared" si="22"/>
        <v>7.1189279731993302</v>
      </c>
    </row>
    <row r="124" spans="1:15" x14ac:dyDescent="0.3">
      <c r="A124" s="726" t="s">
        <v>237</v>
      </c>
      <c r="B124" s="726" t="s">
        <v>238</v>
      </c>
      <c r="C124" s="726" t="s">
        <v>251</v>
      </c>
      <c r="D124" s="732">
        <v>4</v>
      </c>
      <c r="E124" s="733">
        <v>0</v>
      </c>
      <c r="F124" s="733">
        <v>1</v>
      </c>
      <c r="G124" s="734">
        <v>3</v>
      </c>
      <c r="H124" s="732">
        <v>1509</v>
      </c>
      <c r="I124" s="733">
        <v>1117</v>
      </c>
      <c r="J124" s="733">
        <v>235</v>
      </c>
      <c r="K124" s="734">
        <v>157</v>
      </c>
      <c r="L124" s="752">
        <f t="shared" si="19"/>
        <v>2.6507620941020544</v>
      </c>
      <c r="M124" s="753">
        <f t="shared" si="20"/>
        <v>0</v>
      </c>
      <c r="N124" s="753">
        <f t="shared" si="21"/>
        <v>4.2553191489361701</v>
      </c>
      <c r="O124" s="754">
        <f t="shared" si="22"/>
        <v>19.108280254777068</v>
      </c>
    </row>
    <row r="125" spans="1:15" x14ac:dyDescent="0.3">
      <c r="A125" s="742" t="s">
        <v>239</v>
      </c>
      <c r="B125" s="742" t="s">
        <v>240</v>
      </c>
      <c r="C125" s="742" t="s">
        <v>254</v>
      </c>
      <c r="D125" s="732">
        <v>22</v>
      </c>
      <c r="E125" s="743">
        <v>20</v>
      </c>
      <c r="F125" s="743">
        <v>2</v>
      </c>
      <c r="G125" s="744">
        <v>0</v>
      </c>
      <c r="H125" s="732">
        <v>1871</v>
      </c>
      <c r="I125" s="745">
        <v>1519</v>
      </c>
      <c r="J125" s="745">
        <v>282</v>
      </c>
      <c r="K125" s="744">
        <v>70</v>
      </c>
      <c r="L125" s="752">
        <f t="shared" si="19"/>
        <v>11.758417958311064</v>
      </c>
      <c r="M125" s="755">
        <f t="shared" si="20"/>
        <v>13.166556945358789</v>
      </c>
      <c r="N125" s="755">
        <f t="shared" si="21"/>
        <v>7.0921985815602833</v>
      </c>
      <c r="O125" s="756">
        <f t="shared" si="22"/>
        <v>0</v>
      </c>
    </row>
    <row r="127" spans="1:15" x14ac:dyDescent="0.3">
      <c r="A127" s="726" t="s">
        <v>253</v>
      </c>
      <c r="D127" s="732">
        <v>630</v>
      </c>
      <c r="E127" s="733">
        <v>258</v>
      </c>
      <c r="F127" s="733">
        <v>321</v>
      </c>
      <c r="G127" s="734">
        <v>51</v>
      </c>
      <c r="H127" s="732">
        <v>84837</v>
      </c>
      <c r="I127" s="733">
        <v>50601</v>
      </c>
      <c r="J127" s="733">
        <v>29613</v>
      </c>
      <c r="K127" s="734">
        <v>4623</v>
      </c>
      <c r="L127" s="746">
        <f t="shared" ref="L127:L131" si="23">IF(H127=0,"NA",(D127/H127)*1000)</f>
        <v>7.426005162841685</v>
      </c>
      <c r="M127" s="747">
        <f t="shared" ref="M127:M131" si="24">IF(I127=0,"NA",(E127/I127)*1000)</f>
        <v>5.0987134641607872</v>
      </c>
      <c r="N127" s="747">
        <f t="shared" ref="N127:N131" si="25">IF(J127=0,"NA",(F127/J127)*1000)</f>
        <v>10.839833856752101</v>
      </c>
      <c r="O127" s="748">
        <f t="shared" ref="O127:O131" si="26">IF(K127=0,"NA",(G127/K127)*1000)</f>
        <v>11.031797534068787</v>
      </c>
    </row>
    <row r="128" spans="1:15" x14ac:dyDescent="0.3">
      <c r="A128" s="726" t="s">
        <v>251</v>
      </c>
      <c r="D128" s="732">
        <v>927</v>
      </c>
      <c r="E128" s="733">
        <v>290</v>
      </c>
      <c r="F128" s="733">
        <v>545</v>
      </c>
      <c r="G128" s="734">
        <v>92</v>
      </c>
      <c r="H128" s="732">
        <v>111667</v>
      </c>
      <c r="I128" s="733">
        <v>60514</v>
      </c>
      <c r="J128" s="733">
        <v>45070</v>
      </c>
      <c r="K128" s="734">
        <v>6083</v>
      </c>
      <c r="L128" s="746">
        <f t="shared" si="23"/>
        <v>8.3014677568126665</v>
      </c>
      <c r="M128" s="747">
        <f t="shared" si="24"/>
        <v>4.7922794725187563</v>
      </c>
      <c r="N128" s="747">
        <f t="shared" si="25"/>
        <v>12.092300865320611</v>
      </c>
      <c r="O128" s="748">
        <f t="shared" si="26"/>
        <v>15.124116389939175</v>
      </c>
    </row>
    <row r="129" spans="1:15" x14ac:dyDescent="0.3">
      <c r="A129" s="726" t="s">
        <v>254</v>
      </c>
      <c r="D129" s="732">
        <v>1148</v>
      </c>
      <c r="E129" s="733">
        <v>582</v>
      </c>
      <c r="F129" s="733">
        <v>128</v>
      </c>
      <c r="G129" s="734">
        <v>438</v>
      </c>
      <c r="H129" s="732">
        <v>224209</v>
      </c>
      <c r="I129" s="733">
        <v>159005</v>
      </c>
      <c r="J129" s="733">
        <v>33056</v>
      </c>
      <c r="K129" s="734">
        <v>32148</v>
      </c>
      <c r="L129" s="746">
        <f t="shared" si="23"/>
        <v>5.1202226494030123</v>
      </c>
      <c r="M129" s="747">
        <f t="shared" si="24"/>
        <v>3.6602622559039024</v>
      </c>
      <c r="N129" s="747">
        <f t="shared" si="25"/>
        <v>3.8722168441432721</v>
      </c>
      <c r="O129" s="748">
        <f t="shared" si="26"/>
        <v>13.624486748786861</v>
      </c>
    </row>
    <row r="130" spans="1:15" x14ac:dyDescent="0.3">
      <c r="A130" s="726" t="s">
        <v>252</v>
      </c>
      <c r="D130" s="732">
        <v>597</v>
      </c>
      <c r="E130" s="733">
        <v>396</v>
      </c>
      <c r="F130" s="733">
        <v>187</v>
      </c>
      <c r="G130" s="734">
        <v>14</v>
      </c>
      <c r="H130" s="732">
        <v>69416</v>
      </c>
      <c r="I130" s="733">
        <v>52224</v>
      </c>
      <c r="J130" s="733">
        <v>14587</v>
      </c>
      <c r="K130" s="734">
        <v>2605</v>
      </c>
      <c r="L130" s="746">
        <f t="shared" si="23"/>
        <v>8.6003226921747142</v>
      </c>
      <c r="M130" s="747">
        <f t="shared" si="24"/>
        <v>7.5827205882352944</v>
      </c>
      <c r="N130" s="747">
        <f t="shared" si="25"/>
        <v>12.819633920614246</v>
      </c>
      <c r="O130" s="748">
        <f t="shared" si="26"/>
        <v>5.3742802303262955</v>
      </c>
    </row>
    <row r="131" spans="1:15" x14ac:dyDescent="0.3">
      <c r="A131" s="726" t="s">
        <v>255</v>
      </c>
      <c r="D131" s="732">
        <v>349</v>
      </c>
      <c r="E131" s="733">
        <v>332</v>
      </c>
      <c r="F131" s="733">
        <v>11</v>
      </c>
      <c r="G131" s="734">
        <v>6</v>
      </c>
      <c r="H131" s="732">
        <v>33573</v>
      </c>
      <c r="I131" s="733">
        <v>31217</v>
      </c>
      <c r="J131" s="733">
        <v>1517</v>
      </c>
      <c r="K131" s="734">
        <v>839</v>
      </c>
      <c r="L131" s="746">
        <f t="shared" si="23"/>
        <v>10.395258094301969</v>
      </c>
      <c r="M131" s="747">
        <f t="shared" si="24"/>
        <v>10.635230803728737</v>
      </c>
      <c r="N131" s="747">
        <f t="shared" si="25"/>
        <v>7.2511535926170074</v>
      </c>
      <c r="O131" s="748">
        <f t="shared" si="26"/>
        <v>7.1513706793802143</v>
      </c>
    </row>
    <row r="133" spans="1:15" x14ac:dyDescent="0.3">
      <c r="B133" s="726" t="s">
        <v>553</v>
      </c>
    </row>
    <row r="135" spans="1:15" x14ac:dyDescent="0.3">
      <c r="B135" s="726" t="s">
        <v>551</v>
      </c>
    </row>
    <row r="136" spans="1:15" x14ac:dyDescent="0.3">
      <c r="B136" s="726" t="s">
        <v>248</v>
      </c>
      <c r="D136" s="735" t="s">
        <v>552</v>
      </c>
    </row>
  </sheetData>
  <sheetProtection algorithmName="SHA-512" hashValue="nF4kqBDCjhcgR3ZO+jfDSZtW8IUAy8yDGZUTrWximllYSR1lYBETizPHc+f/7J13/Ab4yJ+gVAF8tIApbhO+TA==" saltValue="s1cJadIbLy49Eu9rX0IOvw==" spinCount="100000" sheet="1" objects="1" scenarios="1"/>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W135"/>
  <sheetViews>
    <sheetView workbookViewId="0">
      <pane xSplit="3" ySplit="5" topLeftCell="BD6" activePane="bottomRight" state="frozen"/>
      <selection pane="topRight" activeCell="D1" sqref="D1"/>
      <selection pane="bottomLeft" activeCell="A6" sqref="A6"/>
      <selection pane="bottomRight" activeCell="BP6" sqref="BP6:BP125"/>
    </sheetView>
  </sheetViews>
  <sheetFormatPr defaultColWidth="9" defaultRowHeight="15.6" x14ac:dyDescent="0.3"/>
  <cols>
    <col min="1" max="1" width="7.69921875" style="41" customWidth="1"/>
    <col min="2" max="2" width="28.59765625" style="65" customWidth="1"/>
    <col min="3" max="3" width="10" style="65" customWidth="1"/>
    <col min="4" max="25" width="9" style="41"/>
    <col min="26" max="26" width="3.5" style="41" customWidth="1"/>
    <col min="27" max="27" width="8.19921875" style="65" customWidth="1"/>
    <col min="28" max="30" width="8.19921875" style="64" customWidth="1"/>
    <col min="31" max="34" width="8.19921875" style="41" customWidth="1"/>
    <col min="35" max="38" width="8.19921875" style="42" customWidth="1"/>
    <col min="39" max="48" width="8.19921875" style="41" customWidth="1"/>
    <col min="49" max="49" width="3.5" style="41" customWidth="1"/>
    <col min="50" max="72" width="9" style="41"/>
    <col min="73" max="73" width="12.69921875" style="41" customWidth="1"/>
    <col min="74" max="74" width="9.8984375" style="41" bestFit="1" customWidth="1"/>
    <col min="75" max="16384" width="9" style="41"/>
  </cols>
  <sheetData>
    <row r="1" spans="1:75" x14ac:dyDescent="0.3">
      <c r="A1" s="145" t="s">
        <v>848</v>
      </c>
      <c r="B1" s="145"/>
      <c r="C1" s="145"/>
      <c r="AA1" s="145"/>
      <c r="AB1" s="145"/>
      <c r="AC1" s="145"/>
      <c r="AD1" s="145"/>
      <c r="AE1" s="145"/>
      <c r="AF1" s="146"/>
      <c r="AG1" s="146"/>
      <c r="AH1" s="146"/>
      <c r="AI1" s="146"/>
      <c r="AJ1" s="146"/>
      <c r="AK1" s="146"/>
      <c r="AL1" s="146"/>
    </row>
    <row r="2" spans="1:75" x14ac:dyDescent="0.3">
      <c r="A2" s="31">
        <v>1</v>
      </c>
      <c r="B2" s="43">
        <v>2</v>
      </c>
      <c r="C2" s="31">
        <v>3</v>
      </c>
      <c r="D2" s="43">
        <v>4</v>
      </c>
      <c r="E2" s="31">
        <v>5</v>
      </c>
      <c r="F2" s="43">
        <v>6</v>
      </c>
      <c r="G2" s="31">
        <v>7</v>
      </c>
      <c r="H2" s="43">
        <v>8</v>
      </c>
      <c r="I2" s="31">
        <v>9</v>
      </c>
      <c r="J2" s="43">
        <v>10</v>
      </c>
      <c r="K2" s="31">
        <v>11</v>
      </c>
      <c r="L2" s="43">
        <v>12</v>
      </c>
      <c r="M2" s="31">
        <v>13</v>
      </c>
      <c r="N2" s="43">
        <v>14</v>
      </c>
      <c r="O2" s="31">
        <v>15</v>
      </c>
      <c r="P2" s="43">
        <v>16</v>
      </c>
      <c r="Q2" s="31">
        <v>17</v>
      </c>
      <c r="R2" s="43">
        <v>18</v>
      </c>
      <c r="S2" s="31">
        <v>19</v>
      </c>
      <c r="T2" s="43">
        <v>20</v>
      </c>
      <c r="U2" s="31">
        <v>21</v>
      </c>
      <c r="V2" s="43">
        <v>22</v>
      </c>
      <c r="W2" s="31">
        <v>23</v>
      </c>
      <c r="X2" s="43">
        <v>24</v>
      </c>
      <c r="Y2" s="31">
        <v>25</v>
      </c>
      <c r="Z2" s="43">
        <v>26</v>
      </c>
      <c r="AA2" s="31">
        <v>27</v>
      </c>
      <c r="AB2" s="43">
        <v>28</v>
      </c>
      <c r="AC2" s="31">
        <v>29</v>
      </c>
      <c r="AD2" s="43">
        <v>30</v>
      </c>
      <c r="AE2" s="31">
        <v>31</v>
      </c>
      <c r="AF2" s="43">
        <v>32</v>
      </c>
      <c r="AG2" s="31">
        <v>33</v>
      </c>
      <c r="AH2" s="43">
        <v>34</v>
      </c>
      <c r="AI2" s="31">
        <v>35</v>
      </c>
      <c r="AJ2" s="43">
        <v>36</v>
      </c>
      <c r="AK2" s="31">
        <v>37</v>
      </c>
      <c r="AL2" s="43">
        <v>38</v>
      </c>
      <c r="AM2" s="31">
        <v>39</v>
      </c>
      <c r="AN2" s="43">
        <v>40</v>
      </c>
      <c r="AO2" s="31">
        <v>41</v>
      </c>
      <c r="AP2" s="43">
        <v>42</v>
      </c>
      <c r="AQ2" s="31">
        <v>43</v>
      </c>
      <c r="AR2" s="43">
        <v>44</v>
      </c>
      <c r="AS2" s="31">
        <v>45</v>
      </c>
      <c r="AT2" s="43">
        <v>46</v>
      </c>
      <c r="AU2" s="31">
        <v>47</v>
      </c>
      <c r="AV2" s="43">
        <v>48</v>
      </c>
      <c r="AW2" s="31">
        <v>49</v>
      </c>
      <c r="AX2" s="43">
        <v>50</v>
      </c>
      <c r="AY2" s="31">
        <v>51</v>
      </c>
      <c r="AZ2" s="43">
        <v>52</v>
      </c>
      <c r="BA2" s="31">
        <v>53</v>
      </c>
      <c r="BB2" s="43">
        <v>54</v>
      </c>
      <c r="BC2" s="31">
        <v>55</v>
      </c>
      <c r="BD2" s="43">
        <v>56</v>
      </c>
      <c r="BE2" s="31">
        <v>57</v>
      </c>
      <c r="BF2" s="43">
        <v>58</v>
      </c>
      <c r="BG2" s="31">
        <v>59</v>
      </c>
      <c r="BH2" s="43">
        <v>60</v>
      </c>
      <c r="BI2" s="31">
        <v>61</v>
      </c>
      <c r="BJ2" s="43">
        <v>62</v>
      </c>
      <c r="BK2" s="31">
        <v>63</v>
      </c>
      <c r="BL2" s="43">
        <v>64</v>
      </c>
      <c r="BM2" s="31">
        <v>65</v>
      </c>
      <c r="BN2" s="43">
        <v>66</v>
      </c>
      <c r="BO2" s="31">
        <v>67</v>
      </c>
      <c r="BP2" s="43">
        <v>68</v>
      </c>
      <c r="BQ2" s="31">
        <v>69</v>
      </c>
      <c r="BR2" s="43">
        <v>70</v>
      </c>
      <c r="BS2" s="31">
        <v>71</v>
      </c>
      <c r="BT2" s="43">
        <v>72</v>
      </c>
      <c r="BU2" s="31">
        <v>73</v>
      </c>
      <c r="BV2" s="43">
        <v>74</v>
      </c>
      <c r="BW2" s="31">
        <v>75</v>
      </c>
    </row>
    <row r="3" spans="1:75" ht="15.75" customHeight="1" x14ac:dyDescent="0.3">
      <c r="A3" s="31"/>
      <c r="B3" s="43"/>
      <c r="C3" s="43"/>
      <c r="D3" s="2536" t="s">
        <v>547</v>
      </c>
      <c r="E3" s="2536"/>
      <c r="F3" s="2536"/>
      <c r="G3" s="2536"/>
      <c r="H3" s="2536"/>
      <c r="I3" s="2536"/>
      <c r="J3" s="2536"/>
      <c r="K3" s="2536"/>
      <c r="L3" s="2536"/>
      <c r="M3" s="2536"/>
      <c r="N3" s="2536"/>
      <c r="O3" s="2536"/>
      <c r="P3" s="2536"/>
      <c r="Q3" s="2536"/>
      <c r="R3" s="2536"/>
      <c r="S3" s="2536"/>
      <c r="T3" s="2536"/>
      <c r="U3" s="1093"/>
      <c r="V3" s="1601"/>
      <c r="W3" s="1947"/>
      <c r="X3" s="1988"/>
      <c r="Y3" s="2088"/>
      <c r="Z3" s="2088"/>
      <c r="AA3" s="2537" t="s">
        <v>419</v>
      </c>
      <c r="AB3" s="2537"/>
      <c r="AC3" s="2537"/>
      <c r="AD3" s="2537"/>
      <c r="AE3" s="2537"/>
      <c r="AF3" s="2537"/>
      <c r="AG3" s="2537"/>
      <c r="AH3" s="2537"/>
      <c r="AI3" s="2537"/>
      <c r="AJ3" s="2537"/>
      <c r="AK3" s="2537"/>
      <c r="AL3" s="2537"/>
      <c r="AM3" s="2537"/>
      <c r="AN3" s="2537"/>
      <c r="AO3" s="2537"/>
      <c r="AP3" s="2537"/>
      <c r="AQ3" s="2537"/>
      <c r="AR3" s="2537"/>
      <c r="AS3" s="2537"/>
      <c r="AT3" s="2537"/>
      <c r="AU3" s="2537"/>
      <c r="AV3" s="2537"/>
      <c r="AW3" s="999"/>
      <c r="AX3" s="2538" t="s">
        <v>546</v>
      </c>
      <c r="AY3" s="2538"/>
      <c r="AZ3" s="2538"/>
      <c r="BA3" s="2538"/>
      <c r="BB3" s="2538"/>
      <c r="BC3" s="2538"/>
      <c r="BD3" s="2538"/>
      <c r="BE3" s="2538"/>
      <c r="BF3" s="2538"/>
      <c r="BG3" s="2538"/>
      <c r="BH3" s="2538"/>
      <c r="BI3" s="2538"/>
      <c r="BJ3" s="2538"/>
      <c r="BK3" s="2538"/>
      <c r="BL3" s="2538"/>
      <c r="BM3" s="2538"/>
      <c r="BN3" s="2538"/>
      <c r="BO3" s="2538"/>
      <c r="BP3" s="2538"/>
      <c r="BQ3" s="2538"/>
      <c r="BR3" s="2538"/>
      <c r="BS3" s="2538"/>
    </row>
    <row r="4" spans="1:75" s="49" customFormat="1" ht="64.8" customHeight="1" x14ac:dyDescent="0.3">
      <c r="A4" s="689" t="s">
        <v>4</v>
      </c>
      <c r="B4" s="688" t="s">
        <v>5</v>
      </c>
      <c r="C4" s="688" t="s">
        <v>250</v>
      </c>
      <c r="D4" s="709">
        <v>1998</v>
      </c>
      <c r="E4" s="702">
        <v>1999</v>
      </c>
      <c r="F4" s="702">
        <v>2000</v>
      </c>
      <c r="G4" s="702">
        <v>2001</v>
      </c>
      <c r="H4" s="702">
        <v>2002</v>
      </c>
      <c r="I4" s="702">
        <v>2003</v>
      </c>
      <c r="J4" s="702">
        <v>2004</v>
      </c>
      <c r="K4" s="702">
        <v>2005</v>
      </c>
      <c r="L4" s="702">
        <v>2006</v>
      </c>
      <c r="M4" s="702">
        <v>2007</v>
      </c>
      <c r="N4" s="702">
        <v>2008</v>
      </c>
      <c r="O4" s="702">
        <v>2009</v>
      </c>
      <c r="P4" s="702">
        <v>2010</v>
      </c>
      <c r="Q4" s="702">
        <v>2011</v>
      </c>
      <c r="R4" s="846">
        <v>2012</v>
      </c>
      <c r="S4" s="703">
        <v>2013</v>
      </c>
      <c r="T4" s="1094">
        <v>2014</v>
      </c>
      <c r="U4" s="1603">
        <v>2015</v>
      </c>
      <c r="V4" s="1605">
        <v>2016</v>
      </c>
      <c r="W4" s="1605">
        <v>2017</v>
      </c>
      <c r="X4" s="2010">
        <v>2018</v>
      </c>
      <c r="Y4" s="1003">
        <v>2019</v>
      </c>
      <c r="Z4" s="1003"/>
      <c r="AA4" s="699">
        <v>1998</v>
      </c>
      <c r="AB4" s="700">
        <v>1999</v>
      </c>
      <c r="AC4" s="700">
        <v>2000</v>
      </c>
      <c r="AD4" s="700">
        <v>2001</v>
      </c>
      <c r="AE4" s="700">
        <v>2002</v>
      </c>
      <c r="AF4" s="700">
        <v>2003</v>
      </c>
      <c r="AG4" s="700">
        <v>2004</v>
      </c>
      <c r="AH4" s="700">
        <v>2005</v>
      </c>
      <c r="AI4" s="700">
        <v>2006</v>
      </c>
      <c r="AJ4" s="700">
        <v>2007</v>
      </c>
      <c r="AK4" s="700">
        <v>2008</v>
      </c>
      <c r="AL4" s="701">
        <v>2009</v>
      </c>
      <c r="AM4" s="702">
        <v>2010</v>
      </c>
      <c r="AN4" s="702">
        <v>2011</v>
      </c>
      <c r="AO4" s="846">
        <v>2012</v>
      </c>
      <c r="AP4" s="1603">
        <v>2013</v>
      </c>
      <c r="AQ4" s="1605">
        <v>2014</v>
      </c>
      <c r="AR4" s="1605">
        <v>2015</v>
      </c>
      <c r="AS4" s="1967">
        <v>2016</v>
      </c>
      <c r="AT4" s="1603">
        <v>2017</v>
      </c>
      <c r="AU4" s="1606">
        <v>2018</v>
      </c>
      <c r="AV4" s="1003">
        <v>2019</v>
      </c>
      <c r="AW4" s="1003"/>
      <c r="AX4" s="709">
        <v>1998</v>
      </c>
      <c r="AY4" s="702">
        <v>1999</v>
      </c>
      <c r="AZ4" s="702">
        <v>2000</v>
      </c>
      <c r="BA4" s="702">
        <v>2001</v>
      </c>
      <c r="BB4" s="702">
        <v>2002</v>
      </c>
      <c r="BC4" s="702">
        <v>2003</v>
      </c>
      <c r="BD4" s="702">
        <v>2004</v>
      </c>
      <c r="BE4" s="702">
        <v>2005</v>
      </c>
      <c r="BF4" s="702">
        <v>2006</v>
      </c>
      <c r="BG4" s="702">
        <v>2007</v>
      </c>
      <c r="BH4" s="702">
        <v>2008</v>
      </c>
      <c r="BI4" s="702">
        <v>2009</v>
      </c>
      <c r="BJ4" s="702">
        <v>2010</v>
      </c>
      <c r="BK4" s="702">
        <v>2011</v>
      </c>
      <c r="BL4" s="846">
        <v>2012</v>
      </c>
      <c r="BM4" s="1098">
        <v>2013</v>
      </c>
      <c r="BN4" s="1100">
        <v>2014</v>
      </c>
      <c r="BO4" s="1603">
        <v>2015</v>
      </c>
      <c r="BP4" s="1967">
        <v>2016</v>
      </c>
      <c r="BQ4" s="1603">
        <v>2017</v>
      </c>
      <c r="BR4" s="1606">
        <v>2018</v>
      </c>
      <c r="BS4" s="1003">
        <v>2019</v>
      </c>
      <c r="BU4" s="2171" t="s">
        <v>959</v>
      </c>
      <c r="BV4" s="2171" t="s">
        <v>960</v>
      </c>
      <c r="BW4" s="2171" t="s">
        <v>961</v>
      </c>
    </row>
    <row r="5" spans="1:75" s="49" customFormat="1" ht="15.75" customHeight="1" x14ac:dyDescent="0.3">
      <c r="A5" s="53" t="s">
        <v>7</v>
      </c>
      <c r="B5" s="54" t="s">
        <v>8</v>
      </c>
      <c r="C5" s="55"/>
      <c r="D5" s="1611">
        <f t="shared" ref="D5:D36" si="0">AX5/AA5</f>
        <v>0.2981171770406103</v>
      </c>
      <c r="E5" s="1612">
        <f t="shared" ref="E5:E36" si="1">AY5/AB5</f>
        <v>0.29729956830905291</v>
      </c>
      <c r="F5" s="1612">
        <f t="shared" ref="F5:F36" si="2">AZ5/AC5</f>
        <v>0.29975521929114746</v>
      </c>
      <c r="G5" s="1612">
        <f t="shared" ref="G5:G36" si="3">BA5/AD5</f>
        <v>0.303681074991627</v>
      </c>
      <c r="H5" s="1612">
        <f t="shared" ref="H5:H36" si="4">BB5/AE5</f>
        <v>0.30455988310575904</v>
      </c>
      <c r="I5" s="1612">
        <f t="shared" ref="I5:I36" si="5">BC5/AF5</f>
        <v>0.3059734887282346</v>
      </c>
      <c r="J5" s="1612">
        <f t="shared" ref="J5:J36" si="6">BD5/AG5</f>
        <v>0.31002600404507369</v>
      </c>
      <c r="K5" s="1612">
        <f t="shared" ref="K5:K36" si="7">BE5/AH5</f>
        <v>0.32234323558686168</v>
      </c>
      <c r="L5" s="1612">
        <f t="shared" ref="L5:L36" si="8">BF5/AI5</f>
        <v>0.34083438210267297</v>
      </c>
      <c r="M5" s="1612">
        <f t="shared" ref="M5:M36" si="9">BG5/AJ5</f>
        <v>0.35309038250458874</v>
      </c>
      <c r="N5" s="1612">
        <f t="shared" ref="N5:N36" si="10">BH5/AK5</f>
        <v>0.35843232186755242</v>
      </c>
      <c r="O5" s="1612">
        <f t="shared" ref="O5:O36" si="11">BI5/AL5</f>
        <v>0.35824307718686593</v>
      </c>
      <c r="P5" s="1612">
        <f t="shared" ref="P5:P36" si="12">BJ5/AM5</f>
        <v>0.35490702780422406</v>
      </c>
      <c r="Q5" s="1612">
        <f t="shared" ref="Q5:Q36" si="13">BK5/AN5</f>
        <v>0.35493782004389174</v>
      </c>
      <c r="R5" s="1613">
        <f t="shared" ref="R5:R36" si="14">BL5/AO5</f>
        <v>0.35279298907704426</v>
      </c>
      <c r="S5" s="1614">
        <f>'Non-marital births'!L6</f>
        <v>0.35096578196522776</v>
      </c>
      <c r="T5" s="1615">
        <v>0.340045722068194</v>
      </c>
      <c r="U5" s="1616">
        <f>BO5/AR5</f>
        <v>0.34452917321535986</v>
      </c>
      <c r="V5" s="2015">
        <f>BP5/AS5</f>
        <v>0.34030691587688155</v>
      </c>
      <c r="W5" s="2016">
        <f>BQ5/AT5</f>
        <v>0.34618124893380031</v>
      </c>
      <c r="X5" s="2011">
        <f>BR5/AU5</f>
        <v>0.33788354796294251</v>
      </c>
      <c r="Y5" s="2094">
        <f>BS5/AV5</f>
        <v>0.35096578196522776</v>
      </c>
      <c r="Z5" s="2094"/>
      <c r="AA5" s="691">
        <v>94114</v>
      </c>
      <c r="AB5" s="692">
        <v>95207</v>
      </c>
      <c r="AC5" s="692">
        <v>98864</v>
      </c>
      <c r="AD5" s="692">
        <v>98531</v>
      </c>
      <c r="AE5" s="692">
        <v>99235</v>
      </c>
      <c r="AF5" s="692">
        <v>100561</v>
      </c>
      <c r="AG5" s="692">
        <v>103830</v>
      </c>
      <c r="AH5" s="692">
        <v>104488</v>
      </c>
      <c r="AI5" s="693">
        <v>106474</v>
      </c>
      <c r="AJ5" s="693">
        <v>108417</v>
      </c>
      <c r="AK5" s="693">
        <v>106578</v>
      </c>
      <c r="AL5" s="693">
        <v>104979</v>
      </c>
      <c r="AM5" s="694">
        <v>102934</v>
      </c>
      <c r="AN5" s="694">
        <v>102525</v>
      </c>
      <c r="AO5" s="847">
        <v>102811</v>
      </c>
      <c r="AP5" s="1604">
        <v>101977</v>
      </c>
      <c r="AQ5" s="1607">
        <v>102795</v>
      </c>
      <c r="AR5" s="1607">
        <v>103074</v>
      </c>
      <c r="AS5" s="1970">
        <v>102243</v>
      </c>
      <c r="AT5" s="1604">
        <v>99653</v>
      </c>
      <c r="AU5" s="2019">
        <v>99629</v>
      </c>
      <c r="AV5" s="1004">
        <v>97434</v>
      </c>
      <c r="AW5" s="1004"/>
      <c r="AX5" s="706">
        <v>28057</v>
      </c>
      <c r="AY5" s="707">
        <v>28305</v>
      </c>
      <c r="AZ5" s="707">
        <v>29635</v>
      </c>
      <c r="BA5" s="707">
        <v>29922</v>
      </c>
      <c r="BB5" s="707">
        <v>30223</v>
      </c>
      <c r="BC5" s="707">
        <v>30769</v>
      </c>
      <c r="BD5" s="707">
        <v>32190</v>
      </c>
      <c r="BE5" s="707">
        <v>33681</v>
      </c>
      <c r="BF5" s="707">
        <v>36290</v>
      </c>
      <c r="BG5" s="707">
        <v>38281</v>
      </c>
      <c r="BH5" s="707">
        <v>38201</v>
      </c>
      <c r="BI5" s="707">
        <v>37608</v>
      </c>
      <c r="BJ5" s="707">
        <v>36532</v>
      </c>
      <c r="BK5" s="707">
        <v>36390</v>
      </c>
      <c r="BL5" s="850">
        <v>36271</v>
      </c>
      <c r="BM5" s="1099">
        <v>35289</v>
      </c>
      <c r="BN5" s="1101">
        <v>34955</v>
      </c>
      <c r="BO5" s="1610">
        <v>35512</v>
      </c>
      <c r="BP5" s="1968">
        <v>34794</v>
      </c>
      <c r="BQ5" s="1610">
        <v>34498</v>
      </c>
      <c r="BR5" s="2021">
        <v>33663</v>
      </c>
      <c r="BS5" s="1007">
        <v>34196</v>
      </c>
      <c r="BU5" s="2172">
        <f>SUM(BO5:BS5)</f>
        <v>172663</v>
      </c>
      <c r="BV5" s="2172">
        <f>SUM(AR5:AV5)</f>
        <v>502033</v>
      </c>
      <c r="BW5" s="2173">
        <f>BU5/BV5</f>
        <v>0.34392759041736298</v>
      </c>
    </row>
    <row r="6" spans="1:75" s="49" customFormat="1" ht="13.5" customHeight="1" x14ac:dyDescent="0.3">
      <c r="A6" s="56" t="s">
        <v>9</v>
      </c>
      <c r="B6" s="83" t="s">
        <v>10</v>
      </c>
      <c r="C6" s="57" t="s">
        <v>251</v>
      </c>
      <c r="D6" s="1617">
        <f t="shared" si="0"/>
        <v>0.5298329355608592</v>
      </c>
      <c r="E6" s="1618">
        <f t="shared" si="1"/>
        <v>0.51756440281030447</v>
      </c>
      <c r="F6" s="1618">
        <f t="shared" si="2"/>
        <v>0.4946236559139785</v>
      </c>
      <c r="G6" s="1618">
        <f t="shared" si="3"/>
        <v>0.48988764044943822</v>
      </c>
      <c r="H6" s="1618">
        <f t="shared" si="4"/>
        <v>0.54716981132075471</v>
      </c>
      <c r="I6" s="1618">
        <f t="shared" si="5"/>
        <v>0.57236842105263153</v>
      </c>
      <c r="J6" s="1618">
        <f t="shared" si="6"/>
        <v>0.55463917525773199</v>
      </c>
      <c r="K6" s="1618">
        <f t="shared" si="7"/>
        <v>0.59023354564755837</v>
      </c>
      <c r="L6" s="1618">
        <f t="shared" si="8"/>
        <v>0.65638766519823788</v>
      </c>
      <c r="M6" s="1618">
        <f t="shared" si="9"/>
        <v>0.62204724409448819</v>
      </c>
      <c r="N6" s="1618">
        <f t="shared" si="10"/>
        <v>0.61814345991561181</v>
      </c>
      <c r="O6" s="1618">
        <f t="shared" si="11"/>
        <v>0.62383177570093462</v>
      </c>
      <c r="P6" s="1618">
        <f t="shared" si="12"/>
        <v>0.5889145496535797</v>
      </c>
      <c r="Q6" s="1618">
        <f t="shared" si="13"/>
        <v>0.57740585774058573</v>
      </c>
      <c r="R6" s="1619">
        <f t="shared" si="14"/>
        <v>0.56060606060606055</v>
      </c>
      <c r="S6" s="1620">
        <f>'Non-marital births'!L7</f>
        <v>0.55882352941176472</v>
      </c>
      <c r="T6" s="1621">
        <v>0.55585106382978722</v>
      </c>
      <c r="U6" s="1622">
        <f t="shared" ref="U6:U37" si="15">BO6/AR6</f>
        <v>0.57622739018087854</v>
      </c>
      <c r="V6" s="2017">
        <f t="shared" ref="V6:V37" si="16">BP6/AS6</f>
        <v>0.58064516129032262</v>
      </c>
      <c r="W6" s="2017">
        <f t="shared" ref="W6:W37" si="17">BQ6/AT6</f>
        <v>0.54591836734693877</v>
      </c>
      <c r="X6" s="2012">
        <f t="shared" ref="X6:X37" si="18">BR6/AU6</f>
        <v>0.54415954415954415</v>
      </c>
      <c r="Y6" s="2095">
        <f t="shared" ref="Y6:Y69" si="19">BS6/AV6</f>
        <v>0.55882352941176472</v>
      </c>
      <c r="Z6" s="2095"/>
      <c r="AA6" s="681">
        <v>419</v>
      </c>
      <c r="AB6" s="682">
        <v>427</v>
      </c>
      <c r="AC6" s="683">
        <v>465</v>
      </c>
      <c r="AD6" s="682">
        <v>445</v>
      </c>
      <c r="AE6" s="683">
        <v>477</v>
      </c>
      <c r="AF6" s="682">
        <v>456</v>
      </c>
      <c r="AG6" s="683">
        <v>485</v>
      </c>
      <c r="AH6" s="682">
        <v>471</v>
      </c>
      <c r="AI6" s="696">
        <v>454</v>
      </c>
      <c r="AJ6" s="696">
        <v>508</v>
      </c>
      <c r="AK6" s="696">
        <v>474</v>
      </c>
      <c r="AL6" s="696">
        <v>428</v>
      </c>
      <c r="AM6" s="697">
        <v>433</v>
      </c>
      <c r="AN6" s="697">
        <v>478</v>
      </c>
      <c r="AO6" s="848">
        <v>396</v>
      </c>
      <c r="AP6" s="1095">
        <v>367</v>
      </c>
      <c r="AQ6" s="1608">
        <v>376</v>
      </c>
      <c r="AR6" s="1608">
        <v>387</v>
      </c>
      <c r="AS6" s="1971">
        <v>372</v>
      </c>
      <c r="AT6" s="1095">
        <v>392</v>
      </c>
      <c r="AU6" s="2020">
        <v>351</v>
      </c>
      <c r="AV6" s="1005">
        <v>340</v>
      </c>
      <c r="AW6" s="1005"/>
      <c r="AX6" s="704">
        <v>222</v>
      </c>
      <c r="AY6" s="705">
        <v>221</v>
      </c>
      <c r="AZ6" s="705">
        <v>230</v>
      </c>
      <c r="BA6" s="705">
        <v>218</v>
      </c>
      <c r="BB6" s="705">
        <v>261</v>
      </c>
      <c r="BC6" s="705">
        <v>261</v>
      </c>
      <c r="BD6" s="705">
        <v>269</v>
      </c>
      <c r="BE6" s="705">
        <v>278</v>
      </c>
      <c r="BF6" s="705">
        <v>298</v>
      </c>
      <c r="BG6" s="705">
        <v>316</v>
      </c>
      <c r="BH6" s="705">
        <v>293</v>
      </c>
      <c r="BI6" s="705">
        <v>267</v>
      </c>
      <c r="BJ6" s="705">
        <v>255</v>
      </c>
      <c r="BK6" s="705">
        <v>276</v>
      </c>
      <c r="BL6" s="851">
        <v>222</v>
      </c>
      <c r="BM6" s="1096">
        <v>223</v>
      </c>
      <c r="BN6" s="1097">
        <v>209</v>
      </c>
      <c r="BO6" s="1096">
        <v>223</v>
      </c>
      <c r="BP6" s="1969">
        <v>216</v>
      </c>
      <c r="BQ6" s="1096">
        <v>214</v>
      </c>
      <c r="BR6" s="2023">
        <v>191</v>
      </c>
      <c r="BS6" s="1006">
        <v>190</v>
      </c>
      <c r="BU6" s="2172">
        <f t="shared" ref="BU6:BU69" si="20">SUM(BO6:BS6)</f>
        <v>1034</v>
      </c>
      <c r="BV6" s="2172">
        <f t="shared" ref="BV6:BV69" si="21">SUM(AR6:AV6)</f>
        <v>1842</v>
      </c>
      <c r="BW6" s="2173">
        <f>BU6/BV6</f>
        <v>0.56134636264929427</v>
      </c>
    </row>
    <row r="7" spans="1:75" s="49" customFormat="1" ht="13.5" customHeight="1" x14ac:dyDescent="0.3">
      <c r="A7" s="56" t="s">
        <v>11</v>
      </c>
      <c r="B7" s="84" t="s">
        <v>12</v>
      </c>
      <c r="C7" s="57" t="s">
        <v>252</v>
      </c>
      <c r="D7" s="1617">
        <f t="shared" si="0"/>
        <v>0.20890774125132555</v>
      </c>
      <c r="E7" s="1618">
        <f t="shared" si="1"/>
        <v>0.2181996086105675</v>
      </c>
      <c r="F7" s="1618">
        <f t="shared" si="2"/>
        <v>0.23624288425047438</v>
      </c>
      <c r="G7" s="1618">
        <f t="shared" si="3"/>
        <v>0.26239669421487605</v>
      </c>
      <c r="H7" s="1618">
        <f t="shared" si="4"/>
        <v>0.23741007194244604</v>
      </c>
      <c r="I7" s="1618">
        <f t="shared" si="5"/>
        <v>0.20825147347740669</v>
      </c>
      <c r="J7" s="1618">
        <f t="shared" si="6"/>
        <v>0.234375</v>
      </c>
      <c r="K7" s="1618">
        <f t="shared" si="7"/>
        <v>0.26515151515151514</v>
      </c>
      <c r="L7" s="1618">
        <f t="shared" si="8"/>
        <v>0.265625</v>
      </c>
      <c r="M7" s="1618">
        <f t="shared" si="9"/>
        <v>0.2782685512367491</v>
      </c>
      <c r="N7" s="1618">
        <f t="shared" si="10"/>
        <v>0.32240921169176262</v>
      </c>
      <c r="O7" s="1618">
        <f t="shared" si="11"/>
        <v>0.26709796672828096</v>
      </c>
      <c r="P7" s="1618">
        <f t="shared" si="12"/>
        <v>0.28702010968921388</v>
      </c>
      <c r="Q7" s="1618">
        <f t="shared" si="13"/>
        <v>0.2785646836638338</v>
      </c>
      <c r="R7" s="1619">
        <f t="shared" si="14"/>
        <v>0.25735992402659069</v>
      </c>
      <c r="S7" s="1620">
        <f>'Non-marital births'!L8</f>
        <v>0.25633528265107214</v>
      </c>
      <c r="T7" s="1621">
        <v>0.25096899224806202</v>
      </c>
      <c r="U7" s="1622">
        <f t="shared" si="15"/>
        <v>0.24118207816968543</v>
      </c>
      <c r="V7" s="2017">
        <f t="shared" si="16"/>
        <v>0.26956521739130435</v>
      </c>
      <c r="W7" s="2017">
        <f t="shared" si="17"/>
        <v>0.26185958254269448</v>
      </c>
      <c r="X7" s="2012">
        <f t="shared" si="18"/>
        <v>0.27756653992395436</v>
      </c>
      <c r="Y7" s="2095">
        <f t="shared" si="19"/>
        <v>0.25633528265107214</v>
      </c>
      <c r="Z7" s="2095"/>
      <c r="AA7" s="681">
        <v>943</v>
      </c>
      <c r="AB7" s="682">
        <v>1022</v>
      </c>
      <c r="AC7" s="683">
        <v>1054</v>
      </c>
      <c r="AD7" s="682">
        <v>968</v>
      </c>
      <c r="AE7" s="683">
        <v>973</v>
      </c>
      <c r="AF7" s="682">
        <v>1018</v>
      </c>
      <c r="AG7" s="683">
        <v>960</v>
      </c>
      <c r="AH7" s="682">
        <v>1056</v>
      </c>
      <c r="AI7" s="696">
        <v>1088</v>
      </c>
      <c r="AJ7" s="696">
        <v>1132</v>
      </c>
      <c r="AK7" s="696">
        <v>1129</v>
      </c>
      <c r="AL7" s="696">
        <v>1082</v>
      </c>
      <c r="AM7" s="697">
        <v>1094</v>
      </c>
      <c r="AN7" s="697">
        <v>1059</v>
      </c>
      <c r="AO7" s="848">
        <v>1053</v>
      </c>
      <c r="AP7" s="1095">
        <v>1064</v>
      </c>
      <c r="AQ7" s="1608">
        <v>1032</v>
      </c>
      <c r="AR7" s="1608">
        <v>1049</v>
      </c>
      <c r="AS7" s="1971">
        <v>1150</v>
      </c>
      <c r="AT7" s="1095">
        <v>1054</v>
      </c>
      <c r="AU7" s="2020">
        <v>1052</v>
      </c>
      <c r="AV7" s="1005">
        <v>1026</v>
      </c>
      <c r="AW7" s="1005"/>
      <c r="AX7" s="704">
        <v>197</v>
      </c>
      <c r="AY7" s="705">
        <v>223</v>
      </c>
      <c r="AZ7" s="705">
        <v>249</v>
      </c>
      <c r="BA7" s="705">
        <v>254</v>
      </c>
      <c r="BB7" s="705">
        <v>231</v>
      </c>
      <c r="BC7" s="705">
        <v>212</v>
      </c>
      <c r="BD7" s="705">
        <v>225</v>
      </c>
      <c r="BE7" s="705">
        <v>280</v>
      </c>
      <c r="BF7" s="705">
        <v>289</v>
      </c>
      <c r="BG7" s="705">
        <v>315</v>
      </c>
      <c r="BH7" s="705">
        <v>364</v>
      </c>
      <c r="BI7" s="705">
        <v>289</v>
      </c>
      <c r="BJ7" s="705">
        <v>314</v>
      </c>
      <c r="BK7" s="705">
        <v>295</v>
      </c>
      <c r="BL7" s="851">
        <v>271</v>
      </c>
      <c r="BM7" s="1096">
        <v>296</v>
      </c>
      <c r="BN7" s="1097">
        <v>259</v>
      </c>
      <c r="BO7" s="1096">
        <v>253</v>
      </c>
      <c r="BP7" s="1969">
        <v>310</v>
      </c>
      <c r="BQ7" s="1096">
        <v>276</v>
      </c>
      <c r="BR7" s="2022">
        <v>292</v>
      </c>
      <c r="BS7" s="1006">
        <v>263</v>
      </c>
      <c r="BU7" s="2172">
        <f t="shared" si="20"/>
        <v>1394</v>
      </c>
      <c r="BV7" s="2172">
        <f t="shared" si="21"/>
        <v>5331</v>
      </c>
      <c r="BW7" s="2173">
        <f t="shared" ref="BW7:BW70" si="22">BU7/BV7</f>
        <v>0.26148940161320577</v>
      </c>
    </row>
    <row r="8" spans="1:75" s="49" customFormat="1" ht="13.5" customHeight="1" x14ac:dyDescent="0.3">
      <c r="A8" s="56" t="s">
        <v>15</v>
      </c>
      <c r="B8" s="84" t="s">
        <v>273</v>
      </c>
      <c r="C8" s="57" t="s">
        <v>252</v>
      </c>
      <c r="D8" s="1623">
        <f t="shared" si="0"/>
        <v>0.35915492957746481</v>
      </c>
      <c r="E8" s="1624">
        <f t="shared" si="1"/>
        <v>0.34274193548387094</v>
      </c>
      <c r="F8" s="1624">
        <f t="shared" si="2"/>
        <v>0.34408602150537637</v>
      </c>
      <c r="G8" s="1624">
        <f t="shared" si="3"/>
        <v>0.33333333333333331</v>
      </c>
      <c r="H8" s="1624">
        <f t="shared" si="4"/>
        <v>0.37962962962962965</v>
      </c>
      <c r="I8" s="1624">
        <f t="shared" si="5"/>
        <v>0.38034188034188032</v>
      </c>
      <c r="J8" s="1624">
        <f t="shared" si="6"/>
        <v>0.35983263598326359</v>
      </c>
      <c r="K8" s="1624">
        <f t="shared" si="7"/>
        <v>0.40259740259740262</v>
      </c>
      <c r="L8" s="1624">
        <f t="shared" si="8"/>
        <v>0.40540540540540543</v>
      </c>
      <c r="M8" s="1624">
        <f t="shared" si="9"/>
        <v>0.41743119266055045</v>
      </c>
      <c r="N8" s="1624">
        <f t="shared" si="10"/>
        <v>0.46351931330472101</v>
      </c>
      <c r="O8" s="1624">
        <f t="shared" si="11"/>
        <v>0.45070422535211269</v>
      </c>
      <c r="P8" s="1624">
        <f t="shared" si="12"/>
        <v>0.48214285714285715</v>
      </c>
      <c r="Q8" s="1624">
        <f t="shared" si="13"/>
        <v>0.48416289592760181</v>
      </c>
      <c r="R8" s="1625">
        <f t="shared" si="14"/>
        <v>0.41904761904761906</v>
      </c>
      <c r="S8" s="1626">
        <f>'Non-marital births'!L9</f>
        <v>0.48958333333333331</v>
      </c>
      <c r="T8" s="1627">
        <v>0.48469387755102039</v>
      </c>
      <c r="U8" s="1628">
        <f t="shared" si="15"/>
        <v>0.52586206896551724</v>
      </c>
      <c r="V8" s="2018">
        <f t="shared" si="16"/>
        <v>0.47179487179487178</v>
      </c>
      <c r="W8" s="2018">
        <f t="shared" si="17"/>
        <v>0.52061855670103097</v>
      </c>
      <c r="X8" s="2013">
        <f t="shared" si="18"/>
        <v>0.37799043062200954</v>
      </c>
      <c r="Y8" s="2096">
        <f t="shared" si="19"/>
        <v>0.48958333333333331</v>
      </c>
      <c r="Z8" s="2096"/>
      <c r="AA8" s="681">
        <v>284</v>
      </c>
      <c r="AB8" s="682">
        <v>248</v>
      </c>
      <c r="AC8" s="683">
        <v>279</v>
      </c>
      <c r="AD8" s="682">
        <v>273</v>
      </c>
      <c r="AE8" s="683">
        <v>216</v>
      </c>
      <c r="AF8" s="682">
        <v>234</v>
      </c>
      <c r="AG8" s="683">
        <v>239</v>
      </c>
      <c r="AH8" s="682">
        <v>231</v>
      </c>
      <c r="AI8" s="696">
        <v>222</v>
      </c>
      <c r="AJ8" s="696">
        <v>218</v>
      </c>
      <c r="AK8" s="696">
        <v>233</v>
      </c>
      <c r="AL8" s="696">
        <v>213</v>
      </c>
      <c r="AM8" s="697">
        <v>224</v>
      </c>
      <c r="AN8" s="697">
        <v>221</v>
      </c>
      <c r="AO8" s="848">
        <v>210</v>
      </c>
      <c r="AP8" s="1095">
        <v>203</v>
      </c>
      <c r="AQ8" s="1608">
        <v>196</v>
      </c>
      <c r="AR8" s="1608">
        <v>232</v>
      </c>
      <c r="AS8" s="1971">
        <v>195</v>
      </c>
      <c r="AT8" s="1095">
        <v>194</v>
      </c>
      <c r="AU8" s="2020">
        <v>209</v>
      </c>
      <c r="AV8" s="1005">
        <v>192</v>
      </c>
      <c r="AW8" s="1005"/>
      <c r="AX8" s="704">
        <v>102</v>
      </c>
      <c r="AY8" s="705">
        <v>85</v>
      </c>
      <c r="AZ8" s="705">
        <v>96</v>
      </c>
      <c r="BA8" s="705">
        <v>91</v>
      </c>
      <c r="BB8" s="705">
        <v>82</v>
      </c>
      <c r="BC8" s="705">
        <v>89</v>
      </c>
      <c r="BD8" s="705">
        <v>86</v>
      </c>
      <c r="BE8" s="705">
        <v>93</v>
      </c>
      <c r="BF8" s="705">
        <v>90</v>
      </c>
      <c r="BG8" s="705">
        <v>91</v>
      </c>
      <c r="BH8" s="705">
        <v>108</v>
      </c>
      <c r="BI8" s="705">
        <v>96</v>
      </c>
      <c r="BJ8" s="705">
        <v>108</v>
      </c>
      <c r="BK8" s="705">
        <v>107</v>
      </c>
      <c r="BL8" s="851">
        <v>88</v>
      </c>
      <c r="BM8" s="1096">
        <v>98</v>
      </c>
      <c r="BN8" s="1097">
        <v>95</v>
      </c>
      <c r="BO8" s="1096">
        <v>122</v>
      </c>
      <c r="BP8" s="1969">
        <v>92</v>
      </c>
      <c r="BQ8" s="1096">
        <v>101</v>
      </c>
      <c r="BR8" s="2022">
        <v>79</v>
      </c>
      <c r="BS8" s="1006">
        <v>94</v>
      </c>
      <c r="BU8" s="2172">
        <f t="shared" si="20"/>
        <v>488</v>
      </c>
      <c r="BV8" s="2172">
        <f t="shared" si="21"/>
        <v>1022</v>
      </c>
      <c r="BW8" s="2173">
        <f t="shared" si="22"/>
        <v>0.47749510763209391</v>
      </c>
    </row>
    <row r="9" spans="1:75" s="49" customFormat="1" ht="13.5" customHeight="1" x14ac:dyDescent="0.3">
      <c r="A9" s="56" t="s">
        <v>17</v>
      </c>
      <c r="B9" s="84" t="s">
        <v>18</v>
      </c>
      <c r="C9" s="57" t="s">
        <v>253</v>
      </c>
      <c r="D9" s="1623">
        <f t="shared" si="0"/>
        <v>0.29197080291970801</v>
      </c>
      <c r="E9" s="1624">
        <f t="shared" si="1"/>
        <v>0.2857142857142857</v>
      </c>
      <c r="F9" s="1624">
        <f t="shared" si="2"/>
        <v>0.32236842105263158</v>
      </c>
      <c r="G9" s="1624">
        <f t="shared" si="3"/>
        <v>0.34459459459459457</v>
      </c>
      <c r="H9" s="1624">
        <f t="shared" si="4"/>
        <v>0.29139072847682118</v>
      </c>
      <c r="I9" s="1624">
        <f t="shared" si="5"/>
        <v>0.4460431654676259</v>
      </c>
      <c r="J9" s="1624">
        <f t="shared" si="6"/>
        <v>0.35</v>
      </c>
      <c r="K9" s="1624">
        <f t="shared" si="7"/>
        <v>0.35</v>
      </c>
      <c r="L9" s="1624">
        <f t="shared" si="8"/>
        <v>0.35135135135135137</v>
      </c>
      <c r="M9" s="1624">
        <f t="shared" si="9"/>
        <v>0.36054421768707484</v>
      </c>
      <c r="N9" s="1624">
        <f t="shared" si="10"/>
        <v>0.47368421052631576</v>
      </c>
      <c r="O9" s="1624">
        <f t="shared" si="11"/>
        <v>0.43396226415094341</v>
      </c>
      <c r="P9" s="1624">
        <f t="shared" si="12"/>
        <v>0.40909090909090912</v>
      </c>
      <c r="Q9" s="1624">
        <f t="shared" si="13"/>
        <v>0.36799999999999999</v>
      </c>
      <c r="R9" s="1625">
        <f t="shared" si="14"/>
        <v>0.4589041095890411</v>
      </c>
      <c r="S9" s="1626">
        <f>'Non-marital births'!L10</f>
        <v>0.4358974358974359</v>
      </c>
      <c r="T9" s="1627">
        <v>0.49624060150375937</v>
      </c>
      <c r="U9" s="1628">
        <f t="shared" si="15"/>
        <v>0.29078014184397161</v>
      </c>
      <c r="V9" s="2018">
        <f t="shared" si="16"/>
        <v>0.44262295081967212</v>
      </c>
      <c r="W9" s="2018">
        <f t="shared" si="17"/>
        <v>0.38815789473684209</v>
      </c>
      <c r="X9" s="2013">
        <f t="shared" si="18"/>
        <v>0.36428571428571427</v>
      </c>
      <c r="Y9" s="2096">
        <f t="shared" si="19"/>
        <v>0.4358974358974359</v>
      </c>
      <c r="Z9" s="2096"/>
      <c r="AA9" s="681">
        <v>137</v>
      </c>
      <c r="AB9" s="682">
        <v>126</v>
      </c>
      <c r="AC9" s="683">
        <v>152</v>
      </c>
      <c r="AD9" s="682">
        <v>148</v>
      </c>
      <c r="AE9" s="683">
        <v>151</v>
      </c>
      <c r="AF9" s="682">
        <v>139</v>
      </c>
      <c r="AG9" s="683">
        <v>140</v>
      </c>
      <c r="AH9" s="682">
        <v>140</v>
      </c>
      <c r="AI9" s="696">
        <v>148</v>
      </c>
      <c r="AJ9" s="696">
        <v>147</v>
      </c>
      <c r="AK9" s="696">
        <v>152</v>
      </c>
      <c r="AL9" s="696">
        <v>159</v>
      </c>
      <c r="AM9" s="697">
        <v>154</v>
      </c>
      <c r="AN9" s="697">
        <v>125</v>
      </c>
      <c r="AO9" s="848">
        <v>146</v>
      </c>
      <c r="AP9" s="1095">
        <v>123</v>
      </c>
      <c r="AQ9" s="1608">
        <v>133</v>
      </c>
      <c r="AR9" s="1608">
        <v>141</v>
      </c>
      <c r="AS9" s="1971">
        <v>122</v>
      </c>
      <c r="AT9" s="1095">
        <v>152</v>
      </c>
      <c r="AU9" s="2020">
        <v>140</v>
      </c>
      <c r="AV9" s="1005">
        <v>117</v>
      </c>
      <c r="AW9" s="1005"/>
      <c r="AX9" s="704">
        <v>40</v>
      </c>
      <c r="AY9" s="705">
        <v>36</v>
      </c>
      <c r="AZ9" s="705">
        <v>49</v>
      </c>
      <c r="BA9" s="705">
        <v>51</v>
      </c>
      <c r="BB9" s="705">
        <v>44</v>
      </c>
      <c r="BC9" s="705">
        <v>62</v>
      </c>
      <c r="BD9" s="705">
        <v>49</v>
      </c>
      <c r="BE9" s="705">
        <v>49</v>
      </c>
      <c r="BF9" s="705">
        <v>52</v>
      </c>
      <c r="BG9" s="705">
        <v>53</v>
      </c>
      <c r="BH9" s="705">
        <v>72</v>
      </c>
      <c r="BI9" s="705">
        <v>69</v>
      </c>
      <c r="BJ9" s="705">
        <v>63</v>
      </c>
      <c r="BK9" s="705">
        <v>46</v>
      </c>
      <c r="BL9" s="851">
        <v>67</v>
      </c>
      <c r="BM9" s="1096">
        <v>51</v>
      </c>
      <c r="BN9" s="1097">
        <v>66</v>
      </c>
      <c r="BO9" s="1096">
        <v>41</v>
      </c>
      <c r="BP9" s="1969">
        <v>54</v>
      </c>
      <c r="BQ9" s="1096">
        <v>59</v>
      </c>
      <c r="BR9" s="2022">
        <v>51</v>
      </c>
      <c r="BS9" s="1006">
        <v>51</v>
      </c>
      <c r="BU9" s="2172">
        <f t="shared" si="20"/>
        <v>256</v>
      </c>
      <c r="BV9" s="2172">
        <f t="shared" si="21"/>
        <v>672</v>
      </c>
      <c r="BW9" s="2173">
        <f t="shared" si="22"/>
        <v>0.38095238095238093</v>
      </c>
    </row>
    <row r="10" spans="1:75" s="49" customFormat="1" ht="13.5" customHeight="1" x14ac:dyDescent="0.3">
      <c r="A10" s="56" t="s">
        <v>19</v>
      </c>
      <c r="B10" s="84" t="s">
        <v>20</v>
      </c>
      <c r="C10" s="57" t="s">
        <v>252</v>
      </c>
      <c r="D10" s="1623">
        <f t="shared" si="0"/>
        <v>0.31741573033707865</v>
      </c>
      <c r="E10" s="1624">
        <f t="shared" si="1"/>
        <v>0.3370473537604457</v>
      </c>
      <c r="F10" s="1624">
        <f t="shared" si="2"/>
        <v>0.36982248520710059</v>
      </c>
      <c r="G10" s="1624">
        <f t="shared" si="3"/>
        <v>0.34355828220858897</v>
      </c>
      <c r="H10" s="1624">
        <f t="shared" si="4"/>
        <v>0.36923076923076925</v>
      </c>
      <c r="I10" s="1624">
        <f t="shared" si="5"/>
        <v>0.34210526315789475</v>
      </c>
      <c r="J10" s="1624">
        <f t="shared" si="6"/>
        <v>0.36949152542372882</v>
      </c>
      <c r="K10" s="1624">
        <f t="shared" si="7"/>
        <v>0.36858006042296071</v>
      </c>
      <c r="L10" s="1624">
        <f t="shared" si="8"/>
        <v>0.41121495327102803</v>
      </c>
      <c r="M10" s="1624">
        <f t="shared" si="9"/>
        <v>0.39393939393939392</v>
      </c>
      <c r="N10" s="1624">
        <f t="shared" si="10"/>
        <v>0.40691489361702127</v>
      </c>
      <c r="O10" s="1624">
        <f t="shared" si="11"/>
        <v>0.45937499999999998</v>
      </c>
      <c r="P10" s="1624">
        <f t="shared" si="12"/>
        <v>0.45508982035928142</v>
      </c>
      <c r="Q10" s="1624">
        <f t="shared" si="13"/>
        <v>0.41107871720116618</v>
      </c>
      <c r="R10" s="1625">
        <f t="shared" si="14"/>
        <v>0.46562500000000001</v>
      </c>
      <c r="S10" s="1626">
        <f>'Non-marital births'!L11</f>
        <v>0.38720538720538722</v>
      </c>
      <c r="T10" s="1627">
        <v>0.44514106583072099</v>
      </c>
      <c r="U10" s="1628">
        <f t="shared" si="15"/>
        <v>0.4550561797752809</v>
      </c>
      <c r="V10" s="2018">
        <f t="shared" si="16"/>
        <v>0.41358024691358025</v>
      </c>
      <c r="W10" s="2018">
        <f t="shared" si="17"/>
        <v>0.43396226415094341</v>
      </c>
      <c r="X10" s="2013">
        <f t="shared" si="18"/>
        <v>0.44606413994169097</v>
      </c>
      <c r="Y10" s="2096">
        <f t="shared" si="19"/>
        <v>0.38720538720538722</v>
      </c>
      <c r="Z10" s="2096"/>
      <c r="AA10" s="681">
        <v>356</v>
      </c>
      <c r="AB10" s="682">
        <v>359</v>
      </c>
      <c r="AC10" s="683">
        <v>338</v>
      </c>
      <c r="AD10" s="682">
        <v>326</v>
      </c>
      <c r="AE10" s="683">
        <v>325</v>
      </c>
      <c r="AF10" s="682">
        <v>304</v>
      </c>
      <c r="AG10" s="683">
        <v>295</v>
      </c>
      <c r="AH10" s="682">
        <v>331</v>
      </c>
      <c r="AI10" s="696">
        <v>321</v>
      </c>
      <c r="AJ10" s="696">
        <v>330</v>
      </c>
      <c r="AK10" s="696">
        <v>376</v>
      </c>
      <c r="AL10" s="696">
        <v>320</v>
      </c>
      <c r="AM10" s="697">
        <v>334</v>
      </c>
      <c r="AN10" s="697">
        <v>343</v>
      </c>
      <c r="AO10" s="848">
        <v>320</v>
      </c>
      <c r="AP10" s="1095">
        <v>311</v>
      </c>
      <c r="AQ10" s="1608">
        <v>319</v>
      </c>
      <c r="AR10" s="1608">
        <v>356</v>
      </c>
      <c r="AS10" s="1971">
        <v>324</v>
      </c>
      <c r="AT10" s="1095">
        <v>318</v>
      </c>
      <c r="AU10" s="2020">
        <v>343</v>
      </c>
      <c r="AV10" s="1005">
        <v>297</v>
      </c>
      <c r="AW10" s="1005"/>
      <c r="AX10" s="704">
        <v>113</v>
      </c>
      <c r="AY10" s="705">
        <v>121</v>
      </c>
      <c r="AZ10" s="705">
        <v>125</v>
      </c>
      <c r="BA10" s="705">
        <v>112</v>
      </c>
      <c r="BB10" s="705">
        <v>120</v>
      </c>
      <c r="BC10" s="705">
        <v>104</v>
      </c>
      <c r="BD10" s="705">
        <v>109</v>
      </c>
      <c r="BE10" s="705">
        <v>122</v>
      </c>
      <c r="BF10" s="705">
        <v>132</v>
      </c>
      <c r="BG10" s="705">
        <v>130</v>
      </c>
      <c r="BH10" s="705">
        <v>153</v>
      </c>
      <c r="BI10" s="705">
        <v>147</v>
      </c>
      <c r="BJ10" s="705">
        <v>152</v>
      </c>
      <c r="BK10" s="705">
        <v>141</v>
      </c>
      <c r="BL10" s="851">
        <v>149</v>
      </c>
      <c r="BM10" s="1096">
        <v>140</v>
      </c>
      <c r="BN10" s="1097">
        <v>142</v>
      </c>
      <c r="BO10" s="1096">
        <v>162</v>
      </c>
      <c r="BP10" s="1969">
        <v>134</v>
      </c>
      <c r="BQ10" s="1096">
        <v>138</v>
      </c>
      <c r="BR10" s="2022">
        <v>153</v>
      </c>
      <c r="BS10" s="1006">
        <v>115</v>
      </c>
      <c r="BU10" s="2172">
        <f t="shared" si="20"/>
        <v>702</v>
      </c>
      <c r="BV10" s="2172">
        <f t="shared" si="21"/>
        <v>1638</v>
      </c>
      <c r="BW10" s="2173">
        <f t="shared" si="22"/>
        <v>0.42857142857142855</v>
      </c>
    </row>
    <row r="11" spans="1:75" s="49" customFormat="1" ht="13.5" customHeight="1" x14ac:dyDescent="0.3">
      <c r="A11" s="56" t="s">
        <v>21</v>
      </c>
      <c r="B11" s="84" t="s">
        <v>22</v>
      </c>
      <c r="C11" s="57" t="s">
        <v>252</v>
      </c>
      <c r="D11" s="1623">
        <f t="shared" si="0"/>
        <v>0.29113924050632911</v>
      </c>
      <c r="E11" s="1624">
        <f t="shared" si="1"/>
        <v>0.37662337662337664</v>
      </c>
      <c r="F11" s="1624">
        <f t="shared" si="2"/>
        <v>0.37037037037037035</v>
      </c>
      <c r="G11" s="1624">
        <f t="shared" si="3"/>
        <v>0.35714285714285715</v>
      </c>
      <c r="H11" s="1624">
        <f t="shared" si="4"/>
        <v>0.38620689655172413</v>
      </c>
      <c r="I11" s="1624">
        <f t="shared" si="5"/>
        <v>0.34210526315789475</v>
      </c>
      <c r="J11" s="1624">
        <f t="shared" si="6"/>
        <v>0.36551724137931035</v>
      </c>
      <c r="K11" s="1624">
        <f t="shared" si="7"/>
        <v>0.41428571428571431</v>
      </c>
      <c r="L11" s="1624">
        <f t="shared" si="8"/>
        <v>0.43558282208588955</v>
      </c>
      <c r="M11" s="1624">
        <f t="shared" si="9"/>
        <v>0.48780487804878048</v>
      </c>
      <c r="N11" s="1624">
        <f t="shared" si="10"/>
        <v>0.41818181818181815</v>
      </c>
      <c r="O11" s="1624">
        <f t="shared" si="11"/>
        <v>0.35119047619047616</v>
      </c>
      <c r="P11" s="1624">
        <f t="shared" si="12"/>
        <v>0.41818181818181815</v>
      </c>
      <c r="Q11" s="1624">
        <f t="shared" si="13"/>
        <v>0.3611111111111111</v>
      </c>
      <c r="R11" s="1625">
        <f t="shared" si="14"/>
        <v>0.42222222222222222</v>
      </c>
      <c r="S11" s="1626">
        <f>'Non-marital births'!L12</f>
        <v>0.43349753694581283</v>
      </c>
      <c r="T11" s="1627">
        <v>0.41711229946524064</v>
      </c>
      <c r="U11" s="1628">
        <f t="shared" si="15"/>
        <v>0.45508982035928142</v>
      </c>
      <c r="V11" s="2018">
        <f t="shared" si="16"/>
        <v>0.40217391304347827</v>
      </c>
      <c r="W11" s="2018">
        <f t="shared" si="17"/>
        <v>0.37634408602150538</v>
      </c>
      <c r="X11" s="2013">
        <f t="shared" si="18"/>
        <v>0.43229166666666669</v>
      </c>
      <c r="Y11" s="2096">
        <f t="shared" si="19"/>
        <v>0.43349753694581283</v>
      </c>
      <c r="Z11" s="2096"/>
      <c r="AA11" s="681">
        <v>158</v>
      </c>
      <c r="AB11" s="682">
        <v>154</v>
      </c>
      <c r="AC11" s="683">
        <v>162</v>
      </c>
      <c r="AD11" s="682">
        <v>140</v>
      </c>
      <c r="AE11" s="683">
        <v>145</v>
      </c>
      <c r="AF11" s="682">
        <v>152</v>
      </c>
      <c r="AG11" s="683">
        <v>145</v>
      </c>
      <c r="AH11" s="682">
        <v>140</v>
      </c>
      <c r="AI11" s="696">
        <v>163</v>
      </c>
      <c r="AJ11" s="696">
        <v>164</v>
      </c>
      <c r="AK11" s="696">
        <v>165</v>
      </c>
      <c r="AL11" s="696">
        <v>168</v>
      </c>
      <c r="AM11" s="697">
        <v>165</v>
      </c>
      <c r="AN11" s="697">
        <v>180</v>
      </c>
      <c r="AO11" s="848">
        <v>180</v>
      </c>
      <c r="AP11" s="1095">
        <v>181</v>
      </c>
      <c r="AQ11" s="1608">
        <v>187</v>
      </c>
      <c r="AR11" s="1608">
        <v>167</v>
      </c>
      <c r="AS11" s="1971">
        <v>184</v>
      </c>
      <c r="AT11" s="1095">
        <v>186</v>
      </c>
      <c r="AU11" s="2020">
        <v>192</v>
      </c>
      <c r="AV11" s="1005">
        <v>203</v>
      </c>
      <c r="AW11" s="1005"/>
      <c r="AX11" s="704">
        <v>46</v>
      </c>
      <c r="AY11" s="705">
        <v>58</v>
      </c>
      <c r="AZ11" s="705">
        <v>60</v>
      </c>
      <c r="BA11" s="705">
        <v>50</v>
      </c>
      <c r="BB11" s="705">
        <v>56</v>
      </c>
      <c r="BC11" s="705">
        <v>52</v>
      </c>
      <c r="BD11" s="705">
        <v>53</v>
      </c>
      <c r="BE11" s="705">
        <v>58</v>
      </c>
      <c r="BF11" s="705">
        <v>71</v>
      </c>
      <c r="BG11" s="705">
        <v>80</v>
      </c>
      <c r="BH11" s="705">
        <v>69</v>
      </c>
      <c r="BI11" s="705">
        <v>59</v>
      </c>
      <c r="BJ11" s="705">
        <v>69</v>
      </c>
      <c r="BK11" s="705">
        <v>65</v>
      </c>
      <c r="BL11" s="851">
        <v>76</v>
      </c>
      <c r="BM11" s="1096">
        <v>55</v>
      </c>
      <c r="BN11" s="1097">
        <v>78</v>
      </c>
      <c r="BO11" s="1096">
        <v>76</v>
      </c>
      <c r="BP11" s="1969">
        <v>74</v>
      </c>
      <c r="BQ11" s="1096">
        <v>70</v>
      </c>
      <c r="BR11" s="2022">
        <v>83</v>
      </c>
      <c r="BS11" s="1006">
        <v>88</v>
      </c>
      <c r="BU11" s="2172">
        <f t="shared" si="20"/>
        <v>391</v>
      </c>
      <c r="BV11" s="2172">
        <f t="shared" si="21"/>
        <v>932</v>
      </c>
      <c r="BW11" s="2173">
        <f t="shared" si="22"/>
        <v>0.41952789699570814</v>
      </c>
    </row>
    <row r="12" spans="1:75" s="49" customFormat="1" ht="13.5" customHeight="1" x14ac:dyDescent="0.3">
      <c r="A12" s="56" t="s">
        <v>23</v>
      </c>
      <c r="B12" s="84" t="s">
        <v>24</v>
      </c>
      <c r="C12" s="57" t="s">
        <v>254</v>
      </c>
      <c r="D12" s="1623">
        <f t="shared" si="0"/>
        <v>0.21369760479041916</v>
      </c>
      <c r="E12" s="1624">
        <f t="shared" si="1"/>
        <v>0.21719109746738297</v>
      </c>
      <c r="F12" s="1624">
        <f t="shared" si="2"/>
        <v>0.22025782688766113</v>
      </c>
      <c r="G12" s="1624">
        <f t="shared" si="3"/>
        <v>0.21428571428571427</v>
      </c>
      <c r="H12" s="1624">
        <f t="shared" si="4"/>
        <v>0.22635889798957556</v>
      </c>
      <c r="I12" s="1624">
        <f t="shared" si="5"/>
        <v>0.21624670928920647</v>
      </c>
      <c r="J12" s="1624">
        <f t="shared" si="6"/>
        <v>0.20569395017793593</v>
      </c>
      <c r="K12" s="1624">
        <f t="shared" si="7"/>
        <v>0.22143111427554291</v>
      </c>
      <c r="L12" s="1624">
        <f t="shared" si="8"/>
        <v>0.22608356110894182</v>
      </c>
      <c r="M12" s="1624">
        <f t="shared" si="9"/>
        <v>0.22534197264218864</v>
      </c>
      <c r="N12" s="1624">
        <f t="shared" si="10"/>
        <v>0.20485636114911079</v>
      </c>
      <c r="O12" s="1624">
        <f t="shared" si="11"/>
        <v>0.19557069846678024</v>
      </c>
      <c r="P12" s="1624">
        <f t="shared" si="12"/>
        <v>0.18501775912173071</v>
      </c>
      <c r="Q12" s="1624">
        <f t="shared" si="13"/>
        <v>0.17349950803542144</v>
      </c>
      <c r="R12" s="1625">
        <f t="shared" si="14"/>
        <v>0.1650485436893204</v>
      </c>
      <c r="S12" s="1626">
        <f>'Non-marital births'!L13</f>
        <v>0.16440422322775264</v>
      </c>
      <c r="T12" s="1627">
        <v>0.15466834328827414</v>
      </c>
      <c r="U12" s="1628">
        <f t="shared" si="15"/>
        <v>0.16012658227848101</v>
      </c>
      <c r="V12" s="2018">
        <f t="shared" si="16"/>
        <v>0.15965076395385094</v>
      </c>
      <c r="W12" s="2018">
        <f t="shared" si="17"/>
        <v>0.16795691686300909</v>
      </c>
      <c r="X12" s="2013">
        <f t="shared" si="18"/>
        <v>0.1481734380334585</v>
      </c>
      <c r="Y12" s="2096">
        <f t="shared" si="19"/>
        <v>0.16440422322775264</v>
      </c>
      <c r="Z12" s="2096"/>
      <c r="AA12" s="681">
        <v>2672</v>
      </c>
      <c r="AB12" s="682">
        <v>2606</v>
      </c>
      <c r="AC12" s="683">
        <v>2715</v>
      </c>
      <c r="AD12" s="682">
        <v>2814</v>
      </c>
      <c r="AE12" s="683">
        <v>2686</v>
      </c>
      <c r="AF12" s="682">
        <v>2659</v>
      </c>
      <c r="AG12" s="683">
        <v>2810</v>
      </c>
      <c r="AH12" s="682">
        <v>2809</v>
      </c>
      <c r="AI12" s="696">
        <v>2561</v>
      </c>
      <c r="AJ12" s="696">
        <v>2778</v>
      </c>
      <c r="AK12" s="696">
        <v>2924</v>
      </c>
      <c r="AL12" s="696">
        <v>2935</v>
      </c>
      <c r="AM12" s="697">
        <v>3097</v>
      </c>
      <c r="AN12" s="697">
        <v>3049</v>
      </c>
      <c r="AO12" s="848">
        <v>3193</v>
      </c>
      <c r="AP12" s="1095">
        <v>3195</v>
      </c>
      <c r="AQ12" s="1608">
        <v>3181</v>
      </c>
      <c r="AR12" s="1608">
        <v>3160</v>
      </c>
      <c r="AS12" s="1971">
        <v>3207</v>
      </c>
      <c r="AT12" s="1095">
        <v>2971</v>
      </c>
      <c r="AU12" s="2020">
        <v>2929</v>
      </c>
      <c r="AV12" s="1005">
        <v>2652</v>
      </c>
      <c r="AW12" s="1005"/>
      <c r="AX12" s="704">
        <v>571</v>
      </c>
      <c r="AY12" s="705">
        <v>566</v>
      </c>
      <c r="AZ12" s="705">
        <v>598</v>
      </c>
      <c r="BA12" s="705">
        <v>603</v>
      </c>
      <c r="BB12" s="705">
        <v>608</v>
      </c>
      <c r="BC12" s="705">
        <v>575</v>
      </c>
      <c r="BD12" s="705">
        <v>578</v>
      </c>
      <c r="BE12" s="705">
        <v>622</v>
      </c>
      <c r="BF12" s="705">
        <v>579</v>
      </c>
      <c r="BG12" s="705">
        <v>626</v>
      </c>
      <c r="BH12" s="705">
        <v>599</v>
      </c>
      <c r="BI12" s="705">
        <v>574</v>
      </c>
      <c r="BJ12" s="705">
        <v>573</v>
      </c>
      <c r="BK12" s="705">
        <v>529</v>
      </c>
      <c r="BL12" s="851">
        <v>527</v>
      </c>
      <c r="BM12" s="1096">
        <v>512</v>
      </c>
      <c r="BN12" s="1097">
        <v>492</v>
      </c>
      <c r="BO12" s="1096">
        <v>506</v>
      </c>
      <c r="BP12" s="1969">
        <v>512</v>
      </c>
      <c r="BQ12" s="1096">
        <v>499</v>
      </c>
      <c r="BR12" s="2022">
        <v>434</v>
      </c>
      <c r="BS12" s="1006">
        <v>436</v>
      </c>
      <c r="BU12" s="2172">
        <f t="shared" si="20"/>
        <v>2387</v>
      </c>
      <c r="BV12" s="2172">
        <f t="shared" si="21"/>
        <v>14919</v>
      </c>
      <c r="BW12" s="2173">
        <f t="shared" si="22"/>
        <v>0.15999731885515114</v>
      </c>
    </row>
    <row r="13" spans="1:75" s="49" customFormat="1" ht="13.5" customHeight="1" x14ac:dyDescent="0.3">
      <c r="A13" s="56" t="s">
        <v>25</v>
      </c>
      <c r="B13" s="84" t="s">
        <v>274</v>
      </c>
      <c r="C13" s="57" t="s">
        <v>252</v>
      </c>
      <c r="D13" s="1623">
        <f t="shared" si="0"/>
        <v>0.30324623911322246</v>
      </c>
      <c r="E13" s="1624">
        <f t="shared" si="1"/>
        <v>0.28866832092638545</v>
      </c>
      <c r="F13" s="1624">
        <f t="shared" si="2"/>
        <v>0.31774193548387097</v>
      </c>
      <c r="G13" s="1624">
        <f t="shared" si="3"/>
        <v>0.30749574105621807</v>
      </c>
      <c r="H13" s="1624">
        <f t="shared" si="4"/>
        <v>0.33795918367346939</v>
      </c>
      <c r="I13" s="1624">
        <f t="shared" si="5"/>
        <v>0.35763097949886102</v>
      </c>
      <c r="J13" s="1624">
        <f t="shared" si="6"/>
        <v>0.32498101746393321</v>
      </c>
      <c r="K13" s="1624">
        <f t="shared" si="7"/>
        <v>0.34829721362229105</v>
      </c>
      <c r="L13" s="1624">
        <f t="shared" si="8"/>
        <v>0.3623718887262079</v>
      </c>
      <c r="M13" s="1624">
        <f t="shared" si="9"/>
        <v>0.39570339570339569</v>
      </c>
      <c r="N13" s="1624">
        <f t="shared" si="10"/>
        <v>0.39058999253174009</v>
      </c>
      <c r="O13" s="1624">
        <f t="shared" si="11"/>
        <v>0.37471439451637473</v>
      </c>
      <c r="P13" s="1624">
        <f t="shared" si="12"/>
        <v>0.36872909698996653</v>
      </c>
      <c r="Q13" s="1624">
        <f t="shared" si="13"/>
        <v>0.36058059587471353</v>
      </c>
      <c r="R13" s="1625">
        <f t="shared" si="14"/>
        <v>0.39834024896265557</v>
      </c>
      <c r="S13" s="1626">
        <f>'Non-marital births'!L14</f>
        <v>0.40450375312760634</v>
      </c>
      <c r="T13" s="1627">
        <v>0.38180341186027622</v>
      </c>
      <c r="U13" s="1628">
        <f t="shared" si="15"/>
        <v>0.39798293250581845</v>
      </c>
      <c r="V13" s="2018">
        <f t="shared" si="16"/>
        <v>0.39919678714859436</v>
      </c>
      <c r="W13" s="2018">
        <f t="shared" si="17"/>
        <v>0.42032520325203254</v>
      </c>
      <c r="X13" s="2013">
        <f t="shared" si="18"/>
        <v>0.4041095890410959</v>
      </c>
      <c r="Y13" s="2096">
        <f t="shared" si="19"/>
        <v>0.40450375312760634</v>
      </c>
      <c r="Z13" s="2096"/>
      <c r="AA13" s="681">
        <v>1263</v>
      </c>
      <c r="AB13" s="682">
        <v>1209</v>
      </c>
      <c r="AC13" s="683">
        <v>1240</v>
      </c>
      <c r="AD13" s="682">
        <v>1174</v>
      </c>
      <c r="AE13" s="683">
        <v>1225</v>
      </c>
      <c r="AF13" s="682">
        <v>1317</v>
      </c>
      <c r="AG13" s="683">
        <v>1317</v>
      </c>
      <c r="AH13" s="682">
        <v>1292</v>
      </c>
      <c r="AI13" s="696">
        <v>1366</v>
      </c>
      <c r="AJ13" s="696">
        <v>1443</v>
      </c>
      <c r="AK13" s="696">
        <v>1339</v>
      </c>
      <c r="AL13" s="696">
        <v>1313</v>
      </c>
      <c r="AM13" s="697">
        <v>1196</v>
      </c>
      <c r="AN13" s="697">
        <v>1309</v>
      </c>
      <c r="AO13" s="848">
        <v>1205</v>
      </c>
      <c r="AP13" s="1095">
        <v>1213</v>
      </c>
      <c r="AQ13" s="1608">
        <v>1231</v>
      </c>
      <c r="AR13" s="1608">
        <v>1289</v>
      </c>
      <c r="AS13" s="1971">
        <v>1245</v>
      </c>
      <c r="AT13" s="1095">
        <v>1230</v>
      </c>
      <c r="AU13" s="2020">
        <v>1314</v>
      </c>
      <c r="AV13" s="1005">
        <v>1199</v>
      </c>
      <c r="AW13" s="1005"/>
      <c r="AX13" s="704">
        <v>383</v>
      </c>
      <c r="AY13" s="705">
        <v>349</v>
      </c>
      <c r="AZ13" s="705">
        <v>394</v>
      </c>
      <c r="BA13" s="705">
        <v>361</v>
      </c>
      <c r="BB13" s="705">
        <v>414</v>
      </c>
      <c r="BC13" s="705">
        <v>471</v>
      </c>
      <c r="BD13" s="705">
        <v>428</v>
      </c>
      <c r="BE13" s="705">
        <v>450</v>
      </c>
      <c r="BF13" s="705">
        <v>495</v>
      </c>
      <c r="BG13" s="705">
        <v>571</v>
      </c>
      <c r="BH13" s="705">
        <v>523</v>
      </c>
      <c r="BI13" s="705">
        <v>492</v>
      </c>
      <c r="BJ13" s="705">
        <v>441</v>
      </c>
      <c r="BK13" s="705">
        <v>472</v>
      </c>
      <c r="BL13" s="851">
        <v>480</v>
      </c>
      <c r="BM13" s="1096">
        <v>498</v>
      </c>
      <c r="BN13" s="1097">
        <v>470</v>
      </c>
      <c r="BO13" s="1096">
        <v>513</v>
      </c>
      <c r="BP13" s="1969">
        <v>497</v>
      </c>
      <c r="BQ13" s="1096">
        <v>517</v>
      </c>
      <c r="BR13" s="2022">
        <v>531</v>
      </c>
      <c r="BS13" s="1006">
        <v>485</v>
      </c>
      <c r="BU13" s="2172">
        <f t="shared" si="20"/>
        <v>2543</v>
      </c>
      <c r="BV13" s="2172">
        <f t="shared" si="21"/>
        <v>6277</v>
      </c>
      <c r="BW13" s="2173">
        <f t="shared" si="22"/>
        <v>0.40512983909510913</v>
      </c>
    </row>
    <row r="14" spans="1:75" s="49" customFormat="1" ht="13.5" customHeight="1" x14ac:dyDescent="0.3">
      <c r="A14" s="56" t="s">
        <v>26</v>
      </c>
      <c r="B14" s="84" t="s">
        <v>27</v>
      </c>
      <c r="C14" s="57" t="s">
        <v>252</v>
      </c>
      <c r="D14" s="1623">
        <f t="shared" si="0"/>
        <v>0.11320754716981132</v>
      </c>
      <c r="E14" s="1624">
        <f t="shared" si="1"/>
        <v>0.26</v>
      </c>
      <c r="F14" s="1624">
        <f t="shared" si="2"/>
        <v>0.22727272727272727</v>
      </c>
      <c r="G14" s="1624">
        <f t="shared" si="3"/>
        <v>0.14634146341463414</v>
      </c>
      <c r="H14" s="1624">
        <f t="shared" si="4"/>
        <v>0.22857142857142856</v>
      </c>
      <c r="I14" s="1624">
        <f t="shared" si="5"/>
        <v>0.30303030303030304</v>
      </c>
      <c r="J14" s="1624">
        <f t="shared" si="6"/>
        <v>0.23076923076923078</v>
      </c>
      <c r="K14" s="1624">
        <f t="shared" si="7"/>
        <v>0.35714285714285715</v>
      </c>
      <c r="L14" s="1624">
        <f t="shared" si="8"/>
        <v>0.22222222222222221</v>
      </c>
      <c r="M14" s="1624">
        <f t="shared" si="9"/>
        <v>0.3783783783783784</v>
      </c>
      <c r="N14" s="1624">
        <f t="shared" si="10"/>
        <v>0.28125</v>
      </c>
      <c r="O14" s="1624">
        <f t="shared" si="11"/>
        <v>0.26923076923076922</v>
      </c>
      <c r="P14" s="1624">
        <f t="shared" si="12"/>
        <v>0.42499999999999999</v>
      </c>
      <c r="Q14" s="1624">
        <f t="shared" si="13"/>
        <v>0.33333333333333331</v>
      </c>
      <c r="R14" s="1625">
        <f t="shared" si="14"/>
        <v>0.57499999999999996</v>
      </c>
      <c r="S14" s="1626">
        <f>'Non-marital births'!L15</f>
        <v>0.30434782608695654</v>
      </c>
      <c r="T14" s="1627">
        <v>0.46938775510204084</v>
      </c>
      <c r="U14" s="1628">
        <f t="shared" si="15"/>
        <v>0.54054054054054057</v>
      </c>
      <c r="V14" s="2018">
        <f t="shared" si="16"/>
        <v>0.38461538461538464</v>
      </c>
      <c r="W14" s="2018">
        <f t="shared" si="17"/>
        <v>0.48148148148148145</v>
      </c>
      <c r="X14" s="2013">
        <f t="shared" si="18"/>
        <v>0.30232558139534882</v>
      </c>
      <c r="Y14" s="2096">
        <f t="shared" si="19"/>
        <v>0.30434782608695654</v>
      </c>
      <c r="Z14" s="2096"/>
      <c r="AA14" s="681">
        <v>53</v>
      </c>
      <c r="AB14" s="682">
        <v>50</v>
      </c>
      <c r="AC14" s="683">
        <v>44</v>
      </c>
      <c r="AD14" s="682">
        <v>41</v>
      </c>
      <c r="AE14" s="683">
        <v>35</v>
      </c>
      <c r="AF14" s="682">
        <v>33</v>
      </c>
      <c r="AG14" s="683">
        <v>26</v>
      </c>
      <c r="AH14" s="682">
        <v>28</v>
      </c>
      <c r="AI14" s="696">
        <v>27</v>
      </c>
      <c r="AJ14" s="696">
        <v>37</v>
      </c>
      <c r="AK14" s="696">
        <v>32</v>
      </c>
      <c r="AL14" s="696">
        <v>26</v>
      </c>
      <c r="AM14" s="697">
        <v>40</v>
      </c>
      <c r="AN14" s="697">
        <v>39</v>
      </c>
      <c r="AO14" s="848">
        <v>40</v>
      </c>
      <c r="AP14" s="1095">
        <v>40</v>
      </c>
      <c r="AQ14" s="1608">
        <v>49</v>
      </c>
      <c r="AR14" s="1608">
        <v>37</v>
      </c>
      <c r="AS14" s="1971">
        <v>39</v>
      </c>
      <c r="AT14" s="1095">
        <v>27</v>
      </c>
      <c r="AU14" s="2020">
        <v>43</v>
      </c>
      <c r="AV14" s="1005">
        <v>46</v>
      </c>
      <c r="AW14" s="1005"/>
      <c r="AX14" s="704">
        <v>6</v>
      </c>
      <c r="AY14" s="705">
        <v>13</v>
      </c>
      <c r="AZ14" s="705">
        <v>10</v>
      </c>
      <c r="BA14" s="705">
        <v>6</v>
      </c>
      <c r="BB14" s="705">
        <v>8</v>
      </c>
      <c r="BC14" s="705">
        <v>10</v>
      </c>
      <c r="BD14" s="705">
        <v>6</v>
      </c>
      <c r="BE14" s="705">
        <v>10</v>
      </c>
      <c r="BF14" s="705">
        <v>6</v>
      </c>
      <c r="BG14" s="705">
        <v>14</v>
      </c>
      <c r="BH14" s="705">
        <v>9</v>
      </c>
      <c r="BI14" s="705">
        <v>7</v>
      </c>
      <c r="BJ14" s="705">
        <v>17</v>
      </c>
      <c r="BK14" s="705">
        <v>13</v>
      </c>
      <c r="BL14" s="851">
        <v>23</v>
      </c>
      <c r="BM14" s="1096">
        <v>20</v>
      </c>
      <c r="BN14" s="1097">
        <v>23</v>
      </c>
      <c r="BO14" s="1096">
        <v>20</v>
      </c>
      <c r="BP14" s="1969">
        <v>15</v>
      </c>
      <c r="BQ14" s="1096">
        <v>13</v>
      </c>
      <c r="BR14" s="2022">
        <v>13</v>
      </c>
      <c r="BS14" s="1006">
        <v>14</v>
      </c>
      <c r="BU14" s="2172">
        <f t="shared" si="20"/>
        <v>75</v>
      </c>
      <c r="BV14" s="2172">
        <f t="shared" si="21"/>
        <v>192</v>
      </c>
      <c r="BW14" s="2173">
        <f t="shared" si="22"/>
        <v>0.390625</v>
      </c>
    </row>
    <row r="15" spans="1:75" s="49" customFormat="1" ht="13.5" customHeight="1" x14ac:dyDescent="0.3">
      <c r="A15" s="56" t="s">
        <v>28</v>
      </c>
      <c r="B15" s="84" t="s">
        <v>726</v>
      </c>
      <c r="C15" s="57" t="s">
        <v>252</v>
      </c>
      <c r="D15" s="1623">
        <f t="shared" si="0"/>
        <v>0.23463687150837989</v>
      </c>
      <c r="E15" s="1624">
        <f t="shared" si="1"/>
        <v>0.22442748091603054</v>
      </c>
      <c r="F15" s="1624">
        <f t="shared" si="2"/>
        <v>0.21388888888888888</v>
      </c>
      <c r="G15" s="1624">
        <f t="shared" si="3"/>
        <v>0.22507122507122507</v>
      </c>
      <c r="H15" s="1624">
        <f t="shared" si="4"/>
        <v>0.24121405750798722</v>
      </c>
      <c r="I15" s="1624">
        <f t="shared" si="5"/>
        <v>0.24366197183098592</v>
      </c>
      <c r="J15" s="1624">
        <f t="shared" si="6"/>
        <v>0.26527570789865873</v>
      </c>
      <c r="K15" s="1624">
        <f t="shared" si="7"/>
        <v>0.2841068917018284</v>
      </c>
      <c r="L15" s="1624">
        <f t="shared" si="8"/>
        <v>0.29291553133514986</v>
      </c>
      <c r="M15" s="1624">
        <f t="shared" si="9"/>
        <v>0.29445234708392604</v>
      </c>
      <c r="N15" s="1624">
        <f t="shared" si="10"/>
        <v>0.30802919708029197</v>
      </c>
      <c r="O15" s="1624">
        <f t="shared" si="11"/>
        <v>0.32991202346041054</v>
      </c>
      <c r="P15" s="1624">
        <f t="shared" si="12"/>
        <v>0.30486008836524303</v>
      </c>
      <c r="Q15" s="1624">
        <f t="shared" si="13"/>
        <v>0.32142857142857145</v>
      </c>
      <c r="R15" s="1625">
        <f t="shared" si="14"/>
        <v>0.34677419354838712</v>
      </c>
      <c r="S15" s="1626">
        <f>'Non-marital births'!L16</f>
        <v>0.32817337461300311</v>
      </c>
      <c r="T15" s="1627">
        <v>0.31464174454828658</v>
      </c>
      <c r="U15" s="1628">
        <f t="shared" si="15"/>
        <v>0.28976377952755905</v>
      </c>
      <c r="V15" s="2018">
        <f t="shared" si="16"/>
        <v>0.3108298171589311</v>
      </c>
      <c r="W15" s="2018">
        <f t="shared" si="17"/>
        <v>0.30825958702064898</v>
      </c>
      <c r="X15" s="2013">
        <f t="shared" si="18"/>
        <v>0.31372549019607843</v>
      </c>
      <c r="Y15" s="2096">
        <f t="shared" si="19"/>
        <v>0.32817337461300311</v>
      </c>
      <c r="Z15" s="2096"/>
      <c r="AA15" s="681">
        <v>716</v>
      </c>
      <c r="AB15" s="682">
        <v>655</v>
      </c>
      <c r="AC15" s="683">
        <v>720</v>
      </c>
      <c r="AD15" s="682">
        <v>702</v>
      </c>
      <c r="AE15" s="683">
        <v>626</v>
      </c>
      <c r="AF15" s="682">
        <v>710</v>
      </c>
      <c r="AG15" s="683">
        <v>671</v>
      </c>
      <c r="AH15" s="682">
        <v>711</v>
      </c>
      <c r="AI15" s="696">
        <v>734</v>
      </c>
      <c r="AJ15" s="696">
        <v>703</v>
      </c>
      <c r="AK15" s="696">
        <v>685</v>
      </c>
      <c r="AL15" s="696">
        <v>682</v>
      </c>
      <c r="AM15" s="697">
        <v>679</v>
      </c>
      <c r="AN15" s="697">
        <v>644</v>
      </c>
      <c r="AO15" s="848">
        <v>620</v>
      </c>
      <c r="AP15" s="1095">
        <v>672</v>
      </c>
      <c r="AQ15" s="1608">
        <v>642</v>
      </c>
      <c r="AR15" s="1608">
        <v>635</v>
      </c>
      <c r="AS15" s="1971">
        <v>711</v>
      </c>
      <c r="AT15" s="1095">
        <v>678</v>
      </c>
      <c r="AU15" s="2020">
        <v>663</v>
      </c>
      <c r="AV15" s="1005">
        <v>646</v>
      </c>
      <c r="AW15" s="1005"/>
      <c r="AX15" s="704">
        <v>168</v>
      </c>
      <c r="AY15" s="705">
        <v>147</v>
      </c>
      <c r="AZ15" s="705">
        <v>154</v>
      </c>
      <c r="BA15" s="705">
        <v>158</v>
      </c>
      <c r="BB15" s="705">
        <v>151</v>
      </c>
      <c r="BC15" s="705">
        <v>173</v>
      </c>
      <c r="BD15" s="705">
        <v>178</v>
      </c>
      <c r="BE15" s="705">
        <v>202</v>
      </c>
      <c r="BF15" s="705">
        <v>215</v>
      </c>
      <c r="BG15" s="705">
        <v>207</v>
      </c>
      <c r="BH15" s="705">
        <v>211</v>
      </c>
      <c r="BI15" s="705">
        <v>225</v>
      </c>
      <c r="BJ15" s="705">
        <v>207</v>
      </c>
      <c r="BK15" s="705">
        <v>207</v>
      </c>
      <c r="BL15" s="851">
        <v>215</v>
      </c>
      <c r="BM15" s="1096">
        <v>242</v>
      </c>
      <c r="BN15" s="1097">
        <v>202</v>
      </c>
      <c r="BO15" s="1096">
        <v>184</v>
      </c>
      <c r="BP15" s="1969">
        <v>221</v>
      </c>
      <c r="BQ15" s="1096">
        <v>209</v>
      </c>
      <c r="BR15" s="2022">
        <v>208</v>
      </c>
      <c r="BS15" s="1006">
        <v>212</v>
      </c>
      <c r="BU15" s="2172">
        <f t="shared" si="20"/>
        <v>1034</v>
      </c>
      <c r="BV15" s="2172">
        <f t="shared" si="21"/>
        <v>3333</v>
      </c>
      <c r="BW15" s="2173">
        <f t="shared" si="22"/>
        <v>0.31023102310231021</v>
      </c>
    </row>
    <row r="16" spans="1:75" s="49" customFormat="1" ht="13.5" customHeight="1" x14ac:dyDescent="0.3">
      <c r="A16" s="56" t="s">
        <v>29</v>
      </c>
      <c r="B16" s="84" t="s">
        <v>30</v>
      </c>
      <c r="C16" s="57" t="s">
        <v>255</v>
      </c>
      <c r="D16" s="1623">
        <f t="shared" si="0"/>
        <v>0.16</v>
      </c>
      <c r="E16" s="1624">
        <f t="shared" si="1"/>
        <v>0.1875</v>
      </c>
      <c r="F16" s="1624">
        <f t="shared" si="2"/>
        <v>0.14285714285714285</v>
      </c>
      <c r="G16" s="1624">
        <f t="shared" si="3"/>
        <v>0.15254237288135594</v>
      </c>
      <c r="H16" s="1624">
        <f t="shared" si="4"/>
        <v>0.25454545454545452</v>
      </c>
      <c r="I16" s="1624">
        <f t="shared" si="5"/>
        <v>0.13333333333333333</v>
      </c>
      <c r="J16" s="1624">
        <f t="shared" si="6"/>
        <v>0.22222222222222221</v>
      </c>
      <c r="K16" s="1624">
        <f t="shared" si="7"/>
        <v>0.30158730158730157</v>
      </c>
      <c r="L16" s="1624">
        <f t="shared" si="8"/>
        <v>0.27083333333333331</v>
      </c>
      <c r="M16" s="1624">
        <f t="shared" si="9"/>
        <v>0.25490196078431371</v>
      </c>
      <c r="N16" s="1624">
        <f t="shared" si="10"/>
        <v>0.35849056603773582</v>
      </c>
      <c r="O16" s="1624">
        <f t="shared" si="11"/>
        <v>0.2857142857142857</v>
      </c>
      <c r="P16" s="1624">
        <f t="shared" si="12"/>
        <v>0.31707317073170732</v>
      </c>
      <c r="Q16" s="1624">
        <f t="shared" si="13"/>
        <v>0.54716981132075471</v>
      </c>
      <c r="R16" s="1625">
        <f t="shared" si="14"/>
        <v>0.36363636363636365</v>
      </c>
      <c r="S16" s="1626">
        <f>'Non-marital births'!L17</f>
        <v>0.34615384615384615</v>
      </c>
      <c r="T16" s="1627">
        <v>0.2978723404255319</v>
      </c>
      <c r="U16" s="1628">
        <f t="shared" si="15"/>
        <v>0.29411764705882354</v>
      </c>
      <c r="V16" s="2018">
        <f t="shared" si="16"/>
        <v>0.38</v>
      </c>
      <c r="W16" s="2018">
        <f t="shared" si="17"/>
        <v>0.21428571428571427</v>
      </c>
      <c r="X16" s="2013">
        <f t="shared" si="18"/>
        <v>0.29411764705882354</v>
      </c>
      <c r="Y16" s="2096">
        <f t="shared" si="19"/>
        <v>0.34615384615384615</v>
      </c>
      <c r="Z16" s="2096"/>
      <c r="AA16" s="681">
        <v>50</v>
      </c>
      <c r="AB16" s="682">
        <v>64</v>
      </c>
      <c r="AC16" s="683">
        <v>63</v>
      </c>
      <c r="AD16" s="682">
        <v>59</v>
      </c>
      <c r="AE16" s="683">
        <v>55</v>
      </c>
      <c r="AF16" s="682">
        <v>60</v>
      </c>
      <c r="AG16" s="683">
        <v>54</v>
      </c>
      <c r="AH16" s="682">
        <v>63</v>
      </c>
      <c r="AI16" s="696">
        <v>48</v>
      </c>
      <c r="AJ16" s="696">
        <v>51</v>
      </c>
      <c r="AK16" s="696">
        <v>53</v>
      </c>
      <c r="AL16" s="696">
        <v>49</v>
      </c>
      <c r="AM16" s="697">
        <v>41</v>
      </c>
      <c r="AN16" s="697">
        <v>53</v>
      </c>
      <c r="AO16" s="848">
        <v>55</v>
      </c>
      <c r="AP16" s="1095">
        <v>39</v>
      </c>
      <c r="AQ16" s="1608">
        <v>47</v>
      </c>
      <c r="AR16" s="1608">
        <v>51</v>
      </c>
      <c r="AS16" s="1971">
        <v>50</v>
      </c>
      <c r="AT16" s="1095">
        <v>42</v>
      </c>
      <c r="AU16" s="2020">
        <v>34</v>
      </c>
      <c r="AV16" s="1005">
        <v>52</v>
      </c>
      <c r="AW16" s="1005"/>
      <c r="AX16" s="704">
        <v>8</v>
      </c>
      <c r="AY16" s="705">
        <v>12</v>
      </c>
      <c r="AZ16" s="705">
        <v>9</v>
      </c>
      <c r="BA16" s="705">
        <v>9</v>
      </c>
      <c r="BB16" s="705">
        <v>14</v>
      </c>
      <c r="BC16" s="705">
        <v>8</v>
      </c>
      <c r="BD16" s="705">
        <v>12</v>
      </c>
      <c r="BE16" s="705">
        <v>19</v>
      </c>
      <c r="BF16" s="705">
        <v>13</v>
      </c>
      <c r="BG16" s="705">
        <v>13</v>
      </c>
      <c r="BH16" s="705">
        <v>19</v>
      </c>
      <c r="BI16" s="705">
        <v>14</v>
      </c>
      <c r="BJ16" s="705">
        <v>13</v>
      </c>
      <c r="BK16" s="705">
        <v>29</v>
      </c>
      <c r="BL16" s="851">
        <v>20</v>
      </c>
      <c r="BM16" s="1096">
        <v>14</v>
      </c>
      <c r="BN16" s="1097">
        <v>14</v>
      </c>
      <c r="BO16" s="1096">
        <v>15</v>
      </c>
      <c r="BP16" s="1969">
        <v>19</v>
      </c>
      <c r="BQ16" s="1096">
        <v>9</v>
      </c>
      <c r="BR16" s="2022">
        <v>10</v>
      </c>
      <c r="BS16" s="1006">
        <v>18</v>
      </c>
      <c r="BU16" s="2172">
        <f t="shared" si="20"/>
        <v>71</v>
      </c>
      <c r="BV16" s="2172">
        <f t="shared" si="21"/>
        <v>229</v>
      </c>
      <c r="BW16" s="2173">
        <f t="shared" si="22"/>
        <v>0.31004366812227074</v>
      </c>
    </row>
    <row r="17" spans="1:75" s="49" customFormat="1" ht="13.5" customHeight="1" x14ac:dyDescent="0.3">
      <c r="A17" s="56" t="s">
        <v>31</v>
      </c>
      <c r="B17" s="84" t="s">
        <v>32</v>
      </c>
      <c r="C17" s="57" t="s">
        <v>252</v>
      </c>
      <c r="D17" s="1623">
        <f t="shared" si="0"/>
        <v>0.22330097087378642</v>
      </c>
      <c r="E17" s="1624">
        <f t="shared" si="1"/>
        <v>0.1798780487804878</v>
      </c>
      <c r="F17" s="1624">
        <f t="shared" si="2"/>
        <v>0.15064102564102563</v>
      </c>
      <c r="G17" s="1624">
        <f t="shared" si="3"/>
        <v>0.18181818181818182</v>
      </c>
      <c r="H17" s="1624">
        <f t="shared" si="4"/>
        <v>0.20875420875420875</v>
      </c>
      <c r="I17" s="1624">
        <f t="shared" si="5"/>
        <v>0.17857142857142858</v>
      </c>
      <c r="J17" s="1624">
        <f t="shared" si="6"/>
        <v>0.19379844961240311</v>
      </c>
      <c r="K17" s="1624">
        <f t="shared" si="7"/>
        <v>0.21509433962264152</v>
      </c>
      <c r="L17" s="1624">
        <f t="shared" si="8"/>
        <v>0.21223021582733814</v>
      </c>
      <c r="M17" s="1624">
        <f t="shared" si="9"/>
        <v>0.27272727272727271</v>
      </c>
      <c r="N17" s="1624">
        <f t="shared" si="10"/>
        <v>0.24150943396226415</v>
      </c>
      <c r="O17" s="1624">
        <f t="shared" si="11"/>
        <v>0.27099236641221375</v>
      </c>
      <c r="P17" s="1624">
        <f t="shared" si="12"/>
        <v>0.26337448559670784</v>
      </c>
      <c r="Q17" s="1624">
        <f t="shared" si="13"/>
        <v>0.27149321266968324</v>
      </c>
      <c r="R17" s="1625">
        <f t="shared" si="14"/>
        <v>0.24107142857142858</v>
      </c>
      <c r="S17" s="1626">
        <f>'Non-marital births'!L18</f>
        <v>0.25</v>
      </c>
      <c r="T17" s="1627">
        <v>0.3135593220338983</v>
      </c>
      <c r="U17" s="1628">
        <f t="shared" si="15"/>
        <v>0.34913793103448276</v>
      </c>
      <c r="V17" s="2018">
        <f t="shared" si="16"/>
        <v>0.26523297491039427</v>
      </c>
      <c r="W17" s="2018">
        <f t="shared" si="17"/>
        <v>0.27586206896551724</v>
      </c>
      <c r="X17" s="2013">
        <f t="shared" si="18"/>
        <v>0.2648221343873518</v>
      </c>
      <c r="Y17" s="2096">
        <f t="shared" si="19"/>
        <v>0.25</v>
      </c>
      <c r="Z17" s="2096"/>
      <c r="AA17" s="681">
        <v>309</v>
      </c>
      <c r="AB17" s="682">
        <v>328</v>
      </c>
      <c r="AC17" s="683">
        <v>312</v>
      </c>
      <c r="AD17" s="682">
        <v>253</v>
      </c>
      <c r="AE17" s="683">
        <v>297</v>
      </c>
      <c r="AF17" s="682">
        <v>308</v>
      </c>
      <c r="AG17" s="683">
        <v>258</v>
      </c>
      <c r="AH17" s="682">
        <v>265</v>
      </c>
      <c r="AI17" s="696">
        <v>278</v>
      </c>
      <c r="AJ17" s="696">
        <v>308</v>
      </c>
      <c r="AK17" s="696">
        <v>265</v>
      </c>
      <c r="AL17" s="696">
        <v>262</v>
      </c>
      <c r="AM17" s="697">
        <v>243</v>
      </c>
      <c r="AN17" s="697">
        <v>221</v>
      </c>
      <c r="AO17" s="848">
        <v>224</v>
      </c>
      <c r="AP17" s="1095">
        <v>220</v>
      </c>
      <c r="AQ17" s="1608">
        <v>236</v>
      </c>
      <c r="AR17" s="1608">
        <v>232</v>
      </c>
      <c r="AS17" s="1971">
        <v>279</v>
      </c>
      <c r="AT17" s="1095">
        <v>232</v>
      </c>
      <c r="AU17" s="2020">
        <v>253</v>
      </c>
      <c r="AV17" s="1005">
        <v>232</v>
      </c>
      <c r="AW17" s="1005"/>
      <c r="AX17" s="704">
        <v>69</v>
      </c>
      <c r="AY17" s="705">
        <v>59</v>
      </c>
      <c r="AZ17" s="705">
        <v>47</v>
      </c>
      <c r="BA17" s="705">
        <v>46</v>
      </c>
      <c r="BB17" s="705">
        <v>62</v>
      </c>
      <c r="BC17" s="705">
        <v>55</v>
      </c>
      <c r="BD17" s="705">
        <v>50</v>
      </c>
      <c r="BE17" s="705">
        <v>57</v>
      </c>
      <c r="BF17" s="705">
        <v>59</v>
      </c>
      <c r="BG17" s="705">
        <v>84</v>
      </c>
      <c r="BH17" s="705">
        <v>64</v>
      </c>
      <c r="BI17" s="705">
        <v>71</v>
      </c>
      <c r="BJ17" s="705">
        <v>64</v>
      </c>
      <c r="BK17" s="705">
        <v>60</v>
      </c>
      <c r="BL17" s="851">
        <v>54</v>
      </c>
      <c r="BM17" s="1096">
        <v>65</v>
      </c>
      <c r="BN17" s="1097">
        <v>74</v>
      </c>
      <c r="BO17" s="1096">
        <v>81</v>
      </c>
      <c r="BP17" s="1969">
        <v>74</v>
      </c>
      <c r="BQ17" s="1096">
        <v>64</v>
      </c>
      <c r="BR17" s="2022">
        <v>67</v>
      </c>
      <c r="BS17" s="1006">
        <v>58</v>
      </c>
      <c r="BU17" s="2172">
        <f t="shared" si="20"/>
        <v>344</v>
      </c>
      <c r="BV17" s="2172">
        <f t="shared" si="21"/>
        <v>1228</v>
      </c>
      <c r="BW17" s="2173">
        <f t="shared" si="22"/>
        <v>0.28013029315960913</v>
      </c>
    </row>
    <row r="18" spans="1:75" s="49" customFormat="1" ht="13.5" customHeight="1" x14ac:dyDescent="0.3">
      <c r="A18" s="56" t="s">
        <v>35</v>
      </c>
      <c r="B18" s="84" t="s">
        <v>36</v>
      </c>
      <c r="C18" s="57" t="s">
        <v>251</v>
      </c>
      <c r="D18" s="1623">
        <f t="shared" si="0"/>
        <v>0.60893854748603349</v>
      </c>
      <c r="E18" s="1624">
        <f t="shared" si="1"/>
        <v>0.56818181818181823</v>
      </c>
      <c r="F18" s="1624">
        <f t="shared" si="2"/>
        <v>0.58918918918918917</v>
      </c>
      <c r="G18" s="1624">
        <f t="shared" si="3"/>
        <v>0.60732984293193715</v>
      </c>
      <c r="H18" s="1624">
        <f t="shared" si="4"/>
        <v>0.55307262569832405</v>
      </c>
      <c r="I18" s="1624">
        <f t="shared" si="5"/>
        <v>0.58823529411764708</v>
      </c>
      <c r="J18" s="1624">
        <f t="shared" si="6"/>
        <v>0.63583815028901736</v>
      </c>
      <c r="K18" s="1624">
        <f t="shared" si="7"/>
        <v>0.62424242424242427</v>
      </c>
      <c r="L18" s="1624">
        <f t="shared" si="8"/>
        <v>0.59195402298850575</v>
      </c>
      <c r="M18" s="1624">
        <f t="shared" si="9"/>
        <v>0.65714285714285714</v>
      </c>
      <c r="N18" s="1624">
        <f t="shared" si="10"/>
        <v>0.67015706806282727</v>
      </c>
      <c r="O18" s="1624">
        <f t="shared" si="11"/>
        <v>0.62576687116564422</v>
      </c>
      <c r="P18" s="1624">
        <f t="shared" si="12"/>
        <v>0.64197530864197527</v>
      </c>
      <c r="Q18" s="1624">
        <f t="shared" si="13"/>
        <v>0.63829787234042556</v>
      </c>
      <c r="R18" s="1625">
        <f t="shared" si="14"/>
        <v>0.62893081761006286</v>
      </c>
      <c r="S18" s="1626">
        <f>'Non-marital births'!L19</f>
        <v>0.75862068965517238</v>
      </c>
      <c r="T18" s="1627">
        <v>0.66438356164383561</v>
      </c>
      <c r="U18" s="1628">
        <f t="shared" si="15"/>
        <v>0.72535211267605637</v>
      </c>
      <c r="V18" s="2018">
        <f t="shared" si="16"/>
        <v>0.64963503649635035</v>
      </c>
      <c r="W18" s="2018">
        <f t="shared" si="17"/>
        <v>0.66883116883116878</v>
      </c>
      <c r="X18" s="2013">
        <f t="shared" si="18"/>
        <v>0.67692307692307696</v>
      </c>
      <c r="Y18" s="2096">
        <f t="shared" si="19"/>
        <v>0.75862068965517238</v>
      </c>
      <c r="Z18" s="2096"/>
      <c r="AA18" s="681">
        <v>179</v>
      </c>
      <c r="AB18" s="682">
        <v>176</v>
      </c>
      <c r="AC18" s="683">
        <v>185</v>
      </c>
      <c r="AD18" s="682">
        <v>191</v>
      </c>
      <c r="AE18" s="683">
        <v>179</v>
      </c>
      <c r="AF18" s="682">
        <v>170</v>
      </c>
      <c r="AG18" s="683">
        <v>173</v>
      </c>
      <c r="AH18" s="682">
        <v>165</v>
      </c>
      <c r="AI18" s="696">
        <v>174</v>
      </c>
      <c r="AJ18" s="696">
        <v>175</v>
      </c>
      <c r="AK18" s="696">
        <v>191</v>
      </c>
      <c r="AL18" s="696">
        <v>163</v>
      </c>
      <c r="AM18" s="697">
        <v>162</v>
      </c>
      <c r="AN18" s="697">
        <v>141</v>
      </c>
      <c r="AO18" s="848">
        <v>159</v>
      </c>
      <c r="AP18" s="1095">
        <v>131</v>
      </c>
      <c r="AQ18" s="1608">
        <v>146</v>
      </c>
      <c r="AR18" s="1608">
        <v>142</v>
      </c>
      <c r="AS18" s="1971">
        <v>137</v>
      </c>
      <c r="AT18" s="1095">
        <v>154</v>
      </c>
      <c r="AU18" s="2020">
        <v>130</v>
      </c>
      <c r="AV18" s="1005">
        <v>116</v>
      </c>
      <c r="AW18" s="1005"/>
      <c r="AX18" s="704">
        <v>109</v>
      </c>
      <c r="AY18" s="705">
        <v>100</v>
      </c>
      <c r="AZ18" s="705">
        <v>109</v>
      </c>
      <c r="BA18" s="705">
        <v>116</v>
      </c>
      <c r="BB18" s="705">
        <v>99</v>
      </c>
      <c r="BC18" s="705">
        <v>100</v>
      </c>
      <c r="BD18" s="705">
        <v>110</v>
      </c>
      <c r="BE18" s="705">
        <v>103</v>
      </c>
      <c r="BF18" s="705">
        <v>103</v>
      </c>
      <c r="BG18" s="705">
        <v>115</v>
      </c>
      <c r="BH18" s="705">
        <v>128</v>
      </c>
      <c r="BI18" s="705">
        <v>102</v>
      </c>
      <c r="BJ18" s="705">
        <v>104</v>
      </c>
      <c r="BK18" s="705">
        <v>90</v>
      </c>
      <c r="BL18" s="851">
        <v>100</v>
      </c>
      <c r="BM18" s="1096">
        <v>85</v>
      </c>
      <c r="BN18" s="1097">
        <v>97</v>
      </c>
      <c r="BO18" s="1096">
        <v>103</v>
      </c>
      <c r="BP18" s="1969">
        <v>89</v>
      </c>
      <c r="BQ18" s="1096">
        <v>103</v>
      </c>
      <c r="BR18" s="2022">
        <v>88</v>
      </c>
      <c r="BS18" s="1006">
        <v>88</v>
      </c>
      <c r="BU18" s="2172">
        <f t="shared" si="20"/>
        <v>471</v>
      </c>
      <c r="BV18" s="2172">
        <f t="shared" si="21"/>
        <v>679</v>
      </c>
      <c r="BW18" s="2173">
        <f t="shared" si="22"/>
        <v>0.69366715758468334</v>
      </c>
    </row>
    <row r="19" spans="1:75" s="49" customFormat="1" ht="13.5" customHeight="1" x14ac:dyDescent="0.3">
      <c r="A19" s="56" t="s">
        <v>37</v>
      </c>
      <c r="B19" s="84" t="s">
        <v>38</v>
      </c>
      <c r="C19" s="57" t="s">
        <v>255</v>
      </c>
      <c r="D19" s="1623">
        <f t="shared" si="0"/>
        <v>0.31672597864768681</v>
      </c>
      <c r="E19" s="1624">
        <f t="shared" si="1"/>
        <v>0.27037037037037037</v>
      </c>
      <c r="F19" s="1624">
        <f t="shared" si="2"/>
        <v>0.32432432432432434</v>
      </c>
      <c r="G19" s="1624">
        <f t="shared" si="3"/>
        <v>0.30241935483870969</v>
      </c>
      <c r="H19" s="1624">
        <f t="shared" si="4"/>
        <v>0.26923076923076922</v>
      </c>
      <c r="I19" s="1624">
        <f t="shared" si="5"/>
        <v>0.29583333333333334</v>
      </c>
      <c r="J19" s="1624">
        <f t="shared" si="6"/>
        <v>0.2857142857142857</v>
      </c>
      <c r="K19" s="1624">
        <f t="shared" si="7"/>
        <v>0.28632478632478631</v>
      </c>
      <c r="L19" s="1624">
        <f t="shared" si="8"/>
        <v>0.26923076923076922</v>
      </c>
      <c r="M19" s="1624">
        <f t="shared" si="9"/>
        <v>0.3910891089108911</v>
      </c>
      <c r="N19" s="1624">
        <f t="shared" si="10"/>
        <v>0.29482071713147412</v>
      </c>
      <c r="O19" s="1624">
        <f t="shared" si="11"/>
        <v>0.35748792270531399</v>
      </c>
      <c r="P19" s="1624">
        <f t="shared" si="12"/>
        <v>0.34862385321100919</v>
      </c>
      <c r="Q19" s="1624">
        <f t="shared" si="13"/>
        <v>0.33333333333333331</v>
      </c>
      <c r="R19" s="1625">
        <f t="shared" si="14"/>
        <v>0.32057416267942584</v>
      </c>
      <c r="S19" s="1626">
        <f>'Non-marital births'!L20</f>
        <v>0.41618497109826591</v>
      </c>
      <c r="T19" s="1627">
        <v>0.38251366120218577</v>
      </c>
      <c r="U19" s="1628">
        <f t="shared" si="15"/>
        <v>0.33742331288343558</v>
      </c>
      <c r="V19" s="2018">
        <f t="shared" si="16"/>
        <v>0.37908496732026142</v>
      </c>
      <c r="W19" s="2018">
        <f t="shared" si="17"/>
        <v>0.36125654450261779</v>
      </c>
      <c r="X19" s="2013">
        <f t="shared" si="18"/>
        <v>0.31428571428571428</v>
      </c>
      <c r="Y19" s="2096">
        <f t="shared" si="19"/>
        <v>0.41618497109826591</v>
      </c>
      <c r="Z19" s="2096"/>
      <c r="AA19" s="681">
        <v>281</v>
      </c>
      <c r="AB19" s="682">
        <v>270</v>
      </c>
      <c r="AC19" s="683">
        <v>259</v>
      </c>
      <c r="AD19" s="682">
        <v>248</v>
      </c>
      <c r="AE19" s="683">
        <v>234</v>
      </c>
      <c r="AF19" s="682">
        <v>240</v>
      </c>
      <c r="AG19" s="683">
        <v>238</v>
      </c>
      <c r="AH19" s="682">
        <v>234</v>
      </c>
      <c r="AI19" s="696">
        <v>208</v>
      </c>
      <c r="AJ19" s="696">
        <v>202</v>
      </c>
      <c r="AK19" s="696">
        <v>251</v>
      </c>
      <c r="AL19" s="696">
        <v>207</v>
      </c>
      <c r="AM19" s="697">
        <v>218</v>
      </c>
      <c r="AN19" s="697">
        <v>216</v>
      </c>
      <c r="AO19" s="848">
        <v>209</v>
      </c>
      <c r="AP19" s="1095">
        <v>190</v>
      </c>
      <c r="AQ19" s="1608">
        <v>183</v>
      </c>
      <c r="AR19" s="1608">
        <v>163</v>
      </c>
      <c r="AS19" s="1971">
        <v>153</v>
      </c>
      <c r="AT19" s="1095">
        <v>191</v>
      </c>
      <c r="AU19" s="2020">
        <v>175</v>
      </c>
      <c r="AV19" s="1005">
        <v>173</v>
      </c>
      <c r="AW19" s="1005"/>
      <c r="AX19" s="704">
        <v>89</v>
      </c>
      <c r="AY19" s="705">
        <v>73</v>
      </c>
      <c r="AZ19" s="705">
        <v>84</v>
      </c>
      <c r="BA19" s="705">
        <v>75</v>
      </c>
      <c r="BB19" s="705">
        <v>63</v>
      </c>
      <c r="BC19" s="705">
        <v>71</v>
      </c>
      <c r="BD19" s="705">
        <v>68</v>
      </c>
      <c r="BE19" s="705">
        <v>67</v>
      </c>
      <c r="BF19" s="705">
        <v>56</v>
      </c>
      <c r="BG19" s="705">
        <v>79</v>
      </c>
      <c r="BH19" s="705">
        <v>74</v>
      </c>
      <c r="BI19" s="705">
        <v>74</v>
      </c>
      <c r="BJ19" s="705">
        <v>76</v>
      </c>
      <c r="BK19" s="705">
        <v>72</v>
      </c>
      <c r="BL19" s="851">
        <v>67</v>
      </c>
      <c r="BM19" s="1096">
        <v>76</v>
      </c>
      <c r="BN19" s="1097">
        <v>70</v>
      </c>
      <c r="BO19" s="1096">
        <v>55</v>
      </c>
      <c r="BP19" s="1969">
        <v>58</v>
      </c>
      <c r="BQ19" s="1096">
        <v>69</v>
      </c>
      <c r="BR19" s="2022">
        <v>55</v>
      </c>
      <c r="BS19" s="1006">
        <v>72</v>
      </c>
      <c r="BU19" s="2172">
        <f t="shared" si="20"/>
        <v>309</v>
      </c>
      <c r="BV19" s="2172">
        <f t="shared" si="21"/>
        <v>855</v>
      </c>
      <c r="BW19" s="2173">
        <f t="shared" si="22"/>
        <v>0.36140350877192984</v>
      </c>
    </row>
    <row r="20" spans="1:75" s="49" customFormat="1" ht="13.5" customHeight="1" x14ac:dyDescent="0.3">
      <c r="A20" s="56" t="s">
        <v>39</v>
      </c>
      <c r="B20" s="84" t="s">
        <v>40</v>
      </c>
      <c r="C20" s="57" t="s">
        <v>253</v>
      </c>
      <c r="D20" s="1623">
        <f t="shared" si="0"/>
        <v>0.38461538461538464</v>
      </c>
      <c r="E20" s="1624">
        <f t="shared" si="1"/>
        <v>0.50450450450450446</v>
      </c>
      <c r="F20" s="1624">
        <f t="shared" si="2"/>
        <v>0.46875</v>
      </c>
      <c r="G20" s="1624">
        <f t="shared" si="3"/>
        <v>0.44444444444444442</v>
      </c>
      <c r="H20" s="1624">
        <f t="shared" si="4"/>
        <v>0.46250000000000002</v>
      </c>
      <c r="I20" s="1624">
        <f t="shared" si="5"/>
        <v>0.42483660130718953</v>
      </c>
      <c r="J20" s="1624">
        <f t="shared" si="6"/>
        <v>0.47204968944099379</v>
      </c>
      <c r="K20" s="1624">
        <f t="shared" si="7"/>
        <v>0.43165467625899279</v>
      </c>
      <c r="L20" s="1624">
        <f t="shared" si="8"/>
        <v>0.52760736196319014</v>
      </c>
      <c r="M20" s="1624">
        <f t="shared" si="9"/>
        <v>0.50970873786407767</v>
      </c>
      <c r="N20" s="1624">
        <f t="shared" si="10"/>
        <v>0.50543478260869568</v>
      </c>
      <c r="O20" s="1624">
        <f t="shared" si="11"/>
        <v>0.52879581151832455</v>
      </c>
      <c r="P20" s="1624">
        <f t="shared" si="12"/>
        <v>0.54878048780487809</v>
      </c>
      <c r="Q20" s="1624">
        <f t="shared" si="13"/>
        <v>0.55000000000000004</v>
      </c>
      <c r="R20" s="1625">
        <f t="shared" si="14"/>
        <v>0.52542372881355937</v>
      </c>
      <c r="S20" s="1626">
        <f>'Non-marital births'!L21</f>
        <v>0.46621621621621623</v>
      </c>
      <c r="T20" s="1627">
        <v>0.52</v>
      </c>
      <c r="U20" s="1628">
        <f t="shared" si="15"/>
        <v>0.5078125</v>
      </c>
      <c r="V20" s="2018">
        <f t="shared" si="16"/>
        <v>0.48507462686567165</v>
      </c>
      <c r="W20" s="2018">
        <f t="shared" si="17"/>
        <v>0.53846153846153844</v>
      </c>
      <c r="X20" s="2013">
        <f t="shared" si="18"/>
        <v>0.49645390070921985</v>
      </c>
      <c r="Y20" s="2096">
        <f t="shared" si="19"/>
        <v>0.46621621621621623</v>
      </c>
      <c r="Z20" s="2096"/>
      <c r="AA20" s="681">
        <v>143</v>
      </c>
      <c r="AB20" s="682">
        <v>111</v>
      </c>
      <c r="AC20" s="683">
        <v>96</v>
      </c>
      <c r="AD20" s="682">
        <v>126</v>
      </c>
      <c r="AE20" s="683">
        <v>160</v>
      </c>
      <c r="AF20" s="682">
        <v>153</v>
      </c>
      <c r="AG20" s="683">
        <v>161</v>
      </c>
      <c r="AH20" s="682">
        <v>139</v>
      </c>
      <c r="AI20" s="696">
        <v>163</v>
      </c>
      <c r="AJ20" s="696">
        <v>206</v>
      </c>
      <c r="AK20" s="696">
        <v>184</v>
      </c>
      <c r="AL20" s="696">
        <v>191</v>
      </c>
      <c r="AM20" s="697">
        <v>164</v>
      </c>
      <c r="AN20" s="697">
        <v>160</v>
      </c>
      <c r="AO20" s="848">
        <v>177</v>
      </c>
      <c r="AP20" s="1095">
        <v>166</v>
      </c>
      <c r="AQ20" s="1608">
        <v>150</v>
      </c>
      <c r="AR20" s="1608">
        <v>128</v>
      </c>
      <c r="AS20" s="1971">
        <v>134</v>
      </c>
      <c r="AT20" s="1095">
        <v>130</v>
      </c>
      <c r="AU20" s="2020">
        <v>141</v>
      </c>
      <c r="AV20" s="1005">
        <v>148</v>
      </c>
      <c r="AW20" s="1005"/>
      <c r="AX20" s="704">
        <v>55</v>
      </c>
      <c r="AY20" s="705">
        <v>56</v>
      </c>
      <c r="AZ20" s="705">
        <v>45</v>
      </c>
      <c r="BA20" s="705">
        <v>56</v>
      </c>
      <c r="BB20" s="705">
        <v>74</v>
      </c>
      <c r="BC20" s="705">
        <v>65</v>
      </c>
      <c r="BD20" s="705">
        <v>76</v>
      </c>
      <c r="BE20" s="705">
        <v>60</v>
      </c>
      <c r="BF20" s="705">
        <v>86</v>
      </c>
      <c r="BG20" s="705">
        <v>105</v>
      </c>
      <c r="BH20" s="705">
        <v>93</v>
      </c>
      <c r="BI20" s="705">
        <v>101</v>
      </c>
      <c r="BJ20" s="705">
        <v>90</v>
      </c>
      <c r="BK20" s="705">
        <v>88</v>
      </c>
      <c r="BL20" s="851">
        <v>93</v>
      </c>
      <c r="BM20" s="1096">
        <v>98</v>
      </c>
      <c r="BN20" s="1097">
        <v>78</v>
      </c>
      <c r="BO20" s="1096">
        <v>65</v>
      </c>
      <c r="BP20" s="1969">
        <v>65</v>
      </c>
      <c r="BQ20" s="1096">
        <v>70</v>
      </c>
      <c r="BR20" s="2022">
        <v>70</v>
      </c>
      <c r="BS20" s="1006">
        <v>69</v>
      </c>
      <c r="BU20" s="2172">
        <f t="shared" si="20"/>
        <v>339</v>
      </c>
      <c r="BV20" s="2172">
        <f t="shared" si="21"/>
        <v>681</v>
      </c>
      <c r="BW20" s="2173">
        <f t="shared" si="22"/>
        <v>0.49779735682819382</v>
      </c>
    </row>
    <row r="21" spans="1:75" s="49" customFormat="1" ht="13.5" customHeight="1" x14ac:dyDescent="0.3">
      <c r="A21" s="56" t="s">
        <v>41</v>
      </c>
      <c r="B21" s="84" t="s">
        <v>42</v>
      </c>
      <c r="C21" s="57" t="s">
        <v>252</v>
      </c>
      <c r="D21" s="1623">
        <f t="shared" si="0"/>
        <v>0.33233532934131738</v>
      </c>
      <c r="E21" s="1624">
        <f t="shared" si="1"/>
        <v>0.32829046898638425</v>
      </c>
      <c r="F21" s="1624">
        <f t="shared" si="2"/>
        <v>0.31927710843373491</v>
      </c>
      <c r="G21" s="1624">
        <f t="shared" si="3"/>
        <v>0.34358974358974359</v>
      </c>
      <c r="H21" s="1624">
        <f t="shared" si="4"/>
        <v>0.32467532467532467</v>
      </c>
      <c r="I21" s="1624">
        <f t="shared" si="5"/>
        <v>0.33161512027491408</v>
      </c>
      <c r="J21" s="1624">
        <f t="shared" si="6"/>
        <v>0.32229965156794427</v>
      </c>
      <c r="K21" s="1624">
        <f t="shared" si="7"/>
        <v>0.36283185840707965</v>
      </c>
      <c r="L21" s="1624">
        <f t="shared" si="8"/>
        <v>0.34951456310679613</v>
      </c>
      <c r="M21" s="1624">
        <f t="shared" si="9"/>
        <v>0.40255009107468126</v>
      </c>
      <c r="N21" s="1624">
        <f t="shared" si="10"/>
        <v>0.38279932546374368</v>
      </c>
      <c r="O21" s="1624">
        <f t="shared" si="11"/>
        <v>0.35408560311284049</v>
      </c>
      <c r="P21" s="1624">
        <f t="shared" si="12"/>
        <v>0.37731958762886597</v>
      </c>
      <c r="Q21" s="1624">
        <f t="shared" si="13"/>
        <v>0.38218923933209648</v>
      </c>
      <c r="R21" s="1625">
        <f t="shared" si="14"/>
        <v>0.34166666666666667</v>
      </c>
      <c r="S21" s="1626">
        <f>'Non-marital births'!L22</f>
        <v>0.39920159680638723</v>
      </c>
      <c r="T21" s="1627">
        <v>0.3669724770642202</v>
      </c>
      <c r="U21" s="1628">
        <f t="shared" si="15"/>
        <v>0.41320754716981134</v>
      </c>
      <c r="V21" s="2018">
        <f t="shared" si="16"/>
        <v>0.35917721518987344</v>
      </c>
      <c r="W21" s="2018">
        <f t="shared" si="17"/>
        <v>0.38223140495867769</v>
      </c>
      <c r="X21" s="2013">
        <f t="shared" si="18"/>
        <v>0.39344262295081966</v>
      </c>
      <c r="Y21" s="2096">
        <f t="shared" si="19"/>
        <v>0.39920159680638723</v>
      </c>
      <c r="Z21" s="2096"/>
      <c r="AA21" s="681">
        <v>668</v>
      </c>
      <c r="AB21" s="682">
        <v>661</v>
      </c>
      <c r="AC21" s="683">
        <v>664</v>
      </c>
      <c r="AD21" s="682">
        <v>585</v>
      </c>
      <c r="AE21" s="683">
        <v>616</v>
      </c>
      <c r="AF21" s="682">
        <v>582</v>
      </c>
      <c r="AG21" s="683">
        <v>574</v>
      </c>
      <c r="AH21" s="682">
        <v>565</v>
      </c>
      <c r="AI21" s="696">
        <v>515</v>
      </c>
      <c r="AJ21" s="696">
        <v>549</v>
      </c>
      <c r="AK21" s="696">
        <v>593</v>
      </c>
      <c r="AL21" s="696">
        <v>514</v>
      </c>
      <c r="AM21" s="697">
        <v>485</v>
      </c>
      <c r="AN21" s="697">
        <v>539</v>
      </c>
      <c r="AO21" s="848">
        <v>480</v>
      </c>
      <c r="AP21" s="1095">
        <v>475</v>
      </c>
      <c r="AQ21" s="1608">
        <v>436</v>
      </c>
      <c r="AR21" s="1608">
        <v>530</v>
      </c>
      <c r="AS21" s="1971">
        <v>632</v>
      </c>
      <c r="AT21" s="1095">
        <v>484</v>
      </c>
      <c r="AU21" s="2020">
        <v>488</v>
      </c>
      <c r="AV21" s="1005">
        <v>501</v>
      </c>
      <c r="AW21" s="1005"/>
      <c r="AX21" s="704">
        <v>222</v>
      </c>
      <c r="AY21" s="705">
        <v>217</v>
      </c>
      <c r="AZ21" s="705">
        <v>212</v>
      </c>
      <c r="BA21" s="705">
        <v>201</v>
      </c>
      <c r="BB21" s="705">
        <v>200</v>
      </c>
      <c r="BC21" s="705">
        <v>193</v>
      </c>
      <c r="BD21" s="705">
        <v>185</v>
      </c>
      <c r="BE21" s="705">
        <v>205</v>
      </c>
      <c r="BF21" s="705">
        <v>180</v>
      </c>
      <c r="BG21" s="705">
        <v>221</v>
      </c>
      <c r="BH21" s="705">
        <v>227</v>
      </c>
      <c r="BI21" s="705">
        <v>182</v>
      </c>
      <c r="BJ21" s="705">
        <v>183</v>
      </c>
      <c r="BK21" s="705">
        <v>206</v>
      </c>
      <c r="BL21" s="851">
        <v>164</v>
      </c>
      <c r="BM21" s="1096">
        <v>182</v>
      </c>
      <c r="BN21" s="1097">
        <v>160</v>
      </c>
      <c r="BO21" s="1096">
        <v>219</v>
      </c>
      <c r="BP21" s="1969">
        <v>227</v>
      </c>
      <c r="BQ21" s="1096">
        <v>185</v>
      </c>
      <c r="BR21" s="2022">
        <v>192</v>
      </c>
      <c r="BS21" s="1006">
        <v>200</v>
      </c>
      <c r="BU21" s="2172">
        <f t="shared" si="20"/>
        <v>1023</v>
      </c>
      <c r="BV21" s="2172">
        <f t="shared" si="21"/>
        <v>2635</v>
      </c>
      <c r="BW21" s="2173">
        <f t="shared" si="22"/>
        <v>0.38823529411764707</v>
      </c>
    </row>
    <row r="22" spans="1:75" s="49" customFormat="1" ht="13.5" customHeight="1" x14ac:dyDescent="0.3">
      <c r="A22" s="56" t="s">
        <v>43</v>
      </c>
      <c r="B22" s="84" t="s">
        <v>44</v>
      </c>
      <c r="C22" s="57" t="s">
        <v>253</v>
      </c>
      <c r="D22" s="1623">
        <f t="shared" si="0"/>
        <v>0.38815789473684209</v>
      </c>
      <c r="E22" s="1624">
        <f t="shared" si="1"/>
        <v>0.4</v>
      </c>
      <c r="F22" s="1624">
        <f t="shared" si="2"/>
        <v>0.43445692883895132</v>
      </c>
      <c r="G22" s="1624">
        <f t="shared" si="3"/>
        <v>0.41454545454545455</v>
      </c>
      <c r="H22" s="1624">
        <f t="shared" si="4"/>
        <v>0.43462897526501765</v>
      </c>
      <c r="I22" s="1624">
        <f t="shared" si="5"/>
        <v>0.40192926045016075</v>
      </c>
      <c r="J22" s="1624">
        <f t="shared" si="6"/>
        <v>0.41509433962264153</v>
      </c>
      <c r="K22" s="1624">
        <f t="shared" si="7"/>
        <v>0.3903133903133903</v>
      </c>
      <c r="L22" s="1624">
        <f t="shared" si="8"/>
        <v>0.39119804400977998</v>
      </c>
      <c r="M22" s="1624">
        <f t="shared" si="9"/>
        <v>0.38461538461538464</v>
      </c>
      <c r="N22" s="1624">
        <f t="shared" si="10"/>
        <v>0.41131105398457585</v>
      </c>
      <c r="O22" s="1624">
        <f t="shared" si="11"/>
        <v>0.42065491183879095</v>
      </c>
      <c r="P22" s="1624">
        <f t="shared" si="12"/>
        <v>0.39669421487603307</v>
      </c>
      <c r="Q22" s="1624">
        <f t="shared" si="13"/>
        <v>0.45177664974619292</v>
      </c>
      <c r="R22" s="1625">
        <f t="shared" si="14"/>
        <v>0.45758354755784064</v>
      </c>
      <c r="S22" s="1626">
        <f>'Non-marital births'!L23</f>
        <v>0.39938080495356038</v>
      </c>
      <c r="T22" s="1627">
        <v>0.37373737373737376</v>
      </c>
      <c r="U22" s="1628">
        <f t="shared" si="15"/>
        <v>0.40625</v>
      </c>
      <c r="V22" s="2018">
        <f t="shared" si="16"/>
        <v>0.39583333333333331</v>
      </c>
      <c r="W22" s="2018">
        <f t="shared" si="17"/>
        <v>0.46470588235294119</v>
      </c>
      <c r="X22" s="2013">
        <f t="shared" si="18"/>
        <v>0.43478260869565216</v>
      </c>
      <c r="Y22" s="2096">
        <f t="shared" si="19"/>
        <v>0.39938080495356038</v>
      </c>
      <c r="Z22" s="2096"/>
      <c r="AA22" s="681">
        <v>304</v>
      </c>
      <c r="AB22" s="682">
        <v>280</v>
      </c>
      <c r="AC22" s="683">
        <v>267</v>
      </c>
      <c r="AD22" s="682">
        <v>275</v>
      </c>
      <c r="AE22" s="683">
        <v>283</v>
      </c>
      <c r="AF22" s="682">
        <v>311</v>
      </c>
      <c r="AG22" s="683">
        <v>318</v>
      </c>
      <c r="AH22" s="682">
        <v>351</v>
      </c>
      <c r="AI22" s="696">
        <v>409</v>
      </c>
      <c r="AJ22" s="696">
        <v>416</v>
      </c>
      <c r="AK22" s="696">
        <v>389</v>
      </c>
      <c r="AL22" s="696">
        <v>397</v>
      </c>
      <c r="AM22" s="697">
        <v>363</v>
      </c>
      <c r="AN22" s="697">
        <v>394</v>
      </c>
      <c r="AO22" s="848">
        <v>389</v>
      </c>
      <c r="AP22" s="1095">
        <v>412</v>
      </c>
      <c r="AQ22" s="1608">
        <v>396</v>
      </c>
      <c r="AR22" s="1608">
        <v>384</v>
      </c>
      <c r="AS22" s="1971">
        <v>384</v>
      </c>
      <c r="AT22" s="1095">
        <v>340</v>
      </c>
      <c r="AU22" s="2020">
        <v>368</v>
      </c>
      <c r="AV22" s="1005">
        <v>323</v>
      </c>
      <c r="AW22" s="1005"/>
      <c r="AX22" s="704">
        <v>118</v>
      </c>
      <c r="AY22" s="705">
        <v>112</v>
      </c>
      <c r="AZ22" s="705">
        <v>116</v>
      </c>
      <c r="BA22" s="705">
        <v>114</v>
      </c>
      <c r="BB22" s="705">
        <v>123</v>
      </c>
      <c r="BC22" s="705">
        <v>125</v>
      </c>
      <c r="BD22" s="705">
        <v>132</v>
      </c>
      <c r="BE22" s="705">
        <v>137</v>
      </c>
      <c r="BF22" s="705">
        <v>160</v>
      </c>
      <c r="BG22" s="705">
        <v>160</v>
      </c>
      <c r="BH22" s="705">
        <v>160</v>
      </c>
      <c r="BI22" s="705">
        <v>167</v>
      </c>
      <c r="BJ22" s="705">
        <v>144</v>
      </c>
      <c r="BK22" s="705">
        <v>178</v>
      </c>
      <c r="BL22" s="851">
        <v>178</v>
      </c>
      <c r="BM22" s="1096">
        <v>167</v>
      </c>
      <c r="BN22" s="1097">
        <v>148</v>
      </c>
      <c r="BO22" s="1096">
        <v>156</v>
      </c>
      <c r="BP22" s="1969">
        <v>152</v>
      </c>
      <c r="BQ22" s="1096">
        <v>158</v>
      </c>
      <c r="BR22" s="2022">
        <v>160</v>
      </c>
      <c r="BS22" s="1006">
        <v>129</v>
      </c>
      <c r="BU22" s="2172">
        <f t="shared" si="20"/>
        <v>755</v>
      </c>
      <c r="BV22" s="2172">
        <f t="shared" si="21"/>
        <v>1799</v>
      </c>
      <c r="BW22" s="2173">
        <f t="shared" si="22"/>
        <v>0.41967759866592552</v>
      </c>
    </row>
    <row r="23" spans="1:75" s="49" customFormat="1" ht="13.5" customHeight="1" x14ac:dyDescent="0.3">
      <c r="A23" s="56" t="s">
        <v>45</v>
      </c>
      <c r="B23" s="84" t="s">
        <v>46</v>
      </c>
      <c r="C23" s="57" t="s">
        <v>255</v>
      </c>
      <c r="D23" s="1623">
        <f t="shared" si="0"/>
        <v>0.20472440944881889</v>
      </c>
      <c r="E23" s="1624">
        <f t="shared" si="1"/>
        <v>0.2673611111111111</v>
      </c>
      <c r="F23" s="1624">
        <f t="shared" si="2"/>
        <v>0.2857142857142857</v>
      </c>
      <c r="G23" s="1624">
        <f t="shared" si="3"/>
        <v>0.22262773722627738</v>
      </c>
      <c r="H23" s="1624">
        <f t="shared" si="4"/>
        <v>0.27027027027027029</v>
      </c>
      <c r="I23" s="1624">
        <f t="shared" si="5"/>
        <v>0.29577464788732394</v>
      </c>
      <c r="J23" s="1624">
        <f t="shared" si="6"/>
        <v>0.28321678321678323</v>
      </c>
      <c r="K23" s="1624">
        <f t="shared" si="7"/>
        <v>0.26428571428571429</v>
      </c>
      <c r="L23" s="1624">
        <f t="shared" si="8"/>
        <v>0.3311897106109325</v>
      </c>
      <c r="M23" s="1624">
        <f t="shared" si="9"/>
        <v>0.35430463576158938</v>
      </c>
      <c r="N23" s="1624">
        <f t="shared" si="10"/>
        <v>0.33564013840830448</v>
      </c>
      <c r="O23" s="1624">
        <f t="shared" si="11"/>
        <v>0.40277777777777779</v>
      </c>
      <c r="P23" s="1624">
        <f t="shared" si="12"/>
        <v>0.41891891891891891</v>
      </c>
      <c r="Q23" s="1624">
        <f t="shared" si="13"/>
        <v>0.3628691983122363</v>
      </c>
      <c r="R23" s="1625">
        <f t="shared" si="14"/>
        <v>0.39784946236559138</v>
      </c>
      <c r="S23" s="1626">
        <f>'Non-marital births'!L24</f>
        <v>0.39043824701195218</v>
      </c>
      <c r="T23" s="1627">
        <v>0.44609665427509293</v>
      </c>
      <c r="U23" s="1628">
        <f t="shared" si="15"/>
        <v>0.32958801498127338</v>
      </c>
      <c r="V23" s="2018">
        <f t="shared" si="16"/>
        <v>0.40598290598290598</v>
      </c>
      <c r="W23" s="2018">
        <f t="shared" si="17"/>
        <v>0.34134615384615385</v>
      </c>
      <c r="X23" s="2013">
        <f t="shared" si="18"/>
        <v>0.31707317073170732</v>
      </c>
      <c r="Y23" s="2096">
        <f t="shared" si="19"/>
        <v>0.39043824701195218</v>
      </c>
      <c r="Z23" s="2096"/>
      <c r="AA23" s="681">
        <v>254</v>
      </c>
      <c r="AB23" s="682">
        <v>288</v>
      </c>
      <c r="AC23" s="683">
        <v>259</v>
      </c>
      <c r="AD23" s="682">
        <v>274</v>
      </c>
      <c r="AE23" s="683">
        <v>296</v>
      </c>
      <c r="AF23" s="682">
        <v>284</v>
      </c>
      <c r="AG23" s="683">
        <v>286</v>
      </c>
      <c r="AH23" s="682">
        <v>280</v>
      </c>
      <c r="AI23" s="696">
        <v>311</v>
      </c>
      <c r="AJ23" s="696">
        <v>302</v>
      </c>
      <c r="AK23" s="696">
        <v>289</v>
      </c>
      <c r="AL23" s="696">
        <v>288</v>
      </c>
      <c r="AM23" s="697">
        <v>222</v>
      </c>
      <c r="AN23" s="697">
        <v>237</v>
      </c>
      <c r="AO23" s="848">
        <v>279</v>
      </c>
      <c r="AP23" s="1095">
        <v>234</v>
      </c>
      <c r="AQ23" s="1608">
        <v>269</v>
      </c>
      <c r="AR23" s="1608">
        <v>267</v>
      </c>
      <c r="AS23" s="1971">
        <v>234</v>
      </c>
      <c r="AT23" s="1095">
        <v>208</v>
      </c>
      <c r="AU23" s="2020">
        <v>246</v>
      </c>
      <c r="AV23" s="1005">
        <v>251</v>
      </c>
      <c r="AW23" s="1005"/>
      <c r="AX23" s="704">
        <v>52</v>
      </c>
      <c r="AY23" s="705">
        <v>77</v>
      </c>
      <c r="AZ23" s="705">
        <v>74</v>
      </c>
      <c r="BA23" s="705">
        <v>61</v>
      </c>
      <c r="BB23" s="705">
        <v>80</v>
      </c>
      <c r="BC23" s="705">
        <v>84</v>
      </c>
      <c r="BD23" s="705">
        <v>81</v>
      </c>
      <c r="BE23" s="705">
        <v>74</v>
      </c>
      <c r="BF23" s="705">
        <v>103</v>
      </c>
      <c r="BG23" s="705">
        <v>107</v>
      </c>
      <c r="BH23" s="705">
        <v>97</v>
      </c>
      <c r="BI23" s="705">
        <v>116</v>
      </c>
      <c r="BJ23" s="705">
        <v>93</v>
      </c>
      <c r="BK23" s="705">
        <v>86</v>
      </c>
      <c r="BL23" s="851">
        <v>111</v>
      </c>
      <c r="BM23" s="1096">
        <v>94</v>
      </c>
      <c r="BN23" s="1097">
        <v>120</v>
      </c>
      <c r="BO23" s="1096">
        <v>88</v>
      </c>
      <c r="BP23" s="1969">
        <v>95</v>
      </c>
      <c r="BQ23" s="1096">
        <v>71</v>
      </c>
      <c r="BR23" s="2022">
        <v>78</v>
      </c>
      <c r="BS23" s="1006">
        <v>98</v>
      </c>
      <c r="BU23" s="2172">
        <f t="shared" si="20"/>
        <v>430</v>
      </c>
      <c r="BV23" s="2172">
        <f t="shared" si="21"/>
        <v>1206</v>
      </c>
      <c r="BW23" s="2173">
        <f t="shared" si="22"/>
        <v>0.35655058043117743</v>
      </c>
    </row>
    <row r="24" spans="1:75" s="49" customFormat="1" ht="13.5" customHeight="1" x14ac:dyDescent="0.3">
      <c r="A24" s="56" t="s">
        <v>47</v>
      </c>
      <c r="B24" s="84" t="s">
        <v>256</v>
      </c>
      <c r="C24" s="57" t="s">
        <v>253</v>
      </c>
      <c r="D24" s="1623">
        <f t="shared" si="0"/>
        <v>0.41379310344827586</v>
      </c>
      <c r="E24" s="1624">
        <f t="shared" si="1"/>
        <v>0.53246753246753242</v>
      </c>
      <c r="F24" s="1624">
        <f t="shared" si="2"/>
        <v>0.50684931506849318</v>
      </c>
      <c r="G24" s="1624">
        <f t="shared" si="3"/>
        <v>0.59090909090909094</v>
      </c>
      <c r="H24" s="1624">
        <f t="shared" si="4"/>
        <v>0.41025641025641024</v>
      </c>
      <c r="I24" s="1624">
        <f t="shared" si="5"/>
        <v>0.46268656716417911</v>
      </c>
      <c r="J24" s="1624">
        <f t="shared" si="6"/>
        <v>0.55882352941176472</v>
      </c>
      <c r="K24" s="1624">
        <f t="shared" si="7"/>
        <v>0.50632911392405067</v>
      </c>
      <c r="L24" s="1624">
        <f t="shared" si="8"/>
        <v>0.62903225806451613</v>
      </c>
      <c r="M24" s="1624">
        <f t="shared" si="9"/>
        <v>0.4107142857142857</v>
      </c>
      <c r="N24" s="1624">
        <f t="shared" si="10"/>
        <v>0.57894736842105265</v>
      </c>
      <c r="O24" s="1624">
        <f t="shared" si="11"/>
        <v>0.67391304347826086</v>
      </c>
      <c r="P24" s="1624">
        <f t="shared" si="12"/>
        <v>0.50909090909090904</v>
      </c>
      <c r="Q24" s="1624">
        <f t="shared" si="13"/>
        <v>0.58333333333333337</v>
      </c>
      <c r="R24" s="1625">
        <f t="shared" si="14"/>
        <v>0.56603773584905659</v>
      </c>
      <c r="S24" s="1626">
        <f>'Non-marital births'!L25</f>
        <v>0.54347826086956519</v>
      </c>
      <c r="T24" s="1627">
        <v>0.5714285714285714</v>
      </c>
      <c r="U24" s="1628">
        <f t="shared" si="15"/>
        <v>0.52830188679245282</v>
      </c>
      <c r="V24" s="2018">
        <f t="shared" si="16"/>
        <v>0.58490566037735847</v>
      </c>
      <c r="W24" s="2018">
        <f t="shared" si="17"/>
        <v>0.4</v>
      </c>
      <c r="X24" s="2013">
        <f t="shared" si="18"/>
        <v>0.5</v>
      </c>
      <c r="Y24" s="2096">
        <f t="shared" si="19"/>
        <v>0.54347826086956519</v>
      </c>
      <c r="Z24" s="2096"/>
      <c r="AA24" s="681">
        <v>87</v>
      </c>
      <c r="AB24" s="682">
        <v>77</v>
      </c>
      <c r="AC24" s="683">
        <v>73</v>
      </c>
      <c r="AD24" s="682">
        <v>66</v>
      </c>
      <c r="AE24" s="683">
        <v>78</v>
      </c>
      <c r="AF24" s="682">
        <v>67</v>
      </c>
      <c r="AG24" s="683">
        <v>68</v>
      </c>
      <c r="AH24" s="682">
        <v>79</v>
      </c>
      <c r="AI24" s="696">
        <v>62</v>
      </c>
      <c r="AJ24" s="696">
        <v>56</v>
      </c>
      <c r="AK24" s="696">
        <v>76</v>
      </c>
      <c r="AL24" s="696">
        <v>46</v>
      </c>
      <c r="AM24" s="697">
        <v>55</v>
      </c>
      <c r="AN24" s="697">
        <v>48</v>
      </c>
      <c r="AO24" s="848">
        <v>53</v>
      </c>
      <c r="AP24" s="1095">
        <v>47</v>
      </c>
      <c r="AQ24" s="1608">
        <v>63</v>
      </c>
      <c r="AR24" s="1608">
        <v>53</v>
      </c>
      <c r="AS24" s="1971">
        <v>53</v>
      </c>
      <c r="AT24" s="1095">
        <v>50</v>
      </c>
      <c r="AU24" s="2020">
        <v>48</v>
      </c>
      <c r="AV24" s="1005">
        <v>46</v>
      </c>
      <c r="AW24" s="1005"/>
      <c r="AX24" s="704">
        <v>36</v>
      </c>
      <c r="AY24" s="705">
        <v>41</v>
      </c>
      <c r="AZ24" s="705">
        <v>37</v>
      </c>
      <c r="BA24" s="705">
        <v>39</v>
      </c>
      <c r="BB24" s="705">
        <v>32</v>
      </c>
      <c r="BC24" s="705">
        <v>31</v>
      </c>
      <c r="BD24" s="705">
        <v>38</v>
      </c>
      <c r="BE24" s="705">
        <v>40</v>
      </c>
      <c r="BF24" s="705">
        <v>39</v>
      </c>
      <c r="BG24" s="705">
        <v>23</v>
      </c>
      <c r="BH24" s="705">
        <v>44</v>
      </c>
      <c r="BI24" s="705">
        <v>31</v>
      </c>
      <c r="BJ24" s="705">
        <v>28</v>
      </c>
      <c r="BK24" s="705">
        <v>28</v>
      </c>
      <c r="BL24" s="851">
        <v>30</v>
      </c>
      <c r="BM24" s="1096">
        <v>25</v>
      </c>
      <c r="BN24" s="1097">
        <v>36</v>
      </c>
      <c r="BO24" s="1096">
        <v>28</v>
      </c>
      <c r="BP24" s="1969">
        <v>31</v>
      </c>
      <c r="BQ24" s="1096">
        <v>20</v>
      </c>
      <c r="BR24" s="2022">
        <v>24</v>
      </c>
      <c r="BS24" s="1006">
        <v>25</v>
      </c>
      <c r="BU24" s="2172">
        <f t="shared" si="20"/>
        <v>128</v>
      </c>
      <c r="BV24" s="2172">
        <f t="shared" si="21"/>
        <v>250</v>
      </c>
      <c r="BW24" s="2173">
        <f t="shared" si="22"/>
        <v>0.51200000000000001</v>
      </c>
    </row>
    <row r="25" spans="1:75" s="49" customFormat="1" ht="13.5" customHeight="1" x14ac:dyDescent="0.3">
      <c r="A25" s="56" t="s">
        <v>49</v>
      </c>
      <c r="B25" s="84" t="s">
        <v>50</v>
      </c>
      <c r="C25" s="57" t="s">
        <v>252</v>
      </c>
      <c r="D25" s="1623">
        <f t="shared" si="0"/>
        <v>0.41333333333333333</v>
      </c>
      <c r="E25" s="1624">
        <f t="shared" si="1"/>
        <v>0.38509316770186336</v>
      </c>
      <c r="F25" s="1624">
        <f t="shared" si="2"/>
        <v>0.34810126582278483</v>
      </c>
      <c r="G25" s="1624">
        <f t="shared" si="3"/>
        <v>0.379746835443038</v>
      </c>
      <c r="H25" s="1624">
        <f t="shared" si="4"/>
        <v>0.35172413793103446</v>
      </c>
      <c r="I25" s="1624">
        <f t="shared" si="5"/>
        <v>0.3923076923076923</v>
      </c>
      <c r="J25" s="1624">
        <f t="shared" si="6"/>
        <v>0.45333333333333331</v>
      </c>
      <c r="K25" s="1624">
        <f t="shared" si="7"/>
        <v>0.46376811594202899</v>
      </c>
      <c r="L25" s="1624">
        <f t="shared" si="8"/>
        <v>0.40163934426229508</v>
      </c>
      <c r="M25" s="1624">
        <f t="shared" si="9"/>
        <v>0.44961240310077522</v>
      </c>
      <c r="N25" s="1624">
        <f t="shared" si="10"/>
        <v>0.48823529411764705</v>
      </c>
      <c r="O25" s="1624">
        <f t="shared" si="11"/>
        <v>0.40310077519379844</v>
      </c>
      <c r="P25" s="1624">
        <f t="shared" si="12"/>
        <v>0.4642857142857143</v>
      </c>
      <c r="Q25" s="1624">
        <f t="shared" si="13"/>
        <v>0.45098039215686275</v>
      </c>
      <c r="R25" s="1625">
        <f t="shared" si="14"/>
        <v>0.3776223776223776</v>
      </c>
      <c r="S25" s="1626">
        <f>'Non-marital births'!L26</f>
        <v>0.3968253968253968</v>
      </c>
      <c r="T25" s="1627">
        <v>0.44295302013422821</v>
      </c>
      <c r="U25" s="1628">
        <f t="shared" si="15"/>
        <v>0.42758620689655175</v>
      </c>
      <c r="V25" s="2018">
        <f t="shared" si="16"/>
        <v>0.41085271317829458</v>
      </c>
      <c r="W25" s="2018">
        <f t="shared" si="17"/>
        <v>0.44915254237288138</v>
      </c>
      <c r="X25" s="2013">
        <f t="shared" si="18"/>
        <v>0.36619718309859156</v>
      </c>
      <c r="Y25" s="2096">
        <f t="shared" si="19"/>
        <v>0.3968253968253968</v>
      </c>
      <c r="Z25" s="2096"/>
      <c r="AA25" s="681">
        <v>150</v>
      </c>
      <c r="AB25" s="682">
        <v>161</v>
      </c>
      <c r="AC25" s="683">
        <v>158</v>
      </c>
      <c r="AD25" s="682">
        <v>158</v>
      </c>
      <c r="AE25" s="683">
        <v>145</v>
      </c>
      <c r="AF25" s="682">
        <v>130</v>
      </c>
      <c r="AG25" s="683">
        <v>150</v>
      </c>
      <c r="AH25" s="682">
        <v>138</v>
      </c>
      <c r="AI25" s="696">
        <v>122</v>
      </c>
      <c r="AJ25" s="696">
        <v>129</v>
      </c>
      <c r="AK25" s="696">
        <v>170</v>
      </c>
      <c r="AL25" s="696">
        <v>129</v>
      </c>
      <c r="AM25" s="697">
        <v>112</v>
      </c>
      <c r="AN25" s="697">
        <v>153</v>
      </c>
      <c r="AO25" s="848">
        <v>143</v>
      </c>
      <c r="AP25" s="1095">
        <v>145</v>
      </c>
      <c r="AQ25" s="1608">
        <v>149</v>
      </c>
      <c r="AR25" s="1608">
        <v>145</v>
      </c>
      <c r="AS25" s="1971">
        <v>129</v>
      </c>
      <c r="AT25" s="1095">
        <v>118</v>
      </c>
      <c r="AU25" s="2020">
        <v>142</v>
      </c>
      <c r="AV25" s="1005">
        <v>126</v>
      </c>
      <c r="AW25" s="1005"/>
      <c r="AX25" s="704">
        <v>62</v>
      </c>
      <c r="AY25" s="705">
        <v>62</v>
      </c>
      <c r="AZ25" s="705">
        <v>55</v>
      </c>
      <c r="BA25" s="705">
        <v>60</v>
      </c>
      <c r="BB25" s="705">
        <v>51</v>
      </c>
      <c r="BC25" s="705">
        <v>51</v>
      </c>
      <c r="BD25" s="705">
        <v>68</v>
      </c>
      <c r="BE25" s="705">
        <v>64</v>
      </c>
      <c r="BF25" s="705">
        <v>49</v>
      </c>
      <c r="BG25" s="705">
        <v>58</v>
      </c>
      <c r="BH25" s="705">
        <v>83</v>
      </c>
      <c r="BI25" s="705">
        <v>52</v>
      </c>
      <c r="BJ25" s="705">
        <v>52</v>
      </c>
      <c r="BK25" s="705">
        <v>69</v>
      </c>
      <c r="BL25" s="851">
        <v>54</v>
      </c>
      <c r="BM25" s="1096">
        <v>65</v>
      </c>
      <c r="BN25" s="1097">
        <v>66</v>
      </c>
      <c r="BO25" s="1096">
        <v>62</v>
      </c>
      <c r="BP25" s="1969">
        <v>53</v>
      </c>
      <c r="BQ25" s="1096">
        <v>53</v>
      </c>
      <c r="BR25" s="2022">
        <v>52</v>
      </c>
      <c r="BS25" s="1006">
        <v>50</v>
      </c>
      <c r="BU25" s="2172">
        <f t="shared" si="20"/>
        <v>270</v>
      </c>
      <c r="BV25" s="2172">
        <f t="shared" si="21"/>
        <v>660</v>
      </c>
      <c r="BW25" s="2173">
        <f t="shared" si="22"/>
        <v>0.40909090909090912</v>
      </c>
    </row>
    <row r="26" spans="1:75" s="49" customFormat="1" ht="13.5" customHeight="1" x14ac:dyDescent="0.3">
      <c r="A26" s="56" t="s">
        <v>55</v>
      </c>
      <c r="B26" s="84" t="s">
        <v>271</v>
      </c>
      <c r="C26" s="57" t="s">
        <v>253</v>
      </c>
      <c r="D26" s="1623">
        <f t="shared" si="0"/>
        <v>0.23091867887871217</v>
      </c>
      <c r="E26" s="1624">
        <f t="shared" si="1"/>
        <v>0.23667252489748097</v>
      </c>
      <c r="F26" s="1624">
        <f t="shared" si="2"/>
        <v>0.24507354981959478</v>
      </c>
      <c r="G26" s="1624">
        <f t="shared" si="3"/>
        <v>0.25394588500563697</v>
      </c>
      <c r="H26" s="1624">
        <f t="shared" si="4"/>
        <v>0.26235526687376448</v>
      </c>
      <c r="I26" s="1624">
        <f t="shared" si="5"/>
        <v>0.26631016042780747</v>
      </c>
      <c r="J26" s="1624">
        <f t="shared" si="6"/>
        <v>0.27486437613019893</v>
      </c>
      <c r="K26" s="1624">
        <f t="shared" si="7"/>
        <v>0.28946015424164523</v>
      </c>
      <c r="L26" s="1624">
        <f t="shared" si="8"/>
        <v>0.29474685048728311</v>
      </c>
      <c r="M26" s="1624">
        <f t="shared" si="9"/>
        <v>0.31150314161430642</v>
      </c>
      <c r="N26" s="1624">
        <f t="shared" si="10"/>
        <v>0.32593899672296445</v>
      </c>
      <c r="O26" s="1624">
        <f t="shared" si="11"/>
        <v>0.34042021010505252</v>
      </c>
      <c r="P26" s="1624">
        <f t="shared" si="12"/>
        <v>0.35042081101759753</v>
      </c>
      <c r="Q26" s="1624">
        <f t="shared" si="13"/>
        <v>0.35767358442223929</v>
      </c>
      <c r="R26" s="1625">
        <f t="shared" si="14"/>
        <v>0.36667517223781576</v>
      </c>
      <c r="S26" s="1626">
        <f>'Non-marital births'!L27</f>
        <v>0.36985645933014355</v>
      </c>
      <c r="T26" s="1627">
        <v>0.35568802781917536</v>
      </c>
      <c r="U26" s="1628">
        <f t="shared" si="15"/>
        <v>0.35682926829268291</v>
      </c>
      <c r="V26" s="2018">
        <f t="shared" si="16"/>
        <v>0.35535416169806822</v>
      </c>
      <c r="W26" s="2018">
        <f t="shared" si="17"/>
        <v>0.35812133072407043</v>
      </c>
      <c r="X26" s="2013">
        <f t="shared" si="18"/>
        <v>0.36374666343120604</v>
      </c>
      <c r="Y26" s="2096">
        <f t="shared" si="19"/>
        <v>0.36985645933014355</v>
      </c>
      <c r="Z26" s="2096"/>
      <c r="AA26" s="681">
        <v>3603</v>
      </c>
      <c r="AB26" s="682">
        <v>3414</v>
      </c>
      <c r="AC26" s="683">
        <v>3603</v>
      </c>
      <c r="AD26" s="682">
        <v>3548</v>
      </c>
      <c r="AE26" s="683">
        <v>3541</v>
      </c>
      <c r="AF26" s="682">
        <v>3740</v>
      </c>
      <c r="AG26" s="683">
        <v>3871</v>
      </c>
      <c r="AH26" s="682">
        <v>3890</v>
      </c>
      <c r="AI26" s="696">
        <v>4207</v>
      </c>
      <c r="AJ26" s="696">
        <v>4138</v>
      </c>
      <c r="AK26" s="696">
        <v>3967</v>
      </c>
      <c r="AL26" s="696">
        <v>3998</v>
      </c>
      <c r="AM26" s="697">
        <v>3921</v>
      </c>
      <c r="AN26" s="697">
        <v>3903</v>
      </c>
      <c r="AO26" s="848">
        <v>3919</v>
      </c>
      <c r="AP26" s="1095">
        <v>4074</v>
      </c>
      <c r="AQ26" s="1608">
        <v>4026</v>
      </c>
      <c r="AR26" s="1608">
        <v>4100</v>
      </c>
      <c r="AS26" s="1971">
        <v>4193</v>
      </c>
      <c r="AT26" s="1095">
        <v>4088</v>
      </c>
      <c r="AU26" s="2020">
        <v>4121</v>
      </c>
      <c r="AV26" s="1005">
        <v>4180</v>
      </c>
      <c r="AW26" s="1005"/>
      <c r="AX26" s="704">
        <v>832</v>
      </c>
      <c r="AY26" s="705">
        <v>808</v>
      </c>
      <c r="AZ26" s="705">
        <v>883</v>
      </c>
      <c r="BA26" s="705">
        <v>901</v>
      </c>
      <c r="BB26" s="705">
        <v>929</v>
      </c>
      <c r="BC26" s="705">
        <v>996</v>
      </c>
      <c r="BD26" s="705">
        <v>1064</v>
      </c>
      <c r="BE26" s="705">
        <v>1126</v>
      </c>
      <c r="BF26" s="705">
        <v>1240</v>
      </c>
      <c r="BG26" s="705">
        <v>1289</v>
      </c>
      <c r="BH26" s="705">
        <v>1293</v>
      </c>
      <c r="BI26" s="705">
        <v>1361</v>
      </c>
      <c r="BJ26" s="705">
        <v>1374</v>
      </c>
      <c r="BK26" s="705">
        <v>1396</v>
      </c>
      <c r="BL26" s="851">
        <v>1437</v>
      </c>
      <c r="BM26" s="1096">
        <v>1462</v>
      </c>
      <c r="BN26" s="1097">
        <v>1432</v>
      </c>
      <c r="BO26" s="1096">
        <v>1463</v>
      </c>
      <c r="BP26" s="1969">
        <v>1490</v>
      </c>
      <c r="BQ26" s="1096">
        <v>1464</v>
      </c>
      <c r="BR26" s="2022">
        <v>1499</v>
      </c>
      <c r="BS26" s="1006">
        <v>1546</v>
      </c>
      <c r="BU26" s="2172">
        <f t="shared" si="20"/>
        <v>7462</v>
      </c>
      <c r="BV26" s="2172">
        <f t="shared" si="21"/>
        <v>20682</v>
      </c>
      <c r="BW26" s="2173">
        <f t="shared" si="22"/>
        <v>0.36079682815975245</v>
      </c>
    </row>
    <row r="27" spans="1:75" s="49" customFormat="1" ht="13.5" customHeight="1" x14ac:dyDescent="0.3">
      <c r="A27" s="56" t="s">
        <v>57</v>
      </c>
      <c r="B27" s="84" t="s">
        <v>58</v>
      </c>
      <c r="C27" s="57" t="s">
        <v>254</v>
      </c>
      <c r="D27" s="1623">
        <f t="shared" si="0"/>
        <v>0.21052631578947367</v>
      </c>
      <c r="E27" s="1624">
        <f t="shared" si="1"/>
        <v>0.27966101694915252</v>
      </c>
      <c r="F27" s="1624">
        <f t="shared" si="2"/>
        <v>0.24107142857142858</v>
      </c>
      <c r="G27" s="1624">
        <f t="shared" si="3"/>
        <v>0.19834710743801653</v>
      </c>
      <c r="H27" s="1624">
        <f t="shared" si="4"/>
        <v>0.22608695652173913</v>
      </c>
      <c r="I27" s="1624">
        <f t="shared" si="5"/>
        <v>0.16666666666666666</v>
      </c>
      <c r="J27" s="1624">
        <f t="shared" si="6"/>
        <v>0.19083969465648856</v>
      </c>
      <c r="K27" s="1624">
        <f t="shared" si="7"/>
        <v>0.20661157024793389</v>
      </c>
      <c r="L27" s="1624">
        <f t="shared" si="8"/>
        <v>0.21621621621621623</v>
      </c>
      <c r="M27" s="1624">
        <f t="shared" si="9"/>
        <v>0.3037037037037037</v>
      </c>
      <c r="N27" s="1624">
        <f t="shared" si="10"/>
        <v>0.27536231884057971</v>
      </c>
      <c r="O27" s="1624">
        <f t="shared" si="11"/>
        <v>0.28455284552845528</v>
      </c>
      <c r="P27" s="1624">
        <f t="shared" si="12"/>
        <v>0.28873239436619719</v>
      </c>
      <c r="Q27" s="1624">
        <f t="shared" si="13"/>
        <v>0.37301587301587302</v>
      </c>
      <c r="R27" s="1625">
        <f t="shared" si="14"/>
        <v>0.32857142857142857</v>
      </c>
      <c r="S27" s="1626">
        <f>'Non-marital births'!L28</f>
        <v>0.30985915492957744</v>
      </c>
      <c r="T27" s="1627">
        <v>0.25757575757575757</v>
      </c>
      <c r="U27" s="1628">
        <f t="shared" si="15"/>
        <v>0.27272727272727271</v>
      </c>
      <c r="V27" s="2018">
        <f t="shared" si="16"/>
        <v>0.28799999999999998</v>
      </c>
      <c r="W27" s="2018">
        <f t="shared" si="17"/>
        <v>0.24369747899159663</v>
      </c>
      <c r="X27" s="2013">
        <f t="shared" si="18"/>
        <v>0.26400000000000001</v>
      </c>
      <c r="Y27" s="2096">
        <f t="shared" si="19"/>
        <v>0.30985915492957744</v>
      </c>
      <c r="Z27" s="2096"/>
      <c r="AA27" s="681">
        <v>114</v>
      </c>
      <c r="AB27" s="682">
        <v>118</v>
      </c>
      <c r="AC27" s="683">
        <v>112</v>
      </c>
      <c r="AD27" s="682">
        <v>121</v>
      </c>
      <c r="AE27" s="683">
        <v>115</v>
      </c>
      <c r="AF27" s="682">
        <v>132</v>
      </c>
      <c r="AG27" s="683">
        <v>131</v>
      </c>
      <c r="AH27" s="682">
        <v>121</v>
      </c>
      <c r="AI27" s="696">
        <v>148</v>
      </c>
      <c r="AJ27" s="696">
        <v>135</v>
      </c>
      <c r="AK27" s="696">
        <v>138</v>
      </c>
      <c r="AL27" s="696">
        <v>123</v>
      </c>
      <c r="AM27" s="697">
        <v>142</v>
      </c>
      <c r="AN27" s="697">
        <v>126</v>
      </c>
      <c r="AO27" s="848">
        <v>140</v>
      </c>
      <c r="AP27" s="1095">
        <v>158</v>
      </c>
      <c r="AQ27" s="1608">
        <v>132</v>
      </c>
      <c r="AR27" s="1608">
        <v>132</v>
      </c>
      <c r="AS27" s="1971">
        <v>125</v>
      </c>
      <c r="AT27" s="1095">
        <v>119</v>
      </c>
      <c r="AU27" s="2020">
        <v>125</v>
      </c>
      <c r="AV27" s="1005">
        <v>142</v>
      </c>
      <c r="AW27" s="1005"/>
      <c r="AX27" s="704">
        <v>24</v>
      </c>
      <c r="AY27" s="705">
        <v>33</v>
      </c>
      <c r="AZ27" s="705">
        <v>27</v>
      </c>
      <c r="BA27" s="705">
        <v>24</v>
      </c>
      <c r="BB27" s="705">
        <v>26</v>
      </c>
      <c r="BC27" s="705">
        <v>22</v>
      </c>
      <c r="BD27" s="705">
        <v>25</v>
      </c>
      <c r="BE27" s="705">
        <v>25</v>
      </c>
      <c r="BF27" s="705">
        <v>32</v>
      </c>
      <c r="BG27" s="705">
        <v>41</v>
      </c>
      <c r="BH27" s="705">
        <v>38</v>
      </c>
      <c r="BI27" s="705">
        <v>35</v>
      </c>
      <c r="BJ27" s="705">
        <v>41</v>
      </c>
      <c r="BK27" s="705">
        <v>47</v>
      </c>
      <c r="BL27" s="851">
        <v>46</v>
      </c>
      <c r="BM27" s="1096">
        <v>51</v>
      </c>
      <c r="BN27" s="1097">
        <v>34</v>
      </c>
      <c r="BO27" s="1096">
        <v>36</v>
      </c>
      <c r="BP27" s="1969">
        <v>36</v>
      </c>
      <c r="BQ27" s="1096">
        <v>29</v>
      </c>
      <c r="BR27" s="2022">
        <v>33</v>
      </c>
      <c r="BS27" s="1006">
        <v>44</v>
      </c>
      <c r="BU27" s="2172">
        <f t="shared" si="20"/>
        <v>178</v>
      </c>
      <c r="BV27" s="2172">
        <f t="shared" si="21"/>
        <v>643</v>
      </c>
      <c r="BW27" s="2173">
        <f t="shared" si="22"/>
        <v>0.27682737169517885</v>
      </c>
    </row>
    <row r="28" spans="1:75" s="49" customFormat="1" ht="13.5" customHeight="1" x14ac:dyDescent="0.3">
      <c r="A28" s="56" t="s">
        <v>59</v>
      </c>
      <c r="B28" s="84" t="s">
        <v>60</v>
      </c>
      <c r="C28" s="57" t="s">
        <v>252</v>
      </c>
      <c r="D28" s="1623">
        <f t="shared" si="0"/>
        <v>0.17777777777777778</v>
      </c>
      <c r="E28" s="1624">
        <f t="shared" si="1"/>
        <v>0.16666666666666666</v>
      </c>
      <c r="F28" s="1624">
        <f t="shared" si="2"/>
        <v>0.17241379310344829</v>
      </c>
      <c r="G28" s="1624">
        <f t="shared" si="3"/>
        <v>0.26229508196721313</v>
      </c>
      <c r="H28" s="1624">
        <f t="shared" si="4"/>
        <v>0.14285714285714285</v>
      </c>
      <c r="I28" s="1624">
        <f t="shared" si="5"/>
        <v>0.21818181818181817</v>
      </c>
      <c r="J28" s="1624">
        <f t="shared" si="6"/>
        <v>0.30232558139534882</v>
      </c>
      <c r="K28" s="1624">
        <f t="shared" si="7"/>
        <v>8.6956521739130432E-2</v>
      </c>
      <c r="L28" s="1624">
        <f t="shared" si="8"/>
        <v>0.27083333333333331</v>
      </c>
      <c r="M28" s="1624">
        <f t="shared" si="9"/>
        <v>0.22500000000000001</v>
      </c>
      <c r="N28" s="1624">
        <f t="shared" si="10"/>
        <v>0.34210526315789475</v>
      </c>
      <c r="O28" s="1624">
        <f t="shared" si="11"/>
        <v>0.34</v>
      </c>
      <c r="P28" s="1624">
        <f t="shared" si="12"/>
        <v>0.39393939393939392</v>
      </c>
      <c r="Q28" s="1624">
        <f t="shared" si="13"/>
        <v>0.41463414634146339</v>
      </c>
      <c r="R28" s="1625">
        <f t="shared" si="14"/>
        <v>0.3888888888888889</v>
      </c>
      <c r="S28" s="1626">
        <f>'Non-marital births'!L29</f>
        <v>0.48717948717948717</v>
      </c>
      <c r="T28" s="1627">
        <v>0.48648648648648651</v>
      </c>
      <c r="U28" s="1628">
        <f t="shared" si="15"/>
        <v>0.29545454545454547</v>
      </c>
      <c r="V28" s="2018">
        <f t="shared" si="16"/>
        <v>0.38461538461538464</v>
      </c>
      <c r="W28" s="2018">
        <f t="shared" si="17"/>
        <v>0.32500000000000001</v>
      </c>
      <c r="X28" s="2013">
        <f t="shared" si="18"/>
        <v>0.36842105263157893</v>
      </c>
      <c r="Y28" s="2096">
        <f t="shared" si="19"/>
        <v>0.48717948717948717</v>
      </c>
      <c r="Z28" s="2096"/>
      <c r="AA28" s="681">
        <v>45</v>
      </c>
      <c r="AB28" s="682">
        <v>54</v>
      </c>
      <c r="AC28" s="683">
        <v>58</v>
      </c>
      <c r="AD28" s="682">
        <v>61</v>
      </c>
      <c r="AE28" s="683">
        <v>49</v>
      </c>
      <c r="AF28" s="682">
        <v>55</v>
      </c>
      <c r="AG28" s="683">
        <v>43</v>
      </c>
      <c r="AH28" s="682">
        <v>46</v>
      </c>
      <c r="AI28" s="696">
        <v>48</v>
      </c>
      <c r="AJ28" s="696">
        <v>40</v>
      </c>
      <c r="AK28" s="696">
        <v>38</v>
      </c>
      <c r="AL28" s="696">
        <v>50</v>
      </c>
      <c r="AM28" s="697">
        <v>33</v>
      </c>
      <c r="AN28" s="697">
        <v>41</v>
      </c>
      <c r="AO28" s="848">
        <v>36</v>
      </c>
      <c r="AP28" s="1095">
        <v>55</v>
      </c>
      <c r="AQ28" s="1608">
        <v>37</v>
      </c>
      <c r="AR28" s="1608">
        <v>44</v>
      </c>
      <c r="AS28" s="1971">
        <v>39</v>
      </c>
      <c r="AT28" s="1095">
        <v>40</v>
      </c>
      <c r="AU28" s="2020">
        <v>38</v>
      </c>
      <c r="AV28" s="1005">
        <v>39</v>
      </c>
      <c r="AW28" s="1005"/>
      <c r="AX28" s="704">
        <v>8</v>
      </c>
      <c r="AY28" s="705">
        <v>9</v>
      </c>
      <c r="AZ28" s="705">
        <v>10</v>
      </c>
      <c r="BA28" s="705">
        <v>16</v>
      </c>
      <c r="BB28" s="705">
        <v>7</v>
      </c>
      <c r="BC28" s="705">
        <v>12</v>
      </c>
      <c r="BD28" s="705">
        <v>13</v>
      </c>
      <c r="BE28" s="705">
        <v>4</v>
      </c>
      <c r="BF28" s="705">
        <v>13</v>
      </c>
      <c r="BG28" s="705">
        <v>9</v>
      </c>
      <c r="BH28" s="705">
        <v>13</v>
      </c>
      <c r="BI28" s="705">
        <v>17</v>
      </c>
      <c r="BJ28" s="705">
        <v>13</v>
      </c>
      <c r="BK28" s="705">
        <v>17</v>
      </c>
      <c r="BL28" s="851">
        <v>14</v>
      </c>
      <c r="BM28" s="1096">
        <v>26</v>
      </c>
      <c r="BN28" s="1097">
        <v>18</v>
      </c>
      <c r="BO28" s="1096">
        <v>13</v>
      </c>
      <c r="BP28" s="1969">
        <v>15</v>
      </c>
      <c r="BQ28" s="1096">
        <v>13</v>
      </c>
      <c r="BR28" s="2022">
        <v>14</v>
      </c>
      <c r="BS28" s="1006">
        <v>19</v>
      </c>
      <c r="BU28" s="2172">
        <f t="shared" si="20"/>
        <v>74</v>
      </c>
      <c r="BV28" s="2172">
        <f t="shared" si="21"/>
        <v>200</v>
      </c>
      <c r="BW28" s="2173">
        <f t="shared" si="22"/>
        <v>0.37</v>
      </c>
    </row>
    <row r="29" spans="1:75" s="49" customFormat="1" ht="13.5" customHeight="1" x14ac:dyDescent="0.3">
      <c r="A29" s="56" t="s">
        <v>61</v>
      </c>
      <c r="B29" s="84" t="s">
        <v>62</v>
      </c>
      <c r="C29" s="57" t="s">
        <v>254</v>
      </c>
      <c r="D29" s="1623">
        <f t="shared" si="0"/>
        <v>0.37117903930131002</v>
      </c>
      <c r="E29" s="1624">
        <f t="shared" si="1"/>
        <v>0.3125</v>
      </c>
      <c r="F29" s="1624">
        <f t="shared" si="2"/>
        <v>0.36174636174636177</v>
      </c>
      <c r="G29" s="1624">
        <f t="shared" si="3"/>
        <v>0.34533898305084748</v>
      </c>
      <c r="H29" s="1624">
        <f t="shared" si="4"/>
        <v>0.34530938123752497</v>
      </c>
      <c r="I29" s="1624">
        <f t="shared" si="5"/>
        <v>0.34296724470134876</v>
      </c>
      <c r="J29" s="1624">
        <f t="shared" si="6"/>
        <v>0.33271375464684017</v>
      </c>
      <c r="K29" s="1624">
        <f t="shared" si="7"/>
        <v>0.35690789473684209</v>
      </c>
      <c r="L29" s="1624">
        <f t="shared" si="8"/>
        <v>0.36880466472303208</v>
      </c>
      <c r="M29" s="1624">
        <f t="shared" si="9"/>
        <v>0.40463215258855584</v>
      </c>
      <c r="N29" s="1624">
        <f t="shared" si="10"/>
        <v>0.42319277108433734</v>
      </c>
      <c r="O29" s="1624">
        <f t="shared" si="11"/>
        <v>0.41029641185647425</v>
      </c>
      <c r="P29" s="1624">
        <f t="shared" si="12"/>
        <v>0.40063593004769477</v>
      </c>
      <c r="Q29" s="1624">
        <f t="shared" si="13"/>
        <v>0.44019138755980863</v>
      </c>
      <c r="R29" s="1625">
        <f t="shared" si="14"/>
        <v>0.41284403669724773</v>
      </c>
      <c r="S29" s="1626">
        <f>'Non-marital births'!L30</f>
        <v>0.46749226006191952</v>
      </c>
      <c r="T29" s="1627">
        <v>0.41076923076923078</v>
      </c>
      <c r="U29" s="1628">
        <f t="shared" si="15"/>
        <v>0.42793462109955421</v>
      </c>
      <c r="V29" s="2018">
        <f t="shared" si="16"/>
        <v>0.40468227424749165</v>
      </c>
      <c r="W29" s="2018">
        <f t="shared" si="17"/>
        <v>0.42835365853658536</v>
      </c>
      <c r="X29" s="2013">
        <f t="shared" si="18"/>
        <v>0.43215339233038347</v>
      </c>
      <c r="Y29" s="2096">
        <f t="shared" si="19"/>
        <v>0.46749226006191952</v>
      </c>
      <c r="Z29" s="2096"/>
      <c r="AA29" s="681">
        <v>458</v>
      </c>
      <c r="AB29" s="682">
        <v>416</v>
      </c>
      <c r="AC29" s="683">
        <v>481</v>
      </c>
      <c r="AD29" s="682">
        <v>472</v>
      </c>
      <c r="AE29" s="683">
        <v>501</v>
      </c>
      <c r="AF29" s="682">
        <v>519</v>
      </c>
      <c r="AG29" s="683">
        <v>538</v>
      </c>
      <c r="AH29" s="682">
        <v>608</v>
      </c>
      <c r="AI29" s="696">
        <v>686</v>
      </c>
      <c r="AJ29" s="696">
        <v>734</v>
      </c>
      <c r="AK29" s="696">
        <v>664</v>
      </c>
      <c r="AL29" s="696">
        <v>641</v>
      </c>
      <c r="AM29" s="697">
        <v>629</v>
      </c>
      <c r="AN29" s="697">
        <v>627</v>
      </c>
      <c r="AO29" s="848">
        <v>654</v>
      </c>
      <c r="AP29" s="1095">
        <v>625</v>
      </c>
      <c r="AQ29" s="1608">
        <v>650</v>
      </c>
      <c r="AR29" s="1608">
        <v>673</v>
      </c>
      <c r="AS29" s="1971">
        <v>598</v>
      </c>
      <c r="AT29" s="1095">
        <v>656</v>
      </c>
      <c r="AU29" s="2020">
        <v>678</v>
      </c>
      <c r="AV29" s="1005">
        <v>646</v>
      </c>
      <c r="AW29" s="1005"/>
      <c r="AX29" s="704">
        <v>170</v>
      </c>
      <c r="AY29" s="705">
        <v>130</v>
      </c>
      <c r="AZ29" s="705">
        <v>174</v>
      </c>
      <c r="BA29" s="705">
        <v>163</v>
      </c>
      <c r="BB29" s="705">
        <v>173</v>
      </c>
      <c r="BC29" s="705">
        <v>178</v>
      </c>
      <c r="BD29" s="705">
        <v>179</v>
      </c>
      <c r="BE29" s="705">
        <v>217</v>
      </c>
      <c r="BF29" s="705">
        <v>253</v>
      </c>
      <c r="BG29" s="705">
        <v>297</v>
      </c>
      <c r="BH29" s="705">
        <v>281</v>
      </c>
      <c r="BI29" s="705">
        <v>263</v>
      </c>
      <c r="BJ29" s="705">
        <v>252</v>
      </c>
      <c r="BK29" s="705">
        <v>276</v>
      </c>
      <c r="BL29" s="851">
        <v>270</v>
      </c>
      <c r="BM29" s="1096">
        <v>253</v>
      </c>
      <c r="BN29" s="1097">
        <v>267</v>
      </c>
      <c r="BO29" s="1096">
        <v>288</v>
      </c>
      <c r="BP29" s="1969">
        <v>242</v>
      </c>
      <c r="BQ29" s="1096">
        <v>281</v>
      </c>
      <c r="BR29" s="2022">
        <v>293</v>
      </c>
      <c r="BS29" s="1006">
        <v>302</v>
      </c>
      <c r="BU29" s="2172">
        <f t="shared" si="20"/>
        <v>1406</v>
      </c>
      <c r="BV29" s="2172">
        <f t="shared" si="21"/>
        <v>3251</v>
      </c>
      <c r="BW29" s="2173">
        <f t="shared" si="22"/>
        <v>0.4324823131344202</v>
      </c>
    </row>
    <row r="30" spans="1:75" s="49" customFormat="1" ht="13.5" customHeight="1" x14ac:dyDescent="0.3">
      <c r="A30" s="56" t="s">
        <v>63</v>
      </c>
      <c r="B30" s="84" t="s">
        <v>64</v>
      </c>
      <c r="C30" s="57" t="s">
        <v>253</v>
      </c>
      <c r="D30" s="1623">
        <f t="shared" si="0"/>
        <v>0.39622641509433965</v>
      </c>
      <c r="E30" s="1624">
        <f t="shared" si="1"/>
        <v>0.3493975903614458</v>
      </c>
      <c r="F30" s="1624">
        <f t="shared" si="2"/>
        <v>0.41111111111111109</v>
      </c>
      <c r="G30" s="1624">
        <f t="shared" si="3"/>
        <v>0.45794392523364486</v>
      </c>
      <c r="H30" s="1624">
        <f t="shared" si="4"/>
        <v>0.42574257425742573</v>
      </c>
      <c r="I30" s="1624">
        <f t="shared" si="5"/>
        <v>0.41</v>
      </c>
      <c r="J30" s="1624">
        <f t="shared" si="6"/>
        <v>0.38383838383838381</v>
      </c>
      <c r="K30" s="1624">
        <f t="shared" si="7"/>
        <v>0.48760330578512395</v>
      </c>
      <c r="L30" s="1624">
        <f t="shared" si="8"/>
        <v>0.43636363636363634</v>
      </c>
      <c r="M30" s="1624">
        <f t="shared" si="9"/>
        <v>0.38655462184873951</v>
      </c>
      <c r="N30" s="1624">
        <f t="shared" si="10"/>
        <v>0.4563106796116505</v>
      </c>
      <c r="O30" s="1624">
        <f t="shared" si="11"/>
        <v>0.4576271186440678</v>
      </c>
      <c r="P30" s="1624">
        <f t="shared" si="12"/>
        <v>0.38834951456310679</v>
      </c>
      <c r="Q30" s="1624">
        <f t="shared" si="13"/>
        <v>0.53448275862068961</v>
      </c>
      <c r="R30" s="1625">
        <f t="shared" si="14"/>
        <v>0.5</v>
      </c>
      <c r="S30" s="1626">
        <f>'Non-marital births'!L31</f>
        <v>0.50588235294117645</v>
      </c>
      <c r="T30" s="1627">
        <v>0.48314606741573035</v>
      </c>
      <c r="U30" s="1628">
        <f t="shared" si="15"/>
        <v>0.48837209302325579</v>
      </c>
      <c r="V30" s="2018">
        <f t="shared" si="16"/>
        <v>0.44897959183673469</v>
      </c>
      <c r="W30" s="2018">
        <f t="shared" si="17"/>
        <v>0.47368421052631576</v>
      </c>
      <c r="X30" s="2013">
        <f t="shared" si="18"/>
        <v>0.56000000000000005</v>
      </c>
      <c r="Y30" s="2096">
        <f t="shared" si="19"/>
        <v>0.50588235294117645</v>
      </c>
      <c r="Z30" s="2096"/>
      <c r="AA30" s="681">
        <v>106</v>
      </c>
      <c r="AB30" s="682">
        <v>83</v>
      </c>
      <c r="AC30" s="683">
        <v>90</v>
      </c>
      <c r="AD30" s="682">
        <v>107</v>
      </c>
      <c r="AE30" s="683">
        <v>101</v>
      </c>
      <c r="AF30" s="682">
        <v>100</v>
      </c>
      <c r="AG30" s="683">
        <v>99</v>
      </c>
      <c r="AH30" s="682">
        <v>121</v>
      </c>
      <c r="AI30" s="696">
        <v>110</v>
      </c>
      <c r="AJ30" s="696">
        <v>119</v>
      </c>
      <c r="AK30" s="696">
        <v>103</v>
      </c>
      <c r="AL30" s="696">
        <v>118</v>
      </c>
      <c r="AM30" s="697">
        <v>103</v>
      </c>
      <c r="AN30" s="697">
        <v>116</v>
      </c>
      <c r="AO30" s="848">
        <v>94</v>
      </c>
      <c r="AP30" s="1095">
        <v>103</v>
      </c>
      <c r="AQ30" s="1608">
        <v>89</v>
      </c>
      <c r="AR30" s="1608">
        <v>86</v>
      </c>
      <c r="AS30" s="1971">
        <v>98</v>
      </c>
      <c r="AT30" s="1095">
        <v>76</v>
      </c>
      <c r="AU30" s="2020">
        <v>75</v>
      </c>
      <c r="AV30" s="1005">
        <v>85</v>
      </c>
      <c r="AW30" s="1005"/>
      <c r="AX30" s="704">
        <v>42</v>
      </c>
      <c r="AY30" s="705">
        <v>29</v>
      </c>
      <c r="AZ30" s="705">
        <v>37</v>
      </c>
      <c r="BA30" s="705">
        <v>49</v>
      </c>
      <c r="BB30" s="705">
        <v>43</v>
      </c>
      <c r="BC30" s="705">
        <v>41</v>
      </c>
      <c r="BD30" s="705">
        <v>38</v>
      </c>
      <c r="BE30" s="705">
        <v>59</v>
      </c>
      <c r="BF30" s="705">
        <v>48</v>
      </c>
      <c r="BG30" s="705">
        <v>46</v>
      </c>
      <c r="BH30" s="705">
        <v>47</v>
      </c>
      <c r="BI30" s="705">
        <v>54</v>
      </c>
      <c r="BJ30" s="705">
        <v>40</v>
      </c>
      <c r="BK30" s="705">
        <v>62</v>
      </c>
      <c r="BL30" s="851">
        <v>47</v>
      </c>
      <c r="BM30" s="1096">
        <v>47</v>
      </c>
      <c r="BN30" s="1097">
        <v>43</v>
      </c>
      <c r="BO30" s="1096">
        <v>42</v>
      </c>
      <c r="BP30" s="1969">
        <v>44</v>
      </c>
      <c r="BQ30" s="1096">
        <v>36</v>
      </c>
      <c r="BR30" s="2022">
        <v>42</v>
      </c>
      <c r="BS30" s="1006">
        <v>43</v>
      </c>
      <c r="BU30" s="2172">
        <f t="shared" si="20"/>
        <v>207</v>
      </c>
      <c r="BV30" s="2172">
        <f t="shared" si="21"/>
        <v>420</v>
      </c>
      <c r="BW30" s="2173">
        <f t="shared" si="22"/>
        <v>0.49285714285714288</v>
      </c>
    </row>
    <row r="31" spans="1:75" s="49" customFormat="1" ht="13.5" customHeight="1" x14ac:dyDescent="0.3">
      <c r="A31" s="56" t="s">
        <v>67</v>
      </c>
      <c r="B31" s="84" t="s">
        <v>68</v>
      </c>
      <c r="C31" s="57" t="s">
        <v>255</v>
      </c>
      <c r="D31" s="1623">
        <f t="shared" si="0"/>
        <v>0.27840909090909088</v>
      </c>
      <c r="E31" s="1624">
        <f t="shared" si="1"/>
        <v>0.20370370370370369</v>
      </c>
      <c r="F31" s="1624">
        <f t="shared" si="2"/>
        <v>0.20279720279720279</v>
      </c>
      <c r="G31" s="1624">
        <f t="shared" si="3"/>
        <v>0.22794117647058823</v>
      </c>
      <c r="H31" s="1624">
        <f t="shared" si="4"/>
        <v>0.25903614457831325</v>
      </c>
      <c r="I31" s="1624">
        <f t="shared" si="5"/>
        <v>0.20786516853932585</v>
      </c>
      <c r="J31" s="1624">
        <f t="shared" si="6"/>
        <v>0.26993865030674846</v>
      </c>
      <c r="K31" s="1624">
        <f t="shared" si="7"/>
        <v>0.30057803468208094</v>
      </c>
      <c r="L31" s="1624">
        <f t="shared" si="8"/>
        <v>0.31720430107526881</v>
      </c>
      <c r="M31" s="1624">
        <f t="shared" si="9"/>
        <v>0.31034482758620691</v>
      </c>
      <c r="N31" s="1624">
        <f t="shared" si="10"/>
        <v>0.28048780487804881</v>
      </c>
      <c r="O31" s="1624">
        <f t="shared" si="11"/>
        <v>0.33544303797468356</v>
      </c>
      <c r="P31" s="1624">
        <f t="shared" si="12"/>
        <v>0.39411764705882352</v>
      </c>
      <c r="Q31" s="1624">
        <f t="shared" si="13"/>
        <v>0.36065573770491804</v>
      </c>
      <c r="R31" s="1625">
        <f t="shared" si="14"/>
        <v>0.30864197530864196</v>
      </c>
      <c r="S31" s="1626">
        <f>'Non-marital births'!L32</f>
        <v>0.38596491228070173</v>
      </c>
      <c r="T31" s="1627">
        <v>0.35862068965517241</v>
      </c>
      <c r="U31" s="1628">
        <f t="shared" si="15"/>
        <v>0.4140625</v>
      </c>
      <c r="V31" s="2018">
        <f t="shared" si="16"/>
        <v>0.40625</v>
      </c>
      <c r="W31" s="2018">
        <f t="shared" si="17"/>
        <v>0.37984496124031009</v>
      </c>
      <c r="X31" s="2013">
        <f t="shared" si="18"/>
        <v>0.2413793103448276</v>
      </c>
      <c r="Y31" s="2096">
        <f t="shared" si="19"/>
        <v>0.38596491228070173</v>
      </c>
      <c r="Z31" s="2096"/>
      <c r="AA31" s="681">
        <v>176</v>
      </c>
      <c r="AB31" s="682">
        <v>162</v>
      </c>
      <c r="AC31" s="683">
        <v>143</v>
      </c>
      <c r="AD31" s="682">
        <v>136</v>
      </c>
      <c r="AE31" s="683">
        <v>166</v>
      </c>
      <c r="AF31" s="682">
        <v>178</v>
      </c>
      <c r="AG31" s="683">
        <v>163</v>
      </c>
      <c r="AH31" s="682">
        <v>173</v>
      </c>
      <c r="AI31" s="696">
        <v>186</v>
      </c>
      <c r="AJ31" s="696">
        <v>203</v>
      </c>
      <c r="AK31" s="696">
        <v>164</v>
      </c>
      <c r="AL31" s="696">
        <v>158</v>
      </c>
      <c r="AM31" s="697">
        <v>170</v>
      </c>
      <c r="AN31" s="697">
        <v>183</v>
      </c>
      <c r="AO31" s="848">
        <v>162</v>
      </c>
      <c r="AP31" s="1095">
        <v>157</v>
      </c>
      <c r="AQ31" s="1608">
        <v>145</v>
      </c>
      <c r="AR31" s="1608">
        <v>128</v>
      </c>
      <c r="AS31" s="1971">
        <v>128</v>
      </c>
      <c r="AT31" s="1095">
        <v>129</v>
      </c>
      <c r="AU31" s="2020">
        <v>116</v>
      </c>
      <c r="AV31" s="1005">
        <v>114</v>
      </c>
      <c r="AW31" s="1005"/>
      <c r="AX31" s="704">
        <v>49</v>
      </c>
      <c r="AY31" s="705">
        <v>33</v>
      </c>
      <c r="AZ31" s="705">
        <v>29</v>
      </c>
      <c r="BA31" s="705">
        <v>31</v>
      </c>
      <c r="BB31" s="705">
        <v>43</v>
      </c>
      <c r="BC31" s="705">
        <v>37</v>
      </c>
      <c r="BD31" s="705">
        <v>44</v>
      </c>
      <c r="BE31" s="705">
        <v>52</v>
      </c>
      <c r="BF31" s="705">
        <v>59</v>
      </c>
      <c r="BG31" s="705">
        <v>63</v>
      </c>
      <c r="BH31" s="705">
        <v>46</v>
      </c>
      <c r="BI31" s="705">
        <v>53</v>
      </c>
      <c r="BJ31" s="705">
        <v>67</v>
      </c>
      <c r="BK31" s="705">
        <v>66</v>
      </c>
      <c r="BL31" s="851">
        <v>50</v>
      </c>
      <c r="BM31" s="1096">
        <v>51</v>
      </c>
      <c r="BN31" s="1097">
        <v>52</v>
      </c>
      <c r="BO31" s="1096">
        <v>53</v>
      </c>
      <c r="BP31" s="1969">
        <v>52</v>
      </c>
      <c r="BQ31" s="1096">
        <v>49</v>
      </c>
      <c r="BR31" s="2022">
        <v>28</v>
      </c>
      <c r="BS31" s="1006">
        <v>44</v>
      </c>
      <c r="BU31" s="2172">
        <f t="shared" si="20"/>
        <v>226</v>
      </c>
      <c r="BV31" s="2172">
        <f t="shared" si="21"/>
        <v>615</v>
      </c>
      <c r="BW31" s="2173">
        <f t="shared" si="22"/>
        <v>0.36747967479674798</v>
      </c>
    </row>
    <row r="32" spans="1:75" s="49" customFormat="1" ht="13.5" customHeight="1" x14ac:dyDescent="0.3">
      <c r="A32" s="56" t="s">
        <v>69</v>
      </c>
      <c r="B32" s="84" t="s">
        <v>70</v>
      </c>
      <c r="C32" s="57" t="s">
        <v>251</v>
      </c>
      <c r="D32" s="1623">
        <f t="shared" si="0"/>
        <v>0.3534136546184739</v>
      </c>
      <c r="E32" s="1624">
        <f t="shared" si="1"/>
        <v>0.3682008368200837</v>
      </c>
      <c r="F32" s="1624">
        <f t="shared" si="2"/>
        <v>0.39430894308943087</v>
      </c>
      <c r="G32" s="1624">
        <f t="shared" si="3"/>
        <v>0.3964757709251101</v>
      </c>
      <c r="H32" s="1624">
        <f t="shared" si="4"/>
        <v>0.3515625</v>
      </c>
      <c r="I32" s="1624">
        <f t="shared" si="5"/>
        <v>0.41558441558441561</v>
      </c>
      <c r="J32" s="1624">
        <f t="shared" si="6"/>
        <v>0.36395759717314485</v>
      </c>
      <c r="K32" s="1624">
        <f t="shared" si="7"/>
        <v>0.34082397003745318</v>
      </c>
      <c r="L32" s="1624">
        <f t="shared" si="8"/>
        <v>0.43571428571428572</v>
      </c>
      <c r="M32" s="1624">
        <f t="shared" si="9"/>
        <v>0.41153846153846152</v>
      </c>
      <c r="N32" s="1624">
        <f t="shared" si="10"/>
        <v>0.41791044776119401</v>
      </c>
      <c r="O32" s="1624">
        <f t="shared" si="11"/>
        <v>0.46086956521739131</v>
      </c>
      <c r="P32" s="1624">
        <f t="shared" si="12"/>
        <v>0.48927038626609443</v>
      </c>
      <c r="Q32" s="1624">
        <f t="shared" si="13"/>
        <v>0.47177419354838712</v>
      </c>
      <c r="R32" s="1625">
        <f t="shared" si="14"/>
        <v>0.43798449612403101</v>
      </c>
      <c r="S32" s="1626">
        <f>'Non-marital births'!L33</f>
        <v>0.44242424242424244</v>
      </c>
      <c r="T32" s="1627">
        <v>0.4777777777777778</v>
      </c>
      <c r="U32" s="1628">
        <f t="shared" si="15"/>
        <v>0.41089108910891087</v>
      </c>
      <c r="V32" s="2018">
        <f t="shared" si="16"/>
        <v>0.50980392156862742</v>
      </c>
      <c r="W32" s="2018">
        <f t="shared" si="17"/>
        <v>0.45077720207253885</v>
      </c>
      <c r="X32" s="2013">
        <f t="shared" si="18"/>
        <v>0.47887323943661969</v>
      </c>
      <c r="Y32" s="2096">
        <f t="shared" si="19"/>
        <v>0.44242424242424244</v>
      </c>
      <c r="Z32" s="2096"/>
      <c r="AA32" s="681">
        <v>249</v>
      </c>
      <c r="AB32" s="682">
        <v>239</v>
      </c>
      <c r="AC32" s="683">
        <v>246</v>
      </c>
      <c r="AD32" s="682">
        <v>227</v>
      </c>
      <c r="AE32" s="683">
        <v>256</v>
      </c>
      <c r="AF32" s="682">
        <v>231</v>
      </c>
      <c r="AG32" s="683">
        <v>283</v>
      </c>
      <c r="AH32" s="682">
        <v>267</v>
      </c>
      <c r="AI32" s="696">
        <v>280</v>
      </c>
      <c r="AJ32" s="696">
        <v>260</v>
      </c>
      <c r="AK32" s="696">
        <v>268</v>
      </c>
      <c r="AL32" s="696">
        <v>230</v>
      </c>
      <c r="AM32" s="697">
        <v>233</v>
      </c>
      <c r="AN32" s="697">
        <v>248</v>
      </c>
      <c r="AO32" s="848">
        <v>258</v>
      </c>
      <c r="AP32" s="1095">
        <v>210</v>
      </c>
      <c r="AQ32" s="1608">
        <v>180</v>
      </c>
      <c r="AR32" s="1608">
        <v>202</v>
      </c>
      <c r="AS32" s="1971">
        <v>306</v>
      </c>
      <c r="AT32" s="1095">
        <v>193</v>
      </c>
      <c r="AU32" s="2020">
        <v>213</v>
      </c>
      <c r="AV32" s="1005">
        <v>165</v>
      </c>
      <c r="AW32" s="1005"/>
      <c r="AX32" s="704">
        <v>88</v>
      </c>
      <c r="AY32" s="705">
        <v>88</v>
      </c>
      <c r="AZ32" s="705">
        <v>97</v>
      </c>
      <c r="BA32" s="705">
        <v>90</v>
      </c>
      <c r="BB32" s="705">
        <v>90</v>
      </c>
      <c r="BC32" s="705">
        <v>96</v>
      </c>
      <c r="BD32" s="705">
        <v>103</v>
      </c>
      <c r="BE32" s="705">
        <v>91</v>
      </c>
      <c r="BF32" s="705">
        <v>122</v>
      </c>
      <c r="BG32" s="705">
        <v>107</v>
      </c>
      <c r="BH32" s="705">
        <v>112</v>
      </c>
      <c r="BI32" s="705">
        <v>106</v>
      </c>
      <c r="BJ32" s="705">
        <v>114</v>
      </c>
      <c r="BK32" s="705">
        <v>117</v>
      </c>
      <c r="BL32" s="851">
        <v>113</v>
      </c>
      <c r="BM32" s="1096">
        <v>94</v>
      </c>
      <c r="BN32" s="1097">
        <v>86</v>
      </c>
      <c r="BO32" s="1096">
        <v>83</v>
      </c>
      <c r="BP32" s="1969">
        <v>156</v>
      </c>
      <c r="BQ32" s="1096">
        <v>87</v>
      </c>
      <c r="BR32" s="2022">
        <v>102</v>
      </c>
      <c r="BS32" s="1006">
        <v>73</v>
      </c>
      <c r="BU32" s="2172">
        <f t="shared" si="20"/>
        <v>501</v>
      </c>
      <c r="BV32" s="2172">
        <f t="shared" si="21"/>
        <v>1079</v>
      </c>
      <c r="BW32" s="2173">
        <f t="shared" si="22"/>
        <v>0.4643188137164041</v>
      </c>
    </row>
    <row r="33" spans="1:75" s="49" customFormat="1" ht="13.5" customHeight="1" x14ac:dyDescent="0.3">
      <c r="A33" s="56" t="s">
        <v>71</v>
      </c>
      <c r="B33" s="84" t="s">
        <v>72</v>
      </c>
      <c r="C33" s="57" t="s">
        <v>253</v>
      </c>
      <c r="D33" s="1623">
        <f t="shared" si="0"/>
        <v>0.46363636363636362</v>
      </c>
      <c r="E33" s="1624">
        <f t="shared" si="1"/>
        <v>0.45283018867924529</v>
      </c>
      <c r="F33" s="1624">
        <f t="shared" si="2"/>
        <v>0.52500000000000002</v>
      </c>
      <c r="G33" s="1624">
        <f t="shared" si="3"/>
        <v>0.49090909090909091</v>
      </c>
      <c r="H33" s="1624">
        <f t="shared" si="4"/>
        <v>0.47499999999999998</v>
      </c>
      <c r="I33" s="1624">
        <f t="shared" si="5"/>
        <v>0.57657657657657657</v>
      </c>
      <c r="J33" s="1624">
        <f t="shared" si="6"/>
        <v>0.48529411764705882</v>
      </c>
      <c r="K33" s="1624">
        <f t="shared" si="7"/>
        <v>0.46825396825396826</v>
      </c>
      <c r="L33" s="1624">
        <f t="shared" si="8"/>
        <v>0.53097345132743368</v>
      </c>
      <c r="M33" s="1624">
        <f t="shared" si="9"/>
        <v>0.51824817518248179</v>
      </c>
      <c r="N33" s="1624">
        <f t="shared" si="10"/>
        <v>0.60666666666666669</v>
      </c>
      <c r="O33" s="1624">
        <f t="shared" si="11"/>
        <v>0.54</v>
      </c>
      <c r="P33" s="1624">
        <f t="shared" si="12"/>
        <v>0.57746478873239437</v>
      </c>
      <c r="Q33" s="1624">
        <f t="shared" si="13"/>
        <v>0.56153846153846154</v>
      </c>
      <c r="R33" s="1625">
        <f t="shared" si="14"/>
        <v>0.61417322834645671</v>
      </c>
      <c r="S33" s="1626">
        <f>'Non-marital births'!L34</f>
        <v>0.63934426229508201</v>
      </c>
      <c r="T33" s="1627">
        <v>0.58870967741935487</v>
      </c>
      <c r="U33" s="1628">
        <f t="shared" si="15"/>
        <v>0.55905511811023623</v>
      </c>
      <c r="V33" s="2018">
        <f t="shared" si="16"/>
        <v>0.62886597938144329</v>
      </c>
      <c r="W33" s="2018">
        <f t="shared" si="17"/>
        <v>0.6216216216216216</v>
      </c>
      <c r="X33" s="2013">
        <f t="shared" si="18"/>
        <v>0.5670103092783505</v>
      </c>
      <c r="Y33" s="2096">
        <f t="shared" si="19"/>
        <v>0.63934426229508201</v>
      </c>
      <c r="Z33" s="2096"/>
      <c r="AA33" s="681">
        <v>110</v>
      </c>
      <c r="AB33" s="682">
        <v>106</v>
      </c>
      <c r="AC33" s="683">
        <v>120</v>
      </c>
      <c r="AD33" s="682">
        <v>110</v>
      </c>
      <c r="AE33" s="683">
        <v>120</v>
      </c>
      <c r="AF33" s="682">
        <v>111</v>
      </c>
      <c r="AG33" s="683">
        <v>136</v>
      </c>
      <c r="AH33" s="682">
        <v>126</v>
      </c>
      <c r="AI33" s="696">
        <v>113</v>
      </c>
      <c r="AJ33" s="696">
        <v>137</v>
      </c>
      <c r="AK33" s="696">
        <v>150</v>
      </c>
      <c r="AL33" s="696">
        <v>150</v>
      </c>
      <c r="AM33" s="697">
        <v>142</v>
      </c>
      <c r="AN33" s="697">
        <v>130</v>
      </c>
      <c r="AO33" s="848">
        <v>127</v>
      </c>
      <c r="AP33" s="1095">
        <v>124</v>
      </c>
      <c r="AQ33" s="1608">
        <v>124</v>
      </c>
      <c r="AR33" s="1608">
        <v>127</v>
      </c>
      <c r="AS33" s="1971">
        <v>97</v>
      </c>
      <c r="AT33" s="1095">
        <v>111</v>
      </c>
      <c r="AU33" s="2020">
        <v>97</v>
      </c>
      <c r="AV33" s="1005">
        <v>122</v>
      </c>
      <c r="AW33" s="1005"/>
      <c r="AX33" s="704">
        <v>51</v>
      </c>
      <c r="AY33" s="705">
        <v>48</v>
      </c>
      <c r="AZ33" s="705">
        <v>63</v>
      </c>
      <c r="BA33" s="705">
        <v>54</v>
      </c>
      <c r="BB33" s="705">
        <v>57</v>
      </c>
      <c r="BC33" s="705">
        <v>64</v>
      </c>
      <c r="BD33" s="705">
        <v>66</v>
      </c>
      <c r="BE33" s="705">
        <v>59</v>
      </c>
      <c r="BF33" s="705">
        <v>60</v>
      </c>
      <c r="BG33" s="705">
        <v>71</v>
      </c>
      <c r="BH33" s="705">
        <v>91</v>
      </c>
      <c r="BI33" s="705">
        <v>81</v>
      </c>
      <c r="BJ33" s="705">
        <v>82</v>
      </c>
      <c r="BK33" s="705">
        <v>73</v>
      </c>
      <c r="BL33" s="851">
        <v>78</v>
      </c>
      <c r="BM33" s="1096">
        <v>76</v>
      </c>
      <c r="BN33" s="1097">
        <v>73</v>
      </c>
      <c r="BO33" s="1096">
        <v>71</v>
      </c>
      <c r="BP33" s="1969">
        <v>61</v>
      </c>
      <c r="BQ33" s="1096">
        <v>69</v>
      </c>
      <c r="BR33" s="2022">
        <v>55</v>
      </c>
      <c r="BS33" s="1006">
        <v>78</v>
      </c>
      <c r="BU33" s="2172">
        <f t="shared" si="20"/>
        <v>334</v>
      </c>
      <c r="BV33" s="2172">
        <f t="shared" si="21"/>
        <v>554</v>
      </c>
      <c r="BW33" s="2173">
        <f t="shared" si="22"/>
        <v>0.6028880866425993</v>
      </c>
    </row>
    <row r="34" spans="1:75" s="49" customFormat="1" ht="13.5" customHeight="1" x14ac:dyDescent="0.3">
      <c r="A34" s="56" t="s">
        <v>73</v>
      </c>
      <c r="B34" s="84" t="s">
        <v>405</v>
      </c>
      <c r="C34" s="57" t="s">
        <v>254</v>
      </c>
      <c r="D34" s="1623">
        <f t="shared" si="0"/>
        <v>0.14902268511913255</v>
      </c>
      <c r="E34" s="1624">
        <f t="shared" si="1"/>
        <v>0.15339192529524856</v>
      </c>
      <c r="F34" s="1624">
        <f t="shared" si="2"/>
        <v>0.16397795923786762</v>
      </c>
      <c r="G34" s="1624">
        <f t="shared" si="3"/>
        <v>0.16645774229728838</v>
      </c>
      <c r="H34" s="1624">
        <f t="shared" si="4"/>
        <v>0.17051298958195965</v>
      </c>
      <c r="I34" s="1624">
        <f t="shared" si="5"/>
        <v>0.17016890543955313</v>
      </c>
      <c r="J34" s="1624">
        <f t="shared" si="6"/>
        <v>0.18645592392701105</v>
      </c>
      <c r="K34" s="1624">
        <f t="shared" si="7"/>
        <v>0.19673410968707306</v>
      </c>
      <c r="L34" s="1624">
        <f t="shared" si="8"/>
        <v>0.22671957671957671</v>
      </c>
      <c r="M34" s="1624">
        <f t="shared" si="9"/>
        <v>0.2385838241813921</v>
      </c>
      <c r="N34" s="1624">
        <f t="shared" si="10"/>
        <v>0.24210526315789474</v>
      </c>
      <c r="O34" s="1624">
        <f t="shared" si="11"/>
        <v>0.23234908546101504</v>
      </c>
      <c r="P34" s="1624">
        <f t="shared" si="12"/>
        <v>0.22181887657623234</v>
      </c>
      <c r="Q34" s="1624">
        <f t="shared" si="13"/>
        <v>0.22365754812563324</v>
      </c>
      <c r="R34" s="1625">
        <f t="shared" si="14"/>
        <v>0.21447635993899339</v>
      </c>
      <c r="S34" s="1626">
        <f>'Non-marital births'!L35</f>
        <v>0.21727157181189097</v>
      </c>
      <c r="T34" s="1627">
        <v>0.19989862510295889</v>
      </c>
      <c r="U34" s="1628">
        <f t="shared" si="15"/>
        <v>0.21235596640843696</v>
      </c>
      <c r="V34" s="2018">
        <f t="shared" si="16"/>
        <v>0.21103746965023951</v>
      </c>
      <c r="W34" s="2018">
        <f t="shared" si="17"/>
        <v>0.21315314109854822</v>
      </c>
      <c r="X34" s="2013">
        <f t="shared" si="18"/>
        <v>0.21405685459131502</v>
      </c>
      <c r="Y34" s="2096">
        <f t="shared" si="19"/>
        <v>0.21727157181189097</v>
      </c>
      <c r="Z34" s="2096"/>
      <c r="AA34" s="681">
        <v>14018</v>
      </c>
      <c r="AB34" s="682">
        <v>14564</v>
      </c>
      <c r="AC34" s="683">
        <v>15063</v>
      </c>
      <c r="AD34" s="682">
        <v>15157</v>
      </c>
      <c r="AE34" s="683">
        <v>15166</v>
      </c>
      <c r="AF34" s="682">
        <v>15038</v>
      </c>
      <c r="AG34" s="683">
        <v>15564</v>
      </c>
      <c r="AH34" s="682">
        <v>15371</v>
      </c>
      <c r="AI34" s="696">
        <v>15120</v>
      </c>
      <c r="AJ34" s="696">
        <v>15789</v>
      </c>
      <c r="AK34" s="696">
        <v>15865</v>
      </c>
      <c r="AL34" s="696">
        <v>16019</v>
      </c>
      <c r="AM34" s="697">
        <v>15702</v>
      </c>
      <c r="AN34" s="697">
        <v>15792</v>
      </c>
      <c r="AO34" s="848">
        <v>15736</v>
      </c>
      <c r="AP34" s="1095">
        <v>15558</v>
      </c>
      <c r="AQ34" s="1608">
        <v>15783</v>
      </c>
      <c r="AR34" s="1608">
        <v>15361</v>
      </c>
      <c r="AS34" s="1971">
        <v>15239</v>
      </c>
      <c r="AT34" s="1095">
        <v>14947</v>
      </c>
      <c r="AU34" s="2020">
        <v>14669</v>
      </c>
      <c r="AV34" s="1005">
        <v>14162</v>
      </c>
      <c r="AW34" s="1005"/>
      <c r="AX34" s="704">
        <v>2089</v>
      </c>
      <c r="AY34" s="705">
        <v>2234</v>
      </c>
      <c r="AZ34" s="705">
        <v>2470</v>
      </c>
      <c r="BA34" s="705">
        <v>2523</v>
      </c>
      <c r="BB34" s="705">
        <v>2586</v>
      </c>
      <c r="BC34" s="705">
        <v>2559</v>
      </c>
      <c r="BD34" s="705">
        <v>2902</v>
      </c>
      <c r="BE34" s="705">
        <v>3024</v>
      </c>
      <c r="BF34" s="705">
        <v>3428</v>
      </c>
      <c r="BG34" s="705">
        <v>3767</v>
      </c>
      <c r="BH34" s="705">
        <v>3841</v>
      </c>
      <c r="BI34" s="705">
        <v>3722</v>
      </c>
      <c r="BJ34" s="705">
        <v>3483</v>
      </c>
      <c r="BK34" s="705">
        <v>3532</v>
      </c>
      <c r="BL34" s="851">
        <v>3375</v>
      </c>
      <c r="BM34" s="1096">
        <v>3230</v>
      </c>
      <c r="BN34" s="1097">
        <v>3155</v>
      </c>
      <c r="BO34" s="1096">
        <v>3262</v>
      </c>
      <c r="BP34" s="1969">
        <v>3216</v>
      </c>
      <c r="BQ34" s="1096">
        <v>3186</v>
      </c>
      <c r="BR34" s="2022">
        <v>3140</v>
      </c>
      <c r="BS34" s="1006">
        <v>3077</v>
      </c>
      <c r="BU34" s="2172">
        <f t="shared" si="20"/>
        <v>15881</v>
      </c>
      <c r="BV34" s="2172">
        <f t="shared" si="21"/>
        <v>74378</v>
      </c>
      <c r="BW34" s="2173">
        <f t="shared" si="22"/>
        <v>0.21351743795208261</v>
      </c>
    </row>
    <row r="35" spans="1:75" s="49" customFormat="1" ht="13.5" customHeight="1" x14ac:dyDescent="0.3">
      <c r="A35" s="56" t="s">
        <v>75</v>
      </c>
      <c r="B35" s="84" t="s">
        <v>76</v>
      </c>
      <c r="C35" s="57" t="s">
        <v>254</v>
      </c>
      <c r="D35" s="1623">
        <f t="shared" si="0"/>
        <v>0.25660964230171074</v>
      </c>
      <c r="E35" s="1624">
        <f t="shared" si="1"/>
        <v>0.24610591900311526</v>
      </c>
      <c r="F35" s="1624">
        <f t="shared" si="2"/>
        <v>0.23153409090909091</v>
      </c>
      <c r="G35" s="1624">
        <f t="shared" si="3"/>
        <v>0.23087818696883852</v>
      </c>
      <c r="H35" s="1624">
        <f t="shared" si="4"/>
        <v>0.24279835390946503</v>
      </c>
      <c r="I35" s="1624">
        <f t="shared" si="5"/>
        <v>0.23365785813630041</v>
      </c>
      <c r="J35" s="1624">
        <f t="shared" si="6"/>
        <v>0.23521505376344087</v>
      </c>
      <c r="K35" s="1624">
        <f t="shared" si="7"/>
        <v>0.25030674846625767</v>
      </c>
      <c r="L35" s="1624">
        <f t="shared" si="8"/>
        <v>0.27672955974842767</v>
      </c>
      <c r="M35" s="1624">
        <f t="shared" si="9"/>
        <v>0.32173913043478258</v>
      </c>
      <c r="N35" s="1624">
        <f t="shared" si="10"/>
        <v>0.31947743467933493</v>
      </c>
      <c r="O35" s="1624">
        <f t="shared" si="11"/>
        <v>0.31333333333333335</v>
      </c>
      <c r="P35" s="1624">
        <f t="shared" si="12"/>
        <v>0.33333333333333331</v>
      </c>
      <c r="Q35" s="1624">
        <f t="shared" si="13"/>
        <v>0.31469440832249673</v>
      </c>
      <c r="R35" s="1625">
        <f t="shared" si="14"/>
        <v>0.30814814814814817</v>
      </c>
      <c r="S35" s="1626">
        <f>'Non-marital births'!L36</f>
        <v>0.25</v>
      </c>
      <c r="T35" s="1627">
        <v>0.31493943472409153</v>
      </c>
      <c r="U35" s="1628">
        <f t="shared" si="15"/>
        <v>0.26797385620915032</v>
      </c>
      <c r="V35" s="2018">
        <f t="shared" si="16"/>
        <v>0.2734375</v>
      </c>
      <c r="W35" s="2018">
        <f t="shared" si="17"/>
        <v>0.273876404494382</v>
      </c>
      <c r="X35" s="2013">
        <f t="shared" si="18"/>
        <v>0.27521793275217932</v>
      </c>
      <c r="Y35" s="2096">
        <f t="shared" si="19"/>
        <v>0.25</v>
      </c>
      <c r="Z35" s="2096"/>
      <c r="AA35" s="681">
        <v>643</v>
      </c>
      <c r="AB35" s="682">
        <v>642</v>
      </c>
      <c r="AC35" s="683">
        <v>704</v>
      </c>
      <c r="AD35" s="682">
        <v>706</v>
      </c>
      <c r="AE35" s="683">
        <v>729</v>
      </c>
      <c r="AF35" s="682">
        <v>719</v>
      </c>
      <c r="AG35" s="683">
        <v>744</v>
      </c>
      <c r="AH35" s="682">
        <v>815</v>
      </c>
      <c r="AI35" s="696">
        <v>795</v>
      </c>
      <c r="AJ35" s="696">
        <v>805</v>
      </c>
      <c r="AK35" s="696">
        <v>842</v>
      </c>
      <c r="AL35" s="696">
        <v>750</v>
      </c>
      <c r="AM35" s="697">
        <v>750</v>
      </c>
      <c r="AN35" s="697">
        <v>769</v>
      </c>
      <c r="AO35" s="848">
        <v>675</v>
      </c>
      <c r="AP35" s="1095">
        <v>764</v>
      </c>
      <c r="AQ35" s="1608">
        <v>743</v>
      </c>
      <c r="AR35" s="1608">
        <v>765</v>
      </c>
      <c r="AS35" s="1971">
        <v>768</v>
      </c>
      <c r="AT35" s="1095">
        <v>712</v>
      </c>
      <c r="AU35" s="2020">
        <v>803</v>
      </c>
      <c r="AV35" s="1005">
        <v>708</v>
      </c>
      <c r="AW35" s="1005"/>
      <c r="AX35" s="704">
        <v>165</v>
      </c>
      <c r="AY35" s="705">
        <v>158</v>
      </c>
      <c r="AZ35" s="705">
        <v>163</v>
      </c>
      <c r="BA35" s="705">
        <v>163</v>
      </c>
      <c r="BB35" s="705">
        <v>177</v>
      </c>
      <c r="BC35" s="705">
        <v>168</v>
      </c>
      <c r="BD35" s="705">
        <v>175</v>
      </c>
      <c r="BE35" s="705">
        <v>204</v>
      </c>
      <c r="BF35" s="705">
        <v>220</v>
      </c>
      <c r="BG35" s="705">
        <v>259</v>
      </c>
      <c r="BH35" s="705">
        <v>269</v>
      </c>
      <c r="BI35" s="705">
        <v>235</v>
      </c>
      <c r="BJ35" s="705">
        <v>250</v>
      </c>
      <c r="BK35" s="705">
        <v>242</v>
      </c>
      <c r="BL35" s="851">
        <v>208</v>
      </c>
      <c r="BM35" s="1096">
        <v>228</v>
      </c>
      <c r="BN35" s="1097">
        <v>234</v>
      </c>
      <c r="BO35" s="1096">
        <v>205</v>
      </c>
      <c r="BP35" s="1969">
        <v>210</v>
      </c>
      <c r="BQ35" s="1096">
        <v>195</v>
      </c>
      <c r="BR35" s="2022">
        <v>221</v>
      </c>
      <c r="BS35" s="1006">
        <v>177</v>
      </c>
      <c r="BU35" s="2172">
        <f t="shared" si="20"/>
        <v>1008</v>
      </c>
      <c r="BV35" s="2172">
        <f t="shared" si="21"/>
        <v>3756</v>
      </c>
      <c r="BW35" s="2173">
        <f t="shared" si="22"/>
        <v>0.26837060702875398</v>
      </c>
    </row>
    <row r="36" spans="1:75" s="49" customFormat="1" ht="13.5" customHeight="1" x14ac:dyDescent="0.3">
      <c r="A36" s="56" t="s">
        <v>77</v>
      </c>
      <c r="B36" s="84" t="s">
        <v>78</v>
      </c>
      <c r="C36" s="57" t="s">
        <v>255</v>
      </c>
      <c r="D36" s="1623">
        <f t="shared" si="0"/>
        <v>0.25342465753424659</v>
      </c>
      <c r="E36" s="1624">
        <f t="shared" si="1"/>
        <v>0.19736842105263158</v>
      </c>
      <c r="F36" s="1624">
        <f t="shared" si="2"/>
        <v>0.24050632911392406</v>
      </c>
      <c r="G36" s="1624">
        <f t="shared" si="3"/>
        <v>0.17391304347826086</v>
      </c>
      <c r="H36" s="1624">
        <f t="shared" si="4"/>
        <v>0.18354430379746836</v>
      </c>
      <c r="I36" s="1624">
        <f t="shared" si="5"/>
        <v>0.20547945205479451</v>
      </c>
      <c r="J36" s="1624">
        <f t="shared" si="6"/>
        <v>0.15976331360946747</v>
      </c>
      <c r="K36" s="1624">
        <f t="shared" si="7"/>
        <v>0.28301886792452829</v>
      </c>
      <c r="L36" s="1624">
        <f t="shared" si="8"/>
        <v>0.26993865030674846</v>
      </c>
      <c r="M36" s="1624">
        <f t="shared" si="9"/>
        <v>0.3081761006289308</v>
      </c>
      <c r="N36" s="1624">
        <f t="shared" si="10"/>
        <v>0.32926829268292684</v>
      </c>
      <c r="O36" s="1624">
        <f t="shared" si="11"/>
        <v>0.31756756756756754</v>
      </c>
      <c r="P36" s="1624">
        <f t="shared" si="12"/>
        <v>0.33333333333333331</v>
      </c>
      <c r="Q36" s="1624">
        <f t="shared" si="13"/>
        <v>0.27083333333333331</v>
      </c>
      <c r="R36" s="1625">
        <f t="shared" si="14"/>
        <v>0.3475177304964539</v>
      </c>
      <c r="S36" s="1626">
        <f>'Non-marital births'!L37</f>
        <v>0.29411764705882354</v>
      </c>
      <c r="T36" s="1627">
        <v>0.31746031746031744</v>
      </c>
      <c r="U36" s="1628">
        <f t="shared" si="15"/>
        <v>0.32592592592592595</v>
      </c>
      <c r="V36" s="2018">
        <f t="shared" si="16"/>
        <v>0.34228187919463088</v>
      </c>
      <c r="W36" s="2018">
        <f t="shared" si="17"/>
        <v>0.35526315789473684</v>
      </c>
      <c r="X36" s="2013">
        <f t="shared" si="18"/>
        <v>0.30158730158730157</v>
      </c>
      <c r="Y36" s="2096">
        <f t="shared" si="19"/>
        <v>0.29411764705882354</v>
      </c>
      <c r="Z36" s="2096"/>
      <c r="AA36" s="681">
        <v>146</v>
      </c>
      <c r="AB36" s="682">
        <v>152</v>
      </c>
      <c r="AC36" s="683">
        <v>158</v>
      </c>
      <c r="AD36" s="682">
        <v>138</v>
      </c>
      <c r="AE36" s="683">
        <v>158</v>
      </c>
      <c r="AF36" s="682">
        <v>146</v>
      </c>
      <c r="AG36" s="683">
        <v>169</v>
      </c>
      <c r="AH36" s="682">
        <v>159</v>
      </c>
      <c r="AI36" s="696">
        <v>163</v>
      </c>
      <c r="AJ36" s="696">
        <v>159</v>
      </c>
      <c r="AK36" s="696">
        <v>164</v>
      </c>
      <c r="AL36" s="696">
        <v>148</v>
      </c>
      <c r="AM36" s="697">
        <v>174</v>
      </c>
      <c r="AN36" s="697">
        <v>144</v>
      </c>
      <c r="AO36" s="848">
        <v>141</v>
      </c>
      <c r="AP36" s="1095">
        <v>148</v>
      </c>
      <c r="AQ36" s="1608">
        <v>126</v>
      </c>
      <c r="AR36" s="1608">
        <v>135</v>
      </c>
      <c r="AS36" s="1971">
        <v>149</v>
      </c>
      <c r="AT36" s="1095">
        <v>152</v>
      </c>
      <c r="AU36" s="2020">
        <v>126</v>
      </c>
      <c r="AV36" s="1005">
        <v>153</v>
      </c>
      <c r="AW36" s="1005"/>
      <c r="AX36" s="704">
        <v>37</v>
      </c>
      <c r="AY36" s="705">
        <v>30</v>
      </c>
      <c r="AZ36" s="705">
        <v>38</v>
      </c>
      <c r="BA36" s="705">
        <v>24</v>
      </c>
      <c r="BB36" s="705">
        <v>29</v>
      </c>
      <c r="BC36" s="705">
        <v>30</v>
      </c>
      <c r="BD36" s="705">
        <v>27</v>
      </c>
      <c r="BE36" s="705">
        <v>45</v>
      </c>
      <c r="BF36" s="705">
        <v>44</v>
      </c>
      <c r="BG36" s="705">
        <v>49</v>
      </c>
      <c r="BH36" s="705">
        <v>54</v>
      </c>
      <c r="BI36" s="705">
        <v>47</v>
      </c>
      <c r="BJ36" s="705">
        <v>58</v>
      </c>
      <c r="BK36" s="705">
        <v>39</v>
      </c>
      <c r="BL36" s="851">
        <v>49</v>
      </c>
      <c r="BM36" s="1096">
        <v>41</v>
      </c>
      <c r="BN36" s="1097">
        <v>40</v>
      </c>
      <c r="BO36" s="1096">
        <v>44</v>
      </c>
      <c r="BP36" s="1969">
        <v>51</v>
      </c>
      <c r="BQ36" s="1096">
        <v>54</v>
      </c>
      <c r="BR36" s="2022">
        <v>38</v>
      </c>
      <c r="BS36" s="1006">
        <v>45</v>
      </c>
      <c r="BU36" s="2172">
        <f t="shared" si="20"/>
        <v>232</v>
      </c>
      <c r="BV36" s="2172">
        <f t="shared" si="21"/>
        <v>715</v>
      </c>
      <c r="BW36" s="2173">
        <f t="shared" si="22"/>
        <v>0.32447552447552447</v>
      </c>
    </row>
    <row r="37" spans="1:75" s="49" customFormat="1" ht="13.5" customHeight="1" x14ac:dyDescent="0.3">
      <c r="A37" s="56" t="s">
        <v>79</v>
      </c>
      <c r="B37" s="84" t="s">
        <v>80</v>
      </c>
      <c r="C37" s="57" t="s">
        <v>253</v>
      </c>
      <c r="D37" s="1623">
        <f t="shared" ref="D37:D68" si="23">AX37/AA37</f>
        <v>0.19306930693069307</v>
      </c>
      <c r="E37" s="1624">
        <f t="shared" ref="E37:E68" si="24">AY37/AB37</f>
        <v>0.25570776255707761</v>
      </c>
      <c r="F37" s="1624">
        <f t="shared" ref="F37:F68" si="25">AZ37/AC37</f>
        <v>0.25570776255707761</v>
      </c>
      <c r="G37" s="1624">
        <f t="shared" ref="G37:G68" si="26">BA37/AD37</f>
        <v>0.23788546255506607</v>
      </c>
      <c r="H37" s="1624">
        <f t="shared" ref="H37:H68" si="27">BB37/AE37</f>
        <v>0.2292358803986711</v>
      </c>
      <c r="I37" s="1624">
        <f t="shared" ref="I37:I68" si="28">BC37/AF37</f>
        <v>0.26973684210526316</v>
      </c>
      <c r="J37" s="1624">
        <f t="shared" ref="J37:J68" si="29">BD37/AG37</f>
        <v>0.27507163323782235</v>
      </c>
      <c r="K37" s="1624">
        <f t="shared" ref="K37:K68" si="30">BE37/AH37</f>
        <v>0.25915492957746478</v>
      </c>
      <c r="L37" s="1624">
        <f t="shared" ref="L37:L68" si="31">BF37/AI37</f>
        <v>0.28235294117647058</v>
      </c>
      <c r="M37" s="1624">
        <f t="shared" ref="M37:M68" si="32">BG37/AJ37</f>
        <v>0.27272727272727271</v>
      </c>
      <c r="N37" s="1624">
        <f t="shared" ref="N37:N68" si="33">BH37/AK37</f>
        <v>0.27554179566563469</v>
      </c>
      <c r="O37" s="1624">
        <f t="shared" ref="O37:O68" si="34">BI37/AL37</f>
        <v>0.22108843537414966</v>
      </c>
      <c r="P37" s="1624">
        <f t="shared" ref="P37:P68" si="35">BJ37/AM37</f>
        <v>0.31333333333333335</v>
      </c>
      <c r="Q37" s="1624">
        <f t="shared" ref="Q37:Q68" si="36">BK37/AN37</f>
        <v>0.29496402877697842</v>
      </c>
      <c r="R37" s="1625">
        <f t="shared" ref="R37:R68" si="37">BL37/AO37</f>
        <v>0.33720930232558138</v>
      </c>
      <c r="S37" s="1626">
        <f>'Non-marital births'!L38</f>
        <v>0.31858407079646017</v>
      </c>
      <c r="T37" s="1627">
        <v>0.33458646616541354</v>
      </c>
      <c r="U37" s="1628">
        <f t="shared" si="15"/>
        <v>0.32539682539682541</v>
      </c>
      <c r="V37" s="2018">
        <f t="shared" si="16"/>
        <v>0.32142857142857145</v>
      </c>
      <c r="W37" s="2018">
        <f t="shared" si="17"/>
        <v>0.38351254480286739</v>
      </c>
      <c r="X37" s="2013">
        <f t="shared" si="18"/>
        <v>0.38951310861423222</v>
      </c>
      <c r="Y37" s="2096">
        <f t="shared" si="19"/>
        <v>0.31858407079646017</v>
      </c>
      <c r="Z37" s="2096"/>
      <c r="AA37" s="681">
        <v>202</v>
      </c>
      <c r="AB37" s="682">
        <v>219</v>
      </c>
      <c r="AC37" s="683">
        <v>219</v>
      </c>
      <c r="AD37" s="682">
        <v>227</v>
      </c>
      <c r="AE37" s="683">
        <v>301</v>
      </c>
      <c r="AF37" s="682">
        <v>304</v>
      </c>
      <c r="AG37" s="683">
        <v>349</v>
      </c>
      <c r="AH37" s="682">
        <v>355</v>
      </c>
      <c r="AI37" s="696">
        <v>340</v>
      </c>
      <c r="AJ37" s="696">
        <v>352</v>
      </c>
      <c r="AK37" s="696">
        <v>323</v>
      </c>
      <c r="AL37" s="696">
        <v>294</v>
      </c>
      <c r="AM37" s="697">
        <v>300</v>
      </c>
      <c r="AN37" s="697">
        <v>278</v>
      </c>
      <c r="AO37" s="848">
        <v>258</v>
      </c>
      <c r="AP37" s="1095">
        <v>250</v>
      </c>
      <c r="AQ37" s="1608">
        <v>266</v>
      </c>
      <c r="AR37" s="1608">
        <v>252</v>
      </c>
      <c r="AS37" s="1971">
        <v>252</v>
      </c>
      <c r="AT37" s="1095">
        <v>279</v>
      </c>
      <c r="AU37" s="2020">
        <v>267</v>
      </c>
      <c r="AV37" s="1005">
        <v>226</v>
      </c>
      <c r="AW37" s="1005"/>
      <c r="AX37" s="704">
        <v>39</v>
      </c>
      <c r="AY37" s="705">
        <v>56</v>
      </c>
      <c r="AZ37" s="705">
        <v>56</v>
      </c>
      <c r="BA37" s="705">
        <v>54</v>
      </c>
      <c r="BB37" s="705">
        <v>69</v>
      </c>
      <c r="BC37" s="705">
        <v>82</v>
      </c>
      <c r="BD37" s="705">
        <v>96</v>
      </c>
      <c r="BE37" s="705">
        <v>92</v>
      </c>
      <c r="BF37" s="705">
        <v>96</v>
      </c>
      <c r="BG37" s="705">
        <v>96</v>
      </c>
      <c r="BH37" s="705">
        <v>89</v>
      </c>
      <c r="BI37" s="705">
        <v>65</v>
      </c>
      <c r="BJ37" s="705">
        <v>94</v>
      </c>
      <c r="BK37" s="705">
        <v>82</v>
      </c>
      <c r="BL37" s="851">
        <v>87</v>
      </c>
      <c r="BM37" s="1096">
        <v>96</v>
      </c>
      <c r="BN37" s="1097">
        <v>89</v>
      </c>
      <c r="BO37" s="1096">
        <v>82</v>
      </c>
      <c r="BP37" s="1969">
        <v>81</v>
      </c>
      <c r="BQ37" s="1096">
        <v>107</v>
      </c>
      <c r="BR37" s="2022">
        <v>104</v>
      </c>
      <c r="BS37" s="1006">
        <v>72</v>
      </c>
      <c r="BU37" s="2172">
        <f t="shared" si="20"/>
        <v>446</v>
      </c>
      <c r="BV37" s="2172">
        <f t="shared" si="21"/>
        <v>1276</v>
      </c>
      <c r="BW37" s="2173">
        <f t="shared" si="22"/>
        <v>0.34952978056426331</v>
      </c>
    </row>
    <row r="38" spans="1:75" s="49" customFormat="1" ht="13.5" customHeight="1" x14ac:dyDescent="0.3">
      <c r="A38" s="56" t="s">
        <v>83</v>
      </c>
      <c r="B38" s="84" t="s">
        <v>84</v>
      </c>
      <c r="C38" s="57" t="s">
        <v>252</v>
      </c>
      <c r="D38" s="1623">
        <f t="shared" si="23"/>
        <v>0.2673913043478261</v>
      </c>
      <c r="E38" s="1624">
        <f t="shared" si="24"/>
        <v>0.29126213592233008</v>
      </c>
      <c r="F38" s="1624">
        <f t="shared" si="25"/>
        <v>0.30524344569288392</v>
      </c>
      <c r="G38" s="1624">
        <f t="shared" si="26"/>
        <v>0.30434782608695654</v>
      </c>
      <c r="H38" s="1624">
        <f t="shared" si="27"/>
        <v>0.29150579150579148</v>
      </c>
      <c r="I38" s="1624">
        <f t="shared" si="28"/>
        <v>0.31702544031311153</v>
      </c>
      <c r="J38" s="1624">
        <f t="shared" si="29"/>
        <v>0.31132075471698112</v>
      </c>
      <c r="K38" s="1624">
        <f t="shared" si="30"/>
        <v>0.35793357933579334</v>
      </c>
      <c r="L38" s="1624">
        <f t="shared" si="31"/>
        <v>0.37979094076655051</v>
      </c>
      <c r="M38" s="1624">
        <f t="shared" si="32"/>
        <v>0.36560934891485808</v>
      </c>
      <c r="N38" s="1624">
        <f t="shared" si="33"/>
        <v>0.3831932773109244</v>
      </c>
      <c r="O38" s="1624">
        <f t="shared" si="34"/>
        <v>0.39291736930860033</v>
      </c>
      <c r="P38" s="1624">
        <f t="shared" si="35"/>
        <v>0.373046875</v>
      </c>
      <c r="Q38" s="1624">
        <f t="shared" si="36"/>
        <v>0.42829827915869984</v>
      </c>
      <c r="R38" s="1625">
        <f t="shared" si="37"/>
        <v>0.44840525328330205</v>
      </c>
      <c r="S38" s="1626">
        <f>'Non-marital births'!L39</f>
        <v>0.42998027613412226</v>
      </c>
      <c r="T38" s="1627">
        <v>0.42244897959183675</v>
      </c>
      <c r="U38" s="1628">
        <f t="shared" ref="U38:U69" si="38">BO38/AR38</f>
        <v>0.4044943820224719</v>
      </c>
      <c r="V38" s="2018">
        <f t="shared" ref="V38:V69" si="39">BP38/AS38</f>
        <v>0.42619926199261993</v>
      </c>
      <c r="W38" s="2018">
        <f t="shared" ref="W38:W69" si="40">BQ38/AT38</f>
        <v>0.39702760084925692</v>
      </c>
      <c r="X38" s="2013">
        <f t="shared" ref="X38:X69" si="41">BR38/AU38</f>
        <v>0.42708333333333331</v>
      </c>
      <c r="Y38" s="2096">
        <f t="shared" si="19"/>
        <v>0.42998027613412226</v>
      </c>
      <c r="Z38" s="2096"/>
      <c r="AA38" s="681">
        <v>460</v>
      </c>
      <c r="AB38" s="682">
        <v>515</v>
      </c>
      <c r="AC38" s="683">
        <v>534</v>
      </c>
      <c r="AD38" s="682">
        <v>552</v>
      </c>
      <c r="AE38" s="683">
        <v>518</v>
      </c>
      <c r="AF38" s="682">
        <v>511</v>
      </c>
      <c r="AG38" s="683">
        <v>530</v>
      </c>
      <c r="AH38" s="682">
        <v>542</v>
      </c>
      <c r="AI38" s="696">
        <v>574</v>
      </c>
      <c r="AJ38" s="696">
        <v>599</v>
      </c>
      <c r="AK38" s="696">
        <v>595</v>
      </c>
      <c r="AL38" s="696">
        <v>593</v>
      </c>
      <c r="AM38" s="697">
        <v>512</v>
      </c>
      <c r="AN38" s="697">
        <v>523</v>
      </c>
      <c r="AO38" s="848">
        <v>533</v>
      </c>
      <c r="AP38" s="1095">
        <v>475</v>
      </c>
      <c r="AQ38" s="1608">
        <v>490</v>
      </c>
      <c r="AR38" s="1608">
        <v>534</v>
      </c>
      <c r="AS38" s="1971">
        <v>542</v>
      </c>
      <c r="AT38" s="1095">
        <v>471</v>
      </c>
      <c r="AU38" s="2020">
        <v>480</v>
      </c>
      <c r="AV38" s="1005">
        <v>507</v>
      </c>
      <c r="AW38" s="1005"/>
      <c r="AX38" s="704">
        <v>123</v>
      </c>
      <c r="AY38" s="705">
        <v>150</v>
      </c>
      <c r="AZ38" s="705">
        <v>163</v>
      </c>
      <c r="BA38" s="705">
        <v>168</v>
      </c>
      <c r="BB38" s="705">
        <v>151</v>
      </c>
      <c r="BC38" s="705">
        <v>162</v>
      </c>
      <c r="BD38" s="705">
        <v>165</v>
      </c>
      <c r="BE38" s="705">
        <v>194</v>
      </c>
      <c r="BF38" s="705">
        <v>218</v>
      </c>
      <c r="BG38" s="705">
        <v>219</v>
      </c>
      <c r="BH38" s="705">
        <v>228</v>
      </c>
      <c r="BI38" s="705">
        <v>233</v>
      </c>
      <c r="BJ38" s="705">
        <v>191</v>
      </c>
      <c r="BK38" s="705">
        <v>224</v>
      </c>
      <c r="BL38" s="851">
        <v>239</v>
      </c>
      <c r="BM38" s="1096">
        <v>212</v>
      </c>
      <c r="BN38" s="1097">
        <v>207</v>
      </c>
      <c r="BO38" s="1096">
        <v>216</v>
      </c>
      <c r="BP38" s="1969">
        <v>231</v>
      </c>
      <c r="BQ38" s="1096">
        <v>187</v>
      </c>
      <c r="BR38" s="2022">
        <v>205</v>
      </c>
      <c r="BS38" s="1006">
        <v>218</v>
      </c>
      <c r="BU38" s="2172">
        <f t="shared" si="20"/>
        <v>1057</v>
      </c>
      <c r="BV38" s="2172">
        <f t="shared" si="21"/>
        <v>2534</v>
      </c>
      <c r="BW38" s="2173">
        <f t="shared" si="22"/>
        <v>0.41712707182320441</v>
      </c>
    </row>
    <row r="39" spans="1:75" s="49" customFormat="1" ht="13.5" customHeight="1" x14ac:dyDescent="0.3">
      <c r="A39" s="56" t="s">
        <v>85</v>
      </c>
      <c r="B39" s="84" t="s">
        <v>86</v>
      </c>
      <c r="C39" s="57" t="s">
        <v>254</v>
      </c>
      <c r="D39" s="1623">
        <f t="shared" si="23"/>
        <v>0.2648221343873518</v>
      </c>
      <c r="E39" s="1624">
        <f t="shared" si="24"/>
        <v>0.25690607734806631</v>
      </c>
      <c r="F39" s="1624">
        <f t="shared" si="25"/>
        <v>0.26284348864994028</v>
      </c>
      <c r="G39" s="1624">
        <f t="shared" si="26"/>
        <v>0.25755395683453236</v>
      </c>
      <c r="H39" s="1624">
        <f t="shared" si="27"/>
        <v>0.27737226277372262</v>
      </c>
      <c r="I39" s="1624">
        <f t="shared" si="28"/>
        <v>0.29603729603729606</v>
      </c>
      <c r="J39" s="1624">
        <f t="shared" si="29"/>
        <v>0.27874186550976138</v>
      </c>
      <c r="K39" s="1624">
        <f t="shared" si="30"/>
        <v>0.29347826086956524</v>
      </c>
      <c r="L39" s="1624">
        <f t="shared" si="31"/>
        <v>0.32676348547717843</v>
      </c>
      <c r="M39" s="1624">
        <f t="shared" si="32"/>
        <v>0.33679833679833682</v>
      </c>
      <c r="N39" s="1624">
        <f t="shared" si="33"/>
        <v>0.375</v>
      </c>
      <c r="O39" s="1624">
        <f t="shared" si="34"/>
        <v>0.37145969498910675</v>
      </c>
      <c r="P39" s="1624">
        <f t="shared" si="35"/>
        <v>0.36612021857923499</v>
      </c>
      <c r="Q39" s="1624">
        <f t="shared" si="36"/>
        <v>0.34611048478015782</v>
      </c>
      <c r="R39" s="1625">
        <f t="shared" si="37"/>
        <v>0.37024972855591748</v>
      </c>
      <c r="S39" s="1626">
        <f>'Non-marital births'!L40</f>
        <v>0.33442265795206971</v>
      </c>
      <c r="T39" s="1627">
        <v>0.32733408323959506</v>
      </c>
      <c r="U39" s="1628">
        <f t="shared" si="38"/>
        <v>0.36905965621840242</v>
      </c>
      <c r="V39" s="2018">
        <f t="shared" si="39"/>
        <v>0.33</v>
      </c>
      <c r="W39" s="2018">
        <f t="shared" si="40"/>
        <v>0.36034115138592748</v>
      </c>
      <c r="X39" s="2013">
        <f t="shared" si="41"/>
        <v>0.32310838445807771</v>
      </c>
      <c r="Y39" s="2096">
        <f t="shared" si="19"/>
        <v>0.33442265795206971</v>
      </c>
      <c r="Z39" s="2096"/>
      <c r="AA39" s="681">
        <v>759</v>
      </c>
      <c r="AB39" s="682">
        <v>724</v>
      </c>
      <c r="AC39" s="683">
        <v>837</v>
      </c>
      <c r="AD39" s="682">
        <v>695</v>
      </c>
      <c r="AE39" s="683">
        <v>822</v>
      </c>
      <c r="AF39" s="682">
        <v>858</v>
      </c>
      <c r="AG39" s="683">
        <v>922</v>
      </c>
      <c r="AH39" s="682">
        <v>920</v>
      </c>
      <c r="AI39" s="696">
        <v>964</v>
      </c>
      <c r="AJ39" s="696">
        <v>962</v>
      </c>
      <c r="AK39" s="696">
        <v>984</v>
      </c>
      <c r="AL39" s="696">
        <v>918</v>
      </c>
      <c r="AM39" s="697">
        <v>915</v>
      </c>
      <c r="AN39" s="697">
        <v>887</v>
      </c>
      <c r="AO39" s="848">
        <v>921</v>
      </c>
      <c r="AP39" s="1095">
        <v>935</v>
      </c>
      <c r="AQ39" s="1608">
        <v>889</v>
      </c>
      <c r="AR39" s="1608">
        <v>989</v>
      </c>
      <c r="AS39" s="1971">
        <v>1000</v>
      </c>
      <c r="AT39" s="1095">
        <v>938</v>
      </c>
      <c r="AU39" s="2020">
        <v>978</v>
      </c>
      <c r="AV39" s="1005">
        <v>918</v>
      </c>
      <c r="AW39" s="1005"/>
      <c r="AX39" s="704">
        <v>201</v>
      </c>
      <c r="AY39" s="705">
        <v>186</v>
      </c>
      <c r="AZ39" s="705">
        <v>220</v>
      </c>
      <c r="BA39" s="705">
        <v>179</v>
      </c>
      <c r="BB39" s="705">
        <v>228</v>
      </c>
      <c r="BC39" s="705">
        <v>254</v>
      </c>
      <c r="BD39" s="705">
        <v>257</v>
      </c>
      <c r="BE39" s="705">
        <v>270</v>
      </c>
      <c r="BF39" s="705">
        <v>315</v>
      </c>
      <c r="BG39" s="705">
        <v>324</v>
      </c>
      <c r="BH39" s="705">
        <v>369</v>
      </c>
      <c r="BI39" s="705">
        <v>341</v>
      </c>
      <c r="BJ39" s="705">
        <v>335</v>
      </c>
      <c r="BK39" s="705">
        <v>307</v>
      </c>
      <c r="BL39" s="851">
        <v>341</v>
      </c>
      <c r="BM39" s="1096">
        <v>323</v>
      </c>
      <c r="BN39" s="1097">
        <v>291</v>
      </c>
      <c r="BO39" s="1096">
        <v>365</v>
      </c>
      <c r="BP39" s="1969">
        <v>330</v>
      </c>
      <c r="BQ39" s="1096">
        <v>338</v>
      </c>
      <c r="BR39" s="2022">
        <v>316</v>
      </c>
      <c r="BS39" s="1006">
        <v>307</v>
      </c>
      <c r="BU39" s="2172">
        <f t="shared" si="20"/>
        <v>1656</v>
      </c>
      <c r="BV39" s="2172">
        <f t="shared" si="21"/>
        <v>4823</v>
      </c>
      <c r="BW39" s="2173">
        <f t="shared" si="22"/>
        <v>0.34335475844909807</v>
      </c>
    </row>
    <row r="40" spans="1:75" s="49" customFormat="1" ht="13.5" customHeight="1" x14ac:dyDescent="0.3">
      <c r="A40" s="56" t="s">
        <v>91</v>
      </c>
      <c r="B40" s="84" t="s">
        <v>92</v>
      </c>
      <c r="C40" s="57" t="s">
        <v>255</v>
      </c>
      <c r="D40" s="1623">
        <f t="shared" si="23"/>
        <v>0.24038461538461539</v>
      </c>
      <c r="E40" s="1624">
        <f t="shared" si="24"/>
        <v>0.23645320197044334</v>
      </c>
      <c r="F40" s="1624">
        <f t="shared" si="25"/>
        <v>0.25984251968503935</v>
      </c>
      <c r="G40" s="1624">
        <f t="shared" si="26"/>
        <v>0.25980392156862747</v>
      </c>
      <c r="H40" s="1624">
        <f t="shared" si="27"/>
        <v>0.25</v>
      </c>
      <c r="I40" s="1624">
        <f t="shared" si="28"/>
        <v>0.25280898876404495</v>
      </c>
      <c r="J40" s="1624">
        <f t="shared" si="29"/>
        <v>0.24338624338624337</v>
      </c>
      <c r="K40" s="1624">
        <f t="shared" si="30"/>
        <v>0.25465838509316768</v>
      </c>
      <c r="L40" s="1624">
        <f t="shared" si="31"/>
        <v>0.33149171270718231</v>
      </c>
      <c r="M40" s="1624">
        <f t="shared" si="32"/>
        <v>0.36842105263157893</v>
      </c>
      <c r="N40" s="1624">
        <f t="shared" si="33"/>
        <v>0.42682926829268292</v>
      </c>
      <c r="O40" s="1624">
        <f t="shared" si="34"/>
        <v>0.35260115606936415</v>
      </c>
      <c r="P40" s="1624">
        <f t="shared" si="35"/>
        <v>0.45408163265306123</v>
      </c>
      <c r="Q40" s="1624">
        <f t="shared" si="36"/>
        <v>0.41340782122905029</v>
      </c>
      <c r="R40" s="1625">
        <f t="shared" si="37"/>
        <v>0.3968253968253968</v>
      </c>
      <c r="S40" s="1626">
        <f>'Non-marital births'!L41</f>
        <v>0.4258064516129032</v>
      </c>
      <c r="T40" s="1627">
        <v>0.44324324324324327</v>
      </c>
      <c r="U40" s="1628">
        <f t="shared" si="38"/>
        <v>0.39344262295081966</v>
      </c>
      <c r="V40" s="2018">
        <f t="shared" si="39"/>
        <v>0.40804597701149425</v>
      </c>
      <c r="W40" s="2018">
        <f t="shared" si="40"/>
        <v>0.38787878787878788</v>
      </c>
      <c r="X40" s="2013">
        <f t="shared" si="41"/>
        <v>0.40384615384615385</v>
      </c>
      <c r="Y40" s="2096">
        <f t="shared" si="19"/>
        <v>0.4258064516129032</v>
      </c>
      <c r="Z40" s="2096"/>
      <c r="AA40" s="681">
        <v>208</v>
      </c>
      <c r="AB40" s="682">
        <v>203</v>
      </c>
      <c r="AC40" s="683">
        <v>254</v>
      </c>
      <c r="AD40" s="682">
        <v>204</v>
      </c>
      <c r="AE40" s="683">
        <v>212</v>
      </c>
      <c r="AF40" s="682">
        <v>178</v>
      </c>
      <c r="AG40" s="683">
        <v>189</v>
      </c>
      <c r="AH40" s="682">
        <v>161</v>
      </c>
      <c r="AI40" s="696">
        <v>181</v>
      </c>
      <c r="AJ40" s="696">
        <v>190</v>
      </c>
      <c r="AK40" s="696">
        <v>164</v>
      </c>
      <c r="AL40" s="696">
        <v>173</v>
      </c>
      <c r="AM40" s="697">
        <v>196</v>
      </c>
      <c r="AN40" s="697">
        <v>179</v>
      </c>
      <c r="AO40" s="848">
        <v>189</v>
      </c>
      <c r="AP40" s="1095">
        <v>149</v>
      </c>
      <c r="AQ40" s="1608">
        <v>185</v>
      </c>
      <c r="AR40" s="1608">
        <v>183</v>
      </c>
      <c r="AS40" s="1971">
        <v>174</v>
      </c>
      <c r="AT40" s="1095">
        <v>165</v>
      </c>
      <c r="AU40" s="2020">
        <v>156</v>
      </c>
      <c r="AV40" s="1005">
        <v>155</v>
      </c>
      <c r="AW40" s="1005"/>
      <c r="AX40" s="704">
        <v>50</v>
      </c>
      <c r="AY40" s="705">
        <v>48</v>
      </c>
      <c r="AZ40" s="705">
        <v>66</v>
      </c>
      <c r="BA40" s="705">
        <v>53</v>
      </c>
      <c r="BB40" s="705">
        <v>53</v>
      </c>
      <c r="BC40" s="705">
        <v>45</v>
      </c>
      <c r="BD40" s="705">
        <v>46</v>
      </c>
      <c r="BE40" s="705">
        <v>41</v>
      </c>
      <c r="BF40" s="705">
        <v>60</v>
      </c>
      <c r="BG40" s="705">
        <v>70</v>
      </c>
      <c r="BH40" s="705">
        <v>70</v>
      </c>
      <c r="BI40" s="705">
        <v>61</v>
      </c>
      <c r="BJ40" s="705">
        <v>89</v>
      </c>
      <c r="BK40" s="705">
        <v>74</v>
      </c>
      <c r="BL40" s="851">
        <v>75</v>
      </c>
      <c r="BM40" s="1096">
        <v>65</v>
      </c>
      <c r="BN40" s="1097">
        <v>82</v>
      </c>
      <c r="BO40" s="1096">
        <v>72</v>
      </c>
      <c r="BP40" s="1969">
        <v>71</v>
      </c>
      <c r="BQ40" s="1096">
        <v>64</v>
      </c>
      <c r="BR40" s="2022">
        <v>63</v>
      </c>
      <c r="BS40" s="1006">
        <v>66</v>
      </c>
      <c r="BU40" s="2172">
        <f t="shared" si="20"/>
        <v>336</v>
      </c>
      <c r="BV40" s="2172">
        <f t="shared" si="21"/>
        <v>833</v>
      </c>
      <c r="BW40" s="2173">
        <f t="shared" si="22"/>
        <v>0.40336134453781514</v>
      </c>
    </row>
    <row r="41" spans="1:75" s="49" customFormat="1" ht="13.5" customHeight="1" x14ac:dyDescent="0.3">
      <c r="A41" s="56" t="s">
        <v>93</v>
      </c>
      <c r="B41" s="84" t="s">
        <v>94</v>
      </c>
      <c r="C41" s="57" t="s">
        <v>251</v>
      </c>
      <c r="D41" s="1623">
        <f t="shared" si="23"/>
        <v>0.26424870466321243</v>
      </c>
      <c r="E41" s="1624">
        <f t="shared" si="24"/>
        <v>0.26509186351706038</v>
      </c>
      <c r="F41" s="1624">
        <f t="shared" si="25"/>
        <v>0.27901234567901234</v>
      </c>
      <c r="G41" s="1624">
        <f t="shared" si="26"/>
        <v>0.32581453634085211</v>
      </c>
      <c r="H41" s="1624">
        <f t="shared" si="27"/>
        <v>0.30750605326876512</v>
      </c>
      <c r="I41" s="1624">
        <f t="shared" si="28"/>
        <v>0.28346456692913385</v>
      </c>
      <c r="J41" s="1624">
        <f t="shared" si="29"/>
        <v>0.34052757793764987</v>
      </c>
      <c r="K41" s="1624">
        <f t="shared" si="30"/>
        <v>0.31111111111111112</v>
      </c>
      <c r="L41" s="1624">
        <f t="shared" si="31"/>
        <v>0.31754874651810583</v>
      </c>
      <c r="M41" s="1624">
        <f t="shared" si="32"/>
        <v>0.29262086513994912</v>
      </c>
      <c r="N41" s="1624">
        <f t="shared" si="33"/>
        <v>0.33957219251336901</v>
      </c>
      <c r="O41" s="1624">
        <f t="shared" si="34"/>
        <v>0.36438356164383562</v>
      </c>
      <c r="P41" s="1624">
        <f t="shared" si="35"/>
        <v>0.37047353760445684</v>
      </c>
      <c r="Q41" s="1624">
        <f t="shared" si="36"/>
        <v>0.35777126099706746</v>
      </c>
      <c r="R41" s="1625">
        <f t="shared" si="37"/>
        <v>0.42816901408450703</v>
      </c>
      <c r="S41" s="1626">
        <f>'Non-marital births'!L42</f>
        <v>0.34862385321100919</v>
      </c>
      <c r="T41" s="1627">
        <v>0.38315217391304346</v>
      </c>
      <c r="U41" s="1628">
        <f t="shared" si="38"/>
        <v>0.33967391304347827</v>
      </c>
      <c r="V41" s="2018">
        <f t="shared" si="39"/>
        <v>0.37464788732394366</v>
      </c>
      <c r="W41" s="2018">
        <f t="shared" si="40"/>
        <v>0.33717579250720459</v>
      </c>
      <c r="X41" s="2013">
        <f t="shared" si="41"/>
        <v>0.34670487106017189</v>
      </c>
      <c r="Y41" s="2096">
        <f t="shared" si="19"/>
        <v>0.34862385321100919</v>
      </c>
      <c r="Z41" s="2096"/>
      <c r="AA41" s="681">
        <v>386</v>
      </c>
      <c r="AB41" s="682">
        <v>381</v>
      </c>
      <c r="AC41" s="683">
        <v>405</v>
      </c>
      <c r="AD41" s="682">
        <v>399</v>
      </c>
      <c r="AE41" s="683">
        <v>413</v>
      </c>
      <c r="AF41" s="682">
        <v>381</v>
      </c>
      <c r="AG41" s="683">
        <v>417</v>
      </c>
      <c r="AH41" s="682">
        <v>405</v>
      </c>
      <c r="AI41" s="696">
        <v>359</v>
      </c>
      <c r="AJ41" s="696">
        <v>393</v>
      </c>
      <c r="AK41" s="696">
        <v>374</v>
      </c>
      <c r="AL41" s="696">
        <v>365</v>
      </c>
      <c r="AM41" s="697">
        <v>359</v>
      </c>
      <c r="AN41" s="697">
        <v>341</v>
      </c>
      <c r="AO41" s="848">
        <v>355</v>
      </c>
      <c r="AP41" s="1095">
        <v>356</v>
      </c>
      <c r="AQ41" s="1608">
        <v>368</v>
      </c>
      <c r="AR41" s="1608">
        <v>368</v>
      </c>
      <c r="AS41" s="1971">
        <v>355</v>
      </c>
      <c r="AT41" s="1095">
        <v>347</v>
      </c>
      <c r="AU41" s="2020">
        <v>349</v>
      </c>
      <c r="AV41" s="1005">
        <v>327</v>
      </c>
      <c r="AW41" s="1005"/>
      <c r="AX41" s="704">
        <v>102</v>
      </c>
      <c r="AY41" s="705">
        <v>101</v>
      </c>
      <c r="AZ41" s="705">
        <v>113</v>
      </c>
      <c r="BA41" s="705">
        <v>130</v>
      </c>
      <c r="BB41" s="705">
        <v>127</v>
      </c>
      <c r="BC41" s="705">
        <v>108</v>
      </c>
      <c r="BD41" s="705">
        <v>142</v>
      </c>
      <c r="BE41" s="705">
        <v>126</v>
      </c>
      <c r="BF41" s="705">
        <v>114</v>
      </c>
      <c r="BG41" s="705">
        <v>115</v>
      </c>
      <c r="BH41" s="705">
        <v>127</v>
      </c>
      <c r="BI41" s="705">
        <v>133</v>
      </c>
      <c r="BJ41" s="705">
        <v>133</v>
      </c>
      <c r="BK41" s="705">
        <v>122</v>
      </c>
      <c r="BL41" s="851">
        <v>152</v>
      </c>
      <c r="BM41" s="1096">
        <v>157</v>
      </c>
      <c r="BN41" s="1097">
        <v>141</v>
      </c>
      <c r="BO41" s="1096">
        <v>125</v>
      </c>
      <c r="BP41" s="1969">
        <v>133</v>
      </c>
      <c r="BQ41" s="1096">
        <v>117</v>
      </c>
      <c r="BR41" s="2022">
        <v>121</v>
      </c>
      <c r="BS41" s="1006">
        <v>114</v>
      </c>
      <c r="BU41" s="2172">
        <f t="shared" si="20"/>
        <v>610</v>
      </c>
      <c r="BV41" s="2172">
        <f t="shared" si="21"/>
        <v>1746</v>
      </c>
      <c r="BW41" s="2173">
        <f t="shared" si="22"/>
        <v>0.34936998854524626</v>
      </c>
    </row>
    <row r="42" spans="1:75" s="49" customFormat="1" ht="13.5" customHeight="1" x14ac:dyDescent="0.3">
      <c r="A42" s="56" t="s">
        <v>95</v>
      </c>
      <c r="B42" s="84" t="s">
        <v>96</v>
      </c>
      <c r="C42" s="57" t="s">
        <v>253</v>
      </c>
      <c r="D42" s="1623">
        <f t="shared" si="23"/>
        <v>0.23243243243243245</v>
      </c>
      <c r="E42" s="1624">
        <f t="shared" si="24"/>
        <v>0.16167664670658682</v>
      </c>
      <c r="F42" s="1624">
        <f t="shared" si="25"/>
        <v>0.18719211822660098</v>
      </c>
      <c r="G42" s="1624">
        <f t="shared" si="26"/>
        <v>0.185</v>
      </c>
      <c r="H42" s="1624">
        <f t="shared" si="27"/>
        <v>0.17894736842105263</v>
      </c>
      <c r="I42" s="1624">
        <f t="shared" si="28"/>
        <v>0.14367816091954022</v>
      </c>
      <c r="J42" s="1624">
        <f t="shared" si="29"/>
        <v>0.20441988950276244</v>
      </c>
      <c r="K42" s="1624">
        <f t="shared" si="30"/>
        <v>0.17676767676767677</v>
      </c>
      <c r="L42" s="1624">
        <f t="shared" si="31"/>
        <v>0.22065727699530516</v>
      </c>
      <c r="M42" s="1624">
        <f t="shared" si="32"/>
        <v>0.19072164948453607</v>
      </c>
      <c r="N42" s="1624">
        <f t="shared" si="33"/>
        <v>0.22488038277511962</v>
      </c>
      <c r="O42" s="1624">
        <f t="shared" si="34"/>
        <v>0.20670391061452514</v>
      </c>
      <c r="P42" s="1624">
        <f t="shared" si="35"/>
        <v>0.24855491329479767</v>
      </c>
      <c r="Q42" s="1624">
        <f t="shared" si="36"/>
        <v>0.23841059602649006</v>
      </c>
      <c r="R42" s="1625">
        <f t="shared" si="37"/>
        <v>0.21818181818181817</v>
      </c>
      <c r="S42" s="1626">
        <f>'Non-marital births'!L43</f>
        <v>0.21546961325966851</v>
      </c>
      <c r="T42" s="1627">
        <v>0.31351351351351353</v>
      </c>
      <c r="U42" s="1628">
        <f t="shared" si="38"/>
        <v>0.27142857142857141</v>
      </c>
      <c r="V42" s="2018">
        <f t="shared" si="39"/>
        <v>0.25786163522012578</v>
      </c>
      <c r="W42" s="2018">
        <f t="shared" si="40"/>
        <v>0.24358974358974358</v>
      </c>
      <c r="X42" s="2013">
        <f t="shared" si="41"/>
        <v>0.26060606060606062</v>
      </c>
      <c r="Y42" s="2096">
        <f t="shared" si="19"/>
        <v>0.21546961325966851</v>
      </c>
      <c r="Z42" s="2096"/>
      <c r="AA42" s="681">
        <v>185</v>
      </c>
      <c r="AB42" s="682">
        <v>167</v>
      </c>
      <c r="AC42" s="683">
        <v>203</v>
      </c>
      <c r="AD42" s="682">
        <v>200</v>
      </c>
      <c r="AE42" s="683">
        <v>190</v>
      </c>
      <c r="AF42" s="682">
        <v>174</v>
      </c>
      <c r="AG42" s="683">
        <v>181</v>
      </c>
      <c r="AH42" s="682">
        <v>198</v>
      </c>
      <c r="AI42" s="696">
        <v>213</v>
      </c>
      <c r="AJ42" s="696">
        <v>194</v>
      </c>
      <c r="AK42" s="696">
        <v>209</v>
      </c>
      <c r="AL42" s="696">
        <v>179</v>
      </c>
      <c r="AM42" s="697">
        <v>173</v>
      </c>
      <c r="AN42" s="697">
        <v>151</v>
      </c>
      <c r="AO42" s="848">
        <v>165</v>
      </c>
      <c r="AP42" s="1095">
        <v>157</v>
      </c>
      <c r="AQ42" s="1608">
        <v>185</v>
      </c>
      <c r="AR42" s="1608">
        <v>140</v>
      </c>
      <c r="AS42" s="1971">
        <v>159</v>
      </c>
      <c r="AT42" s="1095">
        <v>156</v>
      </c>
      <c r="AU42" s="2020">
        <v>165</v>
      </c>
      <c r="AV42" s="1005">
        <v>181</v>
      </c>
      <c r="AW42" s="1005"/>
      <c r="AX42" s="704">
        <v>43</v>
      </c>
      <c r="AY42" s="705">
        <v>27</v>
      </c>
      <c r="AZ42" s="705">
        <v>38</v>
      </c>
      <c r="BA42" s="705">
        <v>37</v>
      </c>
      <c r="BB42" s="705">
        <v>34</v>
      </c>
      <c r="BC42" s="705">
        <v>25</v>
      </c>
      <c r="BD42" s="705">
        <v>37</v>
      </c>
      <c r="BE42" s="705">
        <v>35</v>
      </c>
      <c r="BF42" s="705">
        <v>47</v>
      </c>
      <c r="BG42" s="705">
        <v>37</v>
      </c>
      <c r="BH42" s="705">
        <v>47</v>
      </c>
      <c r="BI42" s="705">
        <v>37</v>
      </c>
      <c r="BJ42" s="705">
        <v>43</v>
      </c>
      <c r="BK42" s="705">
        <v>36</v>
      </c>
      <c r="BL42" s="851">
        <v>36</v>
      </c>
      <c r="BM42" s="1096">
        <v>37</v>
      </c>
      <c r="BN42" s="1097">
        <v>58</v>
      </c>
      <c r="BO42" s="1096">
        <v>38</v>
      </c>
      <c r="BP42" s="1969">
        <v>41</v>
      </c>
      <c r="BQ42" s="1096">
        <v>38</v>
      </c>
      <c r="BR42" s="2022">
        <v>43</v>
      </c>
      <c r="BS42" s="1006">
        <v>39</v>
      </c>
      <c r="BU42" s="2172">
        <f t="shared" si="20"/>
        <v>199</v>
      </c>
      <c r="BV42" s="2172">
        <f t="shared" si="21"/>
        <v>801</v>
      </c>
      <c r="BW42" s="2173">
        <f t="shared" si="22"/>
        <v>0.24843945068664169</v>
      </c>
    </row>
    <row r="43" spans="1:75" s="49" customFormat="1" ht="13.5" customHeight="1" x14ac:dyDescent="0.3">
      <c r="A43" s="56" t="s">
        <v>97</v>
      </c>
      <c r="B43" s="84" t="s">
        <v>98</v>
      </c>
      <c r="C43" s="57" t="s">
        <v>255</v>
      </c>
      <c r="D43" s="1623">
        <f t="shared" si="23"/>
        <v>0.27814569536423839</v>
      </c>
      <c r="E43" s="1624">
        <f t="shared" si="24"/>
        <v>0.25543478260869568</v>
      </c>
      <c r="F43" s="1624">
        <f t="shared" si="25"/>
        <v>0.22093023255813954</v>
      </c>
      <c r="G43" s="1624">
        <f t="shared" si="26"/>
        <v>0.22727272727272727</v>
      </c>
      <c r="H43" s="1624">
        <f t="shared" si="27"/>
        <v>0.25882352941176473</v>
      </c>
      <c r="I43" s="1624">
        <f t="shared" si="28"/>
        <v>0.28289473684210525</v>
      </c>
      <c r="J43" s="1624">
        <f t="shared" si="29"/>
        <v>0.3</v>
      </c>
      <c r="K43" s="1624">
        <f t="shared" si="30"/>
        <v>0.30821917808219179</v>
      </c>
      <c r="L43" s="1624">
        <f t="shared" si="31"/>
        <v>0.37267080745341613</v>
      </c>
      <c r="M43" s="1624">
        <f t="shared" si="32"/>
        <v>0.3503184713375796</v>
      </c>
      <c r="N43" s="1624">
        <f t="shared" si="33"/>
        <v>0.35256410256410259</v>
      </c>
      <c r="O43" s="1624">
        <f t="shared" si="34"/>
        <v>0.39344262295081966</v>
      </c>
      <c r="P43" s="1624">
        <f t="shared" si="35"/>
        <v>0.35971223021582732</v>
      </c>
      <c r="Q43" s="1624">
        <f t="shared" si="36"/>
        <v>0.45299145299145299</v>
      </c>
      <c r="R43" s="1625">
        <f t="shared" si="37"/>
        <v>0.40845070422535212</v>
      </c>
      <c r="S43" s="1626">
        <f>'Non-marital births'!L44</f>
        <v>0.47863247863247865</v>
      </c>
      <c r="T43" s="1627">
        <v>0.40425531914893614</v>
      </c>
      <c r="U43" s="1628">
        <f t="shared" si="38"/>
        <v>0.39568345323741005</v>
      </c>
      <c r="V43" s="2018">
        <f t="shared" si="39"/>
        <v>0.3728813559322034</v>
      </c>
      <c r="W43" s="2018">
        <f t="shared" si="40"/>
        <v>0.36885245901639346</v>
      </c>
      <c r="X43" s="2013">
        <f t="shared" si="41"/>
        <v>0.33076923076923076</v>
      </c>
      <c r="Y43" s="2096">
        <f t="shared" si="19"/>
        <v>0.47863247863247865</v>
      </c>
      <c r="Z43" s="2096"/>
      <c r="AA43" s="681">
        <v>151</v>
      </c>
      <c r="AB43" s="682">
        <v>184</v>
      </c>
      <c r="AC43" s="683">
        <v>172</v>
      </c>
      <c r="AD43" s="682">
        <v>154</v>
      </c>
      <c r="AE43" s="683">
        <v>170</v>
      </c>
      <c r="AF43" s="682">
        <v>152</v>
      </c>
      <c r="AG43" s="683">
        <v>130</v>
      </c>
      <c r="AH43" s="682">
        <v>146</v>
      </c>
      <c r="AI43" s="696">
        <v>161</v>
      </c>
      <c r="AJ43" s="696">
        <v>157</v>
      </c>
      <c r="AK43" s="696">
        <v>156</v>
      </c>
      <c r="AL43" s="696">
        <v>122</v>
      </c>
      <c r="AM43" s="697">
        <v>139</v>
      </c>
      <c r="AN43" s="697">
        <v>117</v>
      </c>
      <c r="AO43" s="848">
        <v>142</v>
      </c>
      <c r="AP43" s="1095">
        <v>166</v>
      </c>
      <c r="AQ43" s="1608">
        <v>141</v>
      </c>
      <c r="AR43" s="1608">
        <v>139</v>
      </c>
      <c r="AS43" s="1971">
        <v>118</v>
      </c>
      <c r="AT43" s="1095">
        <v>122</v>
      </c>
      <c r="AU43" s="2020">
        <v>130</v>
      </c>
      <c r="AV43" s="1005">
        <v>117</v>
      </c>
      <c r="AW43" s="1005"/>
      <c r="AX43" s="704">
        <v>42</v>
      </c>
      <c r="AY43" s="705">
        <v>47</v>
      </c>
      <c r="AZ43" s="705">
        <v>38</v>
      </c>
      <c r="BA43" s="705">
        <v>35</v>
      </c>
      <c r="BB43" s="705">
        <v>44</v>
      </c>
      <c r="BC43" s="705">
        <v>43</v>
      </c>
      <c r="BD43" s="705">
        <v>39</v>
      </c>
      <c r="BE43" s="705">
        <v>45</v>
      </c>
      <c r="BF43" s="705">
        <v>60</v>
      </c>
      <c r="BG43" s="705">
        <v>55</v>
      </c>
      <c r="BH43" s="705">
        <v>55</v>
      </c>
      <c r="BI43" s="705">
        <v>48</v>
      </c>
      <c r="BJ43" s="705">
        <v>50</v>
      </c>
      <c r="BK43" s="705">
        <v>53</v>
      </c>
      <c r="BL43" s="851">
        <v>58</v>
      </c>
      <c r="BM43" s="1096">
        <v>64</v>
      </c>
      <c r="BN43" s="1097">
        <v>57</v>
      </c>
      <c r="BO43" s="1096">
        <v>55</v>
      </c>
      <c r="BP43" s="1969">
        <v>44</v>
      </c>
      <c r="BQ43" s="1096">
        <v>45</v>
      </c>
      <c r="BR43" s="2022">
        <v>43</v>
      </c>
      <c r="BS43" s="1006">
        <v>56</v>
      </c>
      <c r="BU43" s="2172">
        <f t="shared" si="20"/>
        <v>243</v>
      </c>
      <c r="BV43" s="2172">
        <f t="shared" si="21"/>
        <v>626</v>
      </c>
      <c r="BW43" s="2173">
        <f t="shared" si="22"/>
        <v>0.38817891373801916</v>
      </c>
    </row>
    <row r="44" spans="1:75" s="49" customFormat="1" ht="13.5" customHeight="1" x14ac:dyDescent="0.3">
      <c r="A44" s="56" t="s">
        <v>99</v>
      </c>
      <c r="B44" s="84" t="s">
        <v>100</v>
      </c>
      <c r="C44" s="57" t="s">
        <v>254</v>
      </c>
      <c r="D44" s="1623">
        <f t="shared" si="23"/>
        <v>0.31578947368421051</v>
      </c>
      <c r="E44" s="1624">
        <f t="shared" si="24"/>
        <v>0.2551440329218107</v>
      </c>
      <c r="F44" s="1624">
        <f t="shared" si="25"/>
        <v>0.27555555555555555</v>
      </c>
      <c r="G44" s="1624">
        <f t="shared" si="26"/>
        <v>0.28455284552845528</v>
      </c>
      <c r="H44" s="1624">
        <f t="shared" si="27"/>
        <v>0.29795918367346941</v>
      </c>
      <c r="I44" s="1624">
        <f t="shared" si="28"/>
        <v>0.31349206349206349</v>
      </c>
      <c r="J44" s="1624">
        <f t="shared" si="29"/>
        <v>0.28897338403041822</v>
      </c>
      <c r="K44" s="1624">
        <f t="shared" si="30"/>
        <v>0.31851851851851853</v>
      </c>
      <c r="L44" s="1624">
        <f t="shared" si="31"/>
        <v>0.32974910394265233</v>
      </c>
      <c r="M44" s="1624">
        <f t="shared" si="32"/>
        <v>0.27536231884057971</v>
      </c>
      <c r="N44" s="1624">
        <f t="shared" si="33"/>
        <v>0.3510204081632653</v>
      </c>
      <c r="O44" s="1624">
        <f t="shared" si="34"/>
        <v>0.3543307086614173</v>
      </c>
      <c r="P44" s="1624">
        <f t="shared" si="35"/>
        <v>0.2831858407079646</v>
      </c>
      <c r="Q44" s="1624">
        <f t="shared" si="36"/>
        <v>0.35682819383259912</v>
      </c>
      <c r="R44" s="1625">
        <f t="shared" si="37"/>
        <v>0.36864406779661019</v>
      </c>
      <c r="S44" s="1626">
        <f>'Non-marital births'!L45</f>
        <v>0.33936651583710409</v>
      </c>
      <c r="T44" s="1627">
        <v>0.38181818181818183</v>
      </c>
      <c r="U44" s="1628">
        <f t="shared" si="38"/>
        <v>0.42079207920792078</v>
      </c>
      <c r="V44" s="2018">
        <f t="shared" si="39"/>
        <v>0.37610619469026546</v>
      </c>
      <c r="W44" s="2018">
        <f t="shared" si="40"/>
        <v>0.29310344827586204</v>
      </c>
      <c r="X44" s="2013">
        <f t="shared" si="41"/>
        <v>0.435</v>
      </c>
      <c r="Y44" s="2096">
        <f t="shared" si="19"/>
        <v>0.33936651583710409</v>
      </c>
      <c r="Z44" s="2096"/>
      <c r="AA44" s="681">
        <v>209</v>
      </c>
      <c r="AB44" s="682">
        <v>243</v>
      </c>
      <c r="AC44" s="683">
        <v>225</v>
      </c>
      <c r="AD44" s="682">
        <v>246</v>
      </c>
      <c r="AE44" s="683">
        <v>245</v>
      </c>
      <c r="AF44" s="682">
        <v>252</v>
      </c>
      <c r="AG44" s="683">
        <v>263</v>
      </c>
      <c r="AH44" s="682">
        <v>270</v>
      </c>
      <c r="AI44" s="696">
        <v>279</v>
      </c>
      <c r="AJ44" s="696">
        <v>276</v>
      </c>
      <c r="AK44" s="696">
        <v>245</v>
      </c>
      <c r="AL44" s="696">
        <v>254</v>
      </c>
      <c r="AM44" s="697">
        <v>226</v>
      </c>
      <c r="AN44" s="697">
        <v>227</v>
      </c>
      <c r="AO44" s="848">
        <v>236</v>
      </c>
      <c r="AP44" s="1095">
        <v>184</v>
      </c>
      <c r="AQ44" s="1608">
        <v>220</v>
      </c>
      <c r="AR44" s="1608">
        <v>202</v>
      </c>
      <c r="AS44" s="1971">
        <v>226</v>
      </c>
      <c r="AT44" s="1095">
        <v>232</v>
      </c>
      <c r="AU44" s="2020">
        <v>200</v>
      </c>
      <c r="AV44" s="1005">
        <v>221</v>
      </c>
      <c r="AW44" s="1005"/>
      <c r="AX44" s="704">
        <v>66</v>
      </c>
      <c r="AY44" s="705">
        <v>62</v>
      </c>
      <c r="AZ44" s="705">
        <v>62</v>
      </c>
      <c r="BA44" s="705">
        <v>70</v>
      </c>
      <c r="BB44" s="705">
        <v>73</v>
      </c>
      <c r="BC44" s="705">
        <v>79</v>
      </c>
      <c r="BD44" s="705">
        <v>76</v>
      </c>
      <c r="BE44" s="705">
        <v>86</v>
      </c>
      <c r="BF44" s="705">
        <v>92</v>
      </c>
      <c r="BG44" s="705">
        <v>76</v>
      </c>
      <c r="BH44" s="705">
        <v>86</v>
      </c>
      <c r="BI44" s="705">
        <v>90</v>
      </c>
      <c r="BJ44" s="705">
        <v>64</v>
      </c>
      <c r="BK44" s="705">
        <v>81</v>
      </c>
      <c r="BL44" s="851">
        <v>87</v>
      </c>
      <c r="BM44" s="1096">
        <v>61</v>
      </c>
      <c r="BN44" s="1097">
        <v>84</v>
      </c>
      <c r="BO44" s="1096">
        <v>85</v>
      </c>
      <c r="BP44" s="1969">
        <v>85</v>
      </c>
      <c r="BQ44" s="1096">
        <v>68</v>
      </c>
      <c r="BR44" s="2022">
        <v>87</v>
      </c>
      <c r="BS44" s="1006">
        <v>75</v>
      </c>
      <c r="BU44" s="2172">
        <f t="shared" si="20"/>
        <v>400</v>
      </c>
      <c r="BV44" s="2172">
        <f t="shared" si="21"/>
        <v>1081</v>
      </c>
      <c r="BW44" s="2173">
        <f t="shared" si="22"/>
        <v>0.37002775208140609</v>
      </c>
    </row>
    <row r="45" spans="1:75" s="49" customFormat="1" ht="13.5" customHeight="1" x14ac:dyDescent="0.3">
      <c r="A45" s="56" t="s">
        <v>101</v>
      </c>
      <c r="B45" s="84" t="s">
        <v>263</v>
      </c>
      <c r="C45" s="57" t="s">
        <v>251</v>
      </c>
      <c r="D45" s="1623">
        <f t="shared" si="23"/>
        <v>0.54761904761904767</v>
      </c>
      <c r="E45" s="1624">
        <f t="shared" si="24"/>
        <v>0.58139534883720934</v>
      </c>
      <c r="F45" s="1624">
        <f t="shared" si="25"/>
        <v>0.5759162303664922</v>
      </c>
      <c r="G45" s="1624">
        <f t="shared" si="26"/>
        <v>0.60621761658031093</v>
      </c>
      <c r="H45" s="1624">
        <f t="shared" si="27"/>
        <v>0.60784313725490191</v>
      </c>
      <c r="I45" s="1624">
        <f t="shared" si="28"/>
        <v>0.53723404255319152</v>
      </c>
      <c r="J45" s="1624">
        <f t="shared" si="29"/>
        <v>0.5935828877005348</v>
      </c>
      <c r="K45" s="1624">
        <f t="shared" si="30"/>
        <v>0.64766839378238339</v>
      </c>
      <c r="L45" s="1624">
        <f t="shared" si="31"/>
        <v>0.64423076923076927</v>
      </c>
      <c r="M45" s="1624">
        <f t="shared" si="32"/>
        <v>0.67500000000000004</v>
      </c>
      <c r="N45" s="1624">
        <f t="shared" si="33"/>
        <v>0.71627906976744182</v>
      </c>
      <c r="O45" s="1624">
        <f t="shared" si="34"/>
        <v>0.69090909090909092</v>
      </c>
      <c r="P45" s="1624">
        <f t="shared" si="35"/>
        <v>0.67597765363128492</v>
      </c>
      <c r="Q45" s="1624">
        <f t="shared" si="36"/>
        <v>0.72222222222222221</v>
      </c>
      <c r="R45" s="1625">
        <f t="shared" si="37"/>
        <v>0.71604938271604934</v>
      </c>
      <c r="S45" s="1626">
        <f>'Non-marital births'!L46</f>
        <v>0.7078651685393258</v>
      </c>
      <c r="T45" s="1627">
        <v>0.7231638418079096</v>
      </c>
      <c r="U45" s="1628">
        <f t="shared" si="38"/>
        <v>0.71186440677966101</v>
      </c>
      <c r="V45" s="2018">
        <f t="shared" si="39"/>
        <v>0.64088397790055252</v>
      </c>
      <c r="W45" s="2018">
        <f t="shared" si="40"/>
        <v>0.71951219512195119</v>
      </c>
      <c r="X45" s="2013">
        <f t="shared" si="41"/>
        <v>0.58152173913043481</v>
      </c>
      <c r="Y45" s="2096">
        <f t="shared" si="19"/>
        <v>0.7078651685393258</v>
      </c>
      <c r="Z45" s="2096"/>
      <c r="AA45" s="681">
        <v>168</v>
      </c>
      <c r="AB45" s="682">
        <v>172</v>
      </c>
      <c r="AC45" s="683">
        <v>191</v>
      </c>
      <c r="AD45" s="682">
        <v>193</v>
      </c>
      <c r="AE45" s="683">
        <v>204</v>
      </c>
      <c r="AF45" s="682">
        <v>188</v>
      </c>
      <c r="AG45" s="683">
        <v>187</v>
      </c>
      <c r="AH45" s="682">
        <v>193</v>
      </c>
      <c r="AI45" s="696">
        <v>208</v>
      </c>
      <c r="AJ45" s="696">
        <v>200</v>
      </c>
      <c r="AK45" s="696">
        <v>215</v>
      </c>
      <c r="AL45" s="696">
        <v>165</v>
      </c>
      <c r="AM45" s="697">
        <v>179</v>
      </c>
      <c r="AN45" s="697">
        <v>180</v>
      </c>
      <c r="AO45" s="848">
        <v>162</v>
      </c>
      <c r="AP45" s="1095">
        <v>178</v>
      </c>
      <c r="AQ45" s="1608">
        <v>177</v>
      </c>
      <c r="AR45" s="1608">
        <v>177</v>
      </c>
      <c r="AS45" s="1971">
        <v>181</v>
      </c>
      <c r="AT45" s="1095">
        <v>164</v>
      </c>
      <c r="AU45" s="2020">
        <v>184</v>
      </c>
      <c r="AV45" s="1005">
        <v>178</v>
      </c>
      <c r="AW45" s="1005"/>
      <c r="AX45" s="704">
        <v>92</v>
      </c>
      <c r="AY45" s="705">
        <v>100</v>
      </c>
      <c r="AZ45" s="705">
        <v>110</v>
      </c>
      <c r="BA45" s="705">
        <v>117</v>
      </c>
      <c r="BB45" s="705">
        <v>124</v>
      </c>
      <c r="BC45" s="705">
        <v>101</v>
      </c>
      <c r="BD45" s="705">
        <v>111</v>
      </c>
      <c r="BE45" s="705">
        <v>125</v>
      </c>
      <c r="BF45" s="705">
        <v>134</v>
      </c>
      <c r="BG45" s="705">
        <v>135</v>
      </c>
      <c r="BH45" s="705">
        <v>154</v>
      </c>
      <c r="BI45" s="705">
        <v>114</v>
      </c>
      <c r="BJ45" s="705">
        <v>121</v>
      </c>
      <c r="BK45" s="705">
        <v>130</v>
      </c>
      <c r="BL45" s="851">
        <v>116</v>
      </c>
      <c r="BM45" s="1096">
        <v>127</v>
      </c>
      <c r="BN45" s="1097">
        <v>128</v>
      </c>
      <c r="BO45" s="1096">
        <v>126</v>
      </c>
      <c r="BP45" s="1969">
        <v>116</v>
      </c>
      <c r="BQ45" s="1096">
        <v>118</v>
      </c>
      <c r="BR45" s="2022">
        <v>107</v>
      </c>
      <c r="BS45" s="1006">
        <v>126</v>
      </c>
      <c r="BU45" s="2172">
        <f t="shared" si="20"/>
        <v>593</v>
      </c>
      <c r="BV45" s="2172">
        <f t="shared" si="21"/>
        <v>884</v>
      </c>
      <c r="BW45" s="2173">
        <f t="shared" si="22"/>
        <v>0.670814479638009</v>
      </c>
    </row>
    <row r="46" spans="1:75" s="49" customFormat="1" ht="13.5" customHeight="1" x14ac:dyDescent="0.3">
      <c r="A46" s="56" t="s">
        <v>103</v>
      </c>
      <c r="B46" s="84" t="s">
        <v>104</v>
      </c>
      <c r="C46" s="57" t="s">
        <v>252</v>
      </c>
      <c r="D46" s="1623">
        <f t="shared" si="23"/>
        <v>0.42499999999999999</v>
      </c>
      <c r="E46" s="1624">
        <f t="shared" si="24"/>
        <v>0.45617977528089887</v>
      </c>
      <c r="F46" s="1624">
        <f t="shared" si="25"/>
        <v>0.43128964059196617</v>
      </c>
      <c r="G46" s="1624">
        <f t="shared" si="26"/>
        <v>0.42417061611374407</v>
      </c>
      <c r="H46" s="1624">
        <f t="shared" si="27"/>
        <v>0.43467933491686461</v>
      </c>
      <c r="I46" s="1624">
        <f t="shared" si="28"/>
        <v>0.42141230068337132</v>
      </c>
      <c r="J46" s="1624">
        <f t="shared" si="29"/>
        <v>0.49746192893401014</v>
      </c>
      <c r="K46" s="1624">
        <f t="shared" si="30"/>
        <v>0.44139650872817954</v>
      </c>
      <c r="L46" s="1624">
        <f t="shared" si="31"/>
        <v>0.46616541353383456</v>
      </c>
      <c r="M46" s="1624">
        <f t="shared" si="32"/>
        <v>0.5178997613365155</v>
      </c>
      <c r="N46" s="1624">
        <f t="shared" si="33"/>
        <v>0.50129198966408273</v>
      </c>
      <c r="O46" s="1624">
        <f t="shared" si="34"/>
        <v>0.4845360824742268</v>
      </c>
      <c r="P46" s="1624">
        <f t="shared" si="35"/>
        <v>0.50684931506849318</v>
      </c>
      <c r="Q46" s="1624">
        <f t="shared" si="36"/>
        <v>0.49683544303797467</v>
      </c>
      <c r="R46" s="1625">
        <f t="shared" si="37"/>
        <v>0.50733137829912023</v>
      </c>
      <c r="S46" s="1626">
        <f>'Non-marital births'!L47</f>
        <v>0.54918032786885251</v>
      </c>
      <c r="T46" s="1627">
        <v>0.52777777777777779</v>
      </c>
      <c r="U46" s="1628">
        <f t="shared" si="38"/>
        <v>0.49622166246851385</v>
      </c>
      <c r="V46" s="2018">
        <f t="shared" si="39"/>
        <v>0.50943396226415094</v>
      </c>
      <c r="W46" s="2018">
        <f t="shared" si="40"/>
        <v>0.51474530831099197</v>
      </c>
      <c r="X46" s="2013">
        <f t="shared" si="41"/>
        <v>0.55523255813953487</v>
      </c>
      <c r="Y46" s="2096">
        <f t="shared" si="19"/>
        <v>0.54918032786885251</v>
      </c>
      <c r="Z46" s="2096"/>
      <c r="AA46" s="681">
        <v>440</v>
      </c>
      <c r="AB46" s="682">
        <v>445</v>
      </c>
      <c r="AC46" s="683">
        <v>473</v>
      </c>
      <c r="AD46" s="682">
        <v>422</v>
      </c>
      <c r="AE46" s="683">
        <v>421</v>
      </c>
      <c r="AF46" s="682">
        <v>439</v>
      </c>
      <c r="AG46" s="683">
        <v>394</v>
      </c>
      <c r="AH46" s="682">
        <v>401</v>
      </c>
      <c r="AI46" s="696">
        <v>399</v>
      </c>
      <c r="AJ46" s="696">
        <v>419</v>
      </c>
      <c r="AK46" s="696">
        <v>387</v>
      </c>
      <c r="AL46" s="696">
        <v>388</v>
      </c>
      <c r="AM46" s="697">
        <v>365</v>
      </c>
      <c r="AN46" s="697">
        <v>316</v>
      </c>
      <c r="AO46" s="848">
        <v>341</v>
      </c>
      <c r="AP46" s="1095">
        <v>369</v>
      </c>
      <c r="AQ46" s="1608">
        <v>360</v>
      </c>
      <c r="AR46" s="1608">
        <v>397</v>
      </c>
      <c r="AS46" s="1971">
        <v>371</v>
      </c>
      <c r="AT46" s="1095">
        <v>373</v>
      </c>
      <c r="AU46" s="2020">
        <v>344</v>
      </c>
      <c r="AV46" s="1005">
        <v>366</v>
      </c>
      <c r="AW46" s="1005"/>
      <c r="AX46" s="704">
        <v>187</v>
      </c>
      <c r="AY46" s="705">
        <v>203</v>
      </c>
      <c r="AZ46" s="705">
        <v>204</v>
      </c>
      <c r="BA46" s="705">
        <v>179</v>
      </c>
      <c r="BB46" s="705">
        <v>183</v>
      </c>
      <c r="BC46" s="705">
        <v>185</v>
      </c>
      <c r="BD46" s="705">
        <v>196</v>
      </c>
      <c r="BE46" s="705">
        <v>177</v>
      </c>
      <c r="BF46" s="705">
        <v>186</v>
      </c>
      <c r="BG46" s="705">
        <v>217</v>
      </c>
      <c r="BH46" s="705">
        <v>194</v>
      </c>
      <c r="BI46" s="705">
        <v>188</v>
      </c>
      <c r="BJ46" s="705">
        <v>185</v>
      </c>
      <c r="BK46" s="705">
        <v>157</v>
      </c>
      <c r="BL46" s="851">
        <v>173</v>
      </c>
      <c r="BM46" s="1096">
        <v>197</v>
      </c>
      <c r="BN46" s="1097">
        <v>190</v>
      </c>
      <c r="BO46" s="1096">
        <v>197</v>
      </c>
      <c r="BP46" s="1969">
        <v>189</v>
      </c>
      <c r="BQ46" s="1096">
        <v>192</v>
      </c>
      <c r="BR46" s="2022">
        <v>191</v>
      </c>
      <c r="BS46" s="1006">
        <v>201</v>
      </c>
      <c r="BU46" s="2172">
        <f t="shared" si="20"/>
        <v>970</v>
      </c>
      <c r="BV46" s="2172">
        <f t="shared" si="21"/>
        <v>1851</v>
      </c>
      <c r="BW46" s="2173">
        <f t="shared" si="22"/>
        <v>0.52404105888708807</v>
      </c>
    </row>
    <row r="47" spans="1:75" s="49" customFormat="1" ht="13.5" customHeight="1" x14ac:dyDescent="0.3">
      <c r="A47" s="56" t="s">
        <v>107</v>
      </c>
      <c r="B47" s="84" t="s">
        <v>108</v>
      </c>
      <c r="C47" s="57" t="s">
        <v>253</v>
      </c>
      <c r="D47" s="1623">
        <f t="shared" si="23"/>
        <v>0.15438247011952191</v>
      </c>
      <c r="E47" s="1624">
        <f t="shared" si="24"/>
        <v>0.14336598397150491</v>
      </c>
      <c r="F47" s="1624">
        <f t="shared" si="25"/>
        <v>0.15660377358490565</v>
      </c>
      <c r="G47" s="1624">
        <f t="shared" si="26"/>
        <v>0.15032080659945005</v>
      </c>
      <c r="H47" s="1624">
        <f t="shared" si="27"/>
        <v>0.16744621141253507</v>
      </c>
      <c r="I47" s="1624">
        <f t="shared" si="28"/>
        <v>0.16180620884289745</v>
      </c>
      <c r="J47" s="1624">
        <f t="shared" si="29"/>
        <v>0.16887709991158267</v>
      </c>
      <c r="K47" s="1624">
        <f t="shared" si="30"/>
        <v>0.19733079122974262</v>
      </c>
      <c r="L47" s="1624">
        <f t="shared" si="31"/>
        <v>0.20181818181818181</v>
      </c>
      <c r="M47" s="1624">
        <f t="shared" si="32"/>
        <v>0.22609561752988047</v>
      </c>
      <c r="N47" s="1624">
        <f t="shared" si="33"/>
        <v>0.24031007751937986</v>
      </c>
      <c r="O47" s="1624">
        <f t="shared" si="34"/>
        <v>0.27835051546391754</v>
      </c>
      <c r="P47" s="1624">
        <f t="shared" si="35"/>
        <v>0.28540305010893247</v>
      </c>
      <c r="Q47" s="1624">
        <f t="shared" si="36"/>
        <v>0.27023945267958949</v>
      </c>
      <c r="R47" s="1625">
        <f t="shared" si="37"/>
        <v>0.26480836236933797</v>
      </c>
      <c r="S47" s="1626">
        <f>'Non-marital births'!L48</f>
        <v>0.25053533190578159</v>
      </c>
      <c r="T47" s="1627">
        <v>0.26602564102564102</v>
      </c>
      <c r="U47" s="1628">
        <f t="shared" si="38"/>
        <v>0.27536231884057971</v>
      </c>
      <c r="V47" s="2018">
        <f t="shared" si="39"/>
        <v>0.22292993630573249</v>
      </c>
      <c r="W47" s="2018">
        <f t="shared" si="40"/>
        <v>0.26886291179596172</v>
      </c>
      <c r="X47" s="2013">
        <f t="shared" si="41"/>
        <v>0.24395373291272346</v>
      </c>
      <c r="Y47" s="2096">
        <f t="shared" si="19"/>
        <v>0.25053533190578159</v>
      </c>
      <c r="Z47" s="2096"/>
      <c r="AA47" s="681">
        <v>1004</v>
      </c>
      <c r="AB47" s="682">
        <v>1123</v>
      </c>
      <c r="AC47" s="683">
        <v>1060</v>
      </c>
      <c r="AD47" s="682">
        <v>1091</v>
      </c>
      <c r="AE47" s="683">
        <v>1069</v>
      </c>
      <c r="AF47" s="682">
        <v>1063</v>
      </c>
      <c r="AG47" s="683">
        <v>1131</v>
      </c>
      <c r="AH47" s="682">
        <v>1049</v>
      </c>
      <c r="AI47" s="696">
        <v>1100</v>
      </c>
      <c r="AJ47" s="696">
        <v>1004</v>
      </c>
      <c r="AK47" s="696">
        <v>1032</v>
      </c>
      <c r="AL47" s="696">
        <v>970</v>
      </c>
      <c r="AM47" s="697">
        <v>918</v>
      </c>
      <c r="AN47" s="697">
        <v>877</v>
      </c>
      <c r="AO47" s="848">
        <v>861</v>
      </c>
      <c r="AP47" s="1095">
        <v>875</v>
      </c>
      <c r="AQ47" s="1608">
        <v>936</v>
      </c>
      <c r="AR47" s="1608">
        <v>966</v>
      </c>
      <c r="AS47" s="1971">
        <v>942</v>
      </c>
      <c r="AT47" s="1095">
        <v>941</v>
      </c>
      <c r="AU47" s="2020">
        <v>951</v>
      </c>
      <c r="AV47" s="1005">
        <v>934</v>
      </c>
      <c r="AW47" s="1005"/>
      <c r="AX47" s="704">
        <v>155</v>
      </c>
      <c r="AY47" s="705">
        <v>161</v>
      </c>
      <c r="AZ47" s="705">
        <v>166</v>
      </c>
      <c r="BA47" s="705">
        <v>164</v>
      </c>
      <c r="BB47" s="705">
        <v>179</v>
      </c>
      <c r="BC47" s="705">
        <v>172</v>
      </c>
      <c r="BD47" s="705">
        <v>191</v>
      </c>
      <c r="BE47" s="705">
        <v>207</v>
      </c>
      <c r="BF47" s="705">
        <v>222</v>
      </c>
      <c r="BG47" s="705">
        <v>227</v>
      </c>
      <c r="BH47" s="705">
        <v>248</v>
      </c>
      <c r="BI47" s="705">
        <v>270</v>
      </c>
      <c r="BJ47" s="705">
        <v>262</v>
      </c>
      <c r="BK47" s="705">
        <v>237</v>
      </c>
      <c r="BL47" s="851">
        <v>228</v>
      </c>
      <c r="BM47" s="1096">
        <v>241</v>
      </c>
      <c r="BN47" s="1097">
        <v>249</v>
      </c>
      <c r="BO47" s="1096">
        <v>266</v>
      </c>
      <c r="BP47" s="1969">
        <v>210</v>
      </c>
      <c r="BQ47" s="1096">
        <v>253</v>
      </c>
      <c r="BR47" s="2022">
        <v>232</v>
      </c>
      <c r="BS47" s="1006">
        <v>234</v>
      </c>
      <c r="BU47" s="2172">
        <f t="shared" si="20"/>
        <v>1195</v>
      </c>
      <c r="BV47" s="2172">
        <f t="shared" si="21"/>
        <v>4734</v>
      </c>
      <c r="BW47" s="2173">
        <f t="shared" si="22"/>
        <v>0.25242923531896916</v>
      </c>
    </row>
    <row r="48" spans="1:75" s="49" customFormat="1" ht="13.5" customHeight="1" x14ac:dyDescent="0.3">
      <c r="A48" s="56" t="s">
        <v>109</v>
      </c>
      <c r="B48" s="84" t="s">
        <v>110</v>
      </c>
      <c r="C48" s="57" t="s">
        <v>253</v>
      </c>
      <c r="D48" s="1623">
        <f t="shared" si="23"/>
        <v>0.28970380818053598</v>
      </c>
      <c r="E48" s="1624">
        <f t="shared" si="24"/>
        <v>0.26224545954870665</v>
      </c>
      <c r="F48" s="1624">
        <f t="shared" si="25"/>
        <v>0.27648648648648649</v>
      </c>
      <c r="G48" s="1624">
        <f t="shared" si="26"/>
        <v>0.26748740906547286</v>
      </c>
      <c r="H48" s="1624">
        <f t="shared" si="27"/>
        <v>0.27950310559006208</v>
      </c>
      <c r="I48" s="1624">
        <f t="shared" si="28"/>
        <v>0.30042918454935624</v>
      </c>
      <c r="J48" s="1624">
        <f t="shared" si="29"/>
        <v>0.30220197418375094</v>
      </c>
      <c r="K48" s="1624">
        <f t="shared" si="30"/>
        <v>0.32235236700829673</v>
      </c>
      <c r="L48" s="1624">
        <f t="shared" si="31"/>
        <v>0.33220502901353965</v>
      </c>
      <c r="M48" s="1624">
        <f t="shared" si="32"/>
        <v>0.33626159102000974</v>
      </c>
      <c r="N48" s="1624">
        <f t="shared" si="33"/>
        <v>0.37133550488599348</v>
      </c>
      <c r="O48" s="1624">
        <f t="shared" si="34"/>
        <v>0.35633871757219776</v>
      </c>
      <c r="P48" s="1624">
        <f t="shared" si="35"/>
        <v>0.34910025706940873</v>
      </c>
      <c r="Q48" s="1624">
        <f t="shared" si="36"/>
        <v>0.34374206651434375</v>
      </c>
      <c r="R48" s="1625">
        <f t="shared" si="37"/>
        <v>0.34996220710506426</v>
      </c>
      <c r="S48" s="1626">
        <f>'Non-marital births'!L49</f>
        <v>0.33991880920162382</v>
      </c>
      <c r="T48" s="1627">
        <v>0.34326520561438068</v>
      </c>
      <c r="U48" s="1628">
        <f t="shared" si="38"/>
        <v>0.32006010518407213</v>
      </c>
      <c r="V48" s="2018">
        <f t="shared" si="39"/>
        <v>0.3588310038119441</v>
      </c>
      <c r="W48" s="2018">
        <f t="shared" si="40"/>
        <v>0.32034073309241096</v>
      </c>
      <c r="X48" s="2013">
        <f t="shared" si="41"/>
        <v>0.33776867963152507</v>
      </c>
      <c r="Y48" s="2096">
        <f t="shared" si="19"/>
        <v>0.33991880920162382</v>
      </c>
      <c r="Z48" s="2096"/>
      <c r="AA48" s="681">
        <v>3545</v>
      </c>
      <c r="AB48" s="682">
        <v>3634</v>
      </c>
      <c r="AC48" s="683">
        <v>3700</v>
      </c>
      <c r="AD48" s="682">
        <v>3574</v>
      </c>
      <c r="AE48" s="683">
        <v>3703</v>
      </c>
      <c r="AF48" s="682">
        <v>3728</v>
      </c>
      <c r="AG48" s="683">
        <v>3951</v>
      </c>
      <c r="AH48" s="682">
        <v>4098</v>
      </c>
      <c r="AI48" s="696">
        <v>4136</v>
      </c>
      <c r="AJ48" s="696">
        <v>4098</v>
      </c>
      <c r="AK48" s="696">
        <v>3991</v>
      </c>
      <c r="AL48" s="696">
        <v>4086</v>
      </c>
      <c r="AM48" s="697">
        <v>3890</v>
      </c>
      <c r="AN48" s="697">
        <v>3939</v>
      </c>
      <c r="AO48" s="848">
        <v>3969</v>
      </c>
      <c r="AP48" s="1095">
        <v>3900</v>
      </c>
      <c r="AQ48" s="1608">
        <v>4061</v>
      </c>
      <c r="AR48" s="1608">
        <v>3993</v>
      </c>
      <c r="AS48" s="1971">
        <v>3935</v>
      </c>
      <c r="AT48" s="1095">
        <v>3874</v>
      </c>
      <c r="AU48" s="2020">
        <v>3908</v>
      </c>
      <c r="AV48" s="1005">
        <v>3695</v>
      </c>
      <c r="AW48" s="1005"/>
      <c r="AX48" s="704">
        <v>1027</v>
      </c>
      <c r="AY48" s="705">
        <v>953</v>
      </c>
      <c r="AZ48" s="705">
        <v>1023</v>
      </c>
      <c r="BA48" s="705">
        <v>956</v>
      </c>
      <c r="BB48" s="705">
        <v>1035</v>
      </c>
      <c r="BC48" s="705">
        <v>1120</v>
      </c>
      <c r="BD48" s="705">
        <v>1194</v>
      </c>
      <c r="BE48" s="705">
        <v>1321</v>
      </c>
      <c r="BF48" s="705">
        <v>1374</v>
      </c>
      <c r="BG48" s="705">
        <v>1378</v>
      </c>
      <c r="BH48" s="705">
        <v>1482</v>
      </c>
      <c r="BI48" s="705">
        <v>1456</v>
      </c>
      <c r="BJ48" s="705">
        <v>1358</v>
      </c>
      <c r="BK48" s="705">
        <v>1354</v>
      </c>
      <c r="BL48" s="851">
        <v>1389</v>
      </c>
      <c r="BM48" s="1096">
        <v>1320</v>
      </c>
      <c r="BN48" s="1097">
        <v>1394</v>
      </c>
      <c r="BO48" s="1096">
        <v>1278</v>
      </c>
      <c r="BP48" s="1969">
        <v>1412</v>
      </c>
      <c r="BQ48" s="1096">
        <v>1241</v>
      </c>
      <c r="BR48" s="2022">
        <v>1320</v>
      </c>
      <c r="BS48" s="1006">
        <v>1256</v>
      </c>
      <c r="BU48" s="2172">
        <f t="shared" si="20"/>
        <v>6507</v>
      </c>
      <c r="BV48" s="2172">
        <f t="shared" si="21"/>
        <v>19405</v>
      </c>
      <c r="BW48" s="2173">
        <f t="shared" si="22"/>
        <v>0.33532594692089668</v>
      </c>
    </row>
    <row r="49" spans="1:75" s="49" customFormat="1" ht="13.5" customHeight="1" x14ac:dyDescent="0.3">
      <c r="A49" s="56" t="s">
        <v>111</v>
      </c>
      <c r="B49" s="84" t="s">
        <v>275</v>
      </c>
      <c r="C49" s="57" t="s">
        <v>252</v>
      </c>
      <c r="D49" s="1623">
        <f t="shared" si="23"/>
        <v>0.4017857142857143</v>
      </c>
      <c r="E49" s="1624">
        <f t="shared" si="24"/>
        <v>0.41112454655380892</v>
      </c>
      <c r="F49" s="1624">
        <f t="shared" si="25"/>
        <v>0.4087256027554535</v>
      </c>
      <c r="G49" s="1624">
        <f t="shared" si="26"/>
        <v>0.42401960784313725</v>
      </c>
      <c r="H49" s="1624">
        <f t="shared" si="27"/>
        <v>0.44121365360303416</v>
      </c>
      <c r="I49" s="1624">
        <f t="shared" si="28"/>
        <v>0.48616600790513836</v>
      </c>
      <c r="J49" s="1624">
        <f t="shared" si="29"/>
        <v>0.52631578947368418</v>
      </c>
      <c r="K49" s="1624">
        <f t="shared" si="30"/>
        <v>0.52509652509652505</v>
      </c>
      <c r="L49" s="1624">
        <f t="shared" si="31"/>
        <v>0.54631828978622332</v>
      </c>
      <c r="M49" s="1624">
        <f t="shared" si="32"/>
        <v>0.54285714285714282</v>
      </c>
      <c r="N49" s="1624">
        <f t="shared" si="33"/>
        <v>0.53799019607843135</v>
      </c>
      <c r="O49" s="1624">
        <f t="shared" si="34"/>
        <v>0.56824146981627299</v>
      </c>
      <c r="P49" s="1624">
        <f t="shared" si="35"/>
        <v>0.57786885245901642</v>
      </c>
      <c r="Q49" s="1624">
        <f t="shared" si="36"/>
        <v>0.57199999999999995</v>
      </c>
      <c r="R49" s="1625">
        <f t="shared" si="37"/>
        <v>0.54758418740849191</v>
      </c>
      <c r="S49" s="1626">
        <f>'Non-marital births'!L50</f>
        <v>0.55993930197268593</v>
      </c>
      <c r="T49" s="1627">
        <v>0.56980519480519476</v>
      </c>
      <c r="U49" s="1628">
        <f t="shared" si="38"/>
        <v>0.56546762589928057</v>
      </c>
      <c r="V49" s="2018">
        <f t="shared" si="39"/>
        <v>0.51583710407239824</v>
      </c>
      <c r="W49" s="2018">
        <f t="shared" si="40"/>
        <v>0.58695652173913049</v>
      </c>
      <c r="X49" s="2013">
        <f t="shared" si="41"/>
        <v>0.42786069651741293</v>
      </c>
      <c r="Y49" s="2096">
        <f t="shared" si="19"/>
        <v>0.55993930197268593</v>
      </c>
      <c r="Z49" s="2096"/>
      <c r="AA49" s="681">
        <v>784</v>
      </c>
      <c r="AB49" s="682">
        <v>827</v>
      </c>
      <c r="AC49" s="683">
        <v>871</v>
      </c>
      <c r="AD49" s="682">
        <v>816</v>
      </c>
      <c r="AE49" s="683">
        <v>791</v>
      </c>
      <c r="AF49" s="682">
        <v>759</v>
      </c>
      <c r="AG49" s="683">
        <v>760</v>
      </c>
      <c r="AH49" s="682">
        <v>777</v>
      </c>
      <c r="AI49" s="696">
        <v>842</v>
      </c>
      <c r="AJ49" s="696">
        <v>840</v>
      </c>
      <c r="AK49" s="696">
        <v>816</v>
      </c>
      <c r="AL49" s="696">
        <v>762</v>
      </c>
      <c r="AM49" s="697">
        <v>732</v>
      </c>
      <c r="AN49" s="697">
        <v>750</v>
      </c>
      <c r="AO49" s="848">
        <v>683</v>
      </c>
      <c r="AP49" s="1095">
        <v>704</v>
      </c>
      <c r="AQ49" s="1608">
        <v>616</v>
      </c>
      <c r="AR49" s="1608">
        <v>695</v>
      </c>
      <c r="AS49" s="1971">
        <v>663</v>
      </c>
      <c r="AT49" s="1095">
        <v>598</v>
      </c>
      <c r="AU49" s="2020">
        <v>603</v>
      </c>
      <c r="AV49" s="1005">
        <v>659</v>
      </c>
      <c r="AW49" s="1005"/>
      <c r="AX49" s="704">
        <v>315</v>
      </c>
      <c r="AY49" s="705">
        <v>340</v>
      </c>
      <c r="AZ49" s="705">
        <v>356</v>
      </c>
      <c r="BA49" s="705">
        <v>346</v>
      </c>
      <c r="BB49" s="705">
        <v>349</v>
      </c>
      <c r="BC49" s="705">
        <v>369</v>
      </c>
      <c r="BD49" s="705">
        <v>400</v>
      </c>
      <c r="BE49" s="705">
        <v>408</v>
      </c>
      <c r="BF49" s="705">
        <v>460</v>
      </c>
      <c r="BG49" s="705">
        <v>456</v>
      </c>
      <c r="BH49" s="705">
        <v>439</v>
      </c>
      <c r="BI49" s="705">
        <v>433</v>
      </c>
      <c r="BJ49" s="705">
        <v>423</v>
      </c>
      <c r="BK49" s="705">
        <v>429</v>
      </c>
      <c r="BL49" s="851">
        <v>374</v>
      </c>
      <c r="BM49" s="1096">
        <v>400</v>
      </c>
      <c r="BN49" s="1097">
        <v>351</v>
      </c>
      <c r="BO49" s="1096">
        <v>393</v>
      </c>
      <c r="BP49" s="1969">
        <v>342</v>
      </c>
      <c r="BQ49" s="1096">
        <v>351</v>
      </c>
      <c r="BR49" s="2022">
        <v>258</v>
      </c>
      <c r="BS49" s="1006">
        <v>369</v>
      </c>
      <c r="BU49" s="2172">
        <f t="shared" si="20"/>
        <v>1713</v>
      </c>
      <c r="BV49" s="2172">
        <f t="shared" si="21"/>
        <v>3218</v>
      </c>
      <c r="BW49" s="2173">
        <f t="shared" si="22"/>
        <v>0.53231821006836544</v>
      </c>
    </row>
    <row r="50" spans="1:75" s="49" customFormat="1" ht="13.5" customHeight="1" x14ac:dyDescent="0.3">
      <c r="A50" s="56" t="s">
        <v>113</v>
      </c>
      <c r="B50" s="84" t="s">
        <v>114</v>
      </c>
      <c r="C50" s="57" t="s">
        <v>252</v>
      </c>
      <c r="D50" s="1623">
        <f t="shared" si="23"/>
        <v>0.18181818181818182</v>
      </c>
      <c r="E50" s="1624">
        <f t="shared" si="24"/>
        <v>0.10526315789473684</v>
      </c>
      <c r="F50" s="1624">
        <f t="shared" si="25"/>
        <v>0.21428571428571427</v>
      </c>
      <c r="G50" s="1624">
        <f t="shared" si="26"/>
        <v>0.3</v>
      </c>
      <c r="H50" s="1624">
        <f t="shared" si="27"/>
        <v>0.1875</v>
      </c>
      <c r="I50" s="1624">
        <f t="shared" si="28"/>
        <v>0.25</v>
      </c>
      <c r="J50" s="1624">
        <f t="shared" si="29"/>
        <v>0.35714285714285715</v>
      </c>
      <c r="K50" s="1624">
        <f t="shared" si="30"/>
        <v>0.14285714285714285</v>
      </c>
      <c r="L50" s="1624">
        <f t="shared" si="31"/>
        <v>0.33333333333333331</v>
      </c>
      <c r="M50" s="1624">
        <f t="shared" si="32"/>
        <v>0.25</v>
      </c>
      <c r="N50" s="1624">
        <f t="shared" si="33"/>
        <v>0.14285714285714285</v>
      </c>
      <c r="O50" s="1624">
        <f t="shared" si="34"/>
        <v>0.14285714285714285</v>
      </c>
      <c r="P50" s="1624">
        <f t="shared" si="35"/>
        <v>0.125</v>
      </c>
      <c r="Q50" s="1624">
        <f t="shared" si="36"/>
        <v>0.14285714285714285</v>
      </c>
      <c r="R50" s="1625">
        <f t="shared" si="37"/>
        <v>0</v>
      </c>
      <c r="S50" s="1626">
        <f>'Non-marital births'!L51</f>
        <v>0.11764705882352941</v>
      </c>
      <c r="T50" s="1627">
        <v>0</v>
      </c>
      <c r="U50" s="1628">
        <f t="shared" si="38"/>
        <v>0.16666666666666666</v>
      </c>
      <c r="V50" s="2018">
        <f t="shared" si="39"/>
        <v>0.15</v>
      </c>
      <c r="W50" s="2018">
        <f t="shared" si="40"/>
        <v>0.27777777777777779</v>
      </c>
      <c r="X50" s="2013">
        <f t="shared" si="41"/>
        <v>0.23076923076923078</v>
      </c>
      <c r="Y50" s="2096">
        <f t="shared" si="19"/>
        <v>0.11764705882352941</v>
      </c>
      <c r="Z50" s="2096"/>
      <c r="AA50" s="681">
        <v>11</v>
      </c>
      <c r="AB50" s="682">
        <v>19</v>
      </c>
      <c r="AC50" s="683">
        <v>14</v>
      </c>
      <c r="AD50" s="682">
        <v>20</v>
      </c>
      <c r="AE50" s="683">
        <v>16</v>
      </c>
      <c r="AF50" s="682">
        <v>12</v>
      </c>
      <c r="AG50" s="683">
        <v>14</v>
      </c>
      <c r="AH50" s="682">
        <v>14</v>
      </c>
      <c r="AI50" s="696">
        <v>9</v>
      </c>
      <c r="AJ50" s="696">
        <v>20</v>
      </c>
      <c r="AK50" s="696">
        <v>14</v>
      </c>
      <c r="AL50" s="696">
        <v>14</v>
      </c>
      <c r="AM50" s="697">
        <v>16</v>
      </c>
      <c r="AN50" s="697">
        <v>14</v>
      </c>
      <c r="AO50" s="848">
        <v>12</v>
      </c>
      <c r="AP50" s="1095">
        <v>17</v>
      </c>
      <c r="AQ50" s="1608">
        <v>15</v>
      </c>
      <c r="AR50" s="1608">
        <v>18</v>
      </c>
      <c r="AS50" s="1971">
        <v>20</v>
      </c>
      <c r="AT50" s="1095">
        <v>18</v>
      </c>
      <c r="AU50" s="2020">
        <v>13</v>
      </c>
      <c r="AV50" s="1005">
        <v>17</v>
      </c>
      <c r="AW50" s="1005"/>
      <c r="AX50" s="704">
        <v>2</v>
      </c>
      <c r="AY50" s="705">
        <v>2</v>
      </c>
      <c r="AZ50" s="705">
        <v>3</v>
      </c>
      <c r="BA50" s="705">
        <v>6</v>
      </c>
      <c r="BB50" s="705">
        <v>3</v>
      </c>
      <c r="BC50" s="705">
        <v>3</v>
      </c>
      <c r="BD50" s="705">
        <v>5</v>
      </c>
      <c r="BE50" s="705">
        <v>2</v>
      </c>
      <c r="BF50" s="705">
        <v>3</v>
      </c>
      <c r="BG50" s="705">
        <v>5</v>
      </c>
      <c r="BH50" s="705">
        <v>2</v>
      </c>
      <c r="BI50" s="705">
        <v>2</v>
      </c>
      <c r="BJ50" s="705">
        <v>2</v>
      </c>
      <c r="BK50" s="705">
        <v>2</v>
      </c>
      <c r="BL50" s="851">
        <v>0</v>
      </c>
      <c r="BM50" s="1096">
        <v>4</v>
      </c>
      <c r="BN50" s="1097">
        <v>0</v>
      </c>
      <c r="BO50" s="1096">
        <v>3</v>
      </c>
      <c r="BP50" s="1969">
        <v>3</v>
      </c>
      <c r="BQ50" s="1096">
        <v>5</v>
      </c>
      <c r="BR50" s="2022">
        <v>3</v>
      </c>
      <c r="BS50" s="1006">
        <v>2</v>
      </c>
      <c r="BU50" s="2172">
        <f t="shared" si="20"/>
        <v>16</v>
      </c>
      <c r="BV50" s="2172">
        <f t="shared" si="21"/>
        <v>86</v>
      </c>
      <c r="BW50" s="2173">
        <f t="shared" si="22"/>
        <v>0.18604651162790697</v>
      </c>
    </row>
    <row r="51" spans="1:75" s="49" customFormat="1" ht="13.5" customHeight="1" x14ac:dyDescent="0.3">
      <c r="A51" s="56" t="s">
        <v>117</v>
      </c>
      <c r="B51" s="84" t="s">
        <v>257</v>
      </c>
      <c r="C51" s="57" t="s">
        <v>251</v>
      </c>
      <c r="D51" s="1623">
        <f t="shared" si="23"/>
        <v>0.2988826815642458</v>
      </c>
      <c r="E51" s="1624">
        <f t="shared" si="24"/>
        <v>0.36904761904761907</v>
      </c>
      <c r="F51" s="1624">
        <f t="shared" si="25"/>
        <v>0.31318681318681318</v>
      </c>
      <c r="G51" s="1624">
        <f t="shared" si="26"/>
        <v>0.40532544378698226</v>
      </c>
      <c r="H51" s="1624">
        <f t="shared" si="27"/>
        <v>0.35754189944134079</v>
      </c>
      <c r="I51" s="1624">
        <f t="shared" si="28"/>
        <v>0.36956521739130432</v>
      </c>
      <c r="J51" s="1624">
        <f t="shared" si="29"/>
        <v>0.3183098591549296</v>
      </c>
      <c r="K51" s="1624">
        <f t="shared" si="30"/>
        <v>0.36599423631123917</v>
      </c>
      <c r="L51" s="1624">
        <f t="shared" si="31"/>
        <v>0.34102564102564104</v>
      </c>
      <c r="M51" s="1624">
        <f t="shared" si="32"/>
        <v>0.3436619718309859</v>
      </c>
      <c r="N51" s="1624">
        <f t="shared" si="33"/>
        <v>0.359375</v>
      </c>
      <c r="O51" s="1624">
        <f t="shared" si="34"/>
        <v>0.35945945945945945</v>
      </c>
      <c r="P51" s="1624">
        <f t="shared" si="35"/>
        <v>0.35294117647058826</v>
      </c>
      <c r="Q51" s="1624">
        <f t="shared" si="36"/>
        <v>0.40438871473354232</v>
      </c>
      <c r="R51" s="1625">
        <f t="shared" si="37"/>
        <v>0.35666666666666669</v>
      </c>
      <c r="S51" s="1626">
        <f>'Non-marital births'!L52</f>
        <v>0.34277620396600567</v>
      </c>
      <c r="T51" s="1627">
        <v>0.37365591397849462</v>
      </c>
      <c r="U51" s="1628">
        <f t="shared" si="38"/>
        <v>0.398876404494382</v>
      </c>
      <c r="V51" s="2018">
        <f t="shared" si="39"/>
        <v>0.36052631578947369</v>
      </c>
      <c r="W51" s="2018">
        <f t="shared" si="40"/>
        <v>0.34399999999999997</v>
      </c>
      <c r="X51" s="2013">
        <f t="shared" si="41"/>
        <v>0.33142857142857141</v>
      </c>
      <c r="Y51" s="2096">
        <f t="shared" si="19"/>
        <v>0.34277620396600567</v>
      </c>
      <c r="Z51" s="2096"/>
      <c r="AA51" s="681">
        <v>358</v>
      </c>
      <c r="AB51" s="682">
        <v>336</v>
      </c>
      <c r="AC51" s="683">
        <v>364</v>
      </c>
      <c r="AD51" s="682">
        <v>338</v>
      </c>
      <c r="AE51" s="683">
        <v>358</v>
      </c>
      <c r="AF51" s="682">
        <v>322</v>
      </c>
      <c r="AG51" s="683">
        <v>355</v>
      </c>
      <c r="AH51" s="682">
        <v>347</v>
      </c>
      <c r="AI51" s="696">
        <v>390</v>
      </c>
      <c r="AJ51" s="696">
        <v>355</v>
      </c>
      <c r="AK51" s="696">
        <v>384</v>
      </c>
      <c r="AL51" s="696">
        <v>370</v>
      </c>
      <c r="AM51" s="697">
        <v>340</v>
      </c>
      <c r="AN51" s="697">
        <v>319</v>
      </c>
      <c r="AO51" s="848">
        <v>300</v>
      </c>
      <c r="AP51" s="1095">
        <v>314</v>
      </c>
      <c r="AQ51" s="1608">
        <v>372</v>
      </c>
      <c r="AR51" s="1608">
        <v>356</v>
      </c>
      <c r="AS51" s="1971">
        <v>380</v>
      </c>
      <c r="AT51" s="1095">
        <v>375</v>
      </c>
      <c r="AU51" s="2020">
        <v>350</v>
      </c>
      <c r="AV51" s="1005">
        <v>353</v>
      </c>
      <c r="AW51" s="1005"/>
      <c r="AX51" s="704">
        <v>107</v>
      </c>
      <c r="AY51" s="705">
        <v>124</v>
      </c>
      <c r="AZ51" s="705">
        <v>114</v>
      </c>
      <c r="BA51" s="705">
        <v>137</v>
      </c>
      <c r="BB51" s="705">
        <v>128</v>
      </c>
      <c r="BC51" s="705">
        <v>119</v>
      </c>
      <c r="BD51" s="705">
        <v>113</v>
      </c>
      <c r="BE51" s="705">
        <v>127</v>
      </c>
      <c r="BF51" s="705">
        <v>133</v>
      </c>
      <c r="BG51" s="705">
        <v>122</v>
      </c>
      <c r="BH51" s="705">
        <v>138</v>
      </c>
      <c r="BI51" s="705">
        <v>133</v>
      </c>
      <c r="BJ51" s="705">
        <v>120</v>
      </c>
      <c r="BK51" s="705">
        <v>129</v>
      </c>
      <c r="BL51" s="851">
        <v>107</v>
      </c>
      <c r="BM51" s="1096">
        <v>116</v>
      </c>
      <c r="BN51" s="1097">
        <v>139</v>
      </c>
      <c r="BO51" s="1096">
        <v>142</v>
      </c>
      <c r="BP51" s="1969">
        <v>137</v>
      </c>
      <c r="BQ51" s="1096">
        <v>129</v>
      </c>
      <c r="BR51" s="2022">
        <v>116</v>
      </c>
      <c r="BS51" s="1006">
        <v>121</v>
      </c>
      <c r="BU51" s="2172">
        <f t="shared" si="20"/>
        <v>645</v>
      </c>
      <c r="BV51" s="2172">
        <f t="shared" si="21"/>
        <v>1814</v>
      </c>
      <c r="BW51" s="2173">
        <f t="shared" si="22"/>
        <v>0.35556780595369347</v>
      </c>
    </row>
    <row r="52" spans="1:75" s="49" customFormat="1" ht="13.5" customHeight="1" x14ac:dyDescent="0.3">
      <c r="A52" s="56" t="s">
        <v>119</v>
      </c>
      <c r="B52" s="84" t="s">
        <v>120</v>
      </c>
      <c r="C52" s="57" t="s">
        <v>251</v>
      </c>
      <c r="D52" s="1623">
        <f t="shared" si="23"/>
        <v>0.28132387706855794</v>
      </c>
      <c r="E52" s="1624">
        <f t="shared" si="24"/>
        <v>0.31006160164271046</v>
      </c>
      <c r="F52" s="1624">
        <f t="shared" si="25"/>
        <v>0.28747433264887062</v>
      </c>
      <c r="G52" s="1624">
        <f t="shared" si="26"/>
        <v>0.23505976095617531</v>
      </c>
      <c r="H52" s="1624">
        <f t="shared" si="27"/>
        <v>0.23605150214592274</v>
      </c>
      <c r="I52" s="1624">
        <f t="shared" si="28"/>
        <v>0.25375939849624063</v>
      </c>
      <c r="J52" s="1624">
        <f t="shared" si="29"/>
        <v>0.26587301587301587</v>
      </c>
      <c r="K52" s="1624">
        <f t="shared" si="30"/>
        <v>0.30079681274900399</v>
      </c>
      <c r="L52" s="1624">
        <f t="shared" si="31"/>
        <v>0.328125</v>
      </c>
      <c r="M52" s="1624">
        <f t="shared" si="32"/>
        <v>0.32688927943760981</v>
      </c>
      <c r="N52" s="1624">
        <f t="shared" si="33"/>
        <v>0.31893687707641194</v>
      </c>
      <c r="O52" s="1624">
        <f t="shared" si="34"/>
        <v>0.33695652173913043</v>
      </c>
      <c r="P52" s="1624">
        <f t="shared" si="35"/>
        <v>0.34951456310679613</v>
      </c>
      <c r="Q52" s="1624">
        <f t="shared" si="36"/>
        <v>0.33605442176870748</v>
      </c>
      <c r="R52" s="1625">
        <f t="shared" si="37"/>
        <v>0.34587554269175108</v>
      </c>
      <c r="S52" s="1626">
        <f>'Non-marital births'!L53</f>
        <v>0.28292046936114734</v>
      </c>
      <c r="T52" s="1627">
        <v>0.27434842249657065</v>
      </c>
      <c r="U52" s="1628">
        <f t="shared" si="38"/>
        <v>0.34950071326676174</v>
      </c>
      <c r="V52" s="2018">
        <f t="shared" si="39"/>
        <v>0.30745341614906835</v>
      </c>
      <c r="W52" s="2018">
        <f t="shared" si="40"/>
        <v>0.32561307901907355</v>
      </c>
      <c r="X52" s="2013">
        <f t="shared" si="41"/>
        <v>0.30191458026509571</v>
      </c>
      <c r="Y52" s="2096">
        <f t="shared" si="19"/>
        <v>0.28292046936114734</v>
      </c>
      <c r="Z52" s="2096"/>
      <c r="AA52" s="681">
        <v>423</v>
      </c>
      <c r="AB52" s="682">
        <v>487</v>
      </c>
      <c r="AC52" s="683">
        <v>487</v>
      </c>
      <c r="AD52" s="682">
        <v>502</v>
      </c>
      <c r="AE52" s="683">
        <v>466</v>
      </c>
      <c r="AF52" s="682">
        <v>532</v>
      </c>
      <c r="AG52" s="683">
        <v>504</v>
      </c>
      <c r="AH52" s="682">
        <v>502</v>
      </c>
      <c r="AI52" s="696">
        <v>576</v>
      </c>
      <c r="AJ52" s="696">
        <v>569</v>
      </c>
      <c r="AK52" s="696">
        <v>602</v>
      </c>
      <c r="AL52" s="696">
        <v>644</v>
      </c>
      <c r="AM52" s="697">
        <v>721</v>
      </c>
      <c r="AN52" s="697">
        <v>735</v>
      </c>
      <c r="AO52" s="848">
        <v>691</v>
      </c>
      <c r="AP52" s="1095">
        <v>718</v>
      </c>
      <c r="AQ52" s="1608">
        <v>729</v>
      </c>
      <c r="AR52" s="1608">
        <v>701</v>
      </c>
      <c r="AS52" s="1971">
        <v>644</v>
      </c>
      <c r="AT52" s="1095">
        <v>734</v>
      </c>
      <c r="AU52" s="2020">
        <v>679</v>
      </c>
      <c r="AV52" s="1005">
        <v>767</v>
      </c>
      <c r="AW52" s="1005"/>
      <c r="AX52" s="704">
        <v>119</v>
      </c>
      <c r="AY52" s="705">
        <v>151</v>
      </c>
      <c r="AZ52" s="705">
        <v>140</v>
      </c>
      <c r="BA52" s="705">
        <v>118</v>
      </c>
      <c r="BB52" s="705">
        <v>110</v>
      </c>
      <c r="BC52" s="705">
        <v>135</v>
      </c>
      <c r="BD52" s="705">
        <v>134</v>
      </c>
      <c r="BE52" s="705">
        <v>151</v>
      </c>
      <c r="BF52" s="705">
        <v>189</v>
      </c>
      <c r="BG52" s="705">
        <v>186</v>
      </c>
      <c r="BH52" s="705">
        <v>192</v>
      </c>
      <c r="BI52" s="705">
        <v>217</v>
      </c>
      <c r="BJ52" s="705">
        <v>252</v>
      </c>
      <c r="BK52" s="705">
        <v>247</v>
      </c>
      <c r="BL52" s="851">
        <v>239</v>
      </c>
      <c r="BM52" s="1096">
        <v>216</v>
      </c>
      <c r="BN52" s="1097">
        <v>200</v>
      </c>
      <c r="BO52" s="1096">
        <v>245</v>
      </c>
      <c r="BP52" s="1969">
        <v>198</v>
      </c>
      <c r="BQ52" s="1096">
        <v>239</v>
      </c>
      <c r="BR52" s="2022">
        <v>205</v>
      </c>
      <c r="BS52" s="1006">
        <v>217</v>
      </c>
      <c r="BU52" s="2172">
        <f t="shared" si="20"/>
        <v>1104</v>
      </c>
      <c r="BV52" s="2172">
        <f t="shared" si="21"/>
        <v>3525</v>
      </c>
      <c r="BW52" s="2173">
        <f t="shared" si="22"/>
        <v>0.3131914893617021</v>
      </c>
    </row>
    <row r="53" spans="1:75" s="49" customFormat="1" ht="13.5" customHeight="1" x14ac:dyDescent="0.3">
      <c r="A53" s="56" t="s">
        <v>121</v>
      </c>
      <c r="B53" s="84" t="s">
        <v>258</v>
      </c>
      <c r="C53" s="57" t="s">
        <v>253</v>
      </c>
      <c r="D53" s="1623">
        <f t="shared" si="23"/>
        <v>0.2857142857142857</v>
      </c>
      <c r="E53" s="1624">
        <f t="shared" si="24"/>
        <v>0.45161290322580644</v>
      </c>
      <c r="F53" s="1624">
        <f t="shared" si="25"/>
        <v>0.49206349206349204</v>
      </c>
      <c r="G53" s="1624">
        <f t="shared" si="26"/>
        <v>0.39130434782608697</v>
      </c>
      <c r="H53" s="1624">
        <f t="shared" si="27"/>
        <v>0.38095238095238093</v>
      </c>
      <c r="I53" s="1624">
        <f t="shared" si="28"/>
        <v>0.51351351351351349</v>
      </c>
      <c r="J53" s="1624">
        <f t="shared" si="29"/>
        <v>0.41176470588235292</v>
      </c>
      <c r="K53" s="1624">
        <f t="shared" si="30"/>
        <v>0.48780487804878048</v>
      </c>
      <c r="L53" s="1624">
        <f t="shared" si="31"/>
        <v>0.52</v>
      </c>
      <c r="M53" s="1624">
        <f t="shared" si="32"/>
        <v>0.45454545454545453</v>
      </c>
      <c r="N53" s="1624">
        <f t="shared" si="33"/>
        <v>0.45454545454545453</v>
      </c>
      <c r="O53" s="1624">
        <f t="shared" si="34"/>
        <v>0.48076923076923078</v>
      </c>
      <c r="P53" s="1624">
        <f t="shared" si="35"/>
        <v>0.54545454545454541</v>
      </c>
      <c r="Q53" s="1624">
        <f t="shared" si="36"/>
        <v>0.52857142857142858</v>
      </c>
      <c r="R53" s="1625">
        <f t="shared" si="37"/>
        <v>0.5</v>
      </c>
      <c r="S53" s="1626">
        <f>'Non-marital births'!L54</f>
        <v>0.54285714285714282</v>
      </c>
      <c r="T53" s="1627">
        <v>0.47945205479452052</v>
      </c>
      <c r="U53" s="1628">
        <f t="shared" si="38"/>
        <v>0.41666666666666669</v>
      </c>
      <c r="V53" s="2018">
        <f t="shared" si="39"/>
        <v>0.49206349206349204</v>
      </c>
      <c r="W53" s="2018">
        <f t="shared" si="40"/>
        <v>0.5161290322580645</v>
      </c>
      <c r="X53" s="2013">
        <f t="shared" si="41"/>
        <v>0.60377358490566035</v>
      </c>
      <c r="Y53" s="2096">
        <f t="shared" si="19"/>
        <v>0.54285714285714282</v>
      </c>
      <c r="Z53" s="2096"/>
      <c r="AA53" s="681">
        <v>70</v>
      </c>
      <c r="AB53" s="682">
        <v>62</v>
      </c>
      <c r="AC53" s="683">
        <v>63</v>
      </c>
      <c r="AD53" s="682">
        <v>69</v>
      </c>
      <c r="AE53" s="683">
        <v>63</v>
      </c>
      <c r="AF53" s="682">
        <v>74</v>
      </c>
      <c r="AG53" s="683">
        <v>68</v>
      </c>
      <c r="AH53" s="682">
        <v>82</v>
      </c>
      <c r="AI53" s="696">
        <v>75</v>
      </c>
      <c r="AJ53" s="696">
        <v>77</v>
      </c>
      <c r="AK53" s="696">
        <v>66</v>
      </c>
      <c r="AL53" s="696">
        <v>52</v>
      </c>
      <c r="AM53" s="697">
        <v>66</v>
      </c>
      <c r="AN53" s="697">
        <v>70</v>
      </c>
      <c r="AO53" s="848">
        <v>62</v>
      </c>
      <c r="AP53" s="1095">
        <v>52</v>
      </c>
      <c r="AQ53" s="1608">
        <v>73</v>
      </c>
      <c r="AR53" s="1608">
        <v>60</v>
      </c>
      <c r="AS53" s="1971">
        <v>63</v>
      </c>
      <c r="AT53" s="1095">
        <v>62</v>
      </c>
      <c r="AU53" s="2020">
        <v>53</v>
      </c>
      <c r="AV53" s="1005">
        <v>70</v>
      </c>
      <c r="AW53" s="1005"/>
      <c r="AX53" s="704">
        <v>20</v>
      </c>
      <c r="AY53" s="705">
        <v>28</v>
      </c>
      <c r="AZ53" s="705">
        <v>31</v>
      </c>
      <c r="BA53" s="705">
        <v>27</v>
      </c>
      <c r="BB53" s="705">
        <v>24</v>
      </c>
      <c r="BC53" s="705">
        <v>38</v>
      </c>
      <c r="BD53" s="705">
        <v>28</v>
      </c>
      <c r="BE53" s="705">
        <v>40</v>
      </c>
      <c r="BF53" s="705">
        <v>39</v>
      </c>
      <c r="BG53" s="705">
        <v>35</v>
      </c>
      <c r="BH53" s="705">
        <v>30</v>
      </c>
      <c r="BI53" s="705">
        <v>25</v>
      </c>
      <c r="BJ53" s="705">
        <v>36</v>
      </c>
      <c r="BK53" s="705">
        <v>37</v>
      </c>
      <c r="BL53" s="851">
        <v>31</v>
      </c>
      <c r="BM53" s="1096">
        <v>29</v>
      </c>
      <c r="BN53" s="1097">
        <v>35</v>
      </c>
      <c r="BO53" s="1096">
        <v>25</v>
      </c>
      <c r="BP53" s="1969">
        <v>31</v>
      </c>
      <c r="BQ53" s="1096">
        <v>32</v>
      </c>
      <c r="BR53" s="2022">
        <v>32</v>
      </c>
      <c r="BS53" s="1006">
        <v>38</v>
      </c>
      <c r="BU53" s="2172">
        <f t="shared" si="20"/>
        <v>158</v>
      </c>
      <c r="BV53" s="2172">
        <f t="shared" si="21"/>
        <v>308</v>
      </c>
      <c r="BW53" s="2173">
        <f t="shared" si="22"/>
        <v>0.51298701298701299</v>
      </c>
    </row>
    <row r="54" spans="1:75" s="49" customFormat="1" ht="13.5" customHeight="1" x14ac:dyDescent="0.3">
      <c r="A54" s="56" t="s">
        <v>123</v>
      </c>
      <c r="B54" s="84" t="s">
        <v>124</v>
      </c>
      <c r="C54" s="57" t="s">
        <v>254</v>
      </c>
      <c r="D54" s="1623">
        <f t="shared" si="23"/>
        <v>0.29182879377431908</v>
      </c>
      <c r="E54" s="1624">
        <f t="shared" si="24"/>
        <v>0.29184549356223177</v>
      </c>
      <c r="F54" s="1624">
        <f t="shared" si="25"/>
        <v>0.30041152263374488</v>
      </c>
      <c r="G54" s="1624">
        <f t="shared" si="26"/>
        <v>0.35321100917431192</v>
      </c>
      <c r="H54" s="1624">
        <f t="shared" si="27"/>
        <v>0.37401574803149606</v>
      </c>
      <c r="I54" s="1624">
        <f t="shared" si="28"/>
        <v>0.31636363636363635</v>
      </c>
      <c r="J54" s="1624">
        <f t="shared" si="29"/>
        <v>0.27300613496932513</v>
      </c>
      <c r="K54" s="1624">
        <f t="shared" si="30"/>
        <v>0.22455089820359281</v>
      </c>
      <c r="L54" s="1624">
        <f t="shared" si="31"/>
        <v>0.29166666666666669</v>
      </c>
      <c r="M54" s="1624">
        <f t="shared" si="32"/>
        <v>0.27906976744186046</v>
      </c>
      <c r="N54" s="1624">
        <f t="shared" si="33"/>
        <v>0.28418230563002683</v>
      </c>
      <c r="O54" s="1624">
        <f t="shared" si="34"/>
        <v>0.3263888888888889</v>
      </c>
      <c r="P54" s="1624">
        <f t="shared" si="35"/>
        <v>0.33114754098360655</v>
      </c>
      <c r="Q54" s="1624">
        <f t="shared" si="36"/>
        <v>0.30128205128205127</v>
      </c>
      <c r="R54" s="1625">
        <f t="shared" si="37"/>
        <v>0.3323076923076923</v>
      </c>
      <c r="S54" s="1626">
        <f>'Non-marital births'!L55</f>
        <v>0.34666666666666668</v>
      </c>
      <c r="T54" s="1627">
        <v>0.3321917808219178</v>
      </c>
      <c r="U54" s="1628">
        <f t="shared" si="38"/>
        <v>0.3125</v>
      </c>
      <c r="V54" s="2018">
        <f t="shared" si="39"/>
        <v>0.31772575250836121</v>
      </c>
      <c r="W54" s="2018">
        <f t="shared" si="40"/>
        <v>0.32867132867132864</v>
      </c>
      <c r="X54" s="2013">
        <f t="shared" si="41"/>
        <v>0.29276315789473684</v>
      </c>
      <c r="Y54" s="2096">
        <f t="shared" si="19"/>
        <v>0.34666666666666668</v>
      </c>
      <c r="Z54" s="2096"/>
      <c r="AA54" s="681">
        <v>257</v>
      </c>
      <c r="AB54" s="682">
        <v>233</v>
      </c>
      <c r="AC54" s="683">
        <v>243</v>
      </c>
      <c r="AD54" s="682">
        <v>218</v>
      </c>
      <c r="AE54" s="683">
        <v>254</v>
      </c>
      <c r="AF54" s="682">
        <v>275</v>
      </c>
      <c r="AG54" s="683">
        <v>326</v>
      </c>
      <c r="AH54" s="682">
        <v>334</v>
      </c>
      <c r="AI54" s="696">
        <v>288</v>
      </c>
      <c r="AJ54" s="696">
        <v>387</v>
      </c>
      <c r="AK54" s="696">
        <v>373</v>
      </c>
      <c r="AL54" s="696">
        <v>288</v>
      </c>
      <c r="AM54" s="697">
        <v>305</v>
      </c>
      <c r="AN54" s="697">
        <v>312</v>
      </c>
      <c r="AO54" s="848">
        <v>325</v>
      </c>
      <c r="AP54" s="1095">
        <v>304</v>
      </c>
      <c r="AQ54" s="1608">
        <v>292</v>
      </c>
      <c r="AR54" s="1608">
        <v>320</v>
      </c>
      <c r="AS54" s="1971">
        <v>299</v>
      </c>
      <c r="AT54" s="1095">
        <v>286</v>
      </c>
      <c r="AU54" s="2020">
        <v>304</v>
      </c>
      <c r="AV54" s="1005">
        <v>300</v>
      </c>
      <c r="AW54" s="1005"/>
      <c r="AX54" s="704">
        <v>75</v>
      </c>
      <c r="AY54" s="705">
        <v>68</v>
      </c>
      <c r="AZ54" s="705">
        <v>73</v>
      </c>
      <c r="BA54" s="705">
        <v>77</v>
      </c>
      <c r="BB54" s="705">
        <v>95</v>
      </c>
      <c r="BC54" s="705">
        <v>87</v>
      </c>
      <c r="BD54" s="705">
        <v>89</v>
      </c>
      <c r="BE54" s="705">
        <v>75</v>
      </c>
      <c r="BF54" s="705">
        <v>84</v>
      </c>
      <c r="BG54" s="705">
        <v>108</v>
      </c>
      <c r="BH54" s="705">
        <v>106</v>
      </c>
      <c r="BI54" s="705">
        <v>94</v>
      </c>
      <c r="BJ54" s="705">
        <v>101</v>
      </c>
      <c r="BK54" s="705">
        <v>94</v>
      </c>
      <c r="BL54" s="851">
        <v>108</v>
      </c>
      <c r="BM54" s="1096">
        <v>97</v>
      </c>
      <c r="BN54" s="1097">
        <v>97</v>
      </c>
      <c r="BO54" s="1096">
        <v>100</v>
      </c>
      <c r="BP54" s="1969">
        <v>95</v>
      </c>
      <c r="BQ54" s="1096">
        <v>94</v>
      </c>
      <c r="BR54" s="2022">
        <v>89</v>
      </c>
      <c r="BS54" s="1006">
        <v>104</v>
      </c>
      <c r="BU54" s="2172">
        <f t="shared" si="20"/>
        <v>482</v>
      </c>
      <c r="BV54" s="2172">
        <f t="shared" si="21"/>
        <v>1509</v>
      </c>
      <c r="BW54" s="2173">
        <f t="shared" si="22"/>
        <v>0.31941683233929757</v>
      </c>
    </row>
    <row r="55" spans="1:75" s="49" customFormat="1" ht="13.5" customHeight="1" x14ac:dyDescent="0.3">
      <c r="A55" s="56" t="s">
        <v>125</v>
      </c>
      <c r="B55" s="84" t="s">
        <v>126</v>
      </c>
      <c r="C55" s="57" t="s">
        <v>253</v>
      </c>
      <c r="D55" s="1623">
        <f t="shared" si="23"/>
        <v>0.30201342281879195</v>
      </c>
      <c r="E55" s="1624">
        <f t="shared" si="24"/>
        <v>0.24598930481283424</v>
      </c>
      <c r="F55" s="1624">
        <f t="shared" si="25"/>
        <v>0.32994923857868019</v>
      </c>
      <c r="G55" s="1624">
        <f t="shared" si="26"/>
        <v>0.3016759776536313</v>
      </c>
      <c r="H55" s="1624">
        <f t="shared" si="27"/>
        <v>0.29381443298969073</v>
      </c>
      <c r="I55" s="1624">
        <f t="shared" si="28"/>
        <v>0.32777777777777778</v>
      </c>
      <c r="J55" s="1624">
        <f t="shared" si="29"/>
        <v>0.33152173913043476</v>
      </c>
      <c r="K55" s="1624">
        <f t="shared" si="30"/>
        <v>0.30687830687830686</v>
      </c>
      <c r="L55" s="1624">
        <f t="shared" si="31"/>
        <v>0.26794258373205743</v>
      </c>
      <c r="M55" s="1624">
        <f t="shared" si="32"/>
        <v>0.28301886792452829</v>
      </c>
      <c r="N55" s="1624">
        <f t="shared" si="33"/>
        <v>0.33333333333333331</v>
      </c>
      <c r="O55" s="1624">
        <f t="shared" si="34"/>
        <v>0.3127962085308057</v>
      </c>
      <c r="P55" s="1624">
        <f t="shared" si="35"/>
        <v>0.31034482758620691</v>
      </c>
      <c r="Q55" s="1624">
        <f t="shared" si="36"/>
        <v>0.32240437158469948</v>
      </c>
      <c r="R55" s="1625">
        <f t="shared" si="37"/>
        <v>0.33862433862433861</v>
      </c>
      <c r="S55" s="1626">
        <f>'Non-marital births'!L56</f>
        <v>0.26486486486486488</v>
      </c>
      <c r="T55" s="1627">
        <v>0.35632183908045978</v>
      </c>
      <c r="U55" s="1628">
        <f t="shared" si="38"/>
        <v>0.35602094240837695</v>
      </c>
      <c r="V55" s="2018">
        <f t="shared" si="39"/>
        <v>0.34928229665071769</v>
      </c>
      <c r="W55" s="2018">
        <f t="shared" si="40"/>
        <v>0.30102040816326531</v>
      </c>
      <c r="X55" s="2013">
        <f t="shared" si="41"/>
        <v>0.33789954337899542</v>
      </c>
      <c r="Y55" s="2096">
        <f t="shared" si="19"/>
        <v>0.26486486486486488</v>
      </c>
      <c r="Z55" s="2096"/>
      <c r="AA55" s="681">
        <v>149</v>
      </c>
      <c r="AB55" s="682">
        <v>187</v>
      </c>
      <c r="AC55" s="683">
        <v>197</v>
      </c>
      <c r="AD55" s="682">
        <v>179</v>
      </c>
      <c r="AE55" s="683">
        <v>194</v>
      </c>
      <c r="AF55" s="682">
        <v>180</v>
      </c>
      <c r="AG55" s="683">
        <v>184</v>
      </c>
      <c r="AH55" s="682">
        <v>189</v>
      </c>
      <c r="AI55" s="696">
        <v>209</v>
      </c>
      <c r="AJ55" s="696">
        <v>212</v>
      </c>
      <c r="AK55" s="696">
        <v>207</v>
      </c>
      <c r="AL55" s="696">
        <v>211</v>
      </c>
      <c r="AM55" s="697">
        <v>203</v>
      </c>
      <c r="AN55" s="697">
        <v>183</v>
      </c>
      <c r="AO55" s="848">
        <v>189</v>
      </c>
      <c r="AP55" s="1095">
        <v>187</v>
      </c>
      <c r="AQ55" s="1608">
        <v>174</v>
      </c>
      <c r="AR55" s="1608">
        <v>191</v>
      </c>
      <c r="AS55" s="1971">
        <v>209</v>
      </c>
      <c r="AT55" s="1095">
        <v>196</v>
      </c>
      <c r="AU55" s="2020">
        <v>219</v>
      </c>
      <c r="AV55" s="1005">
        <v>185</v>
      </c>
      <c r="AW55" s="1005"/>
      <c r="AX55" s="704">
        <v>45</v>
      </c>
      <c r="AY55" s="705">
        <v>46</v>
      </c>
      <c r="AZ55" s="705">
        <v>65</v>
      </c>
      <c r="BA55" s="705">
        <v>54</v>
      </c>
      <c r="BB55" s="705">
        <v>57</v>
      </c>
      <c r="BC55" s="705">
        <v>59</v>
      </c>
      <c r="BD55" s="705">
        <v>61</v>
      </c>
      <c r="BE55" s="705">
        <v>58</v>
      </c>
      <c r="BF55" s="705">
        <v>56</v>
      </c>
      <c r="BG55" s="705">
        <v>60</v>
      </c>
      <c r="BH55" s="705">
        <v>69</v>
      </c>
      <c r="BI55" s="705">
        <v>66</v>
      </c>
      <c r="BJ55" s="705">
        <v>63</v>
      </c>
      <c r="BK55" s="705">
        <v>59</v>
      </c>
      <c r="BL55" s="851">
        <v>64</v>
      </c>
      <c r="BM55" s="1096">
        <v>51</v>
      </c>
      <c r="BN55" s="1097">
        <v>62</v>
      </c>
      <c r="BO55" s="1096">
        <v>68</v>
      </c>
      <c r="BP55" s="1969">
        <v>73</v>
      </c>
      <c r="BQ55" s="1096">
        <v>59</v>
      </c>
      <c r="BR55" s="2022">
        <v>74</v>
      </c>
      <c r="BS55" s="1006">
        <v>49</v>
      </c>
      <c r="BU55" s="2172">
        <f t="shared" si="20"/>
        <v>323</v>
      </c>
      <c r="BV55" s="2172">
        <f t="shared" si="21"/>
        <v>1000</v>
      </c>
      <c r="BW55" s="2173">
        <f t="shared" si="22"/>
        <v>0.32300000000000001</v>
      </c>
    </row>
    <row r="56" spans="1:75" s="49" customFormat="1" ht="13.5" customHeight="1" x14ac:dyDescent="0.3">
      <c r="A56" s="56" t="s">
        <v>127</v>
      </c>
      <c r="B56" s="84" t="s">
        <v>128</v>
      </c>
      <c r="C56" s="57" t="s">
        <v>253</v>
      </c>
      <c r="D56" s="1623">
        <f t="shared" si="23"/>
        <v>0.5213675213675214</v>
      </c>
      <c r="E56" s="1624">
        <f t="shared" si="24"/>
        <v>0.54455445544554459</v>
      </c>
      <c r="F56" s="1624">
        <f t="shared" si="25"/>
        <v>0.49549549549549549</v>
      </c>
      <c r="G56" s="1624">
        <f t="shared" si="26"/>
        <v>0.47272727272727272</v>
      </c>
      <c r="H56" s="1624">
        <f t="shared" si="27"/>
        <v>0.49074074074074076</v>
      </c>
      <c r="I56" s="1624">
        <f t="shared" si="28"/>
        <v>0.47619047619047616</v>
      </c>
      <c r="J56" s="1624">
        <f t="shared" si="29"/>
        <v>0.51041666666666663</v>
      </c>
      <c r="K56" s="1624">
        <f t="shared" si="30"/>
        <v>0.54166666666666663</v>
      </c>
      <c r="L56" s="1624">
        <f t="shared" si="31"/>
        <v>0.60194174757281549</v>
      </c>
      <c r="M56" s="1624">
        <f t="shared" si="32"/>
        <v>0.624</v>
      </c>
      <c r="N56" s="1624">
        <f t="shared" si="33"/>
        <v>0.62105263157894741</v>
      </c>
      <c r="O56" s="1624">
        <f t="shared" si="34"/>
        <v>0.625</v>
      </c>
      <c r="P56" s="1624">
        <f t="shared" si="35"/>
        <v>0.57999999999999996</v>
      </c>
      <c r="Q56" s="1624">
        <f t="shared" si="36"/>
        <v>0.67469879518072284</v>
      </c>
      <c r="R56" s="1625">
        <f t="shared" si="37"/>
        <v>0.61904761904761907</v>
      </c>
      <c r="S56" s="1626">
        <f>'Non-marital births'!L57</f>
        <v>0.5714285714285714</v>
      </c>
      <c r="T56" s="1627">
        <v>0.50574712643678166</v>
      </c>
      <c r="U56" s="1628">
        <f t="shared" si="38"/>
        <v>0.64948453608247425</v>
      </c>
      <c r="V56" s="2018">
        <f t="shared" si="39"/>
        <v>0.52</v>
      </c>
      <c r="W56" s="2018">
        <f t="shared" si="40"/>
        <v>0.61538461538461542</v>
      </c>
      <c r="X56" s="2013">
        <f t="shared" si="41"/>
        <v>0.651685393258427</v>
      </c>
      <c r="Y56" s="2096">
        <f t="shared" si="19"/>
        <v>0.5714285714285714</v>
      </c>
      <c r="Z56" s="2096"/>
      <c r="AA56" s="681">
        <v>117</v>
      </c>
      <c r="AB56" s="682">
        <v>101</v>
      </c>
      <c r="AC56" s="683">
        <v>111</v>
      </c>
      <c r="AD56" s="682">
        <v>110</v>
      </c>
      <c r="AE56" s="683">
        <v>108</v>
      </c>
      <c r="AF56" s="682">
        <v>105</v>
      </c>
      <c r="AG56" s="683">
        <v>96</v>
      </c>
      <c r="AH56" s="682">
        <v>96</v>
      </c>
      <c r="AI56" s="696">
        <v>103</v>
      </c>
      <c r="AJ56" s="696">
        <v>125</v>
      </c>
      <c r="AK56" s="696">
        <v>95</v>
      </c>
      <c r="AL56" s="696">
        <v>80</v>
      </c>
      <c r="AM56" s="697">
        <v>100</v>
      </c>
      <c r="AN56" s="697">
        <v>83</v>
      </c>
      <c r="AO56" s="848">
        <v>84</v>
      </c>
      <c r="AP56" s="1095">
        <v>77</v>
      </c>
      <c r="AQ56" s="1608">
        <v>87</v>
      </c>
      <c r="AR56" s="1608">
        <v>97</v>
      </c>
      <c r="AS56" s="1971">
        <v>100</v>
      </c>
      <c r="AT56" s="1095">
        <v>65</v>
      </c>
      <c r="AU56" s="2020">
        <v>89</v>
      </c>
      <c r="AV56" s="1005">
        <v>77</v>
      </c>
      <c r="AW56" s="1005"/>
      <c r="AX56" s="704">
        <v>61</v>
      </c>
      <c r="AY56" s="705">
        <v>55</v>
      </c>
      <c r="AZ56" s="705">
        <v>55</v>
      </c>
      <c r="BA56" s="705">
        <v>52</v>
      </c>
      <c r="BB56" s="705">
        <v>53</v>
      </c>
      <c r="BC56" s="705">
        <v>50</v>
      </c>
      <c r="BD56" s="705">
        <v>49</v>
      </c>
      <c r="BE56" s="705">
        <v>52</v>
      </c>
      <c r="BF56" s="705">
        <v>62</v>
      </c>
      <c r="BG56" s="705">
        <v>78</v>
      </c>
      <c r="BH56" s="705">
        <v>59</v>
      </c>
      <c r="BI56" s="705">
        <v>50</v>
      </c>
      <c r="BJ56" s="705">
        <v>58</v>
      </c>
      <c r="BK56" s="705">
        <v>56</v>
      </c>
      <c r="BL56" s="851">
        <v>52</v>
      </c>
      <c r="BM56" s="1096">
        <v>56</v>
      </c>
      <c r="BN56" s="1097">
        <v>44</v>
      </c>
      <c r="BO56" s="1096">
        <v>63</v>
      </c>
      <c r="BP56" s="1969">
        <v>52</v>
      </c>
      <c r="BQ56" s="1096">
        <v>40</v>
      </c>
      <c r="BR56" s="2022">
        <v>58</v>
      </c>
      <c r="BS56" s="1006">
        <v>44</v>
      </c>
      <c r="BU56" s="2172">
        <f t="shared" si="20"/>
        <v>257</v>
      </c>
      <c r="BV56" s="2172">
        <f t="shared" si="21"/>
        <v>428</v>
      </c>
      <c r="BW56" s="2173">
        <f t="shared" si="22"/>
        <v>0.60046728971962615</v>
      </c>
    </row>
    <row r="57" spans="1:75" s="49" customFormat="1" ht="13.5" customHeight="1" x14ac:dyDescent="0.3">
      <c r="A57" s="56" t="s">
        <v>129</v>
      </c>
      <c r="B57" s="84" t="s">
        <v>130</v>
      </c>
      <c r="C57" s="57" t="s">
        <v>255</v>
      </c>
      <c r="D57" s="1623">
        <f t="shared" si="23"/>
        <v>0.25396825396825395</v>
      </c>
      <c r="E57" s="1624">
        <f t="shared" si="24"/>
        <v>0.32203389830508472</v>
      </c>
      <c r="F57" s="1624">
        <f t="shared" si="25"/>
        <v>0.2320675105485232</v>
      </c>
      <c r="G57" s="1624">
        <f t="shared" si="26"/>
        <v>0.25</v>
      </c>
      <c r="H57" s="1624">
        <f t="shared" si="27"/>
        <v>0.2880658436213992</v>
      </c>
      <c r="I57" s="1624">
        <f t="shared" si="28"/>
        <v>0.3386454183266932</v>
      </c>
      <c r="J57" s="1624">
        <f t="shared" si="29"/>
        <v>0.28205128205128205</v>
      </c>
      <c r="K57" s="1624">
        <f t="shared" si="30"/>
        <v>0.31872509960159362</v>
      </c>
      <c r="L57" s="1624">
        <f t="shared" si="31"/>
        <v>0.28749999999999998</v>
      </c>
      <c r="M57" s="1624">
        <f t="shared" si="32"/>
        <v>0.32452830188679244</v>
      </c>
      <c r="N57" s="1624">
        <f t="shared" si="33"/>
        <v>0.32</v>
      </c>
      <c r="O57" s="1624">
        <f t="shared" si="34"/>
        <v>0.3622641509433962</v>
      </c>
      <c r="P57" s="1624">
        <f t="shared" si="35"/>
        <v>0.38</v>
      </c>
      <c r="Q57" s="1624">
        <f t="shared" si="36"/>
        <v>0.3707865168539326</v>
      </c>
      <c r="R57" s="1625">
        <f t="shared" si="37"/>
        <v>0.38951310861423222</v>
      </c>
      <c r="S57" s="1626">
        <f>'Non-marital births'!L58</f>
        <v>0.48039215686274511</v>
      </c>
      <c r="T57" s="1627">
        <v>0.44497607655502391</v>
      </c>
      <c r="U57" s="1628">
        <f t="shared" si="38"/>
        <v>0.37333333333333335</v>
      </c>
      <c r="V57" s="2018">
        <f t="shared" si="39"/>
        <v>0.46153846153846156</v>
      </c>
      <c r="W57" s="2018">
        <f t="shared" si="40"/>
        <v>0.375</v>
      </c>
      <c r="X57" s="2013">
        <f t="shared" si="41"/>
        <v>0.25615763546798032</v>
      </c>
      <c r="Y57" s="2096">
        <f t="shared" si="19"/>
        <v>0.48039215686274511</v>
      </c>
      <c r="Z57" s="2096"/>
      <c r="AA57" s="681">
        <v>252</v>
      </c>
      <c r="AB57" s="682">
        <v>236</v>
      </c>
      <c r="AC57" s="683">
        <v>237</v>
      </c>
      <c r="AD57" s="682">
        <v>240</v>
      </c>
      <c r="AE57" s="683">
        <v>243</v>
      </c>
      <c r="AF57" s="682">
        <v>251</v>
      </c>
      <c r="AG57" s="683">
        <v>234</v>
      </c>
      <c r="AH57" s="682">
        <v>251</v>
      </c>
      <c r="AI57" s="696">
        <v>240</v>
      </c>
      <c r="AJ57" s="696">
        <v>265</v>
      </c>
      <c r="AK57" s="696">
        <v>250</v>
      </c>
      <c r="AL57" s="696">
        <v>265</v>
      </c>
      <c r="AM57" s="697">
        <v>250</v>
      </c>
      <c r="AN57" s="697">
        <v>267</v>
      </c>
      <c r="AO57" s="848">
        <v>267</v>
      </c>
      <c r="AP57" s="1095">
        <v>222</v>
      </c>
      <c r="AQ57" s="1608">
        <v>209</v>
      </c>
      <c r="AR57" s="1608">
        <v>225</v>
      </c>
      <c r="AS57" s="1971">
        <v>221</v>
      </c>
      <c r="AT57" s="1095">
        <v>200</v>
      </c>
      <c r="AU57" s="2020">
        <v>203</v>
      </c>
      <c r="AV57" s="1005">
        <v>204</v>
      </c>
      <c r="AW57" s="1005"/>
      <c r="AX57" s="704">
        <v>64</v>
      </c>
      <c r="AY57" s="705">
        <v>76</v>
      </c>
      <c r="AZ57" s="705">
        <v>55</v>
      </c>
      <c r="BA57" s="705">
        <v>60</v>
      </c>
      <c r="BB57" s="705">
        <v>70</v>
      </c>
      <c r="BC57" s="705">
        <v>85</v>
      </c>
      <c r="BD57" s="705">
        <v>66</v>
      </c>
      <c r="BE57" s="705">
        <v>80</v>
      </c>
      <c r="BF57" s="705">
        <v>69</v>
      </c>
      <c r="BG57" s="705">
        <v>86</v>
      </c>
      <c r="BH57" s="705">
        <v>80</v>
      </c>
      <c r="BI57" s="705">
        <v>96</v>
      </c>
      <c r="BJ57" s="705">
        <v>95</v>
      </c>
      <c r="BK57" s="705">
        <v>99</v>
      </c>
      <c r="BL57" s="851">
        <v>104</v>
      </c>
      <c r="BM57" s="1096">
        <v>86</v>
      </c>
      <c r="BN57" s="1097">
        <v>93</v>
      </c>
      <c r="BO57" s="1096">
        <v>84</v>
      </c>
      <c r="BP57" s="1969">
        <v>102</v>
      </c>
      <c r="BQ57" s="1096">
        <v>75</v>
      </c>
      <c r="BR57" s="2022">
        <v>52</v>
      </c>
      <c r="BS57" s="1006">
        <v>98</v>
      </c>
      <c r="BU57" s="2172">
        <f t="shared" si="20"/>
        <v>411</v>
      </c>
      <c r="BV57" s="2172">
        <f t="shared" si="21"/>
        <v>1053</v>
      </c>
      <c r="BW57" s="2173">
        <f t="shared" si="22"/>
        <v>0.3903133903133903</v>
      </c>
    </row>
    <row r="58" spans="1:75" s="49" customFormat="1" ht="13.5" customHeight="1" x14ac:dyDescent="0.3">
      <c r="A58" s="56" t="s">
        <v>131</v>
      </c>
      <c r="B58" s="84" t="s">
        <v>132</v>
      </c>
      <c r="C58" s="57" t="s">
        <v>254</v>
      </c>
      <c r="D58" s="1623">
        <f t="shared" si="23"/>
        <v>0.10641296687808316</v>
      </c>
      <c r="E58" s="1624">
        <f t="shared" si="24"/>
        <v>0.11252862283284265</v>
      </c>
      <c r="F58" s="1624">
        <f t="shared" si="25"/>
        <v>0.10724081184860121</v>
      </c>
      <c r="G58" s="1624">
        <f t="shared" si="26"/>
        <v>0.10163339382940109</v>
      </c>
      <c r="H58" s="1624">
        <f t="shared" si="27"/>
        <v>0.11235687022900763</v>
      </c>
      <c r="I58" s="1624">
        <f t="shared" si="28"/>
        <v>0.10081008100810081</v>
      </c>
      <c r="J58" s="1624">
        <f t="shared" si="29"/>
        <v>0.11524086378737541</v>
      </c>
      <c r="K58" s="1624">
        <f t="shared" si="30"/>
        <v>0.1278866679604114</v>
      </c>
      <c r="L58" s="1624">
        <f t="shared" si="31"/>
        <v>0.14637509850275807</v>
      </c>
      <c r="M58" s="1624">
        <f t="shared" si="32"/>
        <v>0.16220930232558139</v>
      </c>
      <c r="N58" s="1624">
        <f t="shared" si="33"/>
        <v>0.15215745647236942</v>
      </c>
      <c r="O58" s="1624">
        <f t="shared" si="34"/>
        <v>0.15447316103379721</v>
      </c>
      <c r="P58" s="1624">
        <f t="shared" si="35"/>
        <v>0.16258879242304658</v>
      </c>
      <c r="Q58" s="1624">
        <f t="shared" si="36"/>
        <v>0.15694164989939638</v>
      </c>
      <c r="R58" s="1625">
        <f t="shared" si="37"/>
        <v>0.15442676458588331</v>
      </c>
      <c r="S58" s="1626">
        <f>'Non-marital births'!L59</f>
        <v>0.15408100956645635</v>
      </c>
      <c r="T58" s="1627">
        <v>0.15605221518987342</v>
      </c>
      <c r="U58" s="1628">
        <f t="shared" si="38"/>
        <v>0.14760914760914762</v>
      </c>
      <c r="V58" s="2018">
        <f t="shared" si="39"/>
        <v>0.16189406700355605</v>
      </c>
      <c r="W58" s="2018">
        <f t="shared" si="40"/>
        <v>0.15704617834394904</v>
      </c>
      <c r="X58" s="2013">
        <f t="shared" si="41"/>
        <v>0.15707710011507481</v>
      </c>
      <c r="Y58" s="2096">
        <f t="shared" si="19"/>
        <v>0.15408100956645635</v>
      </c>
      <c r="Z58" s="2096"/>
      <c r="AA58" s="681">
        <v>2838</v>
      </c>
      <c r="AB58" s="682">
        <v>3057</v>
      </c>
      <c r="AC58" s="683">
        <v>3646</v>
      </c>
      <c r="AD58" s="682">
        <v>3857</v>
      </c>
      <c r="AE58" s="683">
        <v>4192</v>
      </c>
      <c r="AF58" s="682">
        <v>4444</v>
      </c>
      <c r="AG58" s="683">
        <v>4816</v>
      </c>
      <c r="AH58" s="682">
        <v>5153</v>
      </c>
      <c r="AI58" s="696">
        <v>5076</v>
      </c>
      <c r="AJ58" s="696">
        <v>5160</v>
      </c>
      <c r="AK58" s="696">
        <v>5284</v>
      </c>
      <c r="AL58" s="696">
        <v>5030</v>
      </c>
      <c r="AM58" s="697">
        <v>5068</v>
      </c>
      <c r="AN58" s="697">
        <v>4970</v>
      </c>
      <c r="AO58" s="848">
        <v>4902</v>
      </c>
      <c r="AP58" s="1095">
        <v>5005</v>
      </c>
      <c r="AQ58" s="1608">
        <v>5056</v>
      </c>
      <c r="AR58" s="1608">
        <v>5291</v>
      </c>
      <c r="AS58" s="1971">
        <v>5343</v>
      </c>
      <c r="AT58" s="1095">
        <v>5024</v>
      </c>
      <c r="AU58" s="2020">
        <v>5214</v>
      </c>
      <c r="AV58" s="1005">
        <v>4913</v>
      </c>
      <c r="AW58" s="1005"/>
      <c r="AX58" s="704">
        <v>302</v>
      </c>
      <c r="AY58" s="705">
        <v>344</v>
      </c>
      <c r="AZ58" s="705">
        <v>391</v>
      </c>
      <c r="BA58" s="705">
        <v>392</v>
      </c>
      <c r="BB58" s="705">
        <v>471</v>
      </c>
      <c r="BC58" s="705">
        <v>448</v>
      </c>
      <c r="BD58" s="705">
        <v>555</v>
      </c>
      <c r="BE58" s="705">
        <v>659</v>
      </c>
      <c r="BF58" s="705">
        <v>743</v>
      </c>
      <c r="BG58" s="705">
        <v>837</v>
      </c>
      <c r="BH58" s="705">
        <v>804</v>
      </c>
      <c r="BI58" s="705">
        <v>777</v>
      </c>
      <c r="BJ58" s="705">
        <v>824</v>
      </c>
      <c r="BK58" s="705">
        <v>780</v>
      </c>
      <c r="BL58" s="851">
        <v>757</v>
      </c>
      <c r="BM58" s="1096">
        <v>788</v>
      </c>
      <c r="BN58" s="1097">
        <v>789</v>
      </c>
      <c r="BO58" s="1096">
        <v>781</v>
      </c>
      <c r="BP58" s="1969">
        <v>865</v>
      </c>
      <c r="BQ58" s="1096">
        <v>789</v>
      </c>
      <c r="BR58" s="2022">
        <v>819</v>
      </c>
      <c r="BS58" s="1006">
        <v>757</v>
      </c>
      <c r="BU58" s="2172">
        <f t="shared" si="20"/>
        <v>4011</v>
      </c>
      <c r="BV58" s="2172">
        <f t="shared" si="21"/>
        <v>25785</v>
      </c>
      <c r="BW58" s="2173">
        <f t="shared" si="22"/>
        <v>0.15555555555555556</v>
      </c>
    </row>
    <row r="59" spans="1:75" s="49" customFormat="1" ht="13.5" customHeight="1" x14ac:dyDescent="0.3">
      <c r="A59" s="56" t="s">
        <v>133</v>
      </c>
      <c r="B59" s="84" t="s">
        <v>134</v>
      </c>
      <c r="C59" s="57" t="s">
        <v>254</v>
      </c>
      <c r="D59" s="1623">
        <f t="shared" si="23"/>
        <v>0.39344262295081966</v>
      </c>
      <c r="E59" s="1624">
        <f t="shared" si="24"/>
        <v>0.37299035369774919</v>
      </c>
      <c r="F59" s="1624">
        <f t="shared" si="25"/>
        <v>0.37195121951219512</v>
      </c>
      <c r="G59" s="1624">
        <f t="shared" si="26"/>
        <v>0.41433021806853582</v>
      </c>
      <c r="H59" s="1624">
        <f t="shared" si="27"/>
        <v>0.34534534534534533</v>
      </c>
      <c r="I59" s="1624">
        <f t="shared" si="28"/>
        <v>0.33220338983050846</v>
      </c>
      <c r="J59" s="1624">
        <f t="shared" si="29"/>
        <v>0.32212885154061627</v>
      </c>
      <c r="K59" s="1624">
        <f t="shared" si="30"/>
        <v>0.33506493506493507</v>
      </c>
      <c r="L59" s="1624">
        <f t="shared" si="31"/>
        <v>0.37096774193548387</v>
      </c>
      <c r="M59" s="1624">
        <f t="shared" si="32"/>
        <v>0.33628318584070799</v>
      </c>
      <c r="N59" s="1624">
        <f t="shared" si="33"/>
        <v>0.41666666666666669</v>
      </c>
      <c r="O59" s="1624">
        <f t="shared" si="34"/>
        <v>0.38847117794486213</v>
      </c>
      <c r="P59" s="1624">
        <f t="shared" si="35"/>
        <v>0.39673913043478259</v>
      </c>
      <c r="Q59" s="1624">
        <f t="shared" si="36"/>
        <v>0.36898395721925131</v>
      </c>
      <c r="R59" s="1625">
        <f t="shared" si="37"/>
        <v>0.42408376963350786</v>
      </c>
      <c r="S59" s="1626">
        <f>'Non-marital births'!L60</f>
        <v>0.41823056300268097</v>
      </c>
      <c r="T59" s="1627">
        <v>0.42061281337047352</v>
      </c>
      <c r="U59" s="1628">
        <f t="shared" si="38"/>
        <v>0.41032608695652173</v>
      </c>
      <c r="V59" s="2018">
        <f t="shared" si="39"/>
        <v>0.38659793814432991</v>
      </c>
      <c r="W59" s="2018">
        <f t="shared" si="40"/>
        <v>0.3713527851458886</v>
      </c>
      <c r="X59" s="2013">
        <f t="shared" si="41"/>
        <v>0.41971830985915493</v>
      </c>
      <c r="Y59" s="2096">
        <f t="shared" si="19"/>
        <v>0.41823056300268097</v>
      </c>
      <c r="Z59" s="2096"/>
      <c r="AA59" s="681">
        <v>305</v>
      </c>
      <c r="AB59" s="682">
        <v>311</v>
      </c>
      <c r="AC59" s="683">
        <v>328</v>
      </c>
      <c r="AD59" s="682">
        <v>321</v>
      </c>
      <c r="AE59" s="683">
        <v>333</v>
      </c>
      <c r="AF59" s="682">
        <v>295</v>
      </c>
      <c r="AG59" s="683">
        <v>357</v>
      </c>
      <c r="AH59" s="682">
        <v>385</v>
      </c>
      <c r="AI59" s="696">
        <v>372</v>
      </c>
      <c r="AJ59" s="696">
        <v>452</v>
      </c>
      <c r="AK59" s="696">
        <v>396</v>
      </c>
      <c r="AL59" s="696">
        <v>399</v>
      </c>
      <c r="AM59" s="697">
        <v>368</v>
      </c>
      <c r="AN59" s="697">
        <v>374</v>
      </c>
      <c r="AO59" s="848">
        <v>382</v>
      </c>
      <c r="AP59" s="1095">
        <v>368</v>
      </c>
      <c r="AQ59" s="1608">
        <v>359</v>
      </c>
      <c r="AR59" s="1608">
        <v>368</v>
      </c>
      <c r="AS59" s="1971">
        <v>388</v>
      </c>
      <c r="AT59" s="1095">
        <v>377</v>
      </c>
      <c r="AU59" s="2020">
        <v>355</v>
      </c>
      <c r="AV59" s="1005">
        <v>373</v>
      </c>
      <c r="AW59" s="1005"/>
      <c r="AX59" s="704">
        <v>120</v>
      </c>
      <c r="AY59" s="705">
        <v>116</v>
      </c>
      <c r="AZ59" s="705">
        <v>122</v>
      </c>
      <c r="BA59" s="705">
        <v>133</v>
      </c>
      <c r="BB59" s="705">
        <v>115</v>
      </c>
      <c r="BC59" s="705">
        <v>98</v>
      </c>
      <c r="BD59" s="705">
        <v>115</v>
      </c>
      <c r="BE59" s="705">
        <v>129</v>
      </c>
      <c r="BF59" s="705">
        <v>138</v>
      </c>
      <c r="BG59" s="705">
        <v>152</v>
      </c>
      <c r="BH59" s="705">
        <v>165</v>
      </c>
      <c r="BI59" s="705">
        <v>155</v>
      </c>
      <c r="BJ59" s="705">
        <v>146</v>
      </c>
      <c r="BK59" s="705">
        <v>138</v>
      </c>
      <c r="BL59" s="851">
        <v>162</v>
      </c>
      <c r="BM59" s="1096">
        <v>155</v>
      </c>
      <c r="BN59" s="1097">
        <v>151</v>
      </c>
      <c r="BO59" s="1096">
        <v>151</v>
      </c>
      <c r="BP59" s="1969">
        <v>150</v>
      </c>
      <c r="BQ59" s="1096">
        <v>140</v>
      </c>
      <c r="BR59" s="2022">
        <v>149</v>
      </c>
      <c r="BS59" s="1006">
        <v>156</v>
      </c>
      <c r="BU59" s="2172">
        <f t="shared" si="20"/>
        <v>746</v>
      </c>
      <c r="BV59" s="2172">
        <f t="shared" si="21"/>
        <v>1861</v>
      </c>
      <c r="BW59" s="2173">
        <f t="shared" si="22"/>
        <v>0.40085975282106395</v>
      </c>
    </row>
    <row r="60" spans="1:75" s="49" customFormat="1" ht="13.5" customHeight="1" x14ac:dyDescent="0.3">
      <c r="A60" s="56" t="s">
        <v>135</v>
      </c>
      <c r="B60" s="84" t="s">
        <v>136</v>
      </c>
      <c r="C60" s="57" t="s">
        <v>253</v>
      </c>
      <c r="D60" s="1623">
        <f t="shared" si="23"/>
        <v>0.44827586206896552</v>
      </c>
      <c r="E60" s="1624">
        <f t="shared" si="24"/>
        <v>0.41509433962264153</v>
      </c>
      <c r="F60" s="1624">
        <f t="shared" si="25"/>
        <v>0.36842105263157893</v>
      </c>
      <c r="G60" s="1624">
        <f t="shared" si="26"/>
        <v>0.45689655172413796</v>
      </c>
      <c r="H60" s="1624">
        <f t="shared" si="27"/>
        <v>0.49541284403669728</v>
      </c>
      <c r="I60" s="1624">
        <f t="shared" si="28"/>
        <v>0.52142857142857146</v>
      </c>
      <c r="J60" s="1624">
        <f t="shared" si="29"/>
        <v>0.48854961832061067</v>
      </c>
      <c r="K60" s="1624">
        <f t="shared" si="30"/>
        <v>0.44871794871794873</v>
      </c>
      <c r="L60" s="1624">
        <f t="shared" si="31"/>
        <v>0.5</v>
      </c>
      <c r="M60" s="1624">
        <f t="shared" si="32"/>
        <v>0.46456692913385828</v>
      </c>
      <c r="N60" s="1624">
        <f t="shared" si="33"/>
        <v>0.5625</v>
      </c>
      <c r="O60" s="1624">
        <f t="shared" si="34"/>
        <v>0.51127819548872178</v>
      </c>
      <c r="P60" s="1624">
        <f t="shared" si="35"/>
        <v>0.45370370370370372</v>
      </c>
      <c r="Q60" s="1624">
        <f t="shared" si="36"/>
        <v>0.55555555555555558</v>
      </c>
      <c r="R60" s="1625">
        <f t="shared" si="37"/>
        <v>0.67796610169491522</v>
      </c>
      <c r="S60" s="1626">
        <f>'Non-marital births'!L61</f>
        <v>0.65686274509803921</v>
      </c>
      <c r="T60" s="1627">
        <v>0.61538461538461542</v>
      </c>
      <c r="U60" s="1628">
        <f t="shared" si="38"/>
        <v>0.6198347107438017</v>
      </c>
      <c r="V60" s="2018">
        <f t="shared" si="39"/>
        <v>0.5641025641025641</v>
      </c>
      <c r="W60" s="2018">
        <f t="shared" si="40"/>
        <v>0.54166666666666663</v>
      </c>
      <c r="X60" s="2013">
        <f t="shared" si="41"/>
        <v>0.65656565656565657</v>
      </c>
      <c r="Y60" s="2096">
        <f t="shared" si="19"/>
        <v>0.65686274509803921</v>
      </c>
      <c r="Z60" s="2096"/>
      <c r="AA60" s="681">
        <v>116</v>
      </c>
      <c r="AB60" s="682">
        <v>106</v>
      </c>
      <c r="AC60" s="683">
        <v>95</v>
      </c>
      <c r="AD60" s="682">
        <v>116</v>
      </c>
      <c r="AE60" s="683">
        <v>109</v>
      </c>
      <c r="AF60" s="682">
        <v>140</v>
      </c>
      <c r="AG60" s="683">
        <v>131</v>
      </c>
      <c r="AH60" s="682">
        <v>156</v>
      </c>
      <c r="AI60" s="696">
        <v>138</v>
      </c>
      <c r="AJ60" s="696">
        <v>127</v>
      </c>
      <c r="AK60" s="696">
        <v>128</v>
      </c>
      <c r="AL60" s="696">
        <v>133</v>
      </c>
      <c r="AM60" s="697">
        <v>108</v>
      </c>
      <c r="AN60" s="697">
        <v>117</v>
      </c>
      <c r="AO60" s="848">
        <v>118</v>
      </c>
      <c r="AP60" s="1095">
        <v>99</v>
      </c>
      <c r="AQ60" s="1608">
        <v>117</v>
      </c>
      <c r="AR60" s="1608">
        <v>121</v>
      </c>
      <c r="AS60" s="1971">
        <v>117</v>
      </c>
      <c r="AT60" s="1095">
        <v>120</v>
      </c>
      <c r="AU60" s="2020">
        <v>99</v>
      </c>
      <c r="AV60" s="1005">
        <v>102</v>
      </c>
      <c r="AW60" s="1005"/>
      <c r="AX60" s="704">
        <v>52</v>
      </c>
      <c r="AY60" s="705">
        <v>44</v>
      </c>
      <c r="AZ60" s="705">
        <v>35</v>
      </c>
      <c r="BA60" s="705">
        <v>53</v>
      </c>
      <c r="BB60" s="705">
        <v>54</v>
      </c>
      <c r="BC60" s="705">
        <v>73</v>
      </c>
      <c r="BD60" s="705">
        <v>64</v>
      </c>
      <c r="BE60" s="705">
        <v>70</v>
      </c>
      <c r="BF60" s="705">
        <v>69</v>
      </c>
      <c r="BG60" s="705">
        <v>59</v>
      </c>
      <c r="BH60" s="705">
        <v>72</v>
      </c>
      <c r="BI60" s="705">
        <v>68</v>
      </c>
      <c r="BJ60" s="705">
        <v>49</v>
      </c>
      <c r="BK60" s="705">
        <v>65</v>
      </c>
      <c r="BL60" s="851">
        <v>80</v>
      </c>
      <c r="BM60" s="1096">
        <v>57</v>
      </c>
      <c r="BN60" s="1097">
        <v>72</v>
      </c>
      <c r="BO60" s="1096">
        <v>75</v>
      </c>
      <c r="BP60" s="1969">
        <v>66</v>
      </c>
      <c r="BQ60" s="1096">
        <v>65</v>
      </c>
      <c r="BR60" s="2022">
        <v>65</v>
      </c>
      <c r="BS60" s="1006">
        <v>67</v>
      </c>
      <c r="BU60" s="2172">
        <f t="shared" si="20"/>
        <v>338</v>
      </c>
      <c r="BV60" s="2172">
        <f t="shared" si="21"/>
        <v>559</v>
      </c>
      <c r="BW60" s="2173">
        <f t="shared" si="22"/>
        <v>0.60465116279069764</v>
      </c>
    </row>
    <row r="61" spans="1:75" s="49" customFormat="1" ht="13.5" customHeight="1" x14ac:dyDescent="0.3">
      <c r="A61" s="56" t="s">
        <v>139</v>
      </c>
      <c r="B61" s="84" t="s">
        <v>140</v>
      </c>
      <c r="C61" s="57" t="s">
        <v>254</v>
      </c>
      <c r="D61" s="1623">
        <f t="shared" si="23"/>
        <v>0.29545454545454547</v>
      </c>
      <c r="E61" s="1624">
        <f t="shared" si="24"/>
        <v>0.27619047619047621</v>
      </c>
      <c r="F61" s="1624">
        <f t="shared" si="25"/>
        <v>0.30630630630630629</v>
      </c>
      <c r="G61" s="1624">
        <f t="shared" si="26"/>
        <v>0.32330827067669171</v>
      </c>
      <c r="H61" s="1624">
        <f t="shared" si="27"/>
        <v>0.28025477707006369</v>
      </c>
      <c r="I61" s="1624">
        <f t="shared" si="28"/>
        <v>0.27407407407407408</v>
      </c>
      <c r="J61" s="1624">
        <f t="shared" si="29"/>
        <v>0.28888888888888886</v>
      </c>
      <c r="K61" s="1624">
        <f t="shared" si="30"/>
        <v>0.29629629629629628</v>
      </c>
      <c r="L61" s="1624">
        <f t="shared" si="31"/>
        <v>0.26114649681528662</v>
      </c>
      <c r="M61" s="1624">
        <f t="shared" si="32"/>
        <v>0.30519480519480519</v>
      </c>
      <c r="N61" s="1624">
        <f t="shared" si="33"/>
        <v>0.30769230769230771</v>
      </c>
      <c r="O61" s="1624">
        <f t="shared" si="34"/>
        <v>0.33812949640287771</v>
      </c>
      <c r="P61" s="1624">
        <f t="shared" si="35"/>
        <v>0.34931506849315069</v>
      </c>
      <c r="Q61" s="1624">
        <f t="shared" si="36"/>
        <v>0.2846153846153846</v>
      </c>
      <c r="R61" s="1625">
        <f t="shared" si="37"/>
        <v>0.36363636363636365</v>
      </c>
      <c r="S61" s="1626">
        <f>'Non-marital births'!L62</f>
        <v>0.3925925925925926</v>
      </c>
      <c r="T61" s="1627">
        <v>0.3867924528301887</v>
      </c>
      <c r="U61" s="1628">
        <f t="shared" si="38"/>
        <v>0.31292517006802723</v>
      </c>
      <c r="V61" s="2018">
        <f t="shared" si="39"/>
        <v>0.35664335664335667</v>
      </c>
      <c r="W61" s="2018">
        <f t="shared" si="40"/>
        <v>0.31343283582089554</v>
      </c>
      <c r="X61" s="2013">
        <f t="shared" si="41"/>
        <v>0.39830508474576271</v>
      </c>
      <c r="Y61" s="2096">
        <f t="shared" si="19"/>
        <v>0.3925925925925926</v>
      </c>
      <c r="Z61" s="2096"/>
      <c r="AA61" s="681">
        <v>132</v>
      </c>
      <c r="AB61" s="682">
        <v>105</v>
      </c>
      <c r="AC61" s="683">
        <v>111</v>
      </c>
      <c r="AD61" s="682">
        <v>133</v>
      </c>
      <c r="AE61" s="683">
        <v>157</v>
      </c>
      <c r="AF61" s="682">
        <v>135</v>
      </c>
      <c r="AG61" s="683">
        <v>135</v>
      </c>
      <c r="AH61" s="682">
        <v>162</v>
      </c>
      <c r="AI61" s="696">
        <v>157</v>
      </c>
      <c r="AJ61" s="696">
        <v>154</v>
      </c>
      <c r="AK61" s="696">
        <v>143</v>
      </c>
      <c r="AL61" s="696">
        <v>139</v>
      </c>
      <c r="AM61" s="697">
        <v>146</v>
      </c>
      <c r="AN61" s="697">
        <v>130</v>
      </c>
      <c r="AO61" s="848">
        <v>121</v>
      </c>
      <c r="AP61" s="1095">
        <v>128</v>
      </c>
      <c r="AQ61" s="1608">
        <v>106</v>
      </c>
      <c r="AR61" s="1608">
        <v>147</v>
      </c>
      <c r="AS61" s="1971">
        <v>143</v>
      </c>
      <c r="AT61" s="1095">
        <v>134</v>
      </c>
      <c r="AU61" s="2020">
        <v>118</v>
      </c>
      <c r="AV61" s="1005">
        <v>135</v>
      </c>
      <c r="AW61" s="1005"/>
      <c r="AX61" s="704">
        <v>39</v>
      </c>
      <c r="AY61" s="705">
        <v>29</v>
      </c>
      <c r="AZ61" s="705">
        <v>34</v>
      </c>
      <c r="BA61" s="705">
        <v>43</v>
      </c>
      <c r="BB61" s="705">
        <v>44</v>
      </c>
      <c r="BC61" s="705">
        <v>37</v>
      </c>
      <c r="BD61" s="705">
        <v>39</v>
      </c>
      <c r="BE61" s="705">
        <v>48</v>
      </c>
      <c r="BF61" s="705">
        <v>41</v>
      </c>
      <c r="BG61" s="705">
        <v>47</v>
      </c>
      <c r="BH61" s="705">
        <v>44</v>
      </c>
      <c r="BI61" s="705">
        <v>47</v>
      </c>
      <c r="BJ61" s="705">
        <v>51</v>
      </c>
      <c r="BK61" s="705">
        <v>37</v>
      </c>
      <c r="BL61" s="851">
        <v>44</v>
      </c>
      <c r="BM61" s="1096">
        <v>40</v>
      </c>
      <c r="BN61" s="1097">
        <v>41</v>
      </c>
      <c r="BO61" s="1096">
        <v>46</v>
      </c>
      <c r="BP61" s="1969">
        <v>51</v>
      </c>
      <c r="BQ61" s="1096">
        <v>42</v>
      </c>
      <c r="BR61" s="2022">
        <v>47</v>
      </c>
      <c r="BS61" s="1006">
        <v>53</v>
      </c>
      <c r="BU61" s="2172">
        <f t="shared" si="20"/>
        <v>239</v>
      </c>
      <c r="BV61" s="2172">
        <f t="shared" si="21"/>
        <v>677</v>
      </c>
      <c r="BW61" s="2173">
        <f t="shared" si="22"/>
        <v>0.35302806499261447</v>
      </c>
    </row>
    <row r="62" spans="1:75" s="49" customFormat="1" ht="13.5" customHeight="1" x14ac:dyDescent="0.3">
      <c r="A62" s="56" t="s">
        <v>145</v>
      </c>
      <c r="B62" s="84" t="s">
        <v>146</v>
      </c>
      <c r="C62" s="57" t="s">
        <v>251</v>
      </c>
      <c r="D62" s="1623">
        <f t="shared" si="23"/>
        <v>0.25675675675675674</v>
      </c>
      <c r="E62" s="1624">
        <f t="shared" si="24"/>
        <v>0.23636363636363636</v>
      </c>
      <c r="F62" s="1624">
        <f t="shared" si="25"/>
        <v>0.29333333333333333</v>
      </c>
      <c r="G62" s="1624">
        <f t="shared" si="26"/>
        <v>0.2878787878787879</v>
      </c>
      <c r="H62" s="1624">
        <f t="shared" si="27"/>
        <v>0.2967032967032967</v>
      </c>
      <c r="I62" s="1624">
        <f t="shared" si="28"/>
        <v>0.28169014084507044</v>
      </c>
      <c r="J62" s="1624">
        <f t="shared" si="29"/>
        <v>0.30357142857142855</v>
      </c>
      <c r="K62" s="1624">
        <f t="shared" si="30"/>
        <v>0.40740740740740738</v>
      </c>
      <c r="L62" s="1624">
        <f t="shared" si="31"/>
        <v>0.4375</v>
      </c>
      <c r="M62" s="1624">
        <f t="shared" si="32"/>
        <v>0.32835820895522388</v>
      </c>
      <c r="N62" s="1624">
        <f t="shared" si="33"/>
        <v>0.375</v>
      </c>
      <c r="O62" s="1624">
        <f t="shared" si="34"/>
        <v>0.41176470588235292</v>
      </c>
      <c r="P62" s="1624">
        <f t="shared" si="35"/>
        <v>0.3968253968253968</v>
      </c>
      <c r="Q62" s="1624">
        <f t="shared" si="36"/>
        <v>0.390625</v>
      </c>
      <c r="R62" s="1625">
        <f t="shared" si="37"/>
        <v>0.3380281690140845</v>
      </c>
      <c r="S62" s="1626">
        <f>'Non-marital births'!L63</f>
        <v>0.45454545454545453</v>
      </c>
      <c r="T62" s="1627">
        <v>0.38333333333333336</v>
      </c>
      <c r="U62" s="1628">
        <f t="shared" si="38"/>
        <v>0.30303030303030304</v>
      </c>
      <c r="V62" s="2018">
        <f t="shared" si="39"/>
        <v>0.42857142857142855</v>
      </c>
      <c r="W62" s="2018">
        <f t="shared" si="40"/>
        <v>0.24637681159420291</v>
      </c>
      <c r="X62" s="2013">
        <f t="shared" si="41"/>
        <v>0.35555555555555557</v>
      </c>
      <c r="Y62" s="2096">
        <f t="shared" si="19"/>
        <v>0.45454545454545453</v>
      </c>
      <c r="Z62" s="2096"/>
      <c r="AA62" s="681">
        <v>74</v>
      </c>
      <c r="AB62" s="682">
        <v>55</v>
      </c>
      <c r="AC62" s="683">
        <v>75</v>
      </c>
      <c r="AD62" s="682">
        <v>66</v>
      </c>
      <c r="AE62" s="683">
        <v>91</v>
      </c>
      <c r="AF62" s="682">
        <v>71</v>
      </c>
      <c r="AG62" s="683">
        <v>56</v>
      </c>
      <c r="AH62" s="682">
        <v>54</v>
      </c>
      <c r="AI62" s="696">
        <v>80</v>
      </c>
      <c r="AJ62" s="696">
        <v>67</v>
      </c>
      <c r="AK62" s="696">
        <v>72</v>
      </c>
      <c r="AL62" s="696">
        <v>68</v>
      </c>
      <c r="AM62" s="697">
        <v>63</v>
      </c>
      <c r="AN62" s="697">
        <v>64</v>
      </c>
      <c r="AO62" s="848">
        <v>71</v>
      </c>
      <c r="AP62" s="1095">
        <v>53</v>
      </c>
      <c r="AQ62" s="1608">
        <v>60</v>
      </c>
      <c r="AR62" s="1608">
        <v>66</v>
      </c>
      <c r="AS62" s="1971">
        <v>56</v>
      </c>
      <c r="AT62" s="1095">
        <v>69</v>
      </c>
      <c r="AU62" s="2020">
        <v>45</v>
      </c>
      <c r="AV62" s="1005">
        <v>66</v>
      </c>
      <c r="AW62" s="1005"/>
      <c r="AX62" s="704">
        <v>19</v>
      </c>
      <c r="AY62" s="705">
        <v>13</v>
      </c>
      <c r="AZ62" s="705">
        <v>22</v>
      </c>
      <c r="BA62" s="705">
        <v>19</v>
      </c>
      <c r="BB62" s="705">
        <v>27</v>
      </c>
      <c r="BC62" s="705">
        <v>20</v>
      </c>
      <c r="BD62" s="705">
        <v>17</v>
      </c>
      <c r="BE62" s="705">
        <v>22</v>
      </c>
      <c r="BF62" s="705">
        <v>35</v>
      </c>
      <c r="BG62" s="705">
        <v>22</v>
      </c>
      <c r="BH62" s="705">
        <v>27</v>
      </c>
      <c r="BI62" s="705">
        <v>28</v>
      </c>
      <c r="BJ62" s="705">
        <v>25</v>
      </c>
      <c r="BK62" s="705">
        <v>25</v>
      </c>
      <c r="BL62" s="851">
        <v>24</v>
      </c>
      <c r="BM62" s="1096">
        <v>27</v>
      </c>
      <c r="BN62" s="1097">
        <v>23</v>
      </c>
      <c r="BO62" s="1096">
        <v>20</v>
      </c>
      <c r="BP62" s="1969">
        <v>24</v>
      </c>
      <c r="BQ62" s="1096">
        <v>17</v>
      </c>
      <c r="BR62" s="2022">
        <v>16</v>
      </c>
      <c r="BS62" s="1006">
        <v>30</v>
      </c>
      <c r="BU62" s="2172">
        <f t="shared" si="20"/>
        <v>107</v>
      </c>
      <c r="BV62" s="2172">
        <f t="shared" si="21"/>
        <v>302</v>
      </c>
      <c r="BW62" s="2173">
        <f t="shared" si="22"/>
        <v>0.35430463576158938</v>
      </c>
    </row>
    <row r="63" spans="1:75" s="49" customFormat="1" ht="13.5" customHeight="1" x14ac:dyDescent="0.3">
      <c r="A63" s="56" t="s">
        <v>147</v>
      </c>
      <c r="B63" s="84" t="s">
        <v>148</v>
      </c>
      <c r="C63" s="57" t="s">
        <v>252</v>
      </c>
      <c r="D63" s="1623">
        <f t="shared" si="23"/>
        <v>0.52956989247311825</v>
      </c>
      <c r="E63" s="1624">
        <f t="shared" si="24"/>
        <v>0.48467966573816157</v>
      </c>
      <c r="F63" s="1624">
        <f t="shared" si="25"/>
        <v>0.53012048192771088</v>
      </c>
      <c r="G63" s="1624">
        <f t="shared" si="26"/>
        <v>0.5533707865168539</v>
      </c>
      <c r="H63" s="1624">
        <f t="shared" si="27"/>
        <v>0.51744186046511631</v>
      </c>
      <c r="I63" s="1624">
        <f t="shared" si="28"/>
        <v>0.4960835509138381</v>
      </c>
      <c r="J63" s="1624">
        <f t="shared" si="29"/>
        <v>0.52923076923076928</v>
      </c>
      <c r="K63" s="1624">
        <f t="shared" si="30"/>
        <v>0.50914634146341464</v>
      </c>
      <c r="L63" s="1624">
        <f t="shared" si="31"/>
        <v>0.4668587896253602</v>
      </c>
      <c r="M63" s="1624">
        <f t="shared" si="32"/>
        <v>0.56151419558359617</v>
      </c>
      <c r="N63" s="1624">
        <f t="shared" si="33"/>
        <v>0.53795379537953791</v>
      </c>
      <c r="O63" s="1624">
        <f t="shared" si="34"/>
        <v>0.61980830670926512</v>
      </c>
      <c r="P63" s="1624">
        <f t="shared" si="35"/>
        <v>0.55081967213114758</v>
      </c>
      <c r="Q63" s="1624">
        <f t="shared" si="36"/>
        <v>0.60544217687074831</v>
      </c>
      <c r="R63" s="1625">
        <f t="shared" si="37"/>
        <v>0.57337883959044367</v>
      </c>
      <c r="S63" s="1626">
        <f>'Non-marital births'!L64</f>
        <v>0.52380952380952384</v>
      </c>
      <c r="T63" s="1627">
        <v>0.51736111111111116</v>
      </c>
      <c r="U63" s="1628">
        <f t="shared" si="38"/>
        <v>0.56934306569343063</v>
      </c>
      <c r="V63" s="2018">
        <f t="shared" si="39"/>
        <v>0.5337620578778135</v>
      </c>
      <c r="W63" s="2018">
        <f t="shared" si="40"/>
        <v>0.55483870967741933</v>
      </c>
      <c r="X63" s="2013">
        <f t="shared" si="41"/>
        <v>0.56748466257668717</v>
      </c>
      <c r="Y63" s="2096">
        <f t="shared" si="19"/>
        <v>0.52380952380952384</v>
      </c>
      <c r="Z63" s="2096"/>
      <c r="AA63" s="681">
        <v>372</v>
      </c>
      <c r="AB63" s="682">
        <v>359</v>
      </c>
      <c r="AC63" s="683">
        <v>332</v>
      </c>
      <c r="AD63" s="682">
        <v>356</v>
      </c>
      <c r="AE63" s="683">
        <v>344</v>
      </c>
      <c r="AF63" s="682">
        <v>383</v>
      </c>
      <c r="AG63" s="683">
        <v>325</v>
      </c>
      <c r="AH63" s="682">
        <v>328</v>
      </c>
      <c r="AI63" s="696">
        <v>347</v>
      </c>
      <c r="AJ63" s="696">
        <v>317</v>
      </c>
      <c r="AK63" s="696">
        <v>303</v>
      </c>
      <c r="AL63" s="696">
        <v>313</v>
      </c>
      <c r="AM63" s="697">
        <v>305</v>
      </c>
      <c r="AN63" s="697">
        <v>294</v>
      </c>
      <c r="AO63" s="848">
        <v>293</v>
      </c>
      <c r="AP63" s="1095">
        <v>282</v>
      </c>
      <c r="AQ63" s="1608">
        <v>288</v>
      </c>
      <c r="AR63" s="1608">
        <v>274</v>
      </c>
      <c r="AS63" s="1971">
        <v>311</v>
      </c>
      <c r="AT63" s="1095">
        <v>310</v>
      </c>
      <c r="AU63" s="2020">
        <v>326</v>
      </c>
      <c r="AV63" s="1005">
        <v>294</v>
      </c>
      <c r="AW63" s="1005"/>
      <c r="AX63" s="704">
        <v>197</v>
      </c>
      <c r="AY63" s="705">
        <v>174</v>
      </c>
      <c r="AZ63" s="705">
        <v>176</v>
      </c>
      <c r="BA63" s="705">
        <v>197</v>
      </c>
      <c r="BB63" s="705">
        <v>178</v>
      </c>
      <c r="BC63" s="705">
        <v>190</v>
      </c>
      <c r="BD63" s="705">
        <v>172</v>
      </c>
      <c r="BE63" s="705">
        <v>167</v>
      </c>
      <c r="BF63" s="705">
        <v>162</v>
      </c>
      <c r="BG63" s="705">
        <v>178</v>
      </c>
      <c r="BH63" s="705">
        <v>163</v>
      </c>
      <c r="BI63" s="705">
        <v>194</v>
      </c>
      <c r="BJ63" s="705">
        <v>168</v>
      </c>
      <c r="BK63" s="705">
        <v>178</v>
      </c>
      <c r="BL63" s="851">
        <v>168</v>
      </c>
      <c r="BM63" s="1096">
        <v>140</v>
      </c>
      <c r="BN63" s="1097">
        <v>149</v>
      </c>
      <c r="BO63" s="1096">
        <v>156</v>
      </c>
      <c r="BP63" s="1969">
        <v>166</v>
      </c>
      <c r="BQ63" s="1096">
        <v>172</v>
      </c>
      <c r="BR63" s="2022">
        <v>185</v>
      </c>
      <c r="BS63" s="1006">
        <v>154</v>
      </c>
      <c r="BU63" s="2172">
        <f t="shared" si="20"/>
        <v>833</v>
      </c>
      <c r="BV63" s="2172">
        <f t="shared" si="21"/>
        <v>1515</v>
      </c>
      <c r="BW63" s="2173">
        <f t="shared" si="22"/>
        <v>0.54983498349834981</v>
      </c>
    </row>
    <row r="64" spans="1:75" s="49" customFormat="1" ht="13.5" customHeight="1" x14ac:dyDescent="0.3">
      <c r="A64" s="56" t="s">
        <v>149</v>
      </c>
      <c r="B64" s="84" t="s">
        <v>150</v>
      </c>
      <c r="C64" s="57" t="s">
        <v>253</v>
      </c>
      <c r="D64" s="1623">
        <f t="shared" si="23"/>
        <v>0.41666666666666669</v>
      </c>
      <c r="E64" s="1624">
        <f t="shared" si="24"/>
        <v>0.32941176470588235</v>
      </c>
      <c r="F64" s="1624">
        <f t="shared" si="25"/>
        <v>0.25301204819277107</v>
      </c>
      <c r="G64" s="1624">
        <f t="shared" si="26"/>
        <v>0.40789473684210525</v>
      </c>
      <c r="H64" s="1624">
        <f t="shared" si="27"/>
        <v>0.38157894736842107</v>
      </c>
      <c r="I64" s="1624">
        <f t="shared" si="28"/>
        <v>0.47887323943661969</v>
      </c>
      <c r="J64" s="1624">
        <f t="shared" si="29"/>
        <v>0.37804878048780488</v>
      </c>
      <c r="K64" s="1624">
        <f t="shared" si="30"/>
        <v>0.34666666666666668</v>
      </c>
      <c r="L64" s="1624">
        <f t="shared" si="31"/>
        <v>0.41176470588235292</v>
      </c>
      <c r="M64" s="1624">
        <f t="shared" si="32"/>
        <v>0.42708333333333331</v>
      </c>
      <c r="N64" s="1624">
        <f t="shared" si="33"/>
        <v>0.42528735632183906</v>
      </c>
      <c r="O64" s="1624">
        <f t="shared" si="34"/>
        <v>0.43181818181818182</v>
      </c>
      <c r="P64" s="1624">
        <f t="shared" si="35"/>
        <v>0.46913580246913578</v>
      </c>
      <c r="Q64" s="1624">
        <f t="shared" si="36"/>
        <v>0.37234042553191488</v>
      </c>
      <c r="R64" s="1625">
        <f t="shared" si="37"/>
        <v>0.46464646464646464</v>
      </c>
      <c r="S64" s="1626">
        <f>'Non-marital births'!L65</f>
        <v>0.52325581395348841</v>
      </c>
      <c r="T64" s="1627">
        <v>0.52941176470588236</v>
      </c>
      <c r="U64" s="1628">
        <f t="shared" si="38"/>
        <v>0.47826086956521741</v>
      </c>
      <c r="V64" s="2018">
        <f t="shared" si="39"/>
        <v>0.48936170212765956</v>
      </c>
      <c r="W64" s="2018">
        <f t="shared" si="40"/>
        <v>0.54838709677419351</v>
      </c>
      <c r="X64" s="2013">
        <f t="shared" si="41"/>
        <v>0.46250000000000002</v>
      </c>
      <c r="Y64" s="2096">
        <f t="shared" si="19"/>
        <v>0.52325581395348841</v>
      </c>
      <c r="Z64" s="2096"/>
      <c r="AA64" s="681">
        <v>72</v>
      </c>
      <c r="AB64" s="682">
        <v>85</v>
      </c>
      <c r="AC64" s="683">
        <v>83</v>
      </c>
      <c r="AD64" s="682">
        <v>76</v>
      </c>
      <c r="AE64" s="683">
        <v>76</v>
      </c>
      <c r="AF64" s="682">
        <v>71</v>
      </c>
      <c r="AG64" s="683">
        <v>82</v>
      </c>
      <c r="AH64" s="682">
        <v>75</v>
      </c>
      <c r="AI64" s="696">
        <v>68</v>
      </c>
      <c r="AJ64" s="696">
        <v>96</v>
      </c>
      <c r="AK64" s="696">
        <v>87</v>
      </c>
      <c r="AL64" s="696">
        <v>88</v>
      </c>
      <c r="AM64" s="697">
        <v>81</v>
      </c>
      <c r="AN64" s="697">
        <v>94</v>
      </c>
      <c r="AO64" s="848">
        <v>99</v>
      </c>
      <c r="AP64" s="1095">
        <v>79</v>
      </c>
      <c r="AQ64" s="1608">
        <v>102</v>
      </c>
      <c r="AR64" s="1608">
        <v>92</v>
      </c>
      <c r="AS64" s="1971">
        <v>94</v>
      </c>
      <c r="AT64" s="1095">
        <v>93</v>
      </c>
      <c r="AU64" s="2020">
        <v>80</v>
      </c>
      <c r="AV64" s="1005">
        <v>86</v>
      </c>
      <c r="AW64" s="1005"/>
      <c r="AX64" s="704">
        <v>30</v>
      </c>
      <c r="AY64" s="705">
        <v>28</v>
      </c>
      <c r="AZ64" s="705">
        <v>21</v>
      </c>
      <c r="BA64" s="705">
        <v>31</v>
      </c>
      <c r="BB64" s="705">
        <v>29</v>
      </c>
      <c r="BC64" s="705">
        <v>34</v>
      </c>
      <c r="BD64" s="705">
        <v>31</v>
      </c>
      <c r="BE64" s="705">
        <v>26</v>
      </c>
      <c r="BF64" s="705">
        <v>28</v>
      </c>
      <c r="BG64" s="705">
        <v>41</v>
      </c>
      <c r="BH64" s="705">
        <v>37</v>
      </c>
      <c r="BI64" s="705">
        <v>38</v>
      </c>
      <c r="BJ64" s="705">
        <v>38</v>
      </c>
      <c r="BK64" s="705">
        <v>35</v>
      </c>
      <c r="BL64" s="851">
        <v>46</v>
      </c>
      <c r="BM64" s="1096">
        <v>40</v>
      </c>
      <c r="BN64" s="1097">
        <v>54</v>
      </c>
      <c r="BO64" s="1096">
        <v>44</v>
      </c>
      <c r="BP64" s="1969">
        <v>46</v>
      </c>
      <c r="BQ64" s="1096">
        <v>51</v>
      </c>
      <c r="BR64" s="2022">
        <v>37</v>
      </c>
      <c r="BS64" s="1006">
        <v>45</v>
      </c>
      <c r="BU64" s="2172">
        <f t="shared" si="20"/>
        <v>223</v>
      </c>
      <c r="BV64" s="2172">
        <f t="shared" si="21"/>
        <v>445</v>
      </c>
      <c r="BW64" s="2173">
        <f t="shared" si="22"/>
        <v>0.50112359550561802</v>
      </c>
    </row>
    <row r="65" spans="1:75" s="49" customFormat="1" ht="13.5" customHeight="1" x14ac:dyDescent="0.3">
      <c r="A65" s="56" t="s">
        <v>151</v>
      </c>
      <c r="B65" s="84" t="s">
        <v>152</v>
      </c>
      <c r="C65" s="57" t="s">
        <v>255</v>
      </c>
      <c r="D65" s="1623">
        <f t="shared" si="23"/>
        <v>0.21238938053097345</v>
      </c>
      <c r="E65" s="1624">
        <f t="shared" si="24"/>
        <v>0.20638820638820637</v>
      </c>
      <c r="F65" s="1624">
        <f t="shared" si="25"/>
        <v>0.23844282238442821</v>
      </c>
      <c r="G65" s="1624">
        <f t="shared" si="26"/>
        <v>0.20204603580562661</v>
      </c>
      <c r="H65" s="1624">
        <f t="shared" si="27"/>
        <v>0.2079589216944801</v>
      </c>
      <c r="I65" s="1624">
        <f t="shared" si="28"/>
        <v>0.23557692307692307</v>
      </c>
      <c r="J65" s="1624">
        <f t="shared" si="29"/>
        <v>0.22976190476190475</v>
      </c>
      <c r="K65" s="1624">
        <f t="shared" si="30"/>
        <v>0.26552984165651644</v>
      </c>
      <c r="L65" s="1624">
        <f t="shared" si="31"/>
        <v>0.24351747463359638</v>
      </c>
      <c r="M65" s="1624">
        <f t="shared" si="32"/>
        <v>0.27404343329886244</v>
      </c>
      <c r="N65" s="1624">
        <f t="shared" si="33"/>
        <v>0.29608938547486036</v>
      </c>
      <c r="O65" s="1624">
        <f t="shared" si="34"/>
        <v>0.29166666666666669</v>
      </c>
      <c r="P65" s="1624">
        <f t="shared" si="35"/>
        <v>0.27708095781071834</v>
      </c>
      <c r="Q65" s="1624">
        <f t="shared" si="36"/>
        <v>0.2772166105499439</v>
      </c>
      <c r="R65" s="1625">
        <f t="shared" si="37"/>
        <v>0.2497398543184183</v>
      </c>
      <c r="S65" s="1626">
        <f>'Non-marital births'!L66</f>
        <v>0.23170731707317074</v>
      </c>
      <c r="T65" s="1627">
        <v>0.25784753363228702</v>
      </c>
      <c r="U65" s="1628">
        <f t="shared" si="38"/>
        <v>0.27144535840188017</v>
      </c>
      <c r="V65" s="2018">
        <f t="shared" si="39"/>
        <v>0.25653206650831356</v>
      </c>
      <c r="W65" s="2018">
        <f t="shared" si="40"/>
        <v>0.27350427350427353</v>
      </c>
      <c r="X65" s="2013">
        <f t="shared" si="41"/>
        <v>0.28848484848484851</v>
      </c>
      <c r="Y65" s="2096">
        <f t="shared" si="19"/>
        <v>0.23170731707317074</v>
      </c>
      <c r="Z65" s="2096"/>
      <c r="AA65" s="681">
        <v>791</v>
      </c>
      <c r="AB65" s="682">
        <v>814</v>
      </c>
      <c r="AC65" s="683">
        <v>822</v>
      </c>
      <c r="AD65" s="682">
        <v>782</v>
      </c>
      <c r="AE65" s="683">
        <v>779</v>
      </c>
      <c r="AF65" s="682">
        <v>832</v>
      </c>
      <c r="AG65" s="683">
        <v>840</v>
      </c>
      <c r="AH65" s="682">
        <v>821</v>
      </c>
      <c r="AI65" s="696">
        <v>887</v>
      </c>
      <c r="AJ65" s="696">
        <v>967</v>
      </c>
      <c r="AK65" s="696">
        <v>895</v>
      </c>
      <c r="AL65" s="696">
        <v>840</v>
      </c>
      <c r="AM65" s="697">
        <v>877</v>
      </c>
      <c r="AN65" s="697">
        <v>891</v>
      </c>
      <c r="AO65" s="848">
        <v>961</v>
      </c>
      <c r="AP65" s="1095">
        <v>867</v>
      </c>
      <c r="AQ65" s="1608">
        <v>892</v>
      </c>
      <c r="AR65" s="1608">
        <v>851</v>
      </c>
      <c r="AS65" s="1971">
        <v>842</v>
      </c>
      <c r="AT65" s="1095">
        <v>819</v>
      </c>
      <c r="AU65" s="2020">
        <v>825</v>
      </c>
      <c r="AV65" s="1005">
        <v>738</v>
      </c>
      <c r="AW65" s="1005"/>
      <c r="AX65" s="704">
        <v>168</v>
      </c>
      <c r="AY65" s="705">
        <v>168</v>
      </c>
      <c r="AZ65" s="705">
        <v>196</v>
      </c>
      <c r="BA65" s="705">
        <v>158</v>
      </c>
      <c r="BB65" s="705">
        <v>162</v>
      </c>
      <c r="BC65" s="705">
        <v>196</v>
      </c>
      <c r="BD65" s="705">
        <v>193</v>
      </c>
      <c r="BE65" s="705">
        <v>218</v>
      </c>
      <c r="BF65" s="705">
        <v>216</v>
      </c>
      <c r="BG65" s="705">
        <v>265</v>
      </c>
      <c r="BH65" s="705">
        <v>265</v>
      </c>
      <c r="BI65" s="705">
        <v>245</v>
      </c>
      <c r="BJ65" s="705">
        <v>243</v>
      </c>
      <c r="BK65" s="705">
        <v>247</v>
      </c>
      <c r="BL65" s="851">
        <v>240</v>
      </c>
      <c r="BM65" s="1096">
        <v>245</v>
      </c>
      <c r="BN65" s="1097">
        <v>230</v>
      </c>
      <c r="BO65" s="1096">
        <v>231</v>
      </c>
      <c r="BP65" s="1969">
        <v>216</v>
      </c>
      <c r="BQ65" s="1096">
        <v>224</v>
      </c>
      <c r="BR65" s="2022">
        <v>238</v>
      </c>
      <c r="BS65" s="1006">
        <v>171</v>
      </c>
      <c r="BU65" s="2172">
        <f t="shared" si="20"/>
        <v>1080</v>
      </c>
      <c r="BV65" s="2172">
        <f t="shared" si="21"/>
        <v>4075</v>
      </c>
      <c r="BW65" s="2173">
        <f t="shared" si="22"/>
        <v>0.26503067484662579</v>
      </c>
    </row>
    <row r="66" spans="1:75" s="49" customFormat="1" ht="13.5" customHeight="1" x14ac:dyDescent="0.3">
      <c r="A66" s="56" t="s">
        <v>153</v>
      </c>
      <c r="B66" s="84" t="s">
        <v>154</v>
      </c>
      <c r="C66" s="57" t="s">
        <v>252</v>
      </c>
      <c r="D66" s="1623">
        <f t="shared" si="23"/>
        <v>0.34806629834254144</v>
      </c>
      <c r="E66" s="1624">
        <f t="shared" si="24"/>
        <v>0.30625000000000002</v>
      </c>
      <c r="F66" s="1624">
        <f t="shared" si="25"/>
        <v>0.43037974683544306</v>
      </c>
      <c r="G66" s="1624">
        <f t="shared" si="26"/>
        <v>0.30967741935483872</v>
      </c>
      <c r="H66" s="1624">
        <f t="shared" si="27"/>
        <v>0.31972789115646261</v>
      </c>
      <c r="I66" s="1624">
        <f t="shared" si="28"/>
        <v>0.34146341463414637</v>
      </c>
      <c r="J66" s="1624">
        <f t="shared" si="29"/>
        <v>0.31168831168831168</v>
      </c>
      <c r="K66" s="1624">
        <f t="shared" si="30"/>
        <v>0.38095238095238093</v>
      </c>
      <c r="L66" s="1624">
        <f t="shared" si="31"/>
        <v>0.37062937062937062</v>
      </c>
      <c r="M66" s="1624">
        <f t="shared" si="32"/>
        <v>0.48427672955974843</v>
      </c>
      <c r="N66" s="1624">
        <f t="shared" si="33"/>
        <v>0.375</v>
      </c>
      <c r="O66" s="1624">
        <f t="shared" si="34"/>
        <v>0.46808510638297873</v>
      </c>
      <c r="P66" s="1624">
        <f t="shared" si="35"/>
        <v>0.3904109589041096</v>
      </c>
      <c r="Q66" s="1624">
        <f t="shared" si="36"/>
        <v>0.432</v>
      </c>
      <c r="R66" s="1625">
        <f t="shared" si="37"/>
        <v>0.37956204379562042</v>
      </c>
      <c r="S66" s="1626">
        <f>'Non-marital births'!L67</f>
        <v>0.47445255474452552</v>
      </c>
      <c r="T66" s="1627">
        <v>0.41176470588235292</v>
      </c>
      <c r="U66" s="1628">
        <f t="shared" si="38"/>
        <v>0.34920634920634919</v>
      </c>
      <c r="V66" s="2018">
        <f t="shared" si="39"/>
        <v>0.36521739130434783</v>
      </c>
      <c r="W66" s="2018">
        <f t="shared" si="40"/>
        <v>0.41216216216216217</v>
      </c>
      <c r="X66" s="2013">
        <f t="shared" si="41"/>
        <v>0.44117647058823528</v>
      </c>
      <c r="Y66" s="2096">
        <f t="shared" si="19"/>
        <v>0.47445255474452552</v>
      </c>
      <c r="Z66" s="2096"/>
      <c r="AA66" s="681">
        <v>181</v>
      </c>
      <c r="AB66" s="682">
        <v>160</v>
      </c>
      <c r="AC66" s="683">
        <v>158</v>
      </c>
      <c r="AD66" s="682">
        <v>155</v>
      </c>
      <c r="AE66" s="683">
        <v>147</v>
      </c>
      <c r="AF66" s="682">
        <v>164</v>
      </c>
      <c r="AG66" s="683">
        <v>154</v>
      </c>
      <c r="AH66" s="682">
        <v>147</v>
      </c>
      <c r="AI66" s="696">
        <v>143</v>
      </c>
      <c r="AJ66" s="696">
        <v>159</v>
      </c>
      <c r="AK66" s="696">
        <v>168</v>
      </c>
      <c r="AL66" s="696">
        <v>141</v>
      </c>
      <c r="AM66" s="697">
        <v>146</v>
      </c>
      <c r="AN66" s="697">
        <v>125</v>
      </c>
      <c r="AO66" s="848">
        <v>137</v>
      </c>
      <c r="AP66" s="1095">
        <v>125</v>
      </c>
      <c r="AQ66" s="1608">
        <v>136</v>
      </c>
      <c r="AR66" s="1608">
        <v>126</v>
      </c>
      <c r="AS66" s="1971">
        <v>115</v>
      </c>
      <c r="AT66" s="1095">
        <v>148</v>
      </c>
      <c r="AU66" s="2020">
        <v>136</v>
      </c>
      <c r="AV66" s="1005">
        <v>137</v>
      </c>
      <c r="AW66" s="1005"/>
      <c r="AX66" s="704">
        <v>63</v>
      </c>
      <c r="AY66" s="705">
        <v>49</v>
      </c>
      <c r="AZ66" s="705">
        <v>68</v>
      </c>
      <c r="BA66" s="705">
        <v>48</v>
      </c>
      <c r="BB66" s="705">
        <v>47</v>
      </c>
      <c r="BC66" s="705">
        <v>56</v>
      </c>
      <c r="BD66" s="705">
        <v>48</v>
      </c>
      <c r="BE66" s="705">
        <v>56</v>
      </c>
      <c r="BF66" s="705">
        <v>53</v>
      </c>
      <c r="BG66" s="705">
        <v>77</v>
      </c>
      <c r="BH66" s="705">
        <v>63</v>
      </c>
      <c r="BI66" s="705">
        <v>66</v>
      </c>
      <c r="BJ66" s="705">
        <v>57</v>
      </c>
      <c r="BK66" s="705">
        <v>54</v>
      </c>
      <c r="BL66" s="851">
        <v>52</v>
      </c>
      <c r="BM66" s="1096">
        <v>52</v>
      </c>
      <c r="BN66" s="1097">
        <v>56</v>
      </c>
      <c r="BO66" s="1096">
        <v>44</v>
      </c>
      <c r="BP66" s="1969">
        <v>42</v>
      </c>
      <c r="BQ66" s="1096">
        <v>61</v>
      </c>
      <c r="BR66" s="2022">
        <v>60</v>
      </c>
      <c r="BS66" s="1006">
        <v>65</v>
      </c>
      <c r="BU66" s="2172">
        <f t="shared" si="20"/>
        <v>272</v>
      </c>
      <c r="BV66" s="2172">
        <f t="shared" si="21"/>
        <v>662</v>
      </c>
      <c r="BW66" s="2173">
        <f t="shared" si="22"/>
        <v>0.41087613293051362</v>
      </c>
    </row>
    <row r="67" spans="1:75" s="49" customFormat="1" ht="13.5" customHeight="1" x14ac:dyDescent="0.3">
      <c r="A67" s="56" t="s">
        <v>155</v>
      </c>
      <c r="B67" s="84" t="s">
        <v>156</v>
      </c>
      <c r="C67" s="57" t="s">
        <v>253</v>
      </c>
      <c r="D67" s="1623">
        <f t="shared" si="23"/>
        <v>0.24285714285714285</v>
      </c>
      <c r="E67" s="1624">
        <f t="shared" si="24"/>
        <v>0.2074074074074074</v>
      </c>
      <c r="F67" s="1624">
        <f t="shared" si="25"/>
        <v>0.18471337579617833</v>
      </c>
      <c r="G67" s="1624">
        <f t="shared" si="26"/>
        <v>0.23357664233576642</v>
      </c>
      <c r="H67" s="1624">
        <f t="shared" si="27"/>
        <v>0.24528301886792453</v>
      </c>
      <c r="I67" s="1624">
        <f t="shared" si="28"/>
        <v>0.16312056737588654</v>
      </c>
      <c r="J67" s="1624">
        <f t="shared" si="29"/>
        <v>0.2</v>
      </c>
      <c r="K67" s="1624">
        <f t="shared" si="30"/>
        <v>0.2471264367816092</v>
      </c>
      <c r="L67" s="1624">
        <f t="shared" si="31"/>
        <v>0.2441860465116279</v>
      </c>
      <c r="M67" s="1624">
        <f t="shared" si="32"/>
        <v>0.24444444444444444</v>
      </c>
      <c r="N67" s="1624">
        <f t="shared" si="33"/>
        <v>0.28846153846153844</v>
      </c>
      <c r="O67" s="1624">
        <f t="shared" si="34"/>
        <v>0.30813953488372092</v>
      </c>
      <c r="P67" s="1624">
        <f t="shared" si="35"/>
        <v>0.31413612565445026</v>
      </c>
      <c r="Q67" s="1624">
        <f t="shared" si="36"/>
        <v>0.25654450261780104</v>
      </c>
      <c r="R67" s="1625">
        <f t="shared" si="37"/>
        <v>0.25789473684210529</v>
      </c>
      <c r="S67" s="1626">
        <f>'Non-marital births'!L68</f>
        <v>0.22429906542056074</v>
      </c>
      <c r="T67" s="1627">
        <v>0.31770833333333331</v>
      </c>
      <c r="U67" s="1628">
        <f t="shared" si="38"/>
        <v>0.25757575757575757</v>
      </c>
      <c r="V67" s="2018">
        <f t="shared" si="39"/>
        <v>0.26728110599078342</v>
      </c>
      <c r="W67" s="2018">
        <f t="shared" si="40"/>
        <v>0.27232142857142855</v>
      </c>
      <c r="X67" s="2013">
        <f t="shared" si="41"/>
        <v>0.28504672897196259</v>
      </c>
      <c r="Y67" s="2096">
        <f t="shared" si="19"/>
        <v>0.22429906542056074</v>
      </c>
      <c r="Z67" s="2096"/>
      <c r="AA67" s="681">
        <v>140</v>
      </c>
      <c r="AB67" s="682">
        <v>135</v>
      </c>
      <c r="AC67" s="683">
        <v>157</v>
      </c>
      <c r="AD67" s="682">
        <v>137</v>
      </c>
      <c r="AE67" s="683">
        <v>159</v>
      </c>
      <c r="AF67" s="682">
        <v>141</v>
      </c>
      <c r="AG67" s="683">
        <v>175</v>
      </c>
      <c r="AH67" s="682">
        <v>174</v>
      </c>
      <c r="AI67" s="696">
        <v>172</v>
      </c>
      <c r="AJ67" s="696">
        <v>180</v>
      </c>
      <c r="AK67" s="696">
        <v>156</v>
      </c>
      <c r="AL67" s="696">
        <v>172</v>
      </c>
      <c r="AM67" s="697">
        <v>191</v>
      </c>
      <c r="AN67" s="697">
        <v>191</v>
      </c>
      <c r="AO67" s="848">
        <v>190</v>
      </c>
      <c r="AP67" s="1095">
        <v>164</v>
      </c>
      <c r="AQ67" s="1608">
        <v>192</v>
      </c>
      <c r="AR67" s="1608">
        <v>198</v>
      </c>
      <c r="AS67" s="1971">
        <v>217</v>
      </c>
      <c r="AT67" s="1095">
        <v>224</v>
      </c>
      <c r="AU67" s="2020">
        <v>214</v>
      </c>
      <c r="AV67" s="1005">
        <v>214</v>
      </c>
      <c r="AW67" s="1005"/>
      <c r="AX67" s="704">
        <v>34</v>
      </c>
      <c r="AY67" s="705">
        <v>28</v>
      </c>
      <c r="AZ67" s="705">
        <v>29</v>
      </c>
      <c r="BA67" s="705">
        <v>32</v>
      </c>
      <c r="BB67" s="705">
        <v>39</v>
      </c>
      <c r="BC67" s="705">
        <v>23</v>
      </c>
      <c r="BD67" s="705">
        <v>35</v>
      </c>
      <c r="BE67" s="705">
        <v>43</v>
      </c>
      <c r="BF67" s="705">
        <v>42</v>
      </c>
      <c r="BG67" s="705">
        <v>44</v>
      </c>
      <c r="BH67" s="705">
        <v>45</v>
      </c>
      <c r="BI67" s="705">
        <v>53</v>
      </c>
      <c r="BJ67" s="705">
        <v>60</v>
      </c>
      <c r="BK67" s="705">
        <v>49</v>
      </c>
      <c r="BL67" s="851">
        <v>49</v>
      </c>
      <c r="BM67" s="1096">
        <v>46</v>
      </c>
      <c r="BN67" s="1097">
        <v>61</v>
      </c>
      <c r="BO67" s="1096">
        <v>51</v>
      </c>
      <c r="BP67" s="1969">
        <v>58</v>
      </c>
      <c r="BQ67" s="1096">
        <v>61</v>
      </c>
      <c r="BR67" s="2022">
        <v>61</v>
      </c>
      <c r="BS67" s="1006">
        <v>48</v>
      </c>
      <c r="BU67" s="2172">
        <f t="shared" si="20"/>
        <v>279</v>
      </c>
      <c r="BV67" s="2172">
        <f t="shared" si="21"/>
        <v>1067</v>
      </c>
      <c r="BW67" s="2173">
        <f t="shared" si="22"/>
        <v>0.2614807872539831</v>
      </c>
    </row>
    <row r="68" spans="1:75" s="49" customFormat="1" ht="13.5" customHeight="1" x14ac:dyDescent="0.3">
      <c r="A68" s="56" t="s">
        <v>161</v>
      </c>
      <c r="B68" s="84" t="s">
        <v>162</v>
      </c>
      <c r="C68" s="57" t="s">
        <v>251</v>
      </c>
      <c r="D68" s="1623">
        <f t="shared" si="23"/>
        <v>0.59183673469387754</v>
      </c>
      <c r="E68" s="1624">
        <f t="shared" si="24"/>
        <v>0.5</v>
      </c>
      <c r="F68" s="1624">
        <f t="shared" si="25"/>
        <v>0.61589403973509937</v>
      </c>
      <c r="G68" s="1624">
        <f t="shared" si="26"/>
        <v>0.54255319148936165</v>
      </c>
      <c r="H68" s="1624">
        <f t="shared" si="27"/>
        <v>0.6074074074074074</v>
      </c>
      <c r="I68" s="1624">
        <f t="shared" si="28"/>
        <v>0.51204819277108438</v>
      </c>
      <c r="J68" s="1624">
        <f t="shared" si="29"/>
        <v>0.53086419753086422</v>
      </c>
      <c r="K68" s="1624">
        <f t="shared" si="30"/>
        <v>0.60606060606060608</v>
      </c>
      <c r="L68" s="1624">
        <f t="shared" si="31"/>
        <v>0.62424242424242427</v>
      </c>
      <c r="M68" s="1624">
        <f t="shared" si="32"/>
        <v>0.5780346820809249</v>
      </c>
      <c r="N68" s="1624">
        <f t="shared" si="33"/>
        <v>0.62424242424242427</v>
      </c>
      <c r="O68" s="1624">
        <f t="shared" si="34"/>
        <v>0.6015625</v>
      </c>
      <c r="P68" s="1624">
        <f t="shared" si="35"/>
        <v>0.59748427672955973</v>
      </c>
      <c r="Q68" s="1624">
        <f t="shared" si="36"/>
        <v>0.67901234567901236</v>
      </c>
      <c r="R68" s="1625">
        <f t="shared" si="37"/>
        <v>0.5847457627118644</v>
      </c>
      <c r="S68" s="1626">
        <f>'Non-marital births'!L69</f>
        <v>0.59047619047619049</v>
      </c>
      <c r="T68" s="1627">
        <v>0.63358778625954193</v>
      </c>
      <c r="U68" s="1628">
        <f t="shared" si="38"/>
        <v>0.62931034482758619</v>
      </c>
      <c r="V68" s="2018">
        <f t="shared" si="39"/>
        <v>0.59259259259259256</v>
      </c>
      <c r="W68" s="2018">
        <f t="shared" si="40"/>
        <v>0.57894736842105265</v>
      </c>
      <c r="X68" s="2013">
        <f t="shared" si="41"/>
        <v>0.578125</v>
      </c>
      <c r="Y68" s="2096">
        <f t="shared" si="19"/>
        <v>0.59047619047619049</v>
      </c>
      <c r="Z68" s="2096"/>
      <c r="AA68" s="681">
        <v>147</v>
      </c>
      <c r="AB68" s="682">
        <v>188</v>
      </c>
      <c r="AC68" s="683">
        <v>151</v>
      </c>
      <c r="AD68" s="682">
        <v>188</v>
      </c>
      <c r="AE68" s="683">
        <v>135</v>
      </c>
      <c r="AF68" s="682">
        <v>166</v>
      </c>
      <c r="AG68" s="683">
        <v>162</v>
      </c>
      <c r="AH68" s="682">
        <v>165</v>
      </c>
      <c r="AI68" s="696">
        <v>165</v>
      </c>
      <c r="AJ68" s="696">
        <v>173</v>
      </c>
      <c r="AK68" s="696">
        <v>165</v>
      </c>
      <c r="AL68" s="696">
        <v>128</v>
      </c>
      <c r="AM68" s="697">
        <v>159</v>
      </c>
      <c r="AN68" s="697">
        <v>162</v>
      </c>
      <c r="AO68" s="848">
        <v>118</v>
      </c>
      <c r="AP68" s="1095">
        <v>145</v>
      </c>
      <c r="AQ68" s="1608">
        <v>131</v>
      </c>
      <c r="AR68" s="1608">
        <v>116</v>
      </c>
      <c r="AS68" s="1971">
        <v>108</v>
      </c>
      <c r="AT68" s="1095">
        <v>133</v>
      </c>
      <c r="AU68" s="2020">
        <v>128</v>
      </c>
      <c r="AV68" s="1005">
        <v>105</v>
      </c>
      <c r="AW68" s="1005"/>
      <c r="AX68" s="704">
        <v>87</v>
      </c>
      <c r="AY68" s="705">
        <v>94</v>
      </c>
      <c r="AZ68" s="705">
        <v>93</v>
      </c>
      <c r="BA68" s="705">
        <v>102</v>
      </c>
      <c r="BB68" s="705">
        <v>82</v>
      </c>
      <c r="BC68" s="705">
        <v>85</v>
      </c>
      <c r="BD68" s="705">
        <v>86</v>
      </c>
      <c r="BE68" s="705">
        <v>100</v>
      </c>
      <c r="BF68" s="705">
        <v>103</v>
      </c>
      <c r="BG68" s="705">
        <v>100</v>
      </c>
      <c r="BH68" s="705">
        <v>103</v>
      </c>
      <c r="BI68" s="705">
        <v>77</v>
      </c>
      <c r="BJ68" s="705">
        <v>95</v>
      </c>
      <c r="BK68" s="705">
        <v>110</v>
      </c>
      <c r="BL68" s="851">
        <v>69</v>
      </c>
      <c r="BM68" s="1096">
        <v>84</v>
      </c>
      <c r="BN68" s="1097">
        <v>83</v>
      </c>
      <c r="BO68" s="1096">
        <v>73</v>
      </c>
      <c r="BP68" s="1969">
        <v>64</v>
      </c>
      <c r="BQ68" s="1096">
        <v>77</v>
      </c>
      <c r="BR68" s="2022">
        <v>74</v>
      </c>
      <c r="BS68" s="1006">
        <v>62</v>
      </c>
      <c r="BU68" s="2172">
        <f t="shared" si="20"/>
        <v>350</v>
      </c>
      <c r="BV68" s="2172">
        <f t="shared" si="21"/>
        <v>590</v>
      </c>
      <c r="BW68" s="2173">
        <f t="shared" si="22"/>
        <v>0.59322033898305082</v>
      </c>
    </row>
    <row r="69" spans="1:75" s="49" customFormat="1" ht="13.5" customHeight="1" x14ac:dyDescent="0.3">
      <c r="A69" s="56" t="s">
        <v>163</v>
      </c>
      <c r="B69" s="84" t="s">
        <v>164</v>
      </c>
      <c r="C69" s="57" t="s">
        <v>253</v>
      </c>
      <c r="D69" s="1623">
        <f t="shared" ref="D69:D100" si="42">AX69/AA69</f>
        <v>0.44210526315789472</v>
      </c>
      <c r="E69" s="1624">
        <f t="shared" ref="E69:E100" si="43">AY69/AB69</f>
        <v>0.4576271186440678</v>
      </c>
      <c r="F69" s="1624">
        <f t="shared" ref="F69:F100" si="44">AZ69/AC69</f>
        <v>0.47474747474747475</v>
      </c>
      <c r="G69" s="1624">
        <f t="shared" ref="G69:G100" si="45">BA69/AD69</f>
        <v>0.4838709677419355</v>
      </c>
      <c r="H69" s="1624">
        <f t="shared" ref="H69:H100" si="46">BB69/AE69</f>
        <v>0.57407407407407407</v>
      </c>
      <c r="I69" s="1624">
        <f t="shared" ref="I69:I100" si="47">BC69/AF69</f>
        <v>0.51546391752577314</v>
      </c>
      <c r="J69" s="1624">
        <f t="shared" ref="J69:J100" si="48">BD69/AG69</f>
        <v>0.45871559633027525</v>
      </c>
      <c r="K69" s="1624">
        <f t="shared" ref="K69:K100" si="49">BE69/AH69</f>
        <v>0.52066115702479343</v>
      </c>
      <c r="L69" s="1624">
        <f t="shared" ref="L69:L100" si="50">BF69/AI69</f>
        <v>0.54545454545454541</v>
      </c>
      <c r="M69" s="1624">
        <f t="shared" ref="M69:M100" si="51">BG69/AJ69</f>
        <v>0.59047619047619049</v>
      </c>
      <c r="N69" s="1624">
        <f t="shared" ref="N69:N100" si="52">BH69/AK69</f>
        <v>0.5643564356435643</v>
      </c>
      <c r="O69" s="1624">
        <f t="shared" ref="O69:O100" si="53">BI69/AL69</f>
        <v>0.60360360360360366</v>
      </c>
      <c r="P69" s="1624">
        <f t="shared" ref="P69:P100" si="54">BJ69/AM69</f>
        <v>0.53398058252427183</v>
      </c>
      <c r="Q69" s="1624">
        <f t="shared" ref="Q69:Q100" si="55">BK69/AN69</f>
        <v>0.56666666666666665</v>
      </c>
      <c r="R69" s="1625">
        <f t="shared" ref="R69:R100" si="56">BL69/AO69</f>
        <v>0.57291666666666663</v>
      </c>
      <c r="S69" s="1626">
        <f>'Non-marital births'!L70</f>
        <v>0.65048543689320393</v>
      </c>
      <c r="T69" s="1627">
        <v>0.5444444444444444</v>
      </c>
      <c r="U69" s="1628">
        <f t="shared" si="38"/>
        <v>0.51851851851851849</v>
      </c>
      <c r="V69" s="2018">
        <f t="shared" si="39"/>
        <v>0.5</v>
      </c>
      <c r="W69" s="2018">
        <f t="shared" si="40"/>
        <v>0.625</v>
      </c>
      <c r="X69" s="2013">
        <f t="shared" si="41"/>
        <v>0.59154929577464788</v>
      </c>
      <c r="Y69" s="2096">
        <f t="shared" si="19"/>
        <v>0.65048543689320393</v>
      </c>
      <c r="Z69" s="2096"/>
      <c r="AA69" s="681">
        <v>95</v>
      </c>
      <c r="AB69" s="682">
        <v>118</v>
      </c>
      <c r="AC69" s="683">
        <v>99</v>
      </c>
      <c r="AD69" s="682">
        <v>124</v>
      </c>
      <c r="AE69" s="683">
        <v>108</v>
      </c>
      <c r="AF69" s="682">
        <v>97</v>
      </c>
      <c r="AG69" s="683">
        <v>109</v>
      </c>
      <c r="AH69" s="682">
        <v>121</v>
      </c>
      <c r="AI69" s="696">
        <v>110</v>
      </c>
      <c r="AJ69" s="696">
        <v>105</v>
      </c>
      <c r="AK69" s="696">
        <v>101</v>
      </c>
      <c r="AL69" s="696">
        <v>111</v>
      </c>
      <c r="AM69" s="697">
        <v>103</v>
      </c>
      <c r="AN69" s="697">
        <v>90</v>
      </c>
      <c r="AO69" s="848">
        <v>96</v>
      </c>
      <c r="AP69" s="1095">
        <v>85</v>
      </c>
      <c r="AQ69" s="1608">
        <v>90</v>
      </c>
      <c r="AR69" s="1608">
        <v>81</v>
      </c>
      <c r="AS69" s="1971">
        <v>76</v>
      </c>
      <c r="AT69" s="1095">
        <v>96</v>
      </c>
      <c r="AU69" s="2020">
        <v>71</v>
      </c>
      <c r="AV69" s="1005">
        <v>103</v>
      </c>
      <c r="AW69" s="1005"/>
      <c r="AX69" s="704">
        <v>42</v>
      </c>
      <c r="AY69" s="705">
        <v>54</v>
      </c>
      <c r="AZ69" s="705">
        <v>47</v>
      </c>
      <c r="BA69" s="705">
        <v>60</v>
      </c>
      <c r="BB69" s="705">
        <v>62</v>
      </c>
      <c r="BC69" s="705">
        <v>50</v>
      </c>
      <c r="BD69" s="705">
        <v>50</v>
      </c>
      <c r="BE69" s="705">
        <v>63</v>
      </c>
      <c r="BF69" s="705">
        <v>60</v>
      </c>
      <c r="BG69" s="705">
        <v>62</v>
      </c>
      <c r="BH69" s="705">
        <v>57</v>
      </c>
      <c r="BI69" s="705">
        <v>67</v>
      </c>
      <c r="BJ69" s="705">
        <v>55</v>
      </c>
      <c r="BK69" s="705">
        <v>51</v>
      </c>
      <c r="BL69" s="851">
        <v>55</v>
      </c>
      <c r="BM69" s="1096">
        <v>47</v>
      </c>
      <c r="BN69" s="1097">
        <v>49</v>
      </c>
      <c r="BO69" s="1096">
        <v>42</v>
      </c>
      <c r="BP69" s="1969">
        <v>38</v>
      </c>
      <c r="BQ69" s="1096">
        <v>60</v>
      </c>
      <c r="BR69" s="2022">
        <v>42</v>
      </c>
      <c r="BS69" s="1006">
        <v>67</v>
      </c>
      <c r="BU69" s="2172">
        <f t="shared" si="20"/>
        <v>249</v>
      </c>
      <c r="BV69" s="2172">
        <f t="shared" si="21"/>
        <v>427</v>
      </c>
      <c r="BW69" s="2173">
        <f t="shared" si="22"/>
        <v>0.58313817330210771</v>
      </c>
    </row>
    <row r="70" spans="1:75" s="49" customFormat="1" ht="13.5" customHeight="1" x14ac:dyDescent="0.3">
      <c r="A70" s="56" t="s">
        <v>167</v>
      </c>
      <c r="B70" s="84" t="s">
        <v>168</v>
      </c>
      <c r="C70" s="57" t="s">
        <v>253</v>
      </c>
      <c r="D70" s="1623">
        <f t="shared" si="42"/>
        <v>0.44242424242424244</v>
      </c>
      <c r="E70" s="1624">
        <f t="shared" si="43"/>
        <v>0.47150259067357514</v>
      </c>
      <c r="F70" s="1624">
        <f t="shared" si="44"/>
        <v>0.46808510638297873</v>
      </c>
      <c r="G70" s="1624">
        <f t="shared" si="45"/>
        <v>0.48466257668711654</v>
      </c>
      <c r="H70" s="1624">
        <f t="shared" si="46"/>
        <v>0.47959183673469385</v>
      </c>
      <c r="I70" s="1624">
        <f t="shared" si="47"/>
        <v>0.48148148148148145</v>
      </c>
      <c r="J70" s="1624">
        <f t="shared" si="48"/>
        <v>0.41847826086956524</v>
      </c>
      <c r="K70" s="1624">
        <f t="shared" si="49"/>
        <v>0.43646408839779005</v>
      </c>
      <c r="L70" s="1624">
        <f t="shared" si="50"/>
        <v>0.53801169590643272</v>
      </c>
      <c r="M70" s="1624">
        <f t="shared" si="51"/>
        <v>0.52173913043478259</v>
      </c>
      <c r="N70" s="1624">
        <f t="shared" si="52"/>
        <v>0.60416666666666663</v>
      </c>
      <c r="O70" s="1624">
        <f t="shared" si="53"/>
        <v>0.57608695652173914</v>
      </c>
      <c r="P70" s="1624">
        <f t="shared" si="54"/>
        <v>0.52830188679245282</v>
      </c>
      <c r="Q70" s="1624">
        <f t="shared" si="55"/>
        <v>0.55151515151515151</v>
      </c>
      <c r="R70" s="1625">
        <f t="shared" si="56"/>
        <v>0.59893048128342241</v>
      </c>
      <c r="S70" s="1626">
        <f>'Non-marital births'!L71</f>
        <v>0.55621301775147924</v>
      </c>
      <c r="T70" s="1627">
        <v>0.53296703296703296</v>
      </c>
      <c r="U70" s="1628">
        <f t="shared" ref="U70:U101" si="57">BO70/AR70</f>
        <v>0.52597402597402598</v>
      </c>
      <c r="V70" s="2018">
        <f t="shared" ref="V70:V101" si="58">BP70/AS70</f>
        <v>0.56737588652482274</v>
      </c>
      <c r="W70" s="2018">
        <f t="shared" ref="W70:W101" si="59">BQ70/AT70</f>
        <v>0.51744186046511631</v>
      </c>
      <c r="X70" s="2013">
        <f t="shared" ref="X70:X101" si="60">BR70/AU70</f>
        <v>0.61333333333333329</v>
      </c>
      <c r="Y70" s="2096">
        <f t="shared" ref="Y70:Y131" si="61">BS70/AV70</f>
        <v>0.55621301775147924</v>
      </c>
      <c r="Z70" s="2096"/>
      <c r="AA70" s="681">
        <v>165</v>
      </c>
      <c r="AB70" s="682">
        <v>193</v>
      </c>
      <c r="AC70" s="683">
        <v>188</v>
      </c>
      <c r="AD70" s="682">
        <v>163</v>
      </c>
      <c r="AE70" s="683">
        <v>196</v>
      </c>
      <c r="AF70" s="682">
        <v>162</v>
      </c>
      <c r="AG70" s="683">
        <v>184</v>
      </c>
      <c r="AH70" s="682">
        <v>181</v>
      </c>
      <c r="AI70" s="696">
        <v>171</v>
      </c>
      <c r="AJ70" s="696">
        <v>161</v>
      </c>
      <c r="AK70" s="696">
        <v>192</v>
      </c>
      <c r="AL70" s="696">
        <v>184</v>
      </c>
      <c r="AM70" s="697">
        <v>159</v>
      </c>
      <c r="AN70" s="697">
        <v>165</v>
      </c>
      <c r="AO70" s="848">
        <v>187</v>
      </c>
      <c r="AP70" s="1095">
        <v>183</v>
      </c>
      <c r="AQ70" s="1608">
        <v>182</v>
      </c>
      <c r="AR70" s="1608">
        <v>154</v>
      </c>
      <c r="AS70" s="1971">
        <v>141</v>
      </c>
      <c r="AT70" s="1095">
        <v>172</v>
      </c>
      <c r="AU70" s="2020">
        <v>150</v>
      </c>
      <c r="AV70" s="1005">
        <v>169</v>
      </c>
      <c r="AW70" s="1005"/>
      <c r="AX70" s="704">
        <v>73</v>
      </c>
      <c r="AY70" s="705">
        <v>91</v>
      </c>
      <c r="AZ70" s="705">
        <v>88</v>
      </c>
      <c r="BA70" s="705">
        <v>79</v>
      </c>
      <c r="BB70" s="705">
        <v>94</v>
      </c>
      <c r="BC70" s="705">
        <v>78</v>
      </c>
      <c r="BD70" s="705">
        <v>77</v>
      </c>
      <c r="BE70" s="705">
        <v>79</v>
      </c>
      <c r="BF70" s="705">
        <v>92</v>
      </c>
      <c r="BG70" s="705">
        <v>84</v>
      </c>
      <c r="BH70" s="705">
        <v>116</v>
      </c>
      <c r="BI70" s="705">
        <v>106</v>
      </c>
      <c r="BJ70" s="705">
        <v>84</v>
      </c>
      <c r="BK70" s="705">
        <v>91</v>
      </c>
      <c r="BL70" s="851">
        <v>112</v>
      </c>
      <c r="BM70" s="1096">
        <v>102</v>
      </c>
      <c r="BN70" s="1097">
        <v>97</v>
      </c>
      <c r="BO70" s="1096">
        <v>81</v>
      </c>
      <c r="BP70" s="1969">
        <v>80</v>
      </c>
      <c r="BQ70" s="1096">
        <v>89</v>
      </c>
      <c r="BR70" s="2022">
        <v>92</v>
      </c>
      <c r="BS70" s="1006">
        <v>94</v>
      </c>
      <c r="BU70" s="2172">
        <f t="shared" ref="BU70:BU125" si="62">SUM(BO70:BS70)</f>
        <v>436</v>
      </c>
      <c r="BV70" s="2172">
        <f t="shared" ref="BV70:BV125" si="63">SUM(AR70:AV70)</f>
        <v>786</v>
      </c>
      <c r="BW70" s="2173">
        <f t="shared" si="22"/>
        <v>0.55470737913486001</v>
      </c>
    </row>
    <row r="71" spans="1:75" s="49" customFormat="1" ht="13.5" customHeight="1" x14ac:dyDescent="0.3">
      <c r="A71" s="56" t="s">
        <v>169</v>
      </c>
      <c r="B71" s="84" t="s">
        <v>170</v>
      </c>
      <c r="C71" s="57" t="s">
        <v>254</v>
      </c>
      <c r="D71" s="1623">
        <f t="shared" si="42"/>
        <v>0.34201954397394135</v>
      </c>
      <c r="E71" s="1624">
        <f t="shared" si="43"/>
        <v>0.31563421828908556</v>
      </c>
      <c r="F71" s="1624">
        <f t="shared" si="44"/>
        <v>0.37654320987654322</v>
      </c>
      <c r="G71" s="1624">
        <f t="shared" si="45"/>
        <v>0.36092715231788081</v>
      </c>
      <c r="H71" s="1624">
        <f t="shared" si="46"/>
        <v>0.35493827160493829</v>
      </c>
      <c r="I71" s="1624">
        <f t="shared" si="47"/>
        <v>0.34551495016611294</v>
      </c>
      <c r="J71" s="1624">
        <f t="shared" si="48"/>
        <v>0.3295774647887324</v>
      </c>
      <c r="K71" s="1624">
        <f t="shared" si="49"/>
        <v>0.34908136482939633</v>
      </c>
      <c r="L71" s="1624">
        <f t="shared" si="50"/>
        <v>0.32085561497326204</v>
      </c>
      <c r="M71" s="1624">
        <f t="shared" si="51"/>
        <v>0.36097560975609755</v>
      </c>
      <c r="N71" s="1624">
        <f t="shared" si="52"/>
        <v>0.38424821002386633</v>
      </c>
      <c r="O71" s="1624">
        <f t="shared" si="53"/>
        <v>0.37891737891737892</v>
      </c>
      <c r="P71" s="1624">
        <f t="shared" si="54"/>
        <v>0.36923076923076925</v>
      </c>
      <c r="Q71" s="1624">
        <f t="shared" si="55"/>
        <v>0.38498789346246975</v>
      </c>
      <c r="R71" s="1625">
        <f t="shared" si="56"/>
        <v>0.36585365853658536</v>
      </c>
      <c r="S71" s="1626">
        <f>'Non-marital births'!L72</f>
        <v>0.40601503759398494</v>
      </c>
      <c r="T71" s="1627">
        <v>0.40942928039702231</v>
      </c>
      <c r="U71" s="1628">
        <f t="shared" si="57"/>
        <v>0.37597911227154046</v>
      </c>
      <c r="V71" s="2018">
        <f t="shared" si="58"/>
        <v>0.43131868131868134</v>
      </c>
      <c r="W71" s="2018">
        <f t="shared" si="59"/>
        <v>0.44812362030905079</v>
      </c>
      <c r="X71" s="2013">
        <f t="shared" si="60"/>
        <v>0.41421568627450983</v>
      </c>
      <c r="Y71" s="2096">
        <f t="shared" si="61"/>
        <v>0.40601503759398494</v>
      </c>
      <c r="Z71" s="2096"/>
      <c r="AA71" s="681">
        <v>307</v>
      </c>
      <c r="AB71" s="682">
        <v>339</v>
      </c>
      <c r="AC71" s="683">
        <v>324</v>
      </c>
      <c r="AD71" s="682">
        <v>302</v>
      </c>
      <c r="AE71" s="683">
        <v>324</v>
      </c>
      <c r="AF71" s="682">
        <v>301</v>
      </c>
      <c r="AG71" s="683">
        <v>355</v>
      </c>
      <c r="AH71" s="682">
        <v>381</v>
      </c>
      <c r="AI71" s="696">
        <v>374</v>
      </c>
      <c r="AJ71" s="696">
        <v>410</v>
      </c>
      <c r="AK71" s="696">
        <v>419</v>
      </c>
      <c r="AL71" s="696">
        <v>351</v>
      </c>
      <c r="AM71" s="697">
        <v>390</v>
      </c>
      <c r="AN71" s="697">
        <v>413</v>
      </c>
      <c r="AO71" s="848">
        <v>369</v>
      </c>
      <c r="AP71" s="1095">
        <v>378</v>
      </c>
      <c r="AQ71" s="1608">
        <v>403</v>
      </c>
      <c r="AR71" s="1608">
        <v>383</v>
      </c>
      <c r="AS71" s="1971">
        <v>364</v>
      </c>
      <c r="AT71" s="1095">
        <v>453</v>
      </c>
      <c r="AU71" s="2020">
        <v>408</v>
      </c>
      <c r="AV71" s="1005">
        <v>399</v>
      </c>
      <c r="AW71" s="1005"/>
      <c r="AX71" s="704">
        <v>105</v>
      </c>
      <c r="AY71" s="705">
        <v>107</v>
      </c>
      <c r="AZ71" s="705">
        <v>122</v>
      </c>
      <c r="BA71" s="705">
        <v>109</v>
      </c>
      <c r="BB71" s="705">
        <v>115</v>
      </c>
      <c r="BC71" s="705">
        <v>104</v>
      </c>
      <c r="BD71" s="705">
        <v>117</v>
      </c>
      <c r="BE71" s="705">
        <v>133</v>
      </c>
      <c r="BF71" s="705">
        <v>120</v>
      </c>
      <c r="BG71" s="705">
        <v>148</v>
      </c>
      <c r="BH71" s="705">
        <v>161</v>
      </c>
      <c r="BI71" s="705">
        <v>133</v>
      </c>
      <c r="BJ71" s="705">
        <v>144</v>
      </c>
      <c r="BK71" s="705">
        <v>159</v>
      </c>
      <c r="BL71" s="851">
        <v>135</v>
      </c>
      <c r="BM71" s="1096">
        <v>156</v>
      </c>
      <c r="BN71" s="1097">
        <v>165</v>
      </c>
      <c r="BO71" s="1096">
        <v>144</v>
      </c>
      <c r="BP71" s="1969">
        <v>157</v>
      </c>
      <c r="BQ71" s="1096">
        <v>203</v>
      </c>
      <c r="BR71" s="2022">
        <v>169</v>
      </c>
      <c r="BS71" s="1006">
        <v>162</v>
      </c>
      <c r="BU71" s="2172">
        <f t="shared" si="62"/>
        <v>835</v>
      </c>
      <c r="BV71" s="2172">
        <f t="shared" si="63"/>
        <v>2007</v>
      </c>
      <c r="BW71" s="2173">
        <f t="shared" ref="BW71:BW125" si="64">BU71/BV71</f>
        <v>0.41604384653712007</v>
      </c>
    </row>
    <row r="72" spans="1:75" s="49" customFormat="1" ht="13.5" customHeight="1" x14ac:dyDescent="0.3">
      <c r="A72" s="56" t="s">
        <v>171</v>
      </c>
      <c r="B72" s="84" t="s">
        <v>172</v>
      </c>
      <c r="C72" s="57" t="s">
        <v>254</v>
      </c>
      <c r="D72" s="1623">
        <f t="shared" si="42"/>
        <v>0.38775510204081631</v>
      </c>
      <c r="E72" s="1624">
        <f t="shared" si="43"/>
        <v>0.3515625</v>
      </c>
      <c r="F72" s="1624">
        <f t="shared" si="44"/>
        <v>0.35338345864661652</v>
      </c>
      <c r="G72" s="1624">
        <f t="shared" si="45"/>
        <v>0.37226277372262773</v>
      </c>
      <c r="H72" s="1624">
        <f t="shared" si="46"/>
        <v>0.35563380281690143</v>
      </c>
      <c r="I72" s="1624">
        <f t="shared" si="47"/>
        <v>0.33812949640287771</v>
      </c>
      <c r="J72" s="1624">
        <f t="shared" si="48"/>
        <v>0.38768115942028986</v>
      </c>
      <c r="K72" s="1624">
        <f t="shared" si="49"/>
        <v>0.36507936507936506</v>
      </c>
      <c r="L72" s="1624">
        <f t="shared" si="50"/>
        <v>0.41366906474820142</v>
      </c>
      <c r="M72" s="1624">
        <f t="shared" si="51"/>
        <v>0.39111111111111113</v>
      </c>
      <c r="N72" s="1624">
        <f t="shared" si="52"/>
        <v>0.4621212121212121</v>
      </c>
      <c r="O72" s="1624">
        <f t="shared" si="53"/>
        <v>0.43621399176954734</v>
      </c>
      <c r="P72" s="1624">
        <f t="shared" si="54"/>
        <v>0.40772532188841204</v>
      </c>
      <c r="Q72" s="1624">
        <f t="shared" si="55"/>
        <v>0.51091703056768556</v>
      </c>
      <c r="R72" s="1625">
        <f t="shared" si="56"/>
        <v>0.53017241379310343</v>
      </c>
      <c r="S72" s="1626">
        <f>'Non-marital births'!L73</f>
        <v>0.47599999999999998</v>
      </c>
      <c r="T72" s="1627">
        <v>0.45414847161572053</v>
      </c>
      <c r="U72" s="1628">
        <f t="shared" si="57"/>
        <v>0.50427350427350426</v>
      </c>
      <c r="V72" s="2018">
        <f t="shared" si="58"/>
        <v>0.51405622489959835</v>
      </c>
      <c r="W72" s="2018">
        <f t="shared" si="59"/>
        <v>0.46987951807228917</v>
      </c>
      <c r="X72" s="2013">
        <f t="shared" si="60"/>
        <v>0.45490196078431372</v>
      </c>
      <c r="Y72" s="2096">
        <f t="shared" si="61"/>
        <v>0.47599999999999998</v>
      </c>
      <c r="Z72" s="2096"/>
      <c r="AA72" s="681">
        <v>245</v>
      </c>
      <c r="AB72" s="682">
        <v>256</v>
      </c>
      <c r="AC72" s="683">
        <v>266</v>
      </c>
      <c r="AD72" s="682">
        <v>274</v>
      </c>
      <c r="AE72" s="683">
        <v>284</v>
      </c>
      <c r="AF72" s="682">
        <v>278</v>
      </c>
      <c r="AG72" s="683">
        <v>276</v>
      </c>
      <c r="AH72" s="682">
        <v>252</v>
      </c>
      <c r="AI72" s="696">
        <v>278</v>
      </c>
      <c r="AJ72" s="696">
        <v>225</v>
      </c>
      <c r="AK72" s="696">
        <v>264</v>
      </c>
      <c r="AL72" s="696">
        <v>243</v>
      </c>
      <c r="AM72" s="697">
        <v>233</v>
      </c>
      <c r="AN72" s="697">
        <v>229</v>
      </c>
      <c r="AO72" s="848">
        <v>232</v>
      </c>
      <c r="AP72" s="1095">
        <v>236</v>
      </c>
      <c r="AQ72" s="1608">
        <v>229</v>
      </c>
      <c r="AR72" s="1608">
        <v>234</v>
      </c>
      <c r="AS72" s="1971">
        <v>249</v>
      </c>
      <c r="AT72" s="1095">
        <v>249</v>
      </c>
      <c r="AU72" s="2020">
        <v>255</v>
      </c>
      <c r="AV72" s="1005">
        <v>250</v>
      </c>
      <c r="AW72" s="1005"/>
      <c r="AX72" s="704">
        <v>95</v>
      </c>
      <c r="AY72" s="705">
        <v>90</v>
      </c>
      <c r="AZ72" s="705">
        <v>94</v>
      </c>
      <c r="BA72" s="705">
        <v>102</v>
      </c>
      <c r="BB72" s="705">
        <v>101</v>
      </c>
      <c r="BC72" s="705">
        <v>94</v>
      </c>
      <c r="BD72" s="705">
        <v>107</v>
      </c>
      <c r="BE72" s="705">
        <v>92</v>
      </c>
      <c r="BF72" s="705">
        <v>115</v>
      </c>
      <c r="BG72" s="705">
        <v>88</v>
      </c>
      <c r="BH72" s="705">
        <v>122</v>
      </c>
      <c r="BI72" s="705">
        <v>106</v>
      </c>
      <c r="BJ72" s="705">
        <v>95</v>
      </c>
      <c r="BK72" s="705">
        <v>117</v>
      </c>
      <c r="BL72" s="851">
        <v>123</v>
      </c>
      <c r="BM72" s="1096">
        <v>117</v>
      </c>
      <c r="BN72" s="1097">
        <v>104</v>
      </c>
      <c r="BO72" s="1096">
        <v>118</v>
      </c>
      <c r="BP72" s="1969">
        <v>128</v>
      </c>
      <c r="BQ72" s="1096">
        <v>117</v>
      </c>
      <c r="BR72" s="2022">
        <v>116</v>
      </c>
      <c r="BS72" s="1006">
        <v>119</v>
      </c>
      <c r="BU72" s="2172">
        <f t="shared" si="62"/>
        <v>598</v>
      </c>
      <c r="BV72" s="2172">
        <f t="shared" si="63"/>
        <v>1237</v>
      </c>
      <c r="BW72" s="2173">
        <f t="shared" si="64"/>
        <v>0.4834276475343573</v>
      </c>
    </row>
    <row r="73" spans="1:75" s="49" customFormat="1" ht="13.5" customHeight="1" x14ac:dyDescent="0.3">
      <c r="A73" s="56" t="s">
        <v>173</v>
      </c>
      <c r="B73" s="84" t="s">
        <v>174</v>
      </c>
      <c r="C73" s="57" t="s">
        <v>255</v>
      </c>
      <c r="D73" s="1623">
        <f t="shared" si="42"/>
        <v>0.28645833333333331</v>
      </c>
      <c r="E73" s="1624">
        <f t="shared" si="43"/>
        <v>0.20765027322404372</v>
      </c>
      <c r="F73" s="1624">
        <f t="shared" si="44"/>
        <v>0.16959064327485379</v>
      </c>
      <c r="G73" s="1624">
        <f t="shared" si="45"/>
        <v>0.3</v>
      </c>
      <c r="H73" s="1624">
        <f t="shared" si="46"/>
        <v>0.28402366863905326</v>
      </c>
      <c r="I73" s="1624">
        <f t="shared" si="47"/>
        <v>0.25882352941176473</v>
      </c>
      <c r="J73" s="1624">
        <f t="shared" si="48"/>
        <v>0.25</v>
      </c>
      <c r="K73" s="1624">
        <f t="shared" si="49"/>
        <v>0.30158730158730157</v>
      </c>
      <c r="L73" s="1624">
        <f t="shared" si="50"/>
        <v>0.28735632183908044</v>
      </c>
      <c r="M73" s="1624">
        <f t="shared" si="51"/>
        <v>0.25324675324675322</v>
      </c>
      <c r="N73" s="1624">
        <f t="shared" si="52"/>
        <v>0.2774566473988439</v>
      </c>
      <c r="O73" s="1624">
        <f t="shared" si="53"/>
        <v>0.3776223776223776</v>
      </c>
      <c r="P73" s="1624">
        <f t="shared" si="54"/>
        <v>0.32947976878612717</v>
      </c>
      <c r="Q73" s="1624">
        <f t="shared" si="55"/>
        <v>0.3776223776223776</v>
      </c>
      <c r="R73" s="1625">
        <f t="shared" si="56"/>
        <v>0.37179487179487181</v>
      </c>
      <c r="S73" s="1626">
        <f>'Non-marital births'!L74</f>
        <v>0.36274509803921567</v>
      </c>
      <c r="T73" s="1627">
        <v>0.36974789915966388</v>
      </c>
      <c r="U73" s="1628">
        <f t="shared" si="57"/>
        <v>0.36290322580645162</v>
      </c>
      <c r="V73" s="2018">
        <f t="shared" si="58"/>
        <v>0.38036809815950923</v>
      </c>
      <c r="W73" s="2018">
        <f t="shared" si="59"/>
        <v>0.42948717948717946</v>
      </c>
      <c r="X73" s="2013">
        <f t="shared" si="60"/>
        <v>0.15217391304347827</v>
      </c>
      <c r="Y73" s="2096">
        <f t="shared" si="61"/>
        <v>0.36274509803921567</v>
      </c>
      <c r="Z73" s="2096"/>
      <c r="AA73" s="681">
        <v>192</v>
      </c>
      <c r="AB73" s="682">
        <v>183</v>
      </c>
      <c r="AC73" s="683">
        <v>171</v>
      </c>
      <c r="AD73" s="682">
        <v>160</v>
      </c>
      <c r="AE73" s="683">
        <v>169</v>
      </c>
      <c r="AF73" s="682">
        <v>170</v>
      </c>
      <c r="AG73" s="683">
        <v>184</v>
      </c>
      <c r="AH73" s="682">
        <v>189</v>
      </c>
      <c r="AI73" s="696">
        <v>174</v>
      </c>
      <c r="AJ73" s="696">
        <v>154</v>
      </c>
      <c r="AK73" s="696">
        <v>173</v>
      </c>
      <c r="AL73" s="696">
        <v>143</v>
      </c>
      <c r="AM73" s="697">
        <v>173</v>
      </c>
      <c r="AN73" s="697">
        <v>143</v>
      </c>
      <c r="AO73" s="848">
        <v>156</v>
      </c>
      <c r="AP73" s="1095">
        <v>130</v>
      </c>
      <c r="AQ73" s="1608">
        <v>119</v>
      </c>
      <c r="AR73" s="1608">
        <v>124</v>
      </c>
      <c r="AS73" s="1971">
        <v>163</v>
      </c>
      <c r="AT73" s="1095">
        <v>156</v>
      </c>
      <c r="AU73" s="2020">
        <v>138</v>
      </c>
      <c r="AV73" s="1005">
        <v>102</v>
      </c>
      <c r="AW73" s="1005"/>
      <c r="AX73" s="704">
        <v>55</v>
      </c>
      <c r="AY73" s="705">
        <v>38</v>
      </c>
      <c r="AZ73" s="705">
        <v>29</v>
      </c>
      <c r="BA73" s="705">
        <v>48</v>
      </c>
      <c r="BB73" s="705">
        <v>48</v>
      </c>
      <c r="BC73" s="705">
        <v>44</v>
      </c>
      <c r="BD73" s="705">
        <v>46</v>
      </c>
      <c r="BE73" s="705">
        <v>57</v>
      </c>
      <c r="BF73" s="705">
        <v>50</v>
      </c>
      <c r="BG73" s="705">
        <v>39</v>
      </c>
      <c r="BH73" s="705">
        <v>48</v>
      </c>
      <c r="BI73" s="705">
        <v>54</v>
      </c>
      <c r="BJ73" s="705">
        <v>57</v>
      </c>
      <c r="BK73" s="705">
        <v>54</v>
      </c>
      <c r="BL73" s="851">
        <v>58</v>
      </c>
      <c r="BM73" s="1096">
        <v>52</v>
      </c>
      <c r="BN73" s="1097">
        <v>44</v>
      </c>
      <c r="BO73" s="1096">
        <v>45</v>
      </c>
      <c r="BP73" s="1969">
        <v>62</v>
      </c>
      <c r="BQ73" s="1096">
        <v>67</v>
      </c>
      <c r="BR73" s="2022">
        <v>21</v>
      </c>
      <c r="BS73" s="1006">
        <v>37</v>
      </c>
      <c r="BU73" s="2172">
        <f t="shared" si="62"/>
        <v>232</v>
      </c>
      <c r="BV73" s="2172">
        <f t="shared" si="63"/>
        <v>683</v>
      </c>
      <c r="BW73" s="2173">
        <f t="shared" si="64"/>
        <v>0.3396778916544656</v>
      </c>
    </row>
    <row r="74" spans="1:75" s="49" customFormat="1" ht="13.5" customHeight="1" x14ac:dyDescent="0.3">
      <c r="A74" s="56" t="s">
        <v>177</v>
      </c>
      <c r="B74" s="84" t="s">
        <v>178</v>
      </c>
      <c r="C74" s="57" t="s">
        <v>252</v>
      </c>
      <c r="D74" s="1623">
        <f t="shared" si="42"/>
        <v>0.30402384500745155</v>
      </c>
      <c r="E74" s="1624">
        <f t="shared" si="43"/>
        <v>0.33466135458167329</v>
      </c>
      <c r="F74" s="1624">
        <f t="shared" si="44"/>
        <v>0.33244325767690253</v>
      </c>
      <c r="G74" s="1624">
        <f t="shared" si="45"/>
        <v>0.31902718168812588</v>
      </c>
      <c r="H74" s="1624">
        <f t="shared" si="46"/>
        <v>0.32826747720364741</v>
      </c>
      <c r="I74" s="1624">
        <f t="shared" si="47"/>
        <v>0.3456973293768546</v>
      </c>
      <c r="J74" s="1624">
        <f t="shared" si="48"/>
        <v>0.35889570552147237</v>
      </c>
      <c r="K74" s="1624">
        <f t="shared" si="49"/>
        <v>0.40751879699248122</v>
      </c>
      <c r="L74" s="1624">
        <f t="shared" si="50"/>
        <v>0.40527950310559008</v>
      </c>
      <c r="M74" s="1624">
        <f t="shared" si="51"/>
        <v>0.44670846394984326</v>
      </c>
      <c r="N74" s="1624">
        <f t="shared" si="52"/>
        <v>0.3987138263665595</v>
      </c>
      <c r="O74" s="1624">
        <f t="shared" si="53"/>
        <v>0.41986062717770034</v>
      </c>
      <c r="P74" s="1624">
        <f t="shared" si="54"/>
        <v>0.42519685039370081</v>
      </c>
      <c r="Q74" s="1624">
        <f t="shared" si="55"/>
        <v>0.43555555555555553</v>
      </c>
      <c r="R74" s="1625">
        <f t="shared" si="56"/>
        <v>0.45185185185185184</v>
      </c>
      <c r="S74" s="1626">
        <f>'Non-marital births'!L75</f>
        <v>0.45029239766081869</v>
      </c>
      <c r="T74" s="1627">
        <v>0.42152466367713004</v>
      </c>
      <c r="U74" s="1628">
        <f t="shared" si="57"/>
        <v>0.45824847250509165</v>
      </c>
      <c r="V74" s="2018">
        <f t="shared" si="58"/>
        <v>0.42826552462526768</v>
      </c>
      <c r="W74" s="2018">
        <f t="shared" si="59"/>
        <v>0.5178571428571429</v>
      </c>
      <c r="X74" s="2013">
        <f t="shared" si="60"/>
        <v>0.41478439425051333</v>
      </c>
      <c r="Y74" s="2096">
        <f t="shared" si="61"/>
        <v>0.45029239766081869</v>
      </c>
      <c r="Z74" s="2096"/>
      <c r="AA74" s="681">
        <v>671</v>
      </c>
      <c r="AB74" s="682">
        <v>753</v>
      </c>
      <c r="AC74" s="683">
        <v>749</v>
      </c>
      <c r="AD74" s="682">
        <v>699</v>
      </c>
      <c r="AE74" s="683">
        <v>658</v>
      </c>
      <c r="AF74" s="682">
        <v>674</v>
      </c>
      <c r="AG74" s="683">
        <v>652</v>
      </c>
      <c r="AH74" s="682">
        <v>665</v>
      </c>
      <c r="AI74" s="696">
        <v>644</v>
      </c>
      <c r="AJ74" s="696">
        <v>638</v>
      </c>
      <c r="AK74" s="696">
        <v>622</v>
      </c>
      <c r="AL74" s="696">
        <v>574</v>
      </c>
      <c r="AM74" s="697">
        <v>508</v>
      </c>
      <c r="AN74" s="697">
        <v>450</v>
      </c>
      <c r="AO74" s="848">
        <v>540</v>
      </c>
      <c r="AP74" s="1095">
        <v>477</v>
      </c>
      <c r="AQ74" s="1608">
        <v>446</v>
      </c>
      <c r="AR74" s="1608">
        <v>491</v>
      </c>
      <c r="AS74" s="1971">
        <v>467</v>
      </c>
      <c r="AT74" s="1095">
        <v>504</v>
      </c>
      <c r="AU74" s="2020">
        <v>487</v>
      </c>
      <c r="AV74" s="1005">
        <v>513</v>
      </c>
      <c r="AW74" s="1005"/>
      <c r="AX74" s="704">
        <v>204</v>
      </c>
      <c r="AY74" s="705">
        <v>252</v>
      </c>
      <c r="AZ74" s="705">
        <v>249</v>
      </c>
      <c r="BA74" s="705">
        <v>223</v>
      </c>
      <c r="BB74" s="705">
        <v>216</v>
      </c>
      <c r="BC74" s="705">
        <v>233</v>
      </c>
      <c r="BD74" s="705">
        <v>234</v>
      </c>
      <c r="BE74" s="705">
        <v>271</v>
      </c>
      <c r="BF74" s="705">
        <v>261</v>
      </c>
      <c r="BG74" s="705">
        <v>285</v>
      </c>
      <c r="BH74" s="705">
        <v>248</v>
      </c>
      <c r="BI74" s="705">
        <v>241</v>
      </c>
      <c r="BJ74" s="705">
        <v>216</v>
      </c>
      <c r="BK74" s="705">
        <v>196</v>
      </c>
      <c r="BL74" s="851">
        <v>244</v>
      </c>
      <c r="BM74" s="1096">
        <v>188</v>
      </c>
      <c r="BN74" s="1097">
        <v>188</v>
      </c>
      <c r="BO74" s="1096">
        <v>225</v>
      </c>
      <c r="BP74" s="1969">
        <v>200</v>
      </c>
      <c r="BQ74" s="1096">
        <v>261</v>
      </c>
      <c r="BR74" s="2022">
        <v>202</v>
      </c>
      <c r="BS74" s="1006">
        <v>231</v>
      </c>
      <c r="BU74" s="2172">
        <f t="shared" si="62"/>
        <v>1119</v>
      </c>
      <c r="BV74" s="2172">
        <f t="shared" si="63"/>
        <v>2462</v>
      </c>
      <c r="BW74" s="2173">
        <f t="shared" si="64"/>
        <v>0.4545085296506905</v>
      </c>
    </row>
    <row r="75" spans="1:75" s="49" customFormat="1" ht="13.5" customHeight="1" x14ac:dyDescent="0.3">
      <c r="A75" s="56" t="s">
        <v>181</v>
      </c>
      <c r="B75" s="84" t="s">
        <v>182</v>
      </c>
      <c r="C75" s="57" t="s">
        <v>253</v>
      </c>
      <c r="D75" s="1623">
        <f t="shared" si="42"/>
        <v>0.17886178861788618</v>
      </c>
      <c r="E75" s="1624">
        <f t="shared" si="43"/>
        <v>0.19011406844106463</v>
      </c>
      <c r="F75" s="1624">
        <f t="shared" si="44"/>
        <v>0.17760617760617761</v>
      </c>
      <c r="G75" s="1624">
        <f t="shared" si="45"/>
        <v>0.14814814814814814</v>
      </c>
      <c r="H75" s="1624">
        <f t="shared" si="46"/>
        <v>0.15770609318996415</v>
      </c>
      <c r="I75" s="1624">
        <f t="shared" si="47"/>
        <v>0.17424242424242425</v>
      </c>
      <c r="J75" s="1624">
        <f t="shared" si="48"/>
        <v>0.17374517374517376</v>
      </c>
      <c r="K75" s="1624">
        <f t="shared" si="49"/>
        <v>0.15957446808510639</v>
      </c>
      <c r="L75" s="1624">
        <f t="shared" si="50"/>
        <v>0.17813765182186234</v>
      </c>
      <c r="M75" s="1624">
        <f t="shared" si="51"/>
        <v>0.2283464566929134</v>
      </c>
      <c r="N75" s="1624">
        <f t="shared" si="52"/>
        <v>0.23773584905660378</v>
      </c>
      <c r="O75" s="1624">
        <f t="shared" si="53"/>
        <v>0.22222222222222221</v>
      </c>
      <c r="P75" s="1624">
        <f t="shared" si="54"/>
        <v>0.26457399103139012</v>
      </c>
      <c r="Q75" s="1624">
        <f t="shared" si="55"/>
        <v>0.27038626609442062</v>
      </c>
      <c r="R75" s="1625">
        <f t="shared" si="56"/>
        <v>0.27346938775510204</v>
      </c>
      <c r="S75" s="1626">
        <f>'Non-marital births'!L76</f>
        <v>0.19391634980988592</v>
      </c>
      <c r="T75" s="1627">
        <v>0.25847457627118642</v>
      </c>
      <c r="U75" s="1628">
        <f t="shared" si="57"/>
        <v>0.24200913242009131</v>
      </c>
      <c r="V75" s="2018">
        <f t="shared" si="58"/>
        <v>0.26890756302521007</v>
      </c>
      <c r="W75" s="2018">
        <f t="shared" si="59"/>
        <v>0.24896265560165975</v>
      </c>
      <c r="X75" s="2013">
        <f t="shared" si="60"/>
        <v>0.24096385542168675</v>
      </c>
      <c r="Y75" s="2096">
        <f t="shared" si="61"/>
        <v>0.19391634980988592</v>
      </c>
      <c r="Z75" s="2096"/>
      <c r="AA75" s="681">
        <v>246</v>
      </c>
      <c r="AB75" s="682">
        <v>263</v>
      </c>
      <c r="AC75" s="683">
        <v>259</v>
      </c>
      <c r="AD75" s="682">
        <v>270</v>
      </c>
      <c r="AE75" s="683">
        <v>279</v>
      </c>
      <c r="AF75" s="682">
        <v>264</v>
      </c>
      <c r="AG75" s="683">
        <v>259</v>
      </c>
      <c r="AH75" s="682">
        <v>282</v>
      </c>
      <c r="AI75" s="696">
        <v>247</v>
      </c>
      <c r="AJ75" s="696">
        <v>254</v>
      </c>
      <c r="AK75" s="696">
        <v>265</v>
      </c>
      <c r="AL75" s="696">
        <v>243</v>
      </c>
      <c r="AM75" s="697">
        <v>223</v>
      </c>
      <c r="AN75" s="697">
        <v>233</v>
      </c>
      <c r="AO75" s="848">
        <v>245</v>
      </c>
      <c r="AP75" s="1095">
        <v>215</v>
      </c>
      <c r="AQ75" s="1608">
        <v>236</v>
      </c>
      <c r="AR75" s="1608">
        <v>219</v>
      </c>
      <c r="AS75" s="1971">
        <v>238</v>
      </c>
      <c r="AT75" s="1095">
        <v>241</v>
      </c>
      <c r="AU75" s="2020">
        <v>249</v>
      </c>
      <c r="AV75" s="1005">
        <v>263</v>
      </c>
      <c r="AW75" s="1005"/>
      <c r="AX75" s="704">
        <v>44</v>
      </c>
      <c r="AY75" s="705">
        <v>50</v>
      </c>
      <c r="AZ75" s="705">
        <v>46</v>
      </c>
      <c r="BA75" s="705">
        <v>40</v>
      </c>
      <c r="BB75" s="705">
        <v>44</v>
      </c>
      <c r="BC75" s="705">
        <v>46</v>
      </c>
      <c r="BD75" s="705">
        <v>45</v>
      </c>
      <c r="BE75" s="705">
        <v>45</v>
      </c>
      <c r="BF75" s="705">
        <v>44</v>
      </c>
      <c r="BG75" s="705">
        <v>58</v>
      </c>
      <c r="BH75" s="705">
        <v>63</v>
      </c>
      <c r="BI75" s="705">
        <v>54</v>
      </c>
      <c r="BJ75" s="705">
        <v>59</v>
      </c>
      <c r="BK75" s="705">
        <v>63</v>
      </c>
      <c r="BL75" s="851">
        <v>67</v>
      </c>
      <c r="BM75" s="1096">
        <v>55</v>
      </c>
      <c r="BN75" s="1097">
        <v>61</v>
      </c>
      <c r="BO75" s="1096">
        <v>53</v>
      </c>
      <c r="BP75" s="1969">
        <v>64</v>
      </c>
      <c r="BQ75" s="1096">
        <v>60</v>
      </c>
      <c r="BR75" s="2022">
        <v>60</v>
      </c>
      <c r="BS75" s="1006">
        <v>51</v>
      </c>
      <c r="BU75" s="2172">
        <f t="shared" si="62"/>
        <v>288</v>
      </c>
      <c r="BV75" s="2172">
        <f t="shared" si="63"/>
        <v>1210</v>
      </c>
      <c r="BW75" s="2173">
        <f t="shared" si="64"/>
        <v>0.23801652892561984</v>
      </c>
    </row>
    <row r="76" spans="1:75" s="49" customFormat="1" ht="13.5" customHeight="1" x14ac:dyDescent="0.3">
      <c r="A76" s="56" t="s">
        <v>183</v>
      </c>
      <c r="B76" s="84" t="s">
        <v>184</v>
      </c>
      <c r="C76" s="57" t="s">
        <v>253</v>
      </c>
      <c r="D76" s="1623">
        <f t="shared" si="42"/>
        <v>0.44660194174757284</v>
      </c>
      <c r="E76" s="1624">
        <f t="shared" si="43"/>
        <v>0.44075829383886256</v>
      </c>
      <c r="F76" s="1624">
        <f t="shared" si="44"/>
        <v>0.3888888888888889</v>
      </c>
      <c r="G76" s="1624">
        <f t="shared" si="45"/>
        <v>0.40517241379310343</v>
      </c>
      <c r="H76" s="1624">
        <f t="shared" si="46"/>
        <v>0.47179487179487178</v>
      </c>
      <c r="I76" s="1624">
        <f t="shared" si="47"/>
        <v>0.45161290322580644</v>
      </c>
      <c r="J76" s="1624">
        <f t="shared" si="48"/>
        <v>0.48768472906403942</v>
      </c>
      <c r="K76" s="1624">
        <f t="shared" si="49"/>
        <v>0.517948717948718</v>
      </c>
      <c r="L76" s="1624">
        <f t="shared" si="50"/>
        <v>0.52972972972972976</v>
      </c>
      <c r="M76" s="1624">
        <f t="shared" si="51"/>
        <v>0.50697674418604655</v>
      </c>
      <c r="N76" s="1624">
        <f t="shared" si="52"/>
        <v>0.59069767441860466</v>
      </c>
      <c r="O76" s="1624">
        <f t="shared" si="53"/>
        <v>0.5</v>
      </c>
      <c r="P76" s="1624">
        <f t="shared" si="54"/>
        <v>0.5565610859728507</v>
      </c>
      <c r="Q76" s="1624">
        <f t="shared" si="55"/>
        <v>0.51231527093596063</v>
      </c>
      <c r="R76" s="1625">
        <f t="shared" si="56"/>
        <v>0.57843137254901966</v>
      </c>
      <c r="S76" s="1626">
        <f>'Non-marital births'!L77</f>
        <v>0.51965065502183405</v>
      </c>
      <c r="T76" s="1627">
        <v>0.5173913043478261</v>
      </c>
      <c r="U76" s="1628">
        <f t="shared" si="57"/>
        <v>0.47826086956521741</v>
      </c>
      <c r="V76" s="2018">
        <f t="shared" si="58"/>
        <v>0.49519230769230771</v>
      </c>
      <c r="W76" s="2018">
        <f t="shared" si="59"/>
        <v>0.49275362318840582</v>
      </c>
      <c r="X76" s="2013">
        <f t="shared" si="60"/>
        <v>0.49387755102040815</v>
      </c>
      <c r="Y76" s="2096">
        <f t="shared" si="61"/>
        <v>0.51965065502183405</v>
      </c>
      <c r="Z76" s="2096"/>
      <c r="AA76" s="681">
        <v>206</v>
      </c>
      <c r="AB76" s="682">
        <v>211</v>
      </c>
      <c r="AC76" s="683">
        <v>216</v>
      </c>
      <c r="AD76" s="682">
        <v>232</v>
      </c>
      <c r="AE76" s="683">
        <v>195</v>
      </c>
      <c r="AF76" s="682">
        <v>186</v>
      </c>
      <c r="AG76" s="683">
        <v>203</v>
      </c>
      <c r="AH76" s="682">
        <v>195</v>
      </c>
      <c r="AI76" s="696">
        <v>185</v>
      </c>
      <c r="AJ76" s="696">
        <v>215</v>
      </c>
      <c r="AK76" s="696">
        <v>215</v>
      </c>
      <c r="AL76" s="696">
        <v>208</v>
      </c>
      <c r="AM76" s="697">
        <v>221</v>
      </c>
      <c r="AN76" s="697">
        <v>203</v>
      </c>
      <c r="AO76" s="848">
        <v>204</v>
      </c>
      <c r="AP76" s="1095">
        <v>205</v>
      </c>
      <c r="AQ76" s="1608">
        <v>230</v>
      </c>
      <c r="AR76" s="1608">
        <v>253</v>
      </c>
      <c r="AS76" s="1971">
        <v>208</v>
      </c>
      <c r="AT76" s="1095">
        <v>207</v>
      </c>
      <c r="AU76" s="2020">
        <v>245</v>
      </c>
      <c r="AV76" s="1005">
        <v>229</v>
      </c>
      <c r="AW76" s="1005"/>
      <c r="AX76" s="704">
        <v>92</v>
      </c>
      <c r="AY76" s="705">
        <v>93</v>
      </c>
      <c r="AZ76" s="705">
        <v>84</v>
      </c>
      <c r="BA76" s="705">
        <v>94</v>
      </c>
      <c r="BB76" s="705">
        <v>92</v>
      </c>
      <c r="BC76" s="705">
        <v>84</v>
      </c>
      <c r="BD76" s="705">
        <v>99</v>
      </c>
      <c r="BE76" s="705">
        <v>101</v>
      </c>
      <c r="BF76" s="705">
        <v>98</v>
      </c>
      <c r="BG76" s="705">
        <v>109</v>
      </c>
      <c r="BH76" s="705">
        <v>127</v>
      </c>
      <c r="BI76" s="705">
        <v>104</v>
      </c>
      <c r="BJ76" s="705">
        <v>123</v>
      </c>
      <c r="BK76" s="705">
        <v>104</v>
      </c>
      <c r="BL76" s="851">
        <v>118</v>
      </c>
      <c r="BM76" s="1096">
        <v>97</v>
      </c>
      <c r="BN76" s="1097">
        <v>119</v>
      </c>
      <c r="BO76" s="1096">
        <v>121</v>
      </c>
      <c r="BP76" s="1969">
        <v>103</v>
      </c>
      <c r="BQ76" s="1096">
        <v>102</v>
      </c>
      <c r="BR76" s="2022">
        <v>121</v>
      </c>
      <c r="BS76" s="1006">
        <v>119</v>
      </c>
      <c r="BU76" s="2172">
        <f t="shared" si="62"/>
        <v>566</v>
      </c>
      <c r="BV76" s="2172">
        <f t="shared" si="63"/>
        <v>1142</v>
      </c>
      <c r="BW76" s="2173">
        <f t="shared" si="64"/>
        <v>0.49562171628721541</v>
      </c>
    </row>
    <row r="77" spans="1:75" s="49" customFormat="1" ht="13.5" customHeight="1" x14ac:dyDescent="0.3">
      <c r="A77" s="56" t="s">
        <v>185</v>
      </c>
      <c r="B77" s="84" t="s">
        <v>186</v>
      </c>
      <c r="C77" s="57" t="s">
        <v>251</v>
      </c>
      <c r="D77" s="1623">
        <f t="shared" si="42"/>
        <v>0.2318840579710145</v>
      </c>
      <c r="E77" s="1624">
        <f t="shared" si="43"/>
        <v>0.24338624338624337</v>
      </c>
      <c r="F77" s="1624">
        <f t="shared" si="44"/>
        <v>0.21674876847290642</v>
      </c>
      <c r="G77" s="1624">
        <f t="shared" si="45"/>
        <v>0.21899736147757257</v>
      </c>
      <c r="H77" s="1624">
        <f t="shared" si="46"/>
        <v>0.27011494252873564</v>
      </c>
      <c r="I77" s="1624">
        <f t="shared" si="47"/>
        <v>0.25257731958762886</v>
      </c>
      <c r="J77" s="1624">
        <f t="shared" si="48"/>
        <v>0.26630434782608697</v>
      </c>
      <c r="K77" s="1624">
        <f t="shared" si="49"/>
        <v>0.24233128834355827</v>
      </c>
      <c r="L77" s="1624">
        <f t="shared" si="50"/>
        <v>0.2556179775280899</v>
      </c>
      <c r="M77" s="1624">
        <f t="shared" si="51"/>
        <v>0.34399999999999997</v>
      </c>
      <c r="N77" s="1624">
        <f t="shared" si="52"/>
        <v>0.3143631436314363</v>
      </c>
      <c r="O77" s="1624">
        <f t="shared" si="53"/>
        <v>0.29776674937965258</v>
      </c>
      <c r="P77" s="1624">
        <f t="shared" si="54"/>
        <v>0.26744186046511625</v>
      </c>
      <c r="Q77" s="1624">
        <f t="shared" si="55"/>
        <v>0.27522935779816515</v>
      </c>
      <c r="R77" s="1625">
        <f t="shared" si="56"/>
        <v>0.33430232558139533</v>
      </c>
      <c r="S77" s="1626">
        <f>'Non-marital births'!L78</f>
        <v>0.34743202416918428</v>
      </c>
      <c r="T77" s="1627">
        <v>0.30640668523676878</v>
      </c>
      <c r="U77" s="1628">
        <f t="shared" si="57"/>
        <v>0.31073446327683618</v>
      </c>
      <c r="V77" s="2018">
        <f t="shared" si="58"/>
        <v>0.32917705735660846</v>
      </c>
      <c r="W77" s="2018">
        <f t="shared" si="59"/>
        <v>0.30182926829268292</v>
      </c>
      <c r="X77" s="2013">
        <f t="shared" si="60"/>
        <v>0.31652661064425769</v>
      </c>
      <c r="Y77" s="2096">
        <f t="shared" si="61"/>
        <v>0.34743202416918428</v>
      </c>
      <c r="Z77" s="2096"/>
      <c r="AA77" s="681">
        <v>345</v>
      </c>
      <c r="AB77" s="682">
        <v>378</v>
      </c>
      <c r="AC77" s="683">
        <v>406</v>
      </c>
      <c r="AD77" s="682">
        <v>379</v>
      </c>
      <c r="AE77" s="683">
        <v>348</v>
      </c>
      <c r="AF77" s="682">
        <v>388</v>
      </c>
      <c r="AG77" s="683">
        <v>368</v>
      </c>
      <c r="AH77" s="682">
        <v>326</v>
      </c>
      <c r="AI77" s="696">
        <v>356</v>
      </c>
      <c r="AJ77" s="696">
        <v>375</v>
      </c>
      <c r="AK77" s="696">
        <v>369</v>
      </c>
      <c r="AL77" s="696">
        <v>403</v>
      </c>
      <c r="AM77" s="697">
        <v>344</v>
      </c>
      <c r="AN77" s="697">
        <v>327</v>
      </c>
      <c r="AO77" s="848">
        <v>344</v>
      </c>
      <c r="AP77" s="1095">
        <v>310</v>
      </c>
      <c r="AQ77" s="1608">
        <v>359</v>
      </c>
      <c r="AR77" s="1608">
        <v>354</v>
      </c>
      <c r="AS77" s="1971">
        <v>401</v>
      </c>
      <c r="AT77" s="1095">
        <v>328</v>
      </c>
      <c r="AU77" s="2020">
        <v>357</v>
      </c>
      <c r="AV77" s="1005">
        <v>331</v>
      </c>
      <c r="AW77" s="1005"/>
      <c r="AX77" s="704">
        <v>80</v>
      </c>
      <c r="AY77" s="705">
        <v>92</v>
      </c>
      <c r="AZ77" s="705">
        <v>88</v>
      </c>
      <c r="BA77" s="705">
        <v>83</v>
      </c>
      <c r="BB77" s="705">
        <v>94</v>
      </c>
      <c r="BC77" s="705">
        <v>98</v>
      </c>
      <c r="BD77" s="705">
        <v>98</v>
      </c>
      <c r="BE77" s="705">
        <v>79</v>
      </c>
      <c r="BF77" s="705">
        <v>91</v>
      </c>
      <c r="BG77" s="705">
        <v>129</v>
      </c>
      <c r="BH77" s="705">
        <v>116</v>
      </c>
      <c r="BI77" s="705">
        <v>120</v>
      </c>
      <c r="BJ77" s="705">
        <v>92</v>
      </c>
      <c r="BK77" s="705">
        <v>90</v>
      </c>
      <c r="BL77" s="851">
        <v>115</v>
      </c>
      <c r="BM77" s="1096">
        <v>92</v>
      </c>
      <c r="BN77" s="1097">
        <v>110</v>
      </c>
      <c r="BO77" s="1096">
        <v>110</v>
      </c>
      <c r="BP77" s="1969">
        <v>132</v>
      </c>
      <c r="BQ77" s="1096">
        <v>99</v>
      </c>
      <c r="BR77" s="2022">
        <v>113</v>
      </c>
      <c r="BS77" s="1006">
        <v>115</v>
      </c>
      <c r="BU77" s="2172">
        <f t="shared" si="62"/>
        <v>569</v>
      </c>
      <c r="BV77" s="2172">
        <f t="shared" si="63"/>
        <v>1771</v>
      </c>
      <c r="BW77" s="2173">
        <f t="shared" si="64"/>
        <v>0.32128740824392998</v>
      </c>
    </row>
    <row r="78" spans="1:75" s="49" customFormat="1" ht="13.5" customHeight="1" x14ac:dyDescent="0.3">
      <c r="A78" s="56" t="s">
        <v>187</v>
      </c>
      <c r="B78" s="84" t="s">
        <v>188</v>
      </c>
      <c r="C78" s="57" t="s">
        <v>254</v>
      </c>
      <c r="D78" s="1623">
        <f t="shared" si="42"/>
        <v>0.23685344827586208</v>
      </c>
      <c r="E78" s="1624">
        <f t="shared" si="43"/>
        <v>0.24851569126378287</v>
      </c>
      <c r="F78" s="1624">
        <f t="shared" si="44"/>
        <v>0.24752279032897345</v>
      </c>
      <c r="G78" s="1624">
        <f t="shared" si="45"/>
        <v>0.24442005122575924</v>
      </c>
      <c r="H78" s="1624">
        <f t="shared" si="46"/>
        <v>0.23377541998231655</v>
      </c>
      <c r="I78" s="1624">
        <f t="shared" si="47"/>
        <v>0.25595837529372273</v>
      </c>
      <c r="J78" s="1624">
        <f t="shared" si="48"/>
        <v>0.25694336695112491</v>
      </c>
      <c r="K78" s="1624">
        <f t="shared" si="49"/>
        <v>0.27527920313914883</v>
      </c>
      <c r="L78" s="1624">
        <f t="shared" si="50"/>
        <v>0.31028117012212442</v>
      </c>
      <c r="M78" s="1624">
        <f t="shared" si="51"/>
        <v>0.30704722671766954</v>
      </c>
      <c r="N78" s="1624">
        <f t="shared" si="52"/>
        <v>0.28278880725340005</v>
      </c>
      <c r="O78" s="1624">
        <f t="shared" si="53"/>
        <v>0.29175475687103591</v>
      </c>
      <c r="P78" s="1624">
        <f t="shared" si="54"/>
        <v>0.29863096133594103</v>
      </c>
      <c r="Q78" s="1624">
        <f t="shared" si="55"/>
        <v>0.29666716484830369</v>
      </c>
      <c r="R78" s="1625">
        <f t="shared" si="56"/>
        <v>0.29725010912265387</v>
      </c>
      <c r="S78" s="1626">
        <f>'Non-marital births'!L79</f>
        <v>0.30375586854460096</v>
      </c>
      <c r="T78" s="1627">
        <v>0.29246376811594205</v>
      </c>
      <c r="U78" s="1628">
        <f t="shared" si="57"/>
        <v>0.3091157288032762</v>
      </c>
      <c r="V78" s="2018">
        <f t="shared" si="58"/>
        <v>0.30350665054413545</v>
      </c>
      <c r="W78" s="2018">
        <f t="shared" si="59"/>
        <v>0.31323485076876695</v>
      </c>
      <c r="X78" s="2013">
        <f t="shared" si="60"/>
        <v>0.30322680253203643</v>
      </c>
      <c r="Y78" s="2096">
        <f t="shared" si="61"/>
        <v>0.30375586854460096</v>
      </c>
      <c r="Z78" s="2096"/>
      <c r="AA78" s="681">
        <v>4640</v>
      </c>
      <c r="AB78" s="682">
        <v>4716</v>
      </c>
      <c r="AC78" s="683">
        <v>5046</v>
      </c>
      <c r="AD78" s="682">
        <v>5466</v>
      </c>
      <c r="AE78" s="683">
        <v>5655</v>
      </c>
      <c r="AF78" s="682">
        <v>5958</v>
      </c>
      <c r="AG78" s="683">
        <v>6445</v>
      </c>
      <c r="AH78" s="682">
        <v>6626</v>
      </c>
      <c r="AI78" s="696">
        <v>7042</v>
      </c>
      <c r="AJ78" s="696">
        <v>6797</v>
      </c>
      <c r="AK78" s="696">
        <v>6397</v>
      </c>
      <c r="AL78" s="696">
        <v>6622</v>
      </c>
      <c r="AM78" s="697">
        <v>6647</v>
      </c>
      <c r="AN78" s="697">
        <v>6691</v>
      </c>
      <c r="AO78" s="848">
        <v>6873</v>
      </c>
      <c r="AP78" s="1095">
        <v>6791</v>
      </c>
      <c r="AQ78" s="1608">
        <v>6900</v>
      </c>
      <c r="AR78" s="1608">
        <v>6593</v>
      </c>
      <c r="AS78" s="1971">
        <v>6616</v>
      </c>
      <c r="AT78" s="1095">
        <v>6634</v>
      </c>
      <c r="AU78" s="2020">
        <v>6477</v>
      </c>
      <c r="AV78" s="1005">
        <v>6390</v>
      </c>
      <c r="AW78" s="1005"/>
      <c r="AX78" s="704">
        <v>1099</v>
      </c>
      <c r="AY78" s="705">
        <v>1172</v>
      </c>
      <c r="AZ78" s="705">
        <v>1249</v>
      </c>
      <c r="BA78" s="705">
        <v>1336</v>
      </c>
      <c r="BB78" s="705">
        <v>1322</v>
      </c>
      <c r="BC78" s="705">
        <v>1525</v>
      </c>
      <c r="BD78" s="705">
        <v>1656</v>
      </c>
      <c r="BE78" s="705">
        <v>1824</v>
      </c>
      <c r="BF78" s="705">
        <v>2185</v>
      </c>
      <c r="BG78" s="705">
        <v>2087</v>
      </c>
      <c r="BH78" s="705">
        <v>1809</v>
      </c>
      <c r="BI78" s="705">
        <v>1932</v>
      </c>
      <c r="BJ78" s="705">
        <v>1985</v>
      </c>
      <c r="BK78" s="705">
        <v>1985</v>
      </c>
      <c r="BL78" s="851">
        <v>2043</v>
      </c>
      <c r="BM78" s="1096">
        <v>1947</v>
      </c>
      <c r="BN78" s="1097">
        <v>2018</v>
      </c>
      <c r="BO78" s="1096">
        <v>2038</v>
      </c>
      <c r="BP78" s="1969">
        <v>2008</v>
      </c>
      <c r="BQ78" s="1096">
        <v>2078</v>
      </c>
      <c r="BR78" s="2022">
        <v>1964</v>
      </c>
      <c r="BS78" s="1006">
        <v>1941</v>
      </c>
      <c r="BU78" s="2172">
        <f t="shared" si="62"/>
        <v>10029</v>
      </c>
      <c r="BV78" s="2172">
        <f t="shared" si="63"/>
        <v>32710</v>
      </c>
      <c r="BW78" s="2173">
        <f t="shared" si="64"/>
        <v>0.30660348517273006</v>
      </c>
    </row>
    <row r="79" spans="1:75" s="49" customFormat="1" ht="13.5" customHeight="1" x14ac:dyDescent="0.3">
      <c r="A79" s="56" t="s">
        <v>189</v>
      </c>
      <c r="B79" s="84" t="s">
        <v>190</v>
      </c>
      <c r="C79" s="57" t="s">
        <v>255</v>
      </c>
      <c r="D79" s="1623">
        <f t="shared" si="42"/>
        <v>0.28639618138424822</v>
      </c>
      <c r="E79" s="1624">
        <f t="shared" si="43"/>
        <v>0.28981723237597912</v>
      </c>
      <c r="F79" s="1624">
        <f t="shared" si="44"/>
        <v>0.30413625304136255</v>
      </c>
      <c r="G79" s="1624">
        <f t="shared" si="45"/>
        <v>0.31165311653116529</v>
      </c>
      <c r="H79" s="1624">
        <f t="shared" si="46"/>
        <v>0.34567901234567899</v>
      </c>
      <c r="I79" s="1624">
        <f t="shared" si="47"/>
        <v>0.34023668639053256</v>
      </c>
      <c r="J79" s="1624">
        <f t="shared" si="48"/>
        <v>0.30724637681159422</v>
      </c>
      <c r="K79" s="1624">
        <f t="shared" si="49"/>
        <v>0.375</v>
      </c>
      <c r="L79" s="1624">
        <f t="shared" si="50"/>
        <v>0.36904761904761907</v>
      </c>
      <c r="M79" s="1624">
        <f t="shared" si="51"/>
        <v>0.43296089385474862</v>
      </c>
      <c r="N79" s="1624">
        <f t="shared" si="52"/>
        <v>0.41160220994475138</v>
      </c>
      <c r="O79" s="1624">
        <f t="shared" si="53"/>
        <v>0.44859813084112149</v>
      </c>
      <c r="P79" s="1624">
        <f t="shared" si="54"/>
        <v>0.41281138790035588</v>
      </c>
      <c r="Q79" s="1624">
        <f t="shared" si="55"/>
        <v>0.41666666666666669</v>
      </c>
      <c r="R79" s="1625">
        <f t="shared" si="56"/>
        <v>0.42241379310344829</v>
      </c>
      <c r="S79" s="1626">
        <f>'Non-marital births'!L80</f>
        <v>0.52597402597402598</v>
      </c>
      <c r="T79" s="1627">
        <v>0.43653250773993807</v>
      </c>
      <c r="U79" s="1628">
        <f t="shared" si="57"/>
        <v>0.50980392156862742</v>
      </c>
      <c r="V79" s="2018">
        <f t="shared" si="58"/>
        <v>0.4716417910447761</v>
      </c>
      <c r="W79" s="2018">
        <f t="shared" si="59"/>
        <v>0.46153846153846156</v>
      </c>
      <c r="X79" s="2013">
        <f t="shared" si="60"/>
        <v>0.45126353790613716</v>
      </c>
      <c r="Y79" s="2096">
        <f t="shared" si="61"/>
        <v>0.52597402597402598</v>
      </c>
      <c r="Z79" s="2096"/>
      <c r="AA79" s="681">
        <v>419</v>
      </c>
      <c r="AB79" s="682">
        <v>383</v>
      </c>
      <c r="AC79" s="683">
        <v>411</v>
      </c>
      <c r="AD79" s="682">
        <v>369</v>
      </c>
      <c r="AE79" s="683">
        <v>324</v>
      </c>
      <c r="AF79" s="682">
        <v>338</v>
      </c>
      <c r="AG79" s="683">
        <v>345</v>
      </c>
      <c r="AH79" s="682">
        <v>344</v>
      </c>
      <c r="AI79" s="696">
        <v>336</v>
      </c>
      <c r="AJ79" s="696">
        <v>358</v>
      </c>
      <c r="AK79" s="696">
        <v>362</v>
      </c>
      <c r="AL79" s="696">
        <v>321</v>
      </c>
      <c r="AM79" s="697">
        <v>281</v>
      </c>
      <c r="AN79" s="697">
        <v>288</v>
      </c>
      <c r="AO79" s="848">
        <v>348</v>
      </c>
      <c r="AP79" s="1095">
        <v>316</v>
      </c>
      <c r="AQ79" s="1608">
        <v>323</v>
      </c>
      <c r="AR79" s="1608">
        <v>306</v>
      </c>
      <c r="AS79" s="1971">
        <v>335</v>
      </c>
      <c r="AT79" s="1095">
        <v>312</v>
      </c>
      <c r="AU79" s="2020">
        <v>277</v>
      </c>
      <c r="AV79" s="1005">
        <v>308</v>
      </c>
      <c r="AW79" s="1005"/>
      <c r="AX79" s="704">
        <v>120</v>
      </c>
      <c r="AY79" s="705">
        <v>111</v>
      </c>
      <c r="AZ79" s="705">
        <v>125</v>
      </c>
      <c r="BA79" s="705">
        <v>115</v>
      </c>
      <c r="BB79" s="705">
        <v>112</v>
      </c>
      <c r="BC79" s="705">
        <v>115</v>
      </c>
      <c r="BD79" s="705">
        <v>106</v>
      </c>
      <c r="BE79" s="705">
        <v>129</v>
      </c>
      <c r="BF79" s="705">
        <v>124</v>
      </c>
      <c r="BG79" s="705">
        <v>155</v>
      </c>
      <c r="BH79" s="705">
        <v>149</v>
      </c>
      <c r="BI79" s="705">
        <v>144</v>
      </c>
      <c r="BJ79" s="705">
        <v>116</v>
      </c>
      <c r="BK79" s="705">
        <v>120</v>
      </c>
      <c r="BL79" s="851">
        <v>147</v>
      </c>
      <c r="BM79" s="1096">
        <v>157</v>
      </c>
      <c r="BN79" s="1097">
        <v>141</v>
      </c>
      <c r="BO79" s="1096">
        <v>156</v>
      </c>
      <c r="BP79" s="1969">
        <v>158</v>
      </c>
      <c r="BQ79" s="1096">
        <v>144</v>
      </c>
      <c r="BR79" s="2022">
        <v>125</v>
      </c>
      <c r="BS79" s="1006">
        <v>162</v>
      </c>
      <c r="BU79" s="2172">
        <f t="shared" si="62"/>
        <v>745</v>
      </c>
      <c r="BV79" s="2172">
        <f t="shared" si="63"/>
        <v>1538</v>
      </c>
      <c r="BW79" s="2173">
        <f t="shared" si="64"/>
        <v>0.48439531859557866</v>
      </c>
    </row>
    <row r="80" spans="1:75" s="49" customFormat="1" ht="13.5" customHeight="1" x14ac:dyDescent="0.3">
      <c r="A80" s="56" t="s">
        <v>193</v>
      </c>
      <c r="B80" s="84" t="s">
        <v>194</v>
      </c>
      <c r="C80" s="57" t="s">
        <v>254</v>
      </c>
      <c r="D80" s="1623">
        <f t="shared" si="42"/>
        <v>0.20224719101123595</v>
      </c>
      <c r="E80" s="1624">
        <f t="shared" si="43"/>
        <v>0.21904761904761905</v>
      </c>
      <c r="F80" s="1624">
        <f t="shared" si="44"/>
        <v>0.15306122448979592</v>
      </c>
      <c r="G80" s="1624">
        <f t="shared" si="45"/>
        <v>0.20253164556962025</v>
      </c>
      <c r="H80" s="1624">
        <f t="shared" si="46"/>
        <v>0.27272727272727271</v>
      </c>
      <c r="I80" s="1624">
        <f t="shared" si="47"/>
        <v>0.1875</v>
      </c>
      <c r="J80" s="1624">
        <f t="shared" si="48"/>
        <v>0.29113924050632911</v>
      </c>
      <c r="K80" s="1624">
        <f t="shared" si="49"/>
        <v>0.3188405797101449</v>
      </c>
      <c r="L80" s="1624">
        <f t="shared" si="50"/>
        <v>0.41666666666666669</v>
      </c>
      <c r="M80" s="1624">
        <f t="shared" si="51"/>
        <v>0.33823529411764708</v>
      </c>
      <c r="N80" s="1624">
        <f t="shared" si="52"/>
        <v>0.37662337662337664</v>
      </c>
      <c r="O80" s="1624">
        <f t="shared" si="53"/>
        <v>0.31428571428571428</v>
      </c>
      <c r="P80" s="1624">
        <f t="shared" si="54"/>
        <v>0.29850746268656714</v>
      </c>
      <c r="Q80" s="1624">
        <f t="shared" si="55"/>
        <v>0.50909090909090904</v>
      </c>
      <c r="R80" s="1625">
        <f t="shared" si="56"/>
        <v>0.30357142857142855</v>
      </c>
      <c r="S80" s="1626">
        <f>'Non-marital births'!L81</f>
        <v>0.35416666666666669</v>
      </c>
      <c r="T80" s="1627">
        <v>0.27272727272727271</v>
      </c>
      <c r="U80" s="1628">
        <f t="shared" si="57"/>
        <v>0.35294117647058826</v>
      </c>
      <c r="V80" s="2018">
        <f t="shared" si="58"/>
        <v>0.49056603773584906</v>
      </c>
      <c r="W80" s="2018">
        <f t="shared" si="59"/>
        <v>0.28301886792452829</v>
      </c>
      <c r="X80" s="2013">
        <f t="shared" si="60"/>
        <v>0.35714285714285715</v>
      </c>
      <c r="Y80" s="2096">
        <f t="shared" si="61"/>
        <v>0.35416666666666669</v>
      </c>
      <c r="Z80" s="2096"/>
      <c r="AA80" s="681">
        <v>89</v>
      </c>
      <c r="AB80" s="682">
        <v>105</v>
      </c>
      <c r="AC80" s="683">
        <v>98</v>
      </c>
      <c r="AD80" s="682">
        <v>79</v>
      </c>
      <c r="AE80" s="683">
        <v>77</v>
      </c>
      <c r="AF80" s="682">
        <v>64</v>
      </c>
      <c r="AG80" s="683">
        <v>79</v>
      </c>
      <c r="AH80" s="682">
        <v>69</v>
      </c>
      <c r="AI80" s="696">
        <v>72</v>
      </c>
      <c r="AJ80" s="696">
        <v>68</v>
      </c>
      <c r="AK80" s="696">
        <v>77</v>
      </c>
      <c r="AL80" s="696">
        <v>70</v>
      </c>
      <c r="AM80" s="697">
        <v>67</v>
      </c>
      <c r="AN80" s="697">
        <v>55</v>
      </c>
      <c r="AO80" s="848">
        <v>56</v>
      </c>
      <c r="AP80" s="1095">
        <v>47</v>
      </c>
      <c r="AQ80" s="1608">
        <v>55</v>
      </c>
      <c r="AR80" s="1608">
        <v>51</v>
      </c>
      <c r="AS80" s="1971">
        <v>53</v>
      </c>
      <c r="AT80" s="1095">
        <v>53</v>
      </c>
      <c r="AU80" s="2020">
        <v>56</v>
      </c>
      <c r="AV80" s="1005">
        <v>48</v>
      </c>
      <c r="AW80" s="1005"/>
      <c r="AX80" s="704">
        <v>18</v>
      </c>
      <c r="AY80" s="705">
        <v>23</v>
      </c>
      <c r="AZ80" s="705">
        <v>15</v>
      </c>
      <c r="BA80" s="705">
        <v>16</v>
      </c>
      <c r="BB80" s="705">
        <v>21</v>
      </c>
      <c r="BC80" s="705">
        <v>12</v>
      </c>
      <c r="BD80" s="705">
        <v>23</v>
      </c>
      <c r="BE80" s="705">
        <v>22</v>
      </c>
      <c r="BF80" s="705">
        <v>30</v>
      </c>
      <c r="BG80" s="705">
        <v>23</v>
      </c>
      <c r="BH80" s="705">
        <v>29</v>
      </c>
      <c r="BI80" s="705">
        <v>22</v>
      </c>
      <c r="BJ80" s="705">
        <v>20</v>
      </c>
      <c r="BK80" s="705">
        <v>28</v>
      </c>
      <c r="BL80" s="851">
        <v>17</v>
      </c>
      <c r="BM80" s="1096">
        <v>17</v>
      </c>
      <c r="BN80" s="1097">
        <v>15</v>
      </c>
      <c r="BO80" s="1096">
        <v>18</v>
      </c>
      <c r="BP80" s="1969">
        <v>26</v>
      </c>
      <c r="BQ80" s="1096">
        <v>15</v>
      </c>
      <c r="BR80" s="2022">
        <v>20</v>
      </c>
      <c r="BS80" s="1006">
        <v>17</v>
      </c>
      <c r="BU80" s="2172">
        <f t="shared" si="62"/>
        <v>96</v>
      </c>
      <c r="BV80" s="2172">
        <f t="shared" si="63"/>
        <v>261</v>
      </c>
      <c r="BW80" s="2173">
        <f t="shared" si="64"/>
        <v>0.36781609195402298</v>
      </c>
    </row>
    <row r="81" spans="1:75" s="49" customFormat="1" ht="13.5" customHeight="1" x14ac:dyDescent="0.3">
      <c r="A81" s="56" t="s">
        <v>197</v>
      </c>
      <c r="B81" s="84" t="s">
        <v>259</v>
      </c>
      <c r="C81" s="57" t="s">
        <v>253</v>
      </c>
      <c r="D81" s="1623">
        <f t="shared" si="42"/>
        <v>0.38028169014084506</v>
      </c>
      <c r="E81" s="1624">
        <f t="shared" si="43"/>
        <v>0.44303797468354428</v>
      </c>
      <c r="F81" s="1624">
        <f t="shared" si="44"/>
        <v>0.40740740740740738</v>
      </c>
      <c r="G81" s="1624">
        <f t="shared" si="45"/>
        <v>0.4935064935064935</v>
      </c>
      <c r="H81" s="1624">
        <f t="shared" si="46"/>
        <v>0.44565217391304346</v>
      </c>
      <c r="I81" s="1624">
        <f t="shared" si="47"/>
        <v>0.32926829268292684</v>
      </c>
      <c r="J81" s="1624">
        <f t="shared" si="48"/>
        <v>0.45263157894736844</v>
      </c>
      <c r="K81" s="1624">
        <f t="shared" si="49"/>
        <v>0.4</v>
      </c>
      <c r="L81" s="1624">
        <f t="shared" si="50"/>
        <v>0.54736842105263162</v>
      </c>
      <c r="M81" s="1624">
        <f t="shared" si="51"/>
        <v>0.43902439024390244</v>
      </c>
      <c r="N81" s="1624">
        <f t="shared" si="52"/>
        <v>0.37681159420289856</v>
      </c>
      <c r="O81" s="1624">
        <f t="shared" si="53"/>
        <v>0.52631578947368418</v>
      </c>
      <c r="P81" s="1624">
        <f t="shared" si="54"/>
        <v>0.45333333333333331</v>
      </c>
      <c r="Q81" s="1624">
        <f t="shared" si="55"/>
        <v>0.40845070422535212</v>
      </c>
      <c r="R81" s="1625">
        <f t="shared" si="56"/>
        <v>0.56944444444444442</v>
      </c>
      <c r="S81" s="1626">
        <f>'Non-marital births'!L82</f>
        <v>0.53623188405797106</v>
      </c>
      <c r="T81" s="1627">
        <v>0.4375</v>
      </c>
      <c r="U81" s="1628">
        <f t="shared" si="57"/>
        <v>0.46575342465753422</v>
      </c>
      <c r="V81" s="2018">
        <f t="shared" si="58"/>
        <v>0.4838709677419355</v>
      </c>
      <c r="W81" s="2018">
        <f t="shared" si="59"/>
        <v>0.53333333333333333</v>
      </c>
      <c r="X81" s="2013">
        <f t="shared" si="60"/>
        <v>0.46052631578947367</v>
      </c>
      <c r="Y81" s="2096">
        <f t="shared" si="61"/>
        <v>0.53623188405797106</v>
      </c>
      <c r="Z81" s="2096"/>
      <c r="AA81" s="681">
        <v>71</v>
      </c>
      <c r="AB81" s="682">
        <v>79</v>
      </c>
      <c r="AC81" s="683">
        <v>81</v>
      </c>
      <c r="AD81" s="682">
        <v>77</v>
      </c>
      <c r="AE81" s="683">
        <v>92</v>
      </c>
      <c r="AF81" s="682">
        <v>82</v>
      </c>
      <c r="AG81" s="683">
        <v>95</v>
      </c>
      <c r="AH81" s="682">
        <v>90</v>
      </c>
      <c r="AI81" s="696">
        <v>95</v>
      </c>
      <c r="AJ81" s="696">
        <v>123</v>
      </c>
      <c r="AK81" s="696">
        <v>69</v>
      </c>
      <c r="AL81" s="696">
        <v>76</v>
      </c>
      <c r="AM81" s="697">
        <v>75</v>
      </c>
      <c r="AN81" s="697">
        <v>71</v>
      </c>
      <c r="AO81" s="848">
        <v>72</v>
      </c>
      <c r="AP81" s="1095">
        <v>72</v>
      </c>
      <c r="AQ81" s="1608">
        <v>64</v>
      </c>
      <c r="AR81" s="1608">
        <v>73</v>
      </c>
      <c r="AS81" s="1971">
        <v>93</v>
      </c>
      <c r="AT81" s="1095">
        <v>75</v>
      </c>
      <c r="AU81" s="2020">
        <v>76</v>
      </c>
      <c r="AV81" s="1005">
        <v>69</v>
      </c>
      <c r="AW81" s="1005"/>
      <c r="AX81" s="704">
        <v>27</v>
      </c>
      <c r="AY81" s="705">
        <v>35</v>
      </c>
      <c r="AZ81" s="705">
        <v>33</v>
      </c>
      <c r="BA81" s="705">
        <v>38</v>
      </c>
      <c r="BB81" s="705">
        <v>41</v>
      </c>
      <c r="BC81" s="705">
        <v>27</v>
      </c>
      <c r="BD81" s="705">
        <v>43</v>
      </c>
      <c r="BE81" s="705">
        <v>36</v>
      </c>
      <c r="BF81" s="705">
        <v>52</v>
      </c>
      <c r="BG81" s="705">
        <v>54</v>
      </c>
      <c r="BH81" s="705">
        <v>26</v>
      </c>
      <c r="BI81" s="705">
        <v>40</v>
      </c>
      <c r="BJ81" s="705">
        <v>34</v>
      </c>
      <c r="BK81" s="705">
        <v>29</v>
      </c>
      <c r="BL81" s="851">
        <v>41</v>
      </c>
      <c r="BM81" s="1096">
        <v>33</v>
      </c>
      <c r="BN81" s="1097">
        <v>28</v>
      </c>
      <c r="BO81" s="1096">
        <v>34</v>
      </c>
      <c r="BP81" s="1969">
        <v>45</v>
      </c>
      <c r="BQ81" s="1096">
        <v>40</v>
      </c>
      <c r="BR81" s="2022">
        <v>35</v>
      </c>
      <c r="BS81" s="1006">
        <v>37</v>
      </c>
      <c r="BU81" s="2172">
        <f t="shared" si="62"/>
        <v>191</v>
      </c>
      <c r="BV81" s="2172">
        <f t="shared" si="63"/>
        <v>386</v>
      </c>
      <c r="BW81" s="2173">
        <f t="shared" si="64"/>
        <v>0.49481865284974091</v>
      </c>
    </row>
    <row r="82" spans="1:75" s="49" customFormat="1" ht="13.5" customHeight="1" x14ac:dyDescent="0.3">
      <c r="A82" s="56" t="s">
        <v>201</v>
      </c>
      <c r="B82" s="84" t="s">
        <v>276</v>
      </c>
      <c r="C82" s="57" t="s">
        <v>252</v>
      </c>
      <c r="D82" s="1623">
        <f t="shared" si="42"/>
        <v>0.18884892086330934</v>
      </c>
      <c r="E82" s="1624">
        <f t="shared" si="43"/>
        <v>0.22394881170018283</v>
      </c>
      <c r="F82" s="1624">
        <f t="shared" si="44"/>
        <v>0.22654867256637168</v>
      </c>
      <c r="G82" s="1624">
        <f t="shared" si="45"/>
        <v>0.2881219903691814</v>
      </c>
      <c r="H82" s="1624">
        <f t="shared" si="46"/>
        <v>0.24616626311541565</v>
      </c>
      <c r="I82" s="1624">
        <f t="shared" si="47"/>
        <v>0.26376554174067496</v>
      </c>
      <c r="J82" s="1624">
        <f t="shared" si="48"/>
        <v>0.3028994447871684</v>
      </c>
      <c r="K82" s="1624">
        <f t="shared" si="49"/>
        <v>0.29798761609907121</v>
      </c>
      <c r="L82" s="1624">
        <f t="shared" si="50"/>
        <v>0.29783827061649321</v>
      </c>
      <c r="M82" s="1624">
        <f t="shared" si="51"/>
        <v>0.28761061946902655</v>
      </c>
      <c r="N82" s="1624">
        <f t="shared" si="52"/>
        <v>0.33627537511032657</v>
      </c>
      <c r="O82" s="1624">
        <f t="shared" si="53"/>
        <v>0.31001727115716754</v>
      </c>
      <c r="P82" s="1624">
        <f t="shared" si="54"/>
        <v>0.31196172248803827</v>
      </c>
      <c r="Q82" s="1624">
        <f t="shared" si="55"/>
        <v>0.31648936170212766</v>
      </c>
      <c r="R82" s="1625">
        <f t="shared" si="56"/>
        <v>0.33271889400921661</v>
      </c>
      <c r="S82" s="1626">
        <f>'Non-marital births'!L83</f>
        <v>0.2975206611570248</v>
      </c>
      <c r="T82" s="1627">
        <v>0.34210526315789475</v>
      </c>
      <c r="U82" s="1628">
        <f t="shared" si="57"/>
        <v>0.304029304029304</v>
      </c>
      <c r="V82" s="2018">
        <f t="shared" si="58"/>
        <v>0.32075471698113206</v>
      </c>
      <c r="W82" s="2018">
        <f t="shared" si="59"/>
        <v>0.32329317269076308</v>
      </c>
      <c r="X82" s="2013">
        <f t="shared" si="60"/>
        <v>0.30569948186528495</v>
      </c>
      <c r="Y82" s="2096">
        <f t="shared" si="61"/>
        <v>0.2975206611570248</v>
      </c>
      <c r="Z82" s="2096"/>
      <c r="AA82" s="681">
        <v>1112</v>
      </c>
      <c r="AB82" s="682">
        <v>1094</v>
      </c>
      <c r="AC82" s="683">
        <v>1130</v>
      </c>
      <c r="AD82" s="682">
        <v>1246</v>
      </c>
      <c r="AE82" s="683">
        <v>1239</v>
      </c>
      <c r="AF82" s="682">
        <v>1126</v>
      </c>
      <c r="AG82" s="683">
        <v>1621</v>
      </c>
      <c r="AH82" s="682">
        <v>1292</v>
      </c>
      <c r="AI82" s="696">
        <v>1249</v>
      </c>
      <c r="AJ82" s="696">
        <v>1130</v>
      </c>
      <c r="AK82" s="696">
        <v>1133</v>
      </c>
      <c r="AL82" s="696">
        <v>1158</v>
      </c>
      <c r="AM82" s="697">
        <v>1045</v>
      </c>
      <c r="AN82" s="697">
        <v>1128</v>
      </c>
      <c r="AO82" s="848">
        <v>1085</v>
      </c>
      <c r="AP82" s="1095">
        <v>1108</v>
      </c>
      <c r="AQ82" s="1608">
        <v>1102</v>
      </c>
      <c r="AR82" s="1608">
        <v>1092</v>
      </c>
      <c r="AS82" s="1971">
        <v>1060</v>
      </c>
      <c r="AT82" s="1095">
        <v>996</v>
      </c>
      <c r="AU82" s="2020">
        <v>965</v>
      </c>
      <c r="AV82" s="1005">
        <v>968</v>
      </c>
      <c r="AW82" s="1005"/>
      <c r="AX82" s="704">
        <v>210</v>
      </c>
      <c r="AY82" s="705">
        <v>245</v>
      </c>
      <c r="AZ82" s="705">
        <v>256</v>
      </c>
      <c r="BA82" s="705">
        <v>359</v>
      </c>
      <c r="BB82" s="705">
        <v>305</v>
      </c>
      <c r="BC82" s="705">
        <v>297</v>
      </c>
      <c r="BD82" s="705">
        <v>491</v>
      </c>
      <c r="BE82" s="705">
        <v>385</v>
      </c>
      <c r="BF82" s="705">
        <v>372</v>
      </c>
      <c r="BG82" s="705">
        <v>325</v>
      </c>
      <c r="BH82" s="705">
        <v>381</v>
      </c>
      <c r="BI82" s="705">
        <v>359</v>
      </c>
      <c r="BJ82" s="705">
        <v>326</v>
      </c>
      <c r="BK82" s="705">
        <v>357</v>
      </c>
      <c r="BL82" s="851">
        <v>361</v>
      </c>
      <c r="BM82" s="1096">
        <v>368</v>
      </c>
      <c r="BN82" s="1097">
        <v>377</v>
      </c>
      <c r="BO82" s="1096">
        <v>332</v>
      </c>
      <c r="BP82" s="1969">
        <v>340</v>
      </c>
      <c r="BQ82" s="1096">
        <v>322</v>
      </c>
      <c r="BR82" s="2022">
        <v>295</v>
      </c>
      <c r="BS82" s="1006">
        <v>288</v>
      </c>
      <c r="BU82" s="2172">
        <f t="shared" si="62"/>
        <v>1577</v>
      </c>
      <c r="BV82" s="2172">
        <f t="shared" si="63"/>
        <v>5081</v>
      </c>
      <c r="BW82" s="2173">
        <f t="shared" si="64"/>
        <v>0.31037197402086203</v>
      </c>
    </row>
    <row r="83" spans="1:75" s="49" customFormat="1" ht="13.5" customHeight="1" x14ac:dyDescent="0.3">
      <c r="A83" s="56" t="s">
        <v>203</v>
      </c>
      <c r="B83" s="84" t="s">
        <v>269</v>
      </c>
      <c r="C83" s="57" t="s">
        <v>252</v>
      </c>
      <c r="D83" s="1623">
        <f t="shared" si="42"/>
        <v>0.32424242424242422</v>
      </c>
      <c r="E83" s="1624">
        <f t="shared" si="43"/>
        <v>0.25071225071225073</v>
      </c>
      <c r="F83" s="1624">
        <f t="shared" si="44"/>
        <v>0.24855491329479767</v>
      </c>
      <c r="G83" s="1624">
        <f t="shared" si="45"/>
        <v>0.29012345679012347</v>
      </c>
      <c r="H83" s="1624">
        <f t="shared" si="46"/>
        <v>0.34090909090909088</v>
      </c>
      <c r="I83" s="1624">
        <f t="shared" si="47"/>
        <v>0.31722054380664655</v>
      </c>
      <c r="J83" s="1624">
        <f t="shared" si="48"/>
        <v>0.37356321839080459</v>
      </c>
      <c r="K83" s="1624">
        <f t="shared" si="49"/>
        <v>0.37971014492753624</v>
      </c>
      <c r="L83" s="1624">
        <f t="shared" si="50"/>
        <v>0.32926829268292684</v>
      </c>
      <c r="M83" s="1624">
        <f t="shared" si="51"/>
        <v>0.33589743589743587</v>
      </c>
      <c r="N83" s="1624">
        <f t="shared" si="52"/>
        <v>0.36956521739130432</v>
      </c>
      <c r="O83" s="1624">
        <f t="shared" si="53"/>
        <v>0.37386018237082069</v>
      </c>
      <c r="P83" s="1624">
        <f t="shared" si="54"/>
        <v>0.33881578947368424</v>
      </c>
      <c r="Q83" s="1624">
        <f t="shared" si="55"/>
        <v>0.39672131147540984</v>
      </c>
      <c r="R83" s="1625">
        <f t="shared" si="56"/>
        <v>0.39204545454545453</v>
      </c>
      <c r="S83" s="1626">
        <f>'Non-marital births'!L84</f>
        <v>0.43848580441640378</v>
      </c>
      <c r="T83" s="1627">
        <v>0.53138075313807531</v>
      </c>
      <c r="U83" s="1628">
        <f t="shared" si="57"/>
        <v>0.41065830721003133</v>
      </c>
      <c r="V83" s="2018">
        <f t="shared" si="58"/>
        <v>0.40634920634920635</v>
      </c>
      <c r="W83" s="2018">
        <f t="shared" si="59"/>
        <v>0.38554216867469882</v>
      </c>
      <c r="X83" s="2013">
        <f t="shared" si="60"/>
        <v>0.39935064935064934</v>
      </c>
      <c r="Y83" s="2096">
        <f t="shared" si="61"/>
        <v>0.43848580441640378</v>
      </c>
      <c r="Z83" s="2096"/>
      <c r="AA83" s="681">
        <v>330</v>
      </c>
      <c r="AB83" s="682">
        <v>351</v>
      </c>
      <c r="AC83" s="683">
        <v>346</v>
      </c>
      <c r="AD83" s="682">
        <v>324</v>
      </c>
      <c r="AE83" s="683">
        <v>308</v>
      </c>
      <c r="AF83" s="682">
        <v>331</v>
      </c>
      <c r="AG83" s="683">
        <v>348</v>
      </c>
      <c r="AH83" s="682">
        <v>345</v>
      </c>
      <c r="AI83" s="696">
        <v>328</v>
      </c>
      <c r="AJ83" s="696">
        <v>390</v>
      </c>
      <c r="AK83" s="696">
        <v>322</v>
      </c>
      <c r="AL83" s="696">
        <v>329</v>
      </c>
      <c r="AM83" s="697">
        <v>304</v>
      </c>
      <c r="AN83" s="697">
        <v>305</v>
      </c>
      <c r="AO83" s="848">
        <v>352</v>
      </c>
      <c r="AP83" s="1095">
        <v>320</v>
      </c>
      <c r="AQ83" s="1608">
        <v>239</v>
      </c>
      <c r="AR83" s="1608">
        <v>319</v>
      </c>
      <c r="AS83" s="1971">
        <v>315</v>
      </c>
      <c r="AT83" s="1095">
        <v>332</v>
      </c>
      <c r="AU83" s="2020">
        <v>308</v>
      </c>
      <c r="AV83" s="1005">
        <v>317</v>
      </c>
      <c r="AW83" s="1005"/>
      <c r="AX83" s="704">
        <v>107</v>
      </c>
      <c r="AY83" s="705">
        <v>88</v>
      </c>
      <c r="AZ83" s="705">
        <v>86</v>
      </c>
      <c r="BA83" s="705">
        <v>94</v>
      </c>
      <c r="BB83" s="705">
        <v>105</v>
      </c>
      <c r="BC83" s="705">
        <v>105</v>
      </c>
      <c r="BD83" s="705">
        <v>130</v>
      </c>
      <c r="BE83" s="705">
        <v>131</v>
      </c>
      <c r="BF83" s="705">
        <v>108</v>
      </c>
      <c r="BG83" s="705">
        <v>131</v>
      </c>
      <c r="BH83" s="705">
        <v>119</v>
      </c>
      <c r="BI83" s="705">
        <v>123</v>
      </c>
      <c r="BJ83" s="705">
        <v>103</v>
      </c>
      <c r="BK83" s="705">
        <v>121</v>
      </c>
      <c r="BL83" s="851">
        <v>138</v>
      </c>
      <c r="BM83" s="1096">
        <v>125</v>
      </c>
      <c r="BN83" s="1097">
        <v>127</v>
      </c>
      <c r="BO83" s="1096">
        <v>131</v>
      </c>
      <c r="BP83" s="1969">
        <v>128</v>
      </c>
      <c r="BQ83" s="1096">
        <v>128</v>
      </c>
      <c r="BR83" s="2022">
        <v>123</v>
      </c>
      <c r="BS83" s="1006">
        <v>139</v>
      </c>
      <c r="BU83" s="2172">
        <f t="shared" si="62"/>
        <v>649</v>
      </c>
      <c r="BV83" s="2172">
        <f t="shared" si="63"/>
        <v>1591</v>
      </c>
      <c r="BW83" s="2173">
        <f t="shared" si="64"/>
        <v>0.40791954745443115</v>
      </c>
    </row>
    <row r="84" spans="1:75" s="49" customFormat="1" ht="13.5" customHeight="1" x14ac:dyDescent="0.3">
      <c r="A84" s="56" t="s">
        <v>205</v>
      </c>
      <c r="B84" s="84" t="s">
        <v>270</v>
      </c>
      <c r="C84" s="57" t="s">
        <v>254</v>
      </c>
      <c r="D84" s="1623">
        <f t="shared" si="42"/>
        <v>0.29222972972972971</v>
      </c>
      <c r="E84" s="1624">
        <f t="shared" si="43"/>
        <v>0.2972560975609756</v>
      </c>
      <c r="F84" s="1624">
        <f t="shared" si="44"/>
        <v>0.29793735676088617</v>
      </c>
      <c r="G84" s="1624">
        <f t="shared" si="45"/>
        <v>0.28136599851521898</v>
      </c>
      <c r="H84" s="1624">
        <f t="shared" si="46"/>
        <v>0.27849002849002846</v>
      </c>
      <c r="I84" s="1624">
        <f t="shared" si="47"/>
        <v>0.31011730205278593</v>
      </c>
      <c r="J84" s="1624">
        <f t="shared" si="48"/>
        <v>0.32258064516129031</v>
      </c>
      <c r="K84" s="1624">
        <f t="shared" si="49"/>
        <v>0.35066760365425159</v>
      </c>
      <c r="L84" s="1624">
        <f t="shared" si="50"/>
        <v>0.34427374301675978</v>
      </c>
      <c r="M84" s="1624">
        <f t="shared" si="51"/>
        <v>0.33917309039943938</v>
      </c>
      <c r="N84" s="1624">
        <f t="shared" si="52"/>
        <v>0.36492537313432838</v>
      </c>
      <c r="O84" s="1624">
        <f t="shared" si="53"/>
        <v>0.35956678700361011</v>
      </c>
      <c r="P84" s="1624">
        <f t="shared" si="54"/>
        <v>0.35926449787835929</v>
      </c>
      <c r="Q84" s="1624">
        <f t="shared" si="55"/>
        <v>0.34629493763756419</v>
      </c>
      <c r="R84" s="1625">
        <f t="shared" si="56"/>
        <v>0.34051724137931033</v>
      </c>
      <c r="S84" s="1626">
        <f>'Non-marital births'!L85</f>
        <v>0.35161069225496916</v>
      </c>
      <c r="T84" s="1627">
        <v>0.31411917098445596</v>
      </c>
      <c r="U84" s="1628">
        <f t="shared" si="57"/>
        <v>0.338255033557047</v>
      </c>
      <c r="V84" s="2018">
        <f t="shared" si="58"/>
        <v>0.34920634920634919</v>
      </c>
      <c r="W84" s="2018">
        <f t="shared" si="59"/>
        <v>0.33880903490759756</v>
      </c>
      <c r="X84" s="2013">
        <f t="shared" si="60"/>
        <v>0.364907819453274</v>
      </c>
      <c r="Y84" s="2096">
        <f t="shared" si="61"/>
        <v>0.35161069225496916</v>
      </c>
      <c r="Z84" s="2096"/>
      <c r="AA84" s="681">
        <v>1184</v>
      </c>
      <c r="AB84" s="682">
        <v>1312</v>
      </c>
      <c r="AC84" s="683">
        <v>1309</v>
      </c>
      <c r="AD84" s="682">
        <v>1347</v>
      </c>
      <c r="AE84" s="683">
        <v>1404</v>
      </c>
      <c r="AF84" s="682">
        <v>1364</v>
      </c>
      <c r="AG84" s="683">
        <v>1426</v>
      </c>
      <c r="AH84" s="682">
        <v>1423</v>
      </c>
      <c r="AI84" s="696">
        <v>1432</v>
      </c>
      <c r="AJ84" s="696">
        <v>1427</v>
      </c>
      <c r="AK84" s="696">
        <v>1340</v>
      </c>
      <c r="AL84" s="696">
        <v>1385</v>
      </c>
      <c r="AM84" s="697">
        <v>1414</v>
      </c>
      <c r="AN84" s="697">
        <v>1363</v>
      </c>
      <c r="AO84" s="848">
        <v>1392</v>
      </c>
      <c r="AP84" s="1095">
        <v>1363</v>
      </c>
      <c r="AQ84" s="1608">
        <v>1544</v>
      </c>
      <c r="AR84" s="1608">
        <v>1490</v>
      </c>
      <c r="AS84" s="1971">
        <v>1512</v>
      </c>
      <c r="AT84" s="1095">
        <v>1461</v>
      </c>
      <c r="AU84" s="2020">
        <v>1573</v>
      </c>
      <c r="AV84" s="1005">
        <v>1459</v>
      </c>
      <c r="AW84" s="1005"/>
      <c r="AX84" s="704">
        <v>346</v>
      </c>
      <c r="AY84" s="705">
        <v>390</v>
      </c>
      <c r="AZ84" s="705">
        <v>390</v>
      </c>
      <c r="BA84" s="705">
        <v>379</v>
      </c>
      <c r="BB84" s="705">
        <v>391</v>
      </c>
      <c r="BC84" s="705">
        <v>423</v>
      </c>
      <c r="BD84" s="705">
        <v>460</v>
      </c>
      <c r="BE84" s="705">
        <v>499</v>
      </c>
      <c r="BF84" s="705">
        <v>493</v>
      </c>
      <c r="BG84" s="705">
        <v>484</v>
      </c>
      <c r="BH84" s="705">
        <v>489</v>
      </c>
      <c r="BI84" s="705">
        <v>498</v>
      </c>
      <c r="BJ84" s="705">
        <v>508</v>
      </c>
      <c r="BK84" s="705">
        <v>472</v>
      </c>
      <c r="BL84" s="851">
        <v>474</v>
      </c>
      <c r="BM84" s="1096">
        <v>442</v>
      </c>
      <c r="BN84" s="1097">
        <v>485</v>
      </c>
      <c r="BO84" s="1096">
        <v>504</v>
      </c>
      <c r="BP84" s="1969">
        <v>528</v>
      </c>
      <c r="BQ84" s="1096">
        <v>495</v>
      </c>
      <c r="BR84" s="2022">
        <v>574</v>
      </c>
      <c r="BS84" s="1006">
        <v>513</v>
      </c>
      <c r="BU84" s="2172">
        <f t="shared" si="62"/>
        <v>2614</v>
      </c>
      <c r="BV84" s="2172">
        <f t="shared" si="63"/>
        <v>7495</v>
      </c>
      <c r="BW84" s="2173">
        <f t="shared" si="64"/>
        <v>0.34876584389593063</v>
      </c>
    </row>
    <row r="85" spans="1:75" s="49" customFormat="1" ht="13.5" customHeight="1" x14ac:dyDescent="0.3">
      <c r="A85" s="56" t="s">
        <v>207</v>
      </c>
      <c r="B85" s="84" t="s">
        <v>208</v>
      </c>
      <c r="C85" s="57" t="s">
        <v>255</v>
      </c>
      <c r="D85" s="1623">
        <f t="shared" si="42"/>
        <v>0.21501706484641639</v>
      </c>
      <c r="E85" s="1624">
        <f t="shared" si="43"/>
        <v>0.25382262996941896</v>
      </c>
      <c r="F85" s="1624">
        <f t="shared" si="44"/>
        <v>0.2290909090909091</v>
      </c>
      <c r="G85" s="1624">
        <f t="shared" si="45"/>
        <v>0.23824451410658307</v>
      </c>
      <c r="H85" s="1624">
        <f t="shared" si="46"/>
        <v>0.21967213114754097</v>
      </c>
      <c r="I85" s="1624">
        <f t="shared" si="47"/>
        <v>0.23717948717948717</v>
      </c>
      <c r="J85" s="1624">
        <f t="shared" si="48"/>
        <v>0.21374045801526717</v>
      </c>
      <c r="K85" s="1624">
        <f t="shared" si="49"/>
        <v>0.23026315789473684</v>
      </c>
      <c r="L85" s="1624">
        <f t="shared" si="50"/>
        <v>0.28169014084507044</v>
      </c>
      <c r="M85" s="1624">
        <f t="shared" si="51"/>
        <v>0.28187919463087246</v>
      </c>
      <c r="N85" s="1624">
        <f t="shared" si="52"/>
        <v>0.29498525073746312</v>
      </c>
      <c r="O85" s="1624">
        <f t="shared" si="53"/>
        <v>0.31023102310231021</v>
      </c>
      <c r="P85" s="1624">
        <f t="shared" si="54"/>
        <v>0.35251798561151076</v>
      </c>
      <c r="Q85" s="1624">
        <f t="shared" si="55"/>
        <v>0.35361216730038025</v>
      </c>
      <c r="R85" s="1625">
        <f t="shared" si="56"/>
        <v>0.3176895306859206</v>
      </c>
      <c r="S85" s="1626">
        <f>'Non-marital births'!L86</f>
        <v>0.36531365313653136</v>
      </c>
      <c r="T85" s="1627">
        <v>0.3807531380753138</v>
      </c>
      <c r="U85" s="1628">
        <f t="shared" si="57"/>
        <v>0.38132295719844356</v>
      </c>
      <c r="V85" s="2018">
        <f t="shared" si="58"/>
        <v>0.32806324110671936</v>
      </c>
      <c r="W85" s="2018">
        <f t="shared" si="59"/>
        <v>0.3504273504273504</v>
      </c>
      <c r="X85" s="2013">
        <f t="shared" si="60"/>
        <v>0.25396825396825395</v>
      </c>
      <c r="Y85" s="2096">
        <f t="shared" si="61"/>
        <v>0.36531365313653136</v>
      </c>
      <c r="Z85" s="2096"/>
      <c r="AA85" s="681">
        <v>293</v>
      </c>
      <c r="AB85" s="682">
        <v>327</v>
      </c>
      <c r="AC85" s="683">
        <v>275</v>
      </c>
      <c r="AD85" s="682">
        <v>319</v>
      </c>
      <c r="AE85" s="683">
        <v>305</v>
      </c>
      <c r="AF85" s="682">
        <v>312</v>
      </c>
      <c r="AG85" s="683">
        <v>262</v>
      </c>
      <c r="AH85" s="682">
        <v>304</v>
      </c>
      <c r="AI85" s="696">
        <v>284</v>
      </c>
      <c r="AJ85" s="696">
        <v>298</v>
      </c>
      <c r="AK85" s="696">
        <v>339</v>
      </c>
      <c r="AL85" s="696">
        <v>303</v>
      </c>
      <c r="AM85" s="697">
        <v>278</v>
      </c>
      <c r="AN85" s="697">
        <v>263</v>
      </c>
      <c r="AO85" s="848">
        <v>277</v>
      </c>
      <c r="AP85" s="1095">
        <v>297</v>
      </c>
      <c r="AQ85" s="1608">
        <v>239</v>
      </c>
      <c r="AR85" s="1608">
        <v>257</v>
      </c>
      <c r="AS85" s="1971">
        <v>253</v>
      </c>
      <c r="AT85" s="1095">
        <v>234</v>
      </c>
      <c r="AU85" s="2020">
        <v>252</v>
      </c>
      <c r="AV85" s="1005">
        <v>271</v>
      </c>
      <c r="AW85" s="1005"/>
      <c r="AX85" s="704">
        <v>63</v>
      </c>
      <c r="AY85" s="705">
        <v>83</v>
      </c>
      <c r="AZ85" s="705">
        <v>63</v>
      </c>
      <c r="BA85" s="705">
        <v>76</v>
      </c>
      <c r="BB85" s="705">
        <v>67</v>
      </c>
      <c r="BC85" s="705">
        <v>74</v>
      </c>
      <c r="BD85" s="705">
        <v>56</v>
      </c>
      <c r="BE85" s="705">
        <v>70</v>
      </c>
      <c r="BF85" s="705">
        <v>80</v>
      </c>
      <c r="BG85" s="705">
        <v>84</v>
      </c>
      <c r="BH85" s="705">
        <v>100</v>
      </c>
      <c r="BI85" s="705">
        <v>94</v>
      </c>
      <c r="BJ85" s="705">
        <v>98</v>
      </c>
      <c r="BK85" s="705">
        <v>93</v>
      </c>
      <c r="BL85" s="851">
        <v>88</v>
      </c>
      <c r="BM85" s="1096">
        <v>107</v>
      </c>
      <c r="BN85" s="1097">
        <v>91</v>
      </c>
      <c r="BO85" s="1096">
        <v>98</v>
      </c>
      <c r="BP85" s="1969">
        <v>83</v>
      </c>
      <c r="BQ85" s="1096">
        <v>82</v>
      </c>
      <c r="BR85" s="2022">
        <v>64</v>
      </c>
      <c r="BS85" s="1006">
        <v>99</v>
      </c>
      <c r="BU85" s="2172">
        <f t="shared" si="62"/>
        <v>426</v>
      </c>
      <c r="BV85" s="2172">
        <f t="shared" si="63"/>
        <v>1267</v>
      </c>
      <c r="BW85" s="2173">
        <f t="shared" si="64"/>
        <v>0.33622730860299921</v>
      </c>
    </row>
    <row r="86" spans="1:75" s="49" customFormat="1" ht="13.5" customHeight="1" x14ac:dyDescent="0.3">
      <c r="A86" s="56" t="s">
        <v>209</v>
      </c>
      <c r="B86" s="84" t="s">
        <v>210</v>
      </c>
      <c r="C86" s="57" t="s">
        <v>255</v>
      </c>
      <c r="D86" s="1623">
        <f t="shared" si="42"/>
        <v>0.23170731707317074</v>
      </c>
      <c r="E86" s="1624">
        <f t="shared" si="43"/>
        <v>0.21888412017167383</v>
      </c>
      <c r="F86" s="1624">
        <f t="shared" si="44"/>
        <v>0.21774193548387097</v>
      </c>
      <c r="G86" s="1624">
        <f t="shared" si="45"/>
        <v>0.23963133640552994</v>
      </c>
      <c r="H86" s="1624">
        <f t="shared" si="46"/>
        <v>0.26976744186046514</v>
      </c>
      <c r="I86" s="1624">
        <f t="shared" si="47"/>
        <v>0.18139534883720931</v>
      </c>
      <c r="J86" s="1624">
        <f t="shared" si="48"/>
        <v>0.2088888888888889</v>
      </c>
      <c r="K86" s="1624">
        <f t="shared" si="49"/>
        <v>0.26728110599078342</v>
      </c>
      <c r="L86" s="1624">
        <f t="shared" si="50"/>
        <v>0.27385892116182575</v>
      </c>
      <c r="M86" s="1624">
        <f t="shared" si="51"/>
        <v>0.33333333333333331</v>
      </c>
      <c r="N86" s="1624">
        <f t="shared" si="52"/>
        <v>0.31004366812227074</v>
      </c>
      <c r="O86" s="1624">
        <f t="shared" si="53"/>
        <v>0.33482142857142855</v>
      </c>
      <c r="P86" s="1624">
        <f t="shared" si="54"/>
        <v>0.34684684684684686</v>
      </c>
      <c r="Q86" s="1624">
        <f t="shared" si="55"/>
        <v>0.45365853658536587</v>
      </c>
      <c r="R86" s="1625">
        <f t="shared" si="56"/>
        <v>0.37628865979381443</v>
      </c>
      <c r="S86" s="1626">
        <f>'Non-marital births'!L87</f>
        <v>0.35668789808917195</v>
      </c>
      <c r="T86" s="1627">
        <v>0.32467532467532467</v>
      </c>
      <c r="U86" s="1628">
        <f t="shared" si="57"/>
        <v>0.34806629834254144</v>
      </c>
      <c r="V86" s="2018">
        <f t="shared" si="58"/>
        <v>0.35087719298245612</v>
      </c>
      <c r="W86" s="2018">
        <f t="shared" si="59"/>
        <v>0.37433155080213903</v>
      </c>
      <c r="X86" s="2013">
        <f t="shared" si="60"/>
        <v>1.9230769230769232E-2</v>
      </c>
      <c r="Y86" s="2096">
        <f t="shared" si="61"/>
        <v>0.35668789808917195</v>
      </c>
      <c r="Z86" s="2096"/>
      <c r="AA86" s="681">
        <v>246</v>
      </c>
      <c r="AB86" s="682">
        <v>233</v>
      </c>
      <c r="AC86" s="683">
        <v>248</v>
      </c>
      <c r="AD86" s="682">
        <v>217</v>
      </c>
      <c r="AE86" s="683">
        <v>215</v>
      </c>
      <c r="AF86" s="682">
        <v>215</v>
      </c>
      <c r="AG86" s="683">
        <v>225</v>
      </c>
      <c r="AH86" s="682">
        <v>217</v>
      </c>
      <c r="AI86" s="696">
        <v>241</v>
      </c>
      <c r="AJ86" s="696">
        <v>207</v>
      </c>
      <c r="AK86" s="696">
        <v>229</v>
      </c>
      <c r="AL86" s="696">
        <v>224</v>
      </c>
      <c r="AM86" s="697">
        <v>222</v>
      </c>
      <c r="AN86" s="697">
        <v>205</v>
      </c>
      <c r="AO86" s="848">
        <v>194</v>
      </c>
      <c r="AP86" s="1095">
        <v>194</v>
      </c>
      <c r="AQ86" s="1608">
        <v>154</v>
      </c>
      <c r="AR86" s="1608">
        <v>181</v>
      </c>
      <c r="AS86" s="1971">
        <v>171</v>
      </c>
      <c r="AT86" s="1095">
        <v>187</v>
      </c>
      <c r="AU86" s="2020">
        <v>156</v>
      </c>
      <c r="AV86" s="1005">
        <v>157</v>
      </c>
      <c r="AW86" s="1005"/>
      <c r="AX86" s="704">
        <v>57</v>
      </c>
      <c r="AY86" s="705">
        <v>51</v>
      </c>
      <c r="AZ86" s="705">
        <v>54</v>
      </c>
      <c r="BA86" s="705">
        <v>52</v>
      </c>
      <c r="BB86" s="705">
        <v>58</v>
      </c>
      <c r="BC86" s="705">
        <v>39</v>
      </c>
      <c r="BD86" s="705">
        <v>47</v>
      </c>
      <c r="BE86" s="705">
        <v>58</v>
      </c>
      <c r="BF86" s="705">
        <v>66</v>
      </c>
      <c r="BG86" s="705">
        <v>69</v>
      </c>
      <c r="BH86" s="705">
        <v>71</v>
      </c>
      <c r="BI86" s="705">
        <v>75</v>
      </c>
      <c r="BJ86" s="705">
        <v>77</v>
      </c>
      <c r="BK86" s="705">
        <v>93</v>
      </c>
      <c r="BL86" s="851">
        <v>73</v>
      </c>
      <c r="BM86" s="1096">
        <v>77</v>
      </c>
      <c r="BN86" s="1097">
        <v>50</v>
      </c>
      <c r="BO86" s="1096">
        <v>63</v>
      </c>
      <c r="BP86" s="1969">
        <v>60</v>
      </c>
      <c r="BQ86" s="1096">
        <v>70</v>
      </c>
      <c r="BR86" s="2022">
        <v>3</v>
      </c>
      <c r="BS86" s="1006">
        <v>56</v>
      </c>
      <c r="BU86" s="2172">
        <f t="shared" si="62"/>
        <v>252</v>
      </c>
      <c r="BV86" s="2172">
        <f t="shared" si="63"/>
        <v>852</v>
      </c>
      <c r="BW86" s="2173">
        <f t="shared" si="64"/>
        <v>0.29577464788732394</v>
      </c>
    </row>
    <row r="87" spans="1:75" s="49" customFormat="1" ht="13.5" customHeight="1" x14ac:dyDescent="0.3">
      <c r="A87" s="56" t="s">
        <v>211</v>
      </c>
      <c r="B87" s="84" t="s">
        <v>212</v>
      </c>
      <c r="C87" s="57" t="s">
        <v>254</v>
      </c>
      <c r="D87" s="1623">
        <f t="shared" si="42"/>
        <v>0.34375</v>
      </c>
      <c r="E87" s="1624">
        <f t="shared" si="43"/>
        <v>0.26933333333333331</v>
      </c>
      <c r="F87" s="1624">
        <f t="shared" si="44"/>
        <v>0.27067669172932329</v>
      </c>
      <c r="G87" s="1624">
        <f t="shared" si="45"/>
        <v>0.32679738562091504</v>
      </c>
      <c r="H87" s="1624">
        <f t="shared" si="46"/>
        <v>0.3446601941747573</v>
      </c>
      <c r="I87" s="1624">
        <f t="shared" si="47"/>
        <v>0.34725274725274724</v>
      </c>
      <c r="J87" s="1624">
        <f t="shared" si="48"/>
        <v>0.34415584415584416</v>
      </c>
      <c r="K87" s="1624">
        <f t="shared" si="49"/>
        <v>0.36458333333333331</v>
      </c>
      <c r="L87" s="1624">
        <f t="shared" si="50"/>
        <v>0.40409683426443205</v>
      </c>
      <c r="M87" s="1624">
        <f t="shared" si="51"/>
        <v>0.37360594795539032</v>
      </c>
      <c r="N87" s="1624">
        <f t="shared" si="52"/>
        <v>0.38900203665987781</v>
      </c>
      <c r="O87" s="1624">
        <f t="shared" si="53"/>
        <v>0.39780219780219778</v>
      </c>
      <c r="P87" s="1624">
        <f t="shared" si="54"/>
        <v>0.42680412371134019</v>
      </c>
      <c r="Q87" s="1624">
        <f t="shared" si="55"/>
        <v>0.36853448275862066</v>
      </c>
      <c r="R87" s="1625">
        <f t="shared" si="56"/>
        <v>0.40248962655601661</v>
      </c>
      <c r="S87" s="1626">
        <f>'Non-marital births'!L88</f>
        <v>0.41422594142259417</v>
      </c>
      <c r="T87" s="1627">
        <v>0.40339702760084928</v>
      </c>
      <c r="U87" s="1628">
        <f t="shared" si="57"/>
        <v>0.39555555555555555</v>
      </c>
      <c r="V87" s="2018">
        <f t="shared" si="58"/>
        <v>0.38493723849372385</v>
      </c>
      <c r="W87" s="2018">
        <f t="shared" si="59"/>
        <v>0.42699115044247787</v>
      </c>
      <c r="X87" s="2013">
        <f t="shared" si="60"/>
        <v>0.45454545454545453</v>
      </c>
      <c r="Y87" s="2096">
        <f t="shared" si="61"/>
        <v>0.41422594142259417</v>
      </c>
      <c r="Z87" s="2096"/>
      <c r="AA87" s="681">
        <v>384</v>
      </c>
      <c r="AB87" s="682">
        <v>375</v>
      </c>
      <c r="AC87" s="683">
        <v>399</v>
      </c>
      <c r="AD87" s="682">
        <v>459</v>
      </c>
      <c r="AE87" s="683">
        <v>412</v>
      </c>
      <c r="AF87" s="682">
        <v>455</v>
      </c>
      <c r="AG87" s="683">
        <v>462</v>
      </c>
      <c r="AH87" s="682">
        <v>480</v>
      </c>
      <c r="AI87" s="696">
        <v>537</v>
      </c>
      <c r="AJ87" s="696">
        <v>538</v>
      </c>
      <c r="AK87" s="696">
        <v>491</v>
      </c>
      <c r="AL87" s="696">
        <v>455</v>
      </c>
      <c r="AM87" s="697">
        <v>485</v>
      </c>
      <c r="AN87" s="697">
        <v>464</v>
      </c>
      <c r="AO87" s="848">
        <v>482</v>
      </c>
      <c r="AP87" s="1095">
        <v>456</v>
      </c>
      <c r="AQ87" s="1608">
        <v>471</v>
      </c>
      <c r="AR87" s="1608">
        <v>450</v>
      </c>
      <c r="AS87" s="1971">
        <v>478</v>
      </c>
      <c r="AT87" s="1095">
        <v>452</v>
      </c>
      <c r="AU87" s="2020">
        <v>484</v>
      </c>
      <c r="AV87" s="1005">
        <v>478</v>
      </c>
      <c r="AW87" s="1005"/>
      <c r="AX87" s="704">
        <v>132</v>
      </c>
      <c r="AY87" s="705">
        <v>101</v>
      </c>
      <c r="AZ87" s="705">
        <v>108</v>
      </c>
      <c r="BA87" s="705">
        <v>150</v>
      </c>
      <c r="BB87" s="705">
        <v>142</v>
      </c>
      <c r="BC87" s="705">
        <v>158</v>
      </c>
      <c r="BD87" s="705">
        <v>159</v>
      </c>
      <c r="BE87" s="705">
        <v>175</v>
      </c>
      <c r="BF87" s="705">
        <v>217</v>
      </c>
      <c r="BG87" s="705">
        <v>201</v>
      </c>
      <c r="BH87" s="705">
        <v>191</v>
      </c>
      <c r="BI87" s="705">
        <v>181</v>
      </c>
      <c r="BJ87" s="705">
        <v>207</v>
      </c>
      <c r="BK87" s="705">
        <v>171</v>
      </c>
      <c r="BL87" s="851">
        <v>194</v>
      </c>
      <c r="BM87" s="1096">
        <v>187</v>
      </c>
      <c r="BN87" s="1097">
        <v>190</v>
      </c>
      <c r="BO87" s="1096">
        <v>178</v>
      </c>
      <c r="BP87" s="1969">
        <v>184</v>
      </c>
      <c r="BQ87" s="1096">
        <v>193</v>
      </c>
      <c r="BR87" s="2022">
        <v>220</v>
      </c>
      <c r="BS87" s="1006">
        <v>198</v>
      </c>
      <c r="BU87" s="2172">
        <f t="shared" si="62"/>
        <v>973</v>
      </c>
      <c r="BV87" s="2172">
        <f t="shared" si="63"/>
        <v>2342</v>
      </c>
      <c r="BW87" s="2173">
        <f t="shared" si="64"/>
        <v>0.41545687446626817</v>
      </c>
    </row>
    <row r="88" spans="1:75" s="49" customFormat="1" ht="13.5" customHeight="1" x14ac:dyDescent="0.3">
      <c r="A88" s="56" t="s">
        <v>213</v>
      </c>
      <c r="B88" s="84" t="s">
        <v>214</v>
      </c>
      <c r="C88" s="57" t="s">
        <v>255</v>
      </c>
      <c r="D88" s="1623">
        <f t="shared" si="42"/>
        <v>0.26780626780626782</v>
      </c>
      <c r="E88" s="1624">
        <f t="shared" si="43"/>
        <v>0.27945205479452057</v>
      </c>
      <c r="F88" s="1624">
        <f t="shared" si="44"/>
        <v>0.26038781163434904</v>
      </c>
      <c r="G88" s="1624">
        <f t="shared" si="45"/>
        <v>0.25842696629213485</v>
      </c>
      <c r="H88" s="1624">
        <f t="shared" si="46"/>
        <v>0.29375000000000001</v>
      </c>
      <c r="I88" s="1624">
        <f t="shared" si="47"/>
        <v>0.36647727272727271</v>
      </c>
      <c r="J88" s="1624">
        <f t="shared" si="48"/>
        <v>0.28040540540540543</v>
      </c>
      <c r="K88" s="1624">
        <f t="shared" si="49"/>
        <v>0.31700288184438041</v>
      </c>
      <c r="L88" s="1624">
        <f t="shared" si="50"/>
        <v>0.38108108108108107</v>
      </c>
      <c r="M88" s="1624">
        <f t="shared" si="51"/>
        <v>0.41025641025641024</v>
      </c>
      <c r="N88" s="1624">
        <f t="shared" si="52"/>
        <v>0.42005420054200543</v>
      </c>
      <c r="O88" s="1624">
        <f t="shared" si="53"/>
        <v>0.42679127725856697</v>
      </c>
      <c r="P88" s="1624">
        <f t="shared" si="54"/>
        <v>0.4651898734177215</v>
      </c>
      <c r="Q88" s="1624">
        <f t="shared" si="55"/>
        <v>0.47706422018348627</v>
      </c>
      <c r="R88" s="1625">
        <f t="shared" si="56"/>
        <v>0.44599303135888502</v>
      </c>
      <c r="S88" s="1626">
        <f>'Non-marital births'!L89</f>
        <v>0.39914163090128757</v>
      </c>
      <c r="T88" s="1627">
        <v>0.42248062015503873</v>
      </c>
      <c r="U88" s="1628">
        <f t="shared" si="57"/>
        <v>0.41471571906354515</v>
      </c>
      <c r="V88" s="2018">
        <f t="shared" si="58"/>
        <v>0.43642611683848798</v>
      </c>
      <c r="W88" s="2018">
        <f t="shared" si="59"/>
        <v>0.45360824742268041</v>
      </c>
      <c r="X88" s="2013">
        <f t="shared" si="60"/>
        <v>0.40689655172413791</v>
      </c>
      <c r="Y88" s="2096">
        <f t="shared" si="61"/>
        <v>0.39914163090128757</v>
      </c>
      <c r="Z88" s="2096"/>
      <c r="AA88" s="681">
        <v>351</v>
      </c>
      <c r="AB88" s="682">
        <v>365</v>
      </c>
      <c r="AC88" s="683">
        <v>361</v>
      </c>
      <c r="AD88" s="682">
        <v>356</v>
      </c>
      <c r="AE88" s="683">
        <v>320</v>
      </c>
      <c r="AF88" s="682">
        <v>352</v>
      </c>
      <c r="AG88" s="683">
        <v>296</v>
      </c>
      <c r="AH88" s="682">
        <v>347</v>
      </c>
      <c r="AI88" s="696">
        <v>370</v>
      </c>
      <c r="AJ88" s="696">
        <v>351</v>
      </c>
      <c r="AK88" s="696">
        <v>369</v>
      </c>
      <c r="AL88" s="696">
        <v>321</v>
      </c>
      <c r="AM88" s="697">
        <v>316</v>
      </c>
      <c r="AN88" s="697">
        <v>327</v>
      </c>
      <c r="AO88" s="848">
        <v>287</v>
      </c>
      <c r="AP88" s="1095">
        <v>324</v>
      </c>
      <c r="AQ88" s="1608">
        <v>258</v>
      </c>
      <c r="AR88" s="1608">
        <v>299</v>
      </c>
      <c r="AS88" s="1971">
        <v>291</v>
      </c>
      <c r="AT88" s="1095">
        <v>291</v>
      </c>
      <c r="AU88" s="2020">
        <v>290</v>
      </c>
      <c r="AV88" s="1005">
        <v>233</v>
      </c>
      <c r="AW88" s="1005"/>
      <c r="AX88" s="704">
        <v>94</v>
      </c>
      <c r="AY88" s="705">
        <v>102</v>
      </c>
      <c r="AZ88" s="705">
        <v>94</v>
      </c>
      <c r="BA88" s="705">
        <v>92</v>
      </c>
      <c r="BB88" s="705">
        <v>94</v>
      </c>
      <c r="BC88" s="705">
        <v>129</v>
      </c>
      <c r="BD88" s="705">
        <v>83</v>
      </c>
      <c r="BE88" s="705">
        <v>110</v>
      </c>
      <c r="BF88" s="705">
        <v>141</v>
      </c>
      <c r="BG88" s="705">
        <v>144</v>
      </c>
      <c r="BH88" s="705">
        <v>155</v>
      </c>
      <c r="BI88" s="705">
        <v>137</v>
      </c>
      <c r="BJ88" s="705">
        <v>147</v>
      </c>
      <c r="BK88" s="705">
        <v>156</v>
      </c>
      <c r="BL88" s="851">
        <v>128</v>
      </c>
      <c r="BM88" s="1096">
        <v>125</v>
      </c>
      <c r="BN88" s="1097">
        <v>109</v>
      </c>
      <c r="BO88" s="1096">
        <v>124</v>
      </c>
      <c r="BP88" s="1969">
        <v>127</v>
      </c>
      <c r="BQ88" s="1096">
        <v>132</v>
      </c>
      <c r="BR88" s="2022">
        <v>118</v>
      </c>
      <c r="BS88" s="1006">
        <v>93</v>
      </c>
      <c r="BU88" s="2172">
        <f t="shared" si="62"/>
        <v>594</v>
      </c>
      <c r="BV88" s="2172">
        <f t="shared" si="63"/>
        <v>1404</v>
      </c>
      <c r="BW88" s="2173">
        <f t="shared" si="64"/>
        <v>0.42307692307692307</v>
      </c>
    </row>
    <row r="89" spans="1:75" s="49" customFormat="1" ht="13.5" customHeight="1" x14ac:dyDescent="0.3">
      <c r="A89" s="56" t="s">
        <v>215</v>
      </c>
      <c r="B89" s="84" t="s">
        <v>216</v>
      </c>
      <c r="C89" s="57" t="s">
        <v>251</v>
      </c>
      <c r="D89" s="1623">
        <f t="shared" si="42"/>
        <v>0.38043478260869568</v>
      </c>
      <c r="E89" s="1624">
        <f t="shared" si="43"/>
        <v>0.38547486033519551</v>
      </c>
      <c r="F89" s="1624">
        <f t="shared" si="44"/>
        <v>0.42499999999999999</v>
      </c>
      <c r="G89" s="1624">
        <f t="shared" si="45"/>
        <v>0.40579710144927539</v>
      </c>
      <c r="H89" s="1624">
        <f t="shared" si="46"/>
        <v>0.36842105263157893</v>
      </c>
      <c r="I89" s="1624">
        <f t="shared" si="47"/>
        <v>0.36627906976744184</v>
      </c>
      <c r="J89" s="1624">
        <f t="shared" si="48"/>
        <v>0.41279069767441862</v>
      </c>
      <c r="K89" s="1624">
        <f t="shared" si="49"/>
        <v>0.39597315436241609</v>
      </c>
      <c r="L89" s="1624">
        <f t="shared" si="50"/>
        <v>0.49180327868852458</v>
      </c>
      <c r="M89" s="1624">
        <f t="shared" si="51"/>
        <v>0.49122807017543857</v>
      </c>
      <c r="N89" s="1624">
        <f t="shared" si="52"/>
        <v>0.47317073170731705</v>
      </c>
      <c r="O89" s="1624">
        <f t="shared" si="53"/>
        <v>0.52071005917159763</v>
      </c>
      <c r="P89" s="1624">
        <f t="shared" si="54"/>
        <v>0.4236111111111111</v>
      </c>
      <c r="Q89" s="1624">
        <f t="shared" si="55"/>
        <v>0.45864661654135336</v>
      </c>
      <c r="R89" s="1625">
        <f t="shared" si="56"/>
        <v>0.42553191489361702</v>
      </c>
      <c r="S89" s="1626">
        <f>'Non-marital births'!L90</f>
        <v>0.52459016393442626</v>
      </c>
      <c r="T89" s="1627">
        <v>0.40140845070422537</v>
      </c>
      <c r="U89" s="1628">
        <f t="shared" si="57"/>
        <v>0.48305084745762711</v>
      </c>
      <c r="V89" s="2018">
        <f t="shared" si="58"/>
        <v>0.5</v>
      </c>
      <c r="W89" s="2018">
        <f t="shared" si="59"/>
        <v>0.41599999999999998</v>
      </c>
      <c r="X89" s="2013">
        <f t="shared" si="60"/>
        <v>0.3983739837398374</v>
      </c>
      <c r="Y89" s="2096">
        <f t="shared" si="61"/>
        <v>0.52459016393442626</v>
      </c>
      <c r="Z89" s="2096"/>
      <c r="AA89" s="681">
        <v>184</v>
      </c>
      <c r="AB89" s="682">
        <v>179</v>
      </c>
      <c r="AC89" s="683">
        <v>160</v>
      </c>
      <c r="AD89" s="682">
        <v>207</v>
      </c>
      <c r="AE89" s="683">
        <v>133</v>
      </c>
      <c r="AF89" s="682">
        <v>172</v>
      </c>
      <c r="AG89" s="683">
        <v>172</v>
      </c>
      <c r="AH89" s="682">
        <v>149</v>
      </c>
      <c r="AI89" s="696">
        <v>183</v>
      </c>
      <c r="AJ89" s="696">
        <v>171</v>
      </c>
      <c r="AK89" s="696">
        <v>205</v>
      </c>
      <c r="AL89" s="696">
        <v>169</v>
      </c>
      <c r="AM89" s="697">
        <v>144</v>
      </c>
      <c r="AN89" s="697">
        <v>133</v>
      </c>
      <c r="AO89" s="848">
        <v>141</v>
      </c>
      <c r="AP89" s="1095">
        <v>136</v>
      </c>
      <c r="AQ89" s="1608">
        <v>142</v>
      </c>
      <c r="AR89" s="1608">
        <v>118</v>
      </c>
      <c r="AS89" s="1971">
        <v>162</v>
      </c>
      <c r="AT89" s="1095">
        <v>125</v>
      </c>
      <c r="AU89" s="2020">
        <v>123</v>
      </c>
      <c r="AV89" s="1005">
        <v>122</v>
      </c>
      <c r="AW89" s="1005"/>
      <c r="AX89" s="704">
        <v>70</v>
      </c>
      <c r="AY89" s="705">
        <v>69</v>
      </c>
      <c r="AZ89" s="705">
        <v>68</v>
      </c>
      <c r="BA89" s="705">
        <v>84</v>
      </c>
      <c r="BB89" s="705">
        <v>49</v>
      </c>
      <c r="BC89" s="705">
        <v>63</v>
      </c>
      <c r="BD89" s="705">
        <v>71</v>
      </c>
      <c r="BE89" s="705">
        <v>59</v>
      </c>
      <c r="BF89" s="705">
        <v>90</v>
      </c>
      <c r="BG89" s="705">
        <v>84</v>
      </c>
      <c r="BH89" s="705">
        <v>97</v>
      </c>
      <c r="BI89" s="705">
        <v>88</v>
      </c>
      <c r="BJ89" s="705">
        <v>61</v>
      </c>
      <c r="BK89" s="705">
        <v>61</v>
      </c>
      <c r="BL89" s="851">
        <v>60</v>
      </c>
      <c r="BM89" s="1096">
        <v>73</v>
      </c>
      <c r="BN89" s="1097">
        <v>57</v>
      </c>
      <c r="BO89" s="1096">
        <v>57</v>
      </c>
      <c r="BP89" s="1969">
        <v>81</v>
      </c>
      <c r="BQ89" s="1096">
        <v>52</v>
      </c>
      <c r="BR89" s="2022">
        <v>49</v>
      </c>
      <c r="BS89" s="1006">
        <v>64</v>
      </c>
      <c r="BU89" s="2172">
        <f t="shared" si="62"/>
        <v>303</v>
      </c>
      <c r="BV89" s="2172">
        <f t="shared" si="63"/>
        <v>650</v>
      </c>
      <c r="BW89" s="2173">
        <f t="shared" si="64"/>
        <v>0.46615384615384614</v>
      </c>
    </row>
    <row r="90" spans="1:75" s="49" customFormat="1" ht="13.5" customHeight="1" x14ac:dyDescent="0.3">
      <c r="A90" s="56" t="s">
        <v>217</v>
      </c>
      <c r="B90" s="84" t="s">
        <v>218</v>
      </c>
      <c r="C90" s="57" t="s">
        <v>254</v>
      </c>
      <c r="D90" s="1623">
        <f t="shared" si="42"/>
        <v>0.24539363484087101</v>
      </c>
      <c r="E90" s="1624">
        <f t="shared" si="43"/>
        <v>0.28720626631853785</v>
      </c>
      <c r="F90" s="1624">
        <f t="shared" si="44"/>
        <v>0.27731092436974791</v>
      </c>
      <c r="G90" s="1624">
        <f t="shared" si="45"/>
        <v>0.26766304347826086</v>
      </c>
      <c r="H90" s="1624">
        <f t="shared" si="46"/>
        <v>0.26406926406926406</v>
      </c>
      <c r="I90" s="1624">
        <f t="shared" si="47"/>
        <v>0.26174076393237322</v>
      </c>
      <c r="J90" s="1624">
        <f t="shared" si="48"/>
        <v>0.27960140679953105</v>
      </c>
      <c r="K90" s="1624">
        <f t="shared" si="49"/>
        <v>0.3034188034188034</v>
      </c>
      <c r="L90" s="1624">
        <f t="shared" si="50"/>
        <v>0.3081761006289308</v>
      </c>
      <c r="M90" s="1624">
        <f t="shared" si="51"/>
        <v>0.36575422248107164</v>
      </c>
      <c r="N90" s="1624">
        <f t="shared" si="52"/>
        <v>0.3682008368200837</v>
      </c>
      <c r="O90" s="1624">
        <f t="shared" si="53"/>
        <v>0.36146907216494845</v>
      </c>
      <c r="P90" s="1624">
        <f t="shared" si="54"/>
        <v>0.36363636363636365</v>
      </c>
      <c r="Q90" s="1624">
        <f t="shared" si="55"/>
        <v>0.36754329698524696</v>
      </c>
      <c r="R90" s="1625">
        <f t="shared" si="56"/>
        <v>0.35742971887550201</v>
      </c>
      <c r="S90" s="1626">
        <f>'Non-marital births'!L91</f>
        <v>0.36670918367346939</v>
      </c>
      <c r="T90" s="1627">
        <v>0.35749690210656754</v>
      </c>
      <c r="U90" s="1628">
        <f t="shared" si="57"/>
        <v>0.36203645505971088</v>
      </c>
      <c r="V90" s="2018">
        <f t="shared" si="58"/>
        <v>0.34679487179487178</v>
      </c>
      <c r="W90" s="2018">
        <f t="shared" si="59"/>
        <v>0.35542168674698793</v>
      </c>
      <c r="X90" s="2013">
        <f t="shared" si="60"/>
        <v>0.36194278110445777</v>
      </c>
      <c r="Y90" s="2096">
        <f t="shared" si="61"/>
        <v>0.36670918367346939</v>
      </c>
      <c r="Z90" s="2096"/>
      <c r="AA90" s="681">
        <v>1194</v>
      </c>
      <c r="AB90" s="682">
        <v>1149</v>
      </c>
      <c r="AC90" s="683">
        <v>1309</v>
      </c>
      <c r="AD90" s="682">
        <v>1472</v>
      </c>
      <c r="AE90" s="683">
        <v>1617</v>
      </c>
      <c r="AF90" s="682">
        <v>1597</v>
      </c>
      <c r="AG90" s="683">
        <v>1706</v>
      </c>
      <c r="AH90" s="682">
        <v>1638</v>
      </c>
      <c r="AI90" s="696">
        <v>1749</v>
      </c>
      <c r="AJ90" s="696">
        <v>1717</v>
      </c>
      <c r="AK90" s="696">
        <v>1673</v>
      </c>
      <c r="AL90" s="696">
        <v>1552</v>
      </c>
      <c r="AM90" s="697">
        <v>1595</v>
      </c>
      <c r="AN90" s="697">
        <v>1559</v>
      </c>
      <c r="AO90" s="848">
        <v>1494</v>
      </c>
      <c r="AP90" s="1095">
        <v>1512</v>
      </c>
      <c r="AQ90" s="1608">
        <v>1614</v>
      </c>
      <c r="AR90" s="1608">
        <v>1591</v>
      </c>
      <c r="AS90" s="1971">
        <v>1560</v>
      </c>
      <c r="AT90" s="1095">
        <v>1494</v>
      </c>
      <c r="AU90" s="2020">
        <v>1503</v>
      </c>
      <c r="AV90" s="1005">
        <v>1568</v>
      </c>
      <c r="AW90" s="1005"/>
      <c r="AX90" s="704">
        <v>293</v>
      </c>
      <c r="AY90" s="705">
        <v>330</v>
      </c>
      <c r="AZ90" s="705">
        <v>363</v>
      </c>
      <c r="BA90" s="705">
        <v>394</v>
      </c>
      <c r="BB90" s="705">
        <v>427</v>
      </c>
      <c r="BC90" s="705">
        <v>418</v>
      </c>
      <c r="BD90" s="705">
        <v>477</v>
      </c>
      <c r="BE90" s="705">
        <v>497</v>
      </c>
      <c r="BF90" s="705">
        <v>539</v>
      </c>
      <c r="BG90" s="705">
        <v>628</v>
      </c>
      <c r="BH90" s="705">
        <v>616</v>
      </c>
      <c r="BI90" s="705">
        <v>561</v>
      </c>
      <c r="BJ90" s="705">
        <v>580</v>
      </c>
      <c r="BK90" s="705">
        <v>573</v>
      </c>
      <c r="BL90" s="851">
        <v>534</v>
      </c>
      <c r="BM90" s="1096">
        <v>537</v>
      </c>
      <c r="BN90" s="1097">
        <v>577</v>
      </c>
      <c r="BO90" s="1096">
        <v>576</v>
      </c>
      <c r="BP90" s="1969">
        <v>541</v>
      </c>
      <c r="BQ90" s="1096">
        <v>531</v>
      </c>
      <c r="BR90" s="2022">
        <v>544</v>
      </c>
      <c r="BS90" s="1006">
        <v>575</v>
      </c>
      <c r="BU90" s="2172">
        <f t="shared" si="62"/>
        <v>2767</v>
      </c>
      <c r="BV90" s="2172">
        <f t="shared" si="63"/>
        <v>7716</v>
      </c>
      <c r="BW90" s="2173">
        <f t="shared" si="64"/>
        <v>0.35860549507516848</v>
      </c>
    </row>
    <row r="91" spans="1:75" s="49" customFormat="1" ht="13.5" customHeight="1" x14ac:dyDescent="0.3">
      <c r="A91" s="56" t="s">
        <v>219</v>
      </c>
      <c r="B91" s="84" t="s">
        <v>220</v>
      </c>
      <c r="C91" s="57" t="s">
        <v>254</v>
      </c>
      <c r="D91" s="1623">
        <f t="shared" si="42"/>
        <v>0.23897911832946636</v>
      </c>
      <c r="E91" s="1624">
        <f t="shared" si="43"/>
        <v>0.23665338645418327</v>
      </c>
      <c r="F91" s="1624">
        <f t="shared" si="44"/>
        <v>0.24075416968817984</v>
      </c>
      <c r="G91" s="1624">
        <f t="shared" si="45"/>
        <v>0.2447405329593268</v>
      </c>
      <c r="H91" s="1624">
        <f t="shared" si="46"/>
        <v>0.24232527759634226</v>
      </c>
      <c r="I91" s="1624">
        <f t="shared" si="47"/>
        <v>0.25590299936183791</v>
      </c>
      <c r="J91" s="1624">
        <f t="shared" si="48"/>
        <v>0.25293028994447869</v>
      </c>
      <c r="K91" s="1624">
        <f t="shared" si="49"/>
        <v>0.2722772277227723</v>
      </c>
      <c r="L91" s="1624">
        <f t="shared" si="50"/>
        <v>0.29397874852420308</v>
      </c>
      <c r="M91" s="1624">
        <f t="shared" si="51"/>
        <v>0.29982768523836878</v>
      </c>
      <c r="N91" s="1624">
        <f t="shared" si="52"/>
        <v>0.29356172474896636</v>
      </c>
      <c r="O91" s="1624">
        <f t="shared" si="53"/>
        <v>0.30683156654888105</v>
      </c>
      <c r="P91" s="1624">
        <f t="shared" si="54"/>
        <v>0.28785158587672055</v>
      </c>
      <c r="Q91" s="1624">
        <f t="shared" si="55"/>
        <v>0.31016042780748665</v>
      </c>
      <c r="R91" s="1625">
        <f t="shared" si="56"/>
        <v>0.29542719614921781</v>
      </c>
      <c r="S91" s="1626">
        <f>'Non-marital births'!L92</f>
        <v>0.32029478458049887</v>
      </c>
      <c r="T91" s="1627">
        <v>0.29183793305930711</v>
      </c>
      <c r="U91" s="1628">
        <f t="shared" si="57"/>
        <v>0.29009009009009007</v>
      </c>
      <c r="V91" s="2018">
        <f t="shared" si="58"/>
        <v>0.30606238964096527</v>
      </c>
      <c r="W91" s="2018">
        <f t="shared" si="59"/>
        <v>0.29676674364896072</v>
      </c>
      <c r="X91" s="2013">
        <f t="shared" si="60"/>
        <v>0.31307339449541283</v>
      </c>
      <c r="Y91" s="2096">
        <f t="shared" si="61"/>
        <v>0.32029478458049887</v>
      </c>
      <c r="Z91" s="2096"/>
      <c r="AA91" s="681">
        <v>1293</v>
      </c>
      <c r="AB91" s="682">
        <v>1255</v>
      </c>
      <c r="AC91" s="683">
        <v>1379</v>
      </c>
      <c r="AD91" s="682">
        <v>1426</v>
      </c>
      <c r="AE91" s="683">
        <v>1531</v>
      </c>
      <c r="AF91" s="682">
        <v>1567</v>
      </c>
      <c r="AG91" s="683">
        <v>1621</v>
      </c>
      <c r="AH91" s="682">
        <v>1616</v>
      </c>
      <c r="AI91" s="696">
        <v>1694</v>
      </c>
      <c r="AJ91" s="696">
        <v>1741</v>
      </c>
      <c r="AK91" s="696">
        <v>1693</v>
      </c>
      <c r="AL91" s="696">
        <v>1698</v>
      </c>
      <c r="AM91" s="697">
        <v>1671</v>
      </c>
      <c r="AN91" s="697">
        <v>1683</v>
      </c>
      <c r="AO91" s="848">
        <v>1662</v>
      </c>
      <c r="AP91" s="1095">
        <v>1713</v>
      </c>
      <c r="AQ91" s="1608">
        <v>1703</v>
      </c>
      <c r="AR91" s="1608">
        <v>1665</v>
      </c>
      <c r="AS91" s="1971">
        <v>1699</v>
      </c>
      <c r="AT91" s="1095">
        <v>1732</v>
      </c>
      <c r="AU91" s="2020">
        <v>1744</v>
      </c>
      <c r="AV91" s="1005">
        <v>1764</v>
      </c>
      <c r="AW91" s="1005"/>
      <c r="AX91" s="704">
        <v>309</v>
      </c>
      <c r="AY91" s="705">
        <v>297</v>
      </c>
      <c r="AZ91" s="705">
        <v>332</v>
      </c>
      <c r="BA91" s="705">
        <v>349</v>
      </c>
      <c r="BB91" s="705">
        <v>371</v>
      </c>
      <c r="BC91" s="705">
        <v>401</v>
      </c>
      <c r="BD91" s="705">
        <v>410</v>
      </c>
      <c r="BE91" s="705">
        <v>440</v>
      </c>
      <c r="BF91" s="705">
        <v>498</v>
      </c>
      <c r="BG91" s="705">
        <v>522</v>
      </c>
      <c r="BH91" s="705">
        <v>497</v>
      </c>
      <c r="BI91" s="705">
        <v>521</v>
      </c>
      <c r="BJ91" s="705">
        <v>481</v>
      </c>
      <c r="BK91" s="705">
        <v>522</v>
      </c>
      <c r="BL91" s="851">
        <v>491</v>
      </c>
      <c r="BM91" s="1096">
        <v>483</v>
      </c>
      <c r="BN91" s="1097">
        <v>497</v>
      </c>
      <c r="BO91" s="1096">
        <v>483</v>
      </c>
      <c r="BP91" s="1969">
        <v>520</v>
      </c>
      <c r="BQ91" s="1096">
        <v>514</v>
      </c>
      <c r="BR91" s="2022">
        <v>546</v>
      </c>
      <c r="BS91" s="1006">
        <v>565</v>
      </c>
      <c r="BU91" s="2172">
        <f t="shared" si="62"/>
        <v>2628</v>
      </c>
      <c r="BV91" s="2172">
        <f t="shared" si="63"/>
        <v>8604</v>
      </c>
      <c r="BW91" s="2173">
        <f t="shared" si="64"/>
        <v>0.30543933054393307</v>
      </c>
    </row>
    <row r="92" spans="1:75" s="49" customFormat="1" ht="13.5" customHeight="1" x14ac:dyDescent="0.3">
      <c r="A92" s="56" t="s">
        <v>223</v>
      </c>
      <c r="B92" s="84" t="s">
        <v>224</v>
      </c>
      <c r="C92" s="57" t="s">
        <v>251</v>
      </c>
      <c r="D92" s="1623">
        <f t="shared" si="42"/>
        <v>0.43548387096774194</v>
      </c>
      <c r="E92" s="1624">
        <f t="shared" si="43"/>
        <v>0.44776119402985076</v>
      </c>
      <c r="F92" s="1624">
        <f t="shared" si="44"/>
        <v>0.44303797468354428</v>
      </c>
      <c r="G92" s="1624">
        <f t="shared" si="45"/>
        <v>0.54545454545454541</v>
      </c>
      <c r="H92" s="1624">
        <f t="shared" si="46"/>
        <v>0.484375</v>
      </c>
      <c r="I92" s="1624">
        <f t="shared" si="47"/>
        <v>0.43661971830985913</v>
      </c>
      <c r="J92" s="1624">
        <f t="shared" si="48"/>
        <v>0.4375</v>
      </c>
      <c r="K92" s="1624">
        <f t="shared" si="49"/>
        <v>0.46153846153846156</v>
      </c>
      <c r="L92" s="1624">
        <f t="shared" si="50"/>
        <v>0.47058823529411764</v>
      </c>
      <c r="M92" s="1624">
        <f t="shared" si="51"/>
        <v>0.40579710144927539</v>
      </c>
      <c r="N92" s="1624">
        <f t="shared" si="52"/>
        <v>0.41095890410958902</v>
      </c>
      <c r="O92" s="1624">
        <f t="shared" si="53"/>
        <v>0.52564102564102566</v>
      </c>
      <c r="P92" s="1624">
        <f t="shared" si="54"/>
        <v>0.56140350877192979</v>
      </c>
      <c r="Q92" s="1624">
        <f t="shared" si="55"/>
        <v>0.48275862068965519</v>
      </c>
      <c r="R92" s="1625">
        <f t="shared" si="56"/>
        <v>0.515625</v>
      </c>
      <c r="S92" s="1626">
        <f>'Non-marital births'!L93</f>
        <v>0.546875</v>
      </c>
      <c r="T92" s="1627">
        <v>0.48</v>
      </c>
      <c r="U92" s="1628">
        <f t="shared" si="57"/>
        <v>0.43333333333333335</v>
      </c>
      <c r="V92" s="2018">
        <f t="shared" si="58"/>
        <v>0.4576271186440678</v>
      </c>
      <c r="W92" s="2018">
        <f t="shared" si="59"/>
        <v>0.38709677419354838</v>
      </c>
      <c r="X92" s="2013">
        <f t="shared" si="60"/>
        <v>0.5423728813559322</v>
      </c>
      <c r="Y92" s="2096">
        <f t="shared" si="61"/>
        <v>0.546875</v>
      </c>
      <c r="Z92" s="2096"/>
      <c r="AA92" s="681">
        <v>62</v>
      </c>
      <c r="AB92" s="682">
        <v>67</v>
      </c>
      <c r="AC92" s="683">
        <v>79</v>
      </c>
      <c r="AD92" s="682">
        <v>77</v>
      </c>
      <c r="AE92" s="683">
        <v>64</v>
      </c>
      <c r="AF92" s="682">
        <v>71</v>
      </c>
      <c r="AG92" s="683">
        <v>64</v>
      </c>
      <c r="AH92" s="682">
        <v>52</v>
      </c>
      <c r="AI92" s="696">
        <v>85</v>
      </c>
      <c r="AJ92" s="696">
        <v>69</v>
      </c>
      <c r="AK92" s="696">
        <v>73</v>
      </c>
      <c r="AL92" s="696">
        <v>78</v>
      </c>
      <c r="AM92" s="697">
        <v>57</v>
      </c>
      <c r="AN92" s="697">
        <v>58</v>
      </c>
      <c r="AO92" s="848">
        <v>64</v>
      </c>
      <c r="AP92" s="1095">
        <v>60</v>
      </c>
      <c r="AQ92" s="1608">
        <v>50</v>
      </c>
      <c r="AR92" s="1608">
        <v>60</v>
      </c>
      <c r="AS92" s="1971">
        <v>59</v>
      </c>
      <c r="AT92" s="1095">
        <v>62</v>
      </c>
      <c r="AU92" s="2020">
        <v>59</v>
      </c>
      <c r="AV92" s="1005">
        <v>64</v>
      </c>
      <c r="AW92" s="1005"/>
      <c r="AX92" s="704">
        <v>27</v>
      </c>
      <c r="AY92" s="705">
        <v>30</v>
      </c>
      <c r="AZ92" s="705">
        <v>35</v>
      </c>
      <c r="BA92" s="705">
        <v>42</v>
      </c>
      <c r="BB92" s="705">
        <v>31</v>
      </c>
      <c r="BC92" s="705">
        <v>31</v>
      </c>
      <c r="BD92" s="705">
        <v>28</v>
      </c>
      <c r="BE92" s="705">
        <v>24</v>
      </c>
      <c r="BF92" s="705">
        <v>40</v>
      </c>
      <c r="BG92" s="705">
        <v>28</v>
      </c>
      <c r="BH92" s="705">
        <v>30</v>
      </c>
      <c r="BI92" s="705">
        <v>41</v>
      </c>
      <c r="BJ92" s="705">
        <v>32</v>
      </c>
      <c r="BK92" s="705">
        <v>28</v>
      </c>
      <c r="BL92" s="851">
        <v>33</v>
      </c>
      <c r="BM92" s="1096">
        <v>31</v>
      </c>
      <c r="BN92" s="1097">
        <v>24</v>
      </c>
      <c r="BO92" s="1096">
        <v>26</v>
      </c>
      <c r="BP92" s="1969">
        <v>27</v>
      </c>
      <c r="BQ92" s="1096">
        <v>24</v>
      </c>
      <c r="BR92" s="2022">
        <v>32</v>
      </c>
      <c r="BS92" s="1006">
        <v>35</v>
      </c>
      <c r="BU92" s="2172">
        <f t="shared" si="62"/>
        <v>144</v>
      </c>
      <c r="BV92" s="2172">
        <f t="shared" si="63"/>
        <v>304</v>
      </c>
      <c r="BW92" s="2173">
        <f t="shared" si="64"/>
        <v>0.47368421052631576</v>
      </c>
    </row>
    <row r="93" spans="1:75" s="49" customFormat="1" ht="13.5" customHeight="1" x14ac:dyDescent="0.3">
      <c r="A93" s="56" t="s">
        <v>225</v>
      </c>
      <c r="B93" s="84" t="s">
        <v>226</v>
      </c>
      <c r="C93" s="57" t="s">
        <v>251</v>
      </c>
      <c r="D93" s="1623">
        <f t="shared" si="42"/>
        <v>0.48245614035087719</v>
      </c>
      <c r="E93" s="1624">
        <f t="shared" si="43"/>
        <v>0.5</v>
      </c>
      <c r="F93" s="1624">
        <f t="shared" si="44"/>
        <v>0.57246376811594202</v>
      </c>
      <c r="G93" s="1624">
        <f t="shared" si="45"/>
        <v>0.5446428571428571</v>
      </c>
      <c r="H93" s="1624">
        <f t="shared" si="46"/>
        <v>0.56521739130434778</v>
      </c>
      <c r="I93" s="1624">
        <f t="shared" si="47"/>
        <v>0.54385964912280704</v>
      </c>
      <c r="J93" s="1624">
        <f t="shared" si="48"/>
        <v>0.52845528455284552</v>
      </c>
      <c r="K93" s="1624">
        <f t="shared" si="49"/>
        <v>0.62184873949579833</v>
      </c>
      <c r="L93" s="1624">
        <f t="shared" si="50"/>
        <v>0.58490566037735847</v>
      </c>
      <c r="M93" s="1624">
        <f t="shared" si="51"/>
        <v>0.53846153846153844</v>
      </c>
      <c r="N93" s="1624">
        <f t="shared" si="52"/>
        <v>0.58620689655172409</v>
      </c>
      <c r="O93" s="1624">
        <f t="shared" si="53"/>
        <v>0.60683760683760679</v>
      </c>
      <c r="P93" s="1624">
        <f t="shared" si="54"/>
        <v>0.6</v>
      </c>
      <c r="Q93" s="1624">
        <f t="shared" si="55"/>
        <v>0.59523809523809523</v>
      </c>
      <c r="R93" s="1625">
        <f t="shared" si="56"/>
        <v>0.62376237623762376</v>
      </c>
      <c r="S93" s="1626">
        <f>'Non-marital births'!L94</f>
        <v>0.68354430379746833</v>
      </c>
      <c r="T93" s="1627">
        <v>0.6</v>
      </c>
      <c r="U93" s="1628">
        <f t="shared" si="57"/>
        <v>0.65555555555555556</v>
      </c>
      <c r="V93" s="2018">
        <f t="shared" si="58"/>
        <v>0.6132075471698113</v>
      </c>
      <c r="W93" s="2018">
        <f t="shared" si="59"/>
        <v>0.65217391304347827</v>
      </c>
      <c r="X93" s="2013">
        <f t="shared" si="60"/>
        <v>0.676056338028169</v>
      </c>
      <c r="Y93" s="2096">
        <f t="shared" si="61"/>
        <v>0.68354430379746833</v>
      </c>
      <c r="Z93" s="2096"/>
      <c r="AA93" s="681">
        <v>114</v>
      </c>
      <c r="AB93" s="682">
        <v>130</v>
      </c>
      <c r="AC93" s="683">
        <v>138</v>
      </c>
      <c r="AD93" s="682">
        <v>112</v>
      </c>
      <c r="AE93" s="683">
        <v>115</v>
      </c>
      <c r="AF93" s="682">
        <v>114</v>
      </c>
      <c r="AG93" s="683">
        <v>123</v>
      </c>
      <c r="AH93" s="682">
        <v>119</v>
      </c>
      <c r="AI93" s="696">
        <v>106</v>
      </c>
      <c r="AJ93" s="696">
        <v>130</v>
      </c>
      <c r="AK93" s="696">
        <v>116</v>
      </c>
      <c r="AL93" s="696">
        <v>117</v>
      </c>
      <c r="AM93" s="697">
        <v>95</v>
      </c>
      <c r="AN93" s="697">
        <v>126</v>
      </c>
      <c r="AO93" s="848">
        <v>101</v>
      </c>
      <c r="AP93" s="1095">
        <v>97</v>
      </c>
      <c r="AQ93" s="1608">
        <v>100</v>
      </c>
      <c r="AR93" s="1608">
        <v>90</v>
      </c>
      <c r="AS93" s="1971">
        <v>106</v>
      </c>
      <c r="AT93" s="1095">
        <v>92</v>
      </c>
      <c r="AU93" s="2020">
        <v>71</v>
      </c>
      <c r="AV93" s="1005">
        <v>79</v>
      </c>
      <c r="AW93" s="1005"/>
      <c r="AX93" s="704">
        <v>55</v>
      </c>
      <c r="AY93" s="705">
        <v>65</v>
      </c>
      <c r="AZ93" s="705">
        <v>79</v>
      </c>
      <c r="BA93" s="705">
        <v>61</v>
      </c>
      <c r="BB93" s="705">
        <v>65</v>
      </c>
      <c r="BC93" s="705">
        <v>62</v>
      </c>
      <c r="BD93" s="705">
        <v>65</v>
      </c>
      <c r="BE93" s="705">
        <v>74</v>
      </c>
      <c r="BF93" s="705">
        <v>62</v>
      </c>
      <c r="BG93" s="705">
        <v>70</v>
      </c>
      <c r="BH93" s="705">
        <v>68</v>
      </c>
      <c r="BI93" s="705">
        <v>71</v>
      </c>
      <c r="BJ93" s="705">
        <v>57</v>
      </c>
      <c r="BK93" s="705">
        <v>75</v>
      </c>
      <c r="BL93" s="851">
        <v>63</v>
      </c>
      <c r="BM93" s="1096">
        <v>63</v>
      </c>
      <c r="BN93" s="1097">
        <v>60</v>
      </c>
      <c r="BO93" s="1096">
        <v>59</v>
      </c>
      <c r="BP93" s="1969">
        <v>65</v>
      </c>
      <c r="BQ93" s="1096">
        <v>60</v>
      </c>
      <c r="BR93" s="2022">
        <v>48</v>
      </c>
      <c r="BS93" s="1006">
        <v>54</v>
      </c>
      <c r="BU93" s="2172">
        <f t="shared" si="62"/>
        <v>286</v>
      </c>
      <c r="BV93" s="2172">
        <f t="shared" si="63"/>
        <v>438</v>
      </c>
      <c r="BW93" s="2173">
        <f t="shared" si="64"/>
        <v>0.65296803652968038</v>
      </c>
    </row>
    <row r="94" spans="1:75" s="49" customFormat="1" ht="13.5" customHeight="1" x14ac:dyDescent="0.3">
      <c r="A94" s="56" t="s">
        <v>227</v>
      </c>
      <c r="B94" s="84" t="s">
        <v>228</v>
      </c>
      <c r="C94" s="57" t="s">
        <v>255</v>
      </c>
      <c r="D94" s="1623">
        <f t="shared" si="42"/>
        <v>0.26694915254237289</v>
      </c>
      <c r="E94" s="1624">
        <f t="shared" si="43"/>
        <v>0.2822085889570552</v>
      </c>
      <c r="F94" s="1624">
        <f t="shared" si="44"/>
        <v>0.26365795724465557</v>
      </c>
      <c r="G94" s="1624">
        <f t="shared" si="45"/>
        <v>0.25279642058165547</v>
      </c>
      <c r="H94" s="1624">
        <f t="shared" si="46"/>
        <v>0.26980728051391861</v>
      </c>
      <c r="I94" s="1624">
        <f t="shared" si="47"/>
        <v>0.28947368421052633</v>
      </c>
      <c r="J94" s="1624">
        <f t="shared" si="48"/>
        <v>0.28144989339019189</v>
      </c>
      <c r="K94" s="1624">
        <f t="shared" si="49"/>
        <v>0.28907922912205569</v>
      </c>
      <c r="L94" s="1624">
        <f t="shared" si="50"/>
        <v>0.31923890063424948</v>
      </c>
      <c r="M94" s="1624">
        <f t="shared" si="51"/>
        <v>0.33974358974358976</v>
      </c>
      <c r="N94" s="1624">
        <f t="shared" si="52"/>
        <v>0.32765957446808508</v>
      </c>
      <c r="O94" s="1624">
        <f t="shared" si="53"/>
        <v>0.35062240663900412</v>
      </c>
      <c r="P94" s="1624">
        <f t="shared" si="54"/>
        <v>0.37551020408163266</v>
      </c>
      <c r="Q94" s="1624">
        <f t="shared" si="55"/>
        <v>0.36363636363636365</v>
      </c>
      <c r="R94" s="1625">
        <f t="shared" si="56"/>
        <v>0.35886214442013131</v>
      </c>
      <c r="S94" s="1626">
        <f>'Non-marital births'!L95</f>
        <v>0.39516129032258063</v>
      </c>
      <c r="T94" s="1627">
        <v>0.39912280701754388</v>
      </c>
      <c r="U94" s="1628">
        <f t="shared" si="57"/>
        <v>0.36651583710407237</v>
      </c>
      <c r="V94" s="2018">
        <f t="shared" si="58"/>
        <v>0.38571428571428573</v>
      </c>
      <c r="W94" s="2018">
        <f t="shared" si="59"/>
        <v>0.38536585365853659</v>
      </c>
      <c r="X94" s="2013">
        <f t="shared" si="60"/>
        <v>0.18622448979591838</v>
      </c>
      <c r="Y94" s="2096">
        <f t="shared" si="61"/>
        <v>0.39516129032258063</v>
      </c>
      <c r="Z94" s="2096"/>
      <c r="AA94" s="681">
        <v>472</v>
      </c>
      <c r="AB94" s="682">
        <v>489</v>
      </c>
      <c r="AC94" s="683">
        <v>421</v>
      </c>
      <c r="AD94" s="682">
        <v>447</v>
      </c>
      <c r="AE94" s="683">
        <v>467</v>
      </c>
      <c r="AF94" s="682">
        <v>494</v>
      </c>
      <c r="AG94" s="683">
        <v>469</v>
      </c>
      <c r="AH94" s="682">
        <v>467</v>
      </c>
      <c r="AI94" s="696">
        <v>473</v>
      </c>
      <c r="AJ94" s="696">
        <v>468</v>
      </c>
      <c r="AK94" s="696">
        <v>470</v>
      </c>
      <c r="AL94" s="696">
        <v>482</v>
      </c>
      <c r="AM94" s="697">
        <v>490</v>
      </c>
      <c r="AN94" s="697">
        <v>418</v>
      </c>
      <c r="AO94" s="848">
        <v>457</v>
      </c>
      <c r="AP94" s="1095">
        <v>447</v>
      </c>
      <c r="AQ94" s="1608">
        <v>456</v>
      </c>
      <c r="AR94" s="1608">
        <v>442</v>
      </c>
      <c r="AS94" s="1971">
        <v>420</v>
      </c>
      <c r="AT94" s="1095">
        <v>410</v>
      </c>
      <c r="AU94" s="2020">
        <v>392</v>
      </c>
      <c r="AV94" s="1005">
        <v>372</v>
      </c>
      <c r="AW94" s="1005"/>
      <c r="AX94" s="704">
        <v>126</v>
      </c>
      <c r="AY94" s="705">
        <v>138</v>
      </c>
      <c r="AZ94" s="705">
        <v>111</v>
      </c>
      <c r="BA94" s="705">
        <v>113</v>
      </c>
      <c r="BB94" s="705">
        <v>126</v>
      </c>
      <c r="BC94" s="705">
        <v>143</v>
      </c>
      <c r="BD94" s="705">
        <v>132</v>
      </c>
      <c r="BE94" s="705">
        <v>135</v>
      </c>
      <c r="BF94" s="705">
        <v>151</v>
      </c>
      <c r="BG94" s="705">
        <v>159</v>
      </c>
      <c r="BH94" s="705">
        <v>154</v>
      </c>
      <c r="BI94" s="705">
        <v>169</v>
      </c>
      <c r="BJ94" s="705">
        <v>184</v>
      </c>
      <c r="BK94" s="705">
        <v>152</v>
      </c>
      <c r="BL94" s="851">
        <v>164</v>
      </c>
      <c r="BM94" s="1096">
        <v>170</v>
      </c>
      <c r="BN94" s="1097">
        <v>182</v>
      </c>
      <c r="BO94" s="1096">
        <v>162</v>
      </c>
      <c r="BP94" s="1969">
        <v>162</v>
      </c>
      <c r="BQ94" s="1096">
        <v>158</v>
      </c>
      <c r="BR94" s="2022">
        <v>73</v>
      </c>
      <c r="BS94" s="1006">
        <v>147</v>
      </c>
      <c r="BU94" s="2172">
        <f t="shared" si="62"/>
        <v>702</v>
      </c>
      <c r="BV94" s="2172">
        <f t="shared" si="63"/>
        <v>2036</v>
      </c>
      <c r="BW94" s="2173">
        <f t="shared" si="64"/>
        <v>0.34479371316306484</v>
      </c>
    </row>
    <row r="95" spans="1:75" s="49" customFormat="1" ht="13.5" customHeight="1" x14ac:dyDescent="0.3">
      <c r="A95" s="56" t="s">
        <v>231</v>
      </c>
      <c r="B95" s="84" t="s">
        <v>232</v>
      </c>
      <c r="C95" s="57" t="s">
        <v>254</v>
      </c>
      <c r="D95" s="1623">
        <f t="shared" si="42"/>
        <v>0.2982456140350877</v>
      </c>
      <c r="E95" s="1624">
        <f t="shared" si="43"/>
        <v>0.28280542986425339</v>
      </c>
      <c r="F95" s="1624">
        <f t="shared" si="44"/>
        <v>0.33098591549295775</v>
      </c>
      <c r="G95" s="1624">
        <f t="shared" si="45"/>
        <v>0.33411764705882352</v>
      </c>
      <c r="H95" s="1624">
        <f t="shared" si="46"/>
        <v>0.35926773455377575</v>
      </c>
      <c r="I95" s="1624">
        <f t="shared" si="47"/>
        <v>0.32640332640332642</v>
      </c>
      <c r="J95" s="1624">
        <f t="shared" si="48"/>
        <v>0.3146067415730337</v>
      </c>
      <c r="K95" s="1624">
        <f t="shared" si="49"/>
        <v>0.34055118110236221</v>
      </c>
      <c r="L95" s="1624">
        <f t="shared" si="50"/>
        <v>0.37692307692307692</v>
      </c>
      <c r="M95" s="1624">
        <f t="shared" si="51"/>
        <v>0.39272030651340994</v>
      </c>
      <c r="N95" s="1624">
        <f t="shared" si="52"/>
        <v>0.39009900990099011</v>
      </c>
      <c r="O95" s="1624">
        <f t="shared" si="53"/>
        <v>0.40748898678414097</v>
      </c>
      <c r="P95" s="1624">
        <f t="shared" si="54"/>
        <v>0.37906976744186044</v>
      </c>
      <c r="Q95" s="1624">
        <f t="shared" si="55"/>
        <v>0.4375</v>
      </c>
      <c r="R95" s="1625">
        <f t="shared" si="56"/>
        <v>0.41521739130434782</v>
      </c>
      <c r="S95" s="1626">
        <f>'Non-marital births'!L96</f>
        <v>0.39960629921259844</v>
      </c>
      <c r="T95" s="1627">
        <v>0.42424242424242425</v>
      </c>
      <c r="U95" s="1628">
        <f t="shared" si="57"/>
        <v>0.41280353200883002</v>
      </c>
      <c r="V95" s="2018">
        <f t="shared" si="58"/>
        <v>0.37398373983739835</v>
      </c>
      <c r="W95" s="2018">
        <f t="shared" si="59"/>
        <v>0.42376681614349776</v>
      </c>
      <c r="X95" s="2013">
        <f t="shared" si="60"/>
        <v>0.37751004016064255</v>
      </c>
      <c r="Y95" s="2096">
        <f t="shared" si="61"/>
        <v>0.39960629921259844</v>
      </c>
      <c r="Z95" s="2096"/>
      <c r="AA95" s="681">
        <v>399</v>
      </c>
      <c r="AB95" s="682">
        <v>442</v>
      </c>
      <c r="AC95" s="683">
        <v>426</v>
      </c>
      <c r="AD95" s="682">
        <v>425</v>
      </c>
      <c r="AE95" s="683">
        <v>437</v>
      </c>
      <c r="AF95" s="682">
        <v>481</v>
      </c>
      <c r="AG95" s="683">
        <v>445</v>
      </c>
      <c r="AH95" s="682">
        <v>508</v>
      </c>
      <c r="AI95" s="696">
        <v>520</v>
      </c>
      <c r="AJ95" s="696">
        <v>522</v>
      </c>
      <c r="AK95" s="696">
        <v>505</v>
      </c>
      <c r="AL95" s="696">
        <v>454</v>
      </c>
      <c r="AM95" s="697">
        <v>430</v>
      </c>
      <c r="AN95" s="697">
        <v>432</v>
      </c>
      <c r="AO95" s="848">
        <v>460</v>
      </c>
      <c r="AP95" s="1095">
        <v>476</v>
      </c>
      <c r="AQ95" s="1608">
        <v>495</v>
      </c>
      <c r="AR95" s="1608">
        <v>453</v>
      </c>
      <c r="AS95" s="1971">
        <v>492</v>
      </c>
      <c r="AT95" s="1095">
        <v>446</v>
      </c>
      <c r="AU95" s="2020">
        <v>498</v>
      </c>
      <c r="AV95" s="1005">
        <v>508</v>
      </c>
      <c r="AW95" s="1005"/>
      <c r="AX95" s="704">
        <v>119</v>
      </c>
      <c r="AY95" s="705">
        <v>125</v>
      </c>
      <c r="AZ95" s="705">
        <v>141</v>
      </c>
      <c r="BA95" s="705">
        <v>142</v>
      </c>
      <c r="BB95" s="705">
        <v>157</v>
      </c>
      <c r="BC95" s="705">
        <v>157</v>
      </c>
      <c r="BD95" s="705">
        <v>140</v>
      </c>
      <c r="BE95" s="705">
        <v>173</v>
      </c>
      <c r="BF95" s="705">
        <v>196</v>
      </c>
      <c r="BG95" s="705">
        <v>205</v>
      </c>
      <c r="BH95" s="705">
        <v>197</v>
      </c>
      <c r="BI95" s="705">
        <v>185</v>
      </c>
      <c r="BJ95" s="705">
        <v>163</v>
      </c>
      <c r="BK95" s="705">
        <v>189</v>
      </c>
      <c r="BL95" s="851">
        <v>191</v>
      </c>
      <c r="BM95" s="1096">
        <v>187</v>
      </c>
      <c r="BN95" s="1097">
        <v>210</v>
      </c>
      <c r="BO95" s="1096">
        <v>187</v>
      </c>
      <c r="BP95" s="1969">
        <v>184</v>
      </c>
      <c r="BQ95" s="1096">
        <v>189</v>
      </c>
      <c r="BR95" s="2022">
        <v>188</v>
      </c>
      <c r="BS95" s="1006">
        <v>203</v>
      </c>
      <c r="BU95" s="2172">
        <f t="shared" si="62"/>
        <v>951</v>
      </c>
      <c r="BV95" s="2172">
        <f t="shared" si="63"/>
        <v>2397</v>
      </c>
      <c r="BW95" s="2173">
        <f t="shared" si="64"/>
        <v>0.39674593241551942</v>
      </c>
    </row>
    <row r="96" spans="1:75" s="49" customFormat="1" ht="13.5" customHeight="1" x14ac:dyDescent="0.3">
      <c r="A96" s="56" t="s">
        <v>233</v>
      </c>
      <c r="B96" s="84" t="s">
        <v>234</v>
      </c>
      <c r="C96" s="57" t="s">
        <v>255</v>
      </c>
      <c r="D96" s="1623">
        <f t="shared" si="42"/>
        <v>0.24907063197026022</v>
      </c>
      <c r="E96" s="1624">
        <f t="shared" si="43"/>
        <v>0.21357285429141717</v>
      </c>
      <c r="F96" s="1624">
        <f t="shared" si="44"/>
        <v>0.21747967479674796</v>
      </c>
      <c r="G96" s="1624">
        <f t="shared" si="45"/>
        <v>0.23290203327171904</v>
      </c>
      <c r="H96" s="1624">
        <f t="shared" si="46"/>
        <v>0.24862888482632542</v>
      </c>
      <c r="I96" s="1624">
        <f t="shared" si="47"/>
        <v>0.21850393700787402</v>
      </c>
      <c r="J96" s="1624">
        <f t="shared" si="48"/>
        <v>0.25656565656565655</v>
      </c>
      <c r="K96" s="1624">
        <f t="shared" si="49"/>
        <v>0.29467680608365021</v>
      </c>
      <c r="L96" s="1624">
        <f t="shared" si="50"/>
        <v>0.29938900203665986</v>
      </c>
      <c r="M96" s="1624">
        <f t="shared" si="51"/>
        <v>0.33212341197822143</v>
      </c>
      <c r="N96" s="1624">
        <f t="shared" si="52"/>
        <v>0.32649253731343286</v>
      </c>
      <c r="O96" s="1624">
        <f t="shared" si="53"/>
        <v>0.33849129593810445</v>
      </c>
      <c r="P96" s="1624">
        <f t="shared" si="54"/>
        <v>0.32156862745098042</v>
      </c>
      <c r="Q96" s="1624">
        <f t="shared" si="55"/>
        <v>0.36549165120593691</v>
      </c>
      <c r="R96" s="1625">
        <f t="shared" si="56"/>
        <v>0.36257309941520466</v>
      </c>
      <c r="S96" s="1626">
        <f>'Non-marital births'!L97</f>
        <v>0.3926247288503254</v>
      </c>
      <c r="T96" s="1627">
        <v>0.34741784037558687</v>
      </c>
      <c r="U96" s="1628">
        <f t="shared" si="57"/>
        <v>0.35918367346938773</v>
      </c>
      <c r="V96" s="2018">
        <f t="shared" si="58"/>
        <v>0.31327800829875518</v>
      </c>
      <c r="W96" s="2018">
        <f t="shared" si="59"/>
        <v>0.35448577680525162</v>
      </c>
      <c r="X96" s="2013">
        <f t="shared" si="60"/>
        <v>0.16603053435114504</v>
      </c>
      <c r="Y96" s="2096">
        <f t="shared" si="61"/>
        <v>0.3926247288503254</v>
      </c>
      <c r="Z96" s="2096"/>
      <c r="AA96" s="681">
        <v>538</v>
      </c>
      <c r="AB96" s="682">
        <v>501</v>
      </c>
      <c r="AC96" s="683">
        <v>492</v>
      </c>
      <c r="AD96" s="682">
        <v>541</v>
      </c>
      <c r="AE96" s="683">
        <v>547</v>
      </c>
      <c r="AF96" s="682">
        <v>508</v>
      </c>
      <c r="AG96" s="683">
        <v>495</v>
      </c>
      <c r="AH96" s="682">
        <v>526</v>
      </c>
      <c r="AI96" s="696">
        <v>491</v>
      </c>
      <c r="AJ96" s="696">
        <v>551</v>
      </c>
      <c r="AK96" s="696">
        <v>536</v>
      </c>
      <c r="AL96" s="696">
        <v>517</v>
      </c>
      <c r="AM96" s="697">
        <v>510</v>
      </c>
      <c r="AN96" s="697">
        <v>539</v>
      </c>
      <c r="AO96" s="848">
        <v>513</v>
      </c>
      <c r="AP96" s="1095">
        <v>488</v>
      </c>
      <c r="AQ96" s="1608">
        <v>426</v>
      </c>
      <c r="AR96" s="1608">
        <v>490</v>
      </c>
      <c r="AS96" s="1971">
        <v>482</v>
      </c>
      <c r="AT96" s="1095">
        <v>457</v>
      </c>
      <c r="AU96" s="2020">
        <v>524</v>
      </c>
      <c r="AV96" s="1005">
        <v>461</v>
      </c>
      <c r="AW96" s="1005"/>
      <c r="AX96" s="704">
        <v>134</v>
      </c>
      <c r="AY96" s="705">
        <v>107</v>
      </c>
      <c r="AZ96" s="705">
        <v>107</v>
      </c>
      <c r="BA96" s="705">
        <v>126</v>
      </c>
      <c r="BB96" s="705">
        <v>136</v>
      </c>
      <c r="BC96" s="705">
        <v>111</v>
      </c>
      <c r="BD96" s="705">
        <v>127</v>
      </c>
      <c r="BE96" s="705">
        <v>155</v>
      </c>
      <c r="BF96" s="705">
        <v>147</v>
      </c>
      <c r="BG96" s="705">
        <v>183</v>
      </c>
      <c r="BH96" s="705">
        <v>175</v>
      </c>
      <c r="BI96" s="705">
        <v>175</v>
      </c>
      <c r="BJ96" s="705">
        <v>164</v>
      </c>
      <c r="BK96" s="705">
        <v>197</v>
      </c>
      <c r="BL96" s="851">
        <v>186</v>
      </c>
      <c r="BM96" s="1096">
        <v>173</v>
      </c>
      <c r="BN96" s="1097">
        <v>148</v>
      </c>
      <c r="BO96" s="1096">
        <v>176</v>
      </c>
      <c r="BP96" s="1969">
        <v>151</v>
      </c>
      <c r="BQ96" s="1096">
        <v>162</v>
      </c>
      <c r="BR96" s="2022">
        <v>87</v>
      </c>
      <c r="BS96" s="1006">
        <v>181</v>
      </c>
      <c r="BU96" s="2172">
        <f t="shared" si="62"/>
        <v>757</v>
      </c>
      <c r="BV96" s="2172">
        <f t="shared" si="63"/>
        <v>2414</v>
      </c>
      <c r="BW96" s="2173">
        <f t="shared" si="64"/>
        <v>0.31358740679370339</v>
      </c>
    </row>
    <row r="97" spans="1:75" s="49" customFormat="1" ht="13.5" customHeight="1" x14ac:dyDescent="0.3">
      <c r="A97" s="56" t="s">
        <v>235</v>
      </c>
      <c r="B97" s="84" t="s">
        <v>236</v>
      </c>
      <c r="C97" s="57" t="s">
        <v>253</v>
      </c>
      <c r="D97" s="1623">
        <f t="shared" si="42"/>
        <v>0.48039215686274511</v>
      </c>
      <c r="E97" s="1624">
        <f t="shared" si="43"/>
        <v>0.53233830845771146</v>
      </c>
      <c r="F97" s="1624">
        <f t="shared" si="44"/>
        <v>0.54761904761904767</v>
      </c>
      <c r="G97" s="1624">
        <f t="shared" si="45"/>
        <v>0.51086956521739135</v>
      </c>
      <c r="H97" s="1624">
        <f t="shared" si="46"/>
        <v>0.52941176470588236</v>
      </c>
      <c r="I97" s="1624">
        <f t="shared" si="47"/>
        <v>0.48554913294797686</v>
      </c>
      <c r="J97" s="1624">
        <f t="shared" si="48"/>
        <v>0.53631284916201116</v>
      </c>
      <c r="K97" s="1624">
        <f t="shared" si="49"/>
        <v>0.55737704918032782</v>
      </c>
      <c r="L97" s="1624">
        <f t="shared" si="50"/>
        <v>0.51063829787234039</v>
      </c>
      <c r="M97" s="1624">
        <f t="shared" si="51"/>
        <v>0.53140096618357491</v>
      </c>
      <c r="N97" s="1624">
        <f t="shared" si="52"/>
        <v>0.53092783505154639</v>
      </c>
      <c r="O97" s="1624">
        <f t="shared" si="53"/>
        <v>0.6424870466321243</v>
      </c>
      <c r="P97" s="1624">
        <f t="shared" si="54"/>
        <v>0.5524861878453039</v>
      </c>
      <c r="Q97" s="1624">
        <f t="shared" si="55"/>
        <v>0.50543478260869568</v>
      </c>
      <c r="R97" s="1625">
        <f t="shared" si="56"/>
        <v>0.52083333333333337</v>
      </c>
      <c r="S97" s="1626">
        <f>'Non-marital births'!L98</f>
        <v>0.46774193548387094</v>
      </c>
      <c r="T97" s="1627">
        <v>0.53658536585365857</v>
      </c>
      <c r="U97" s="1628">
        <f t="shared" si="57"/>
        <v>0.48730964467005078</v>
      </c>
      <c r="V97" s="2018">
        <f t="shared" si="58"/>
        <v>0.53</v>
      </c>
      <c r="W97" s="2018">
        <f t="shared" si="59"/>
        <v>0.54098360655737709</v>
      </c>
      <c r="X97" s="2013">
        <f t="shared" si="60"/>
        <v>0.50602409638554213</v>
      </c>
      <c r="Y97" s="2096">
        <f t="shared" si="61"/>
        <v>0.46774193548387094</v>
      </c>
      <c r="Z97" s="2096"/>
      <c r="AA97" s="681">
        <v>204</v>
      </c>
      <c r="AB97" s="682">
        <v>201</v>
      </c>
      <c r="AC97" s="683">
        <v>168</v>
      </c>
      <c r="AD97" s="682">
        <v>184</v>
      </c>
      <c r="AE97" s="683">
        <v>204</v>
      </c>
      <c r="AF97" s="682">
        <v>173</v>
      </c>
      <c r="AG97" s="683">
        <v>179</v>
      </c>
      <c r="AH97" s="682">
        <v>183</v>
      </c>
      <c r="AI97" s="696">
        <v>188</v>
      </c>
      <c r="AJ97" s="696">
        <v>207</v>
      </c>
      <c r="AK97" s="696">
        <v>194</v>
      </c>
      <c r="AL97" s="696">
        <v>193</v>
      </c>
      <c r="AM97" s="697">
        <v>181</v>
      </c>
      <c r="AN97" s="697">
        <v>184</v>
      </c>
      <c r="AO97" s="848">
        <v>192</v>
      </c>
      <c r="AP97" s="1095">
        <v>186</v>
      </c>
      <c r="AQ97" s="1608">
        <v>164</v>
      </c>
      <c r="AR97" s="1608">
        <v>197</v>
      </c>
      <c r="AS97" s="1971">
        <v>200</v>
      </c>
      <c r="AT97" s="1095">
        <v>183</v>
      </c>
      <c r="AU97" s="2020">
        <v>166</v>
      </c>
      <c r="AV97" s="1005">
        <v>186</v>
      </c>
      <c r="AW97" s="1005"/>
      <c r="AX97" s="704">
        <v>98</v>
      </c>
      <c r="AY97" s="705">
        <v>107</v>
      </c>
      <c r="AZ97" s="705">
        <v>92</v>
      </c>
      <c r="BA97" s="705">
        <v>94</v>
      </c>
      <c r="BB97" s="705">
        <v>108</v>
      </c>
      <c r="BC97" s="705">
        <v>84</v>
      </c>
      <c r="BD97" s="705">
        <v>96</v>
      </c>
      <c r="BE97" s="705">
        <v>102</v>
      </c>
      <c r="BF97" s="705">
        <v>96</v>
      </c>
      <c r="BG97" s="705">
        <v>110</v>
      </c>
      <c r="BH97" s="705">
        <v>103</v>
      </c>
      <c r="BI97" s="705">
        <v>124</v>
      </c>
      <c r="BJ97" s="705">
        <v>100</v>
      </c>
      <c r="BK97" s="705">
        <v>93</v>
      </c>
      <c r="BL97" s="851">
        <v>100</v>
      </c>
      <c r="BM97" s="1096">
        <v>109</v>
      </c>
      <c r="BN97" s="1097">
        <v>88</v>
      </c>
      <c r="BO97" s="1096">
        <v>96</v>
      </c>
      <c r="BP97" s="1969">
        <v>106</v>
      </c>
      <c r="BQ97" s="1096">
        <v>99</v>
      </c>
      <c r="BR97" s="2022">
        <v>84</v>
      </c>
      <c r="BS97" s="1006">
        <v>87</v>
      </c>
      <c r="BU97" s="2172">
        <f t="shared" si="62"/>
        <v>472</v>
      </c>
      <c r="BV97" s="2172">
        <f t="shared" si="63"/>
        <v>932</v>
      </c>
      <c r="BW97" s="2173">
        <f t="shared" si="64"/>
        <v>0.50643776824034337</v>
      </c>
    </row>
    <row r="98" spans="1:75" s="49" customFormat="1" ht="13.5" customHeight="1" x14ac:dyDescent="0.3">
      <c r="A98" s="56" t="s">
        <v>241</v>
      </c>
      <c r="B98" s="84" t="s">
        <v>242</v>
      </c>
      <c r="C98" s="57" t="s">
        <v>255</v>
      </c>
      <c r="D98" s="1623">
        <f t="shared" si="42"/>
        <v>0.30948121645796062</v>
      </c>
      <c r="E98" s="1624">
        <f t="shared" si="43"/>
        <v>0.2907216494845361</v>
      </c>
      <c r="F98" s="1624">
        <f t="shared" si="44"/>
        <v>0.29803921568627451</v>
      </c>
      <c r="G98" s="1624">
        <f t="shared" si="45"/>
        <v>0.30357142857142855</v>
      </c>
      <c r="H98" s="1624">
        <f t="shared" si="46"/>
        <v>0.32341269841269843</v>
      </c>
      <c r="I98" s="1624">
        <f t="shared" si="47"/>
        <v>0.32310838445807771</v>
      </c>
      <c r="J98" s="1624">
        <f t="shared" si="48"/>
        <v>0.34661354581673309</v>
      </c>
      <c r="K98" s="1624">
        <f t="shared" si="49"/>
        <v>0.36422413793103448</v>
      </c>
      <c r="L98" s="1624">
        <f t="shared" si="50"/>
        <v>0.34095634095634098</v>
      </c>
      <c r="M98" s="1624">
        <f t="shared" si="51"/>
        <v>0.38152610441767071</v>
      </c>
      <c r="N98" s="1624">
        <f t="shared" si="52"/>
        <v>0.36947791164658633</v>
      </c>
      <c r="O98" s="1624">
        <f t="shared" si="53"/>
        <v>0.38931297709923662</v>
      </c>
      <c r="P98" s="1624">
        <f t="shared" si="54"/>
        <v>0.46170678336980309</v>
      </c>
      <c r="Q98" s="1624">
        <f t="shared" si="55"/>
        <v>0.40151515151515149</v>
      </c>
      <c r="R98" s="1625">
        <f t="shared" si="56"/>
        <v>0.43675417661097854</v>
      </c>
      <c r="S98" s="1626">
        <f>'Non-marital births'!L99</f>
        <v>0.48525469168900803</v>
      </c>
      <c r="T98" s="1627">
        <v>0.5</v>
      </c>
      <c r="U98" s="1628">
        <f t="shared" si="57"/>
        <v>0.47757255936675463</v>
      </c>
      <c r="V98" s="2018">
        <f t="shared" si="58"/>
        <v>0.45360824742268041</v>
      </c>
      <c r="W98" s="2018">
        <f t="shared" si="59"/>
        <v>0.45352112676056339</v>
      </c>
      <c r="X98" s="2013">
        <f t="shared" si="60"/>
        <v>0.3203342618384401</v>
      </c>
      <c r="Y98" s="2096">
        <f t="shared" si="61"/>
        <v>0.48525469168900803</v>
      </c>
      <c r="Z98" s="2096"/>
      <c r="AA98" s="681">
        <v>559</v>
      </c>
      <c r="AB98" s="682">
        <v>485</v>
      </c>
      <c r="AC98" s="683">
        <v>510</v>
      </c>
      <c r="AD98" s="682">
        <v>504</v>
      </c>
      <c r="AE98" s="683">
        <v>504</v>
      </c>
      <c r="AF98" s="682">
        <v>489</v>
      </c>
      <c r="AG98" s="683">
        <v>502</v>
      </c>
      <c r="AH98" s="682">
        <v>464</v>
      </c>
      <c r="AI98" s="696">
        <v>481</v>
      </c>
      <c r="AJ98" s="696">
        <v>498</v>
      </c>
      <c r="AK98" s="696">
        <v>498</v>
      </c>
      <c r="AL98" s="696">
        <v>524</v>
      </c>
      <c r="AM98" s="697">
        <v>457</v>
      </c>
      <c r="AN98" s="697">
        <v>396</v>
      </c>
      <c r="AO98" s="848">
        <v>419</v>
      </c>
      <c r="AP98" s="1095">
        <v>450</v>
      </c>
      <c r="AQ98" s="1608">
        <v>406</v>
      </c>
      <c r="AR98" s="1608">
        <v>379</v>
      </c>
      <c r="AS98" s="1971">
        <v>388</v>
      </c>
      <c r="AT98" s="1095">
        <v>355</v>
      </c>
      <c r="AU98" s="2020">
        <v>359</v>
      </c>
      <c r="AV98" s="1005">
        <v>373</v>
      </c>
      <c r="AW98" s="1005"/>
      <c r="AX98" s="704">
        <v>173</v>
      </c>
      <c r="AY98" s="705">
        <v>141</v>
      </c>
      <c r="AZ98" s="705">
        <v>152</v>
      </c>
      <c r="BA98" s="705">
        <v>153</v>
      </c>
      <c r="BB98" s="705">
        <v>163</v>
      </c>
      <c r="BC98" s="705">
        <v>158</v>
      </c>
      <c r="BD98" s="705">
        <v>174</v>
      </c>
      <c r="BE98" s="705">
        <v>169</v>
      </c>
      <c r="BF98" s="705">
        <v>164</v>
      </c>
      <c r="BG98" s="705">
        <v>190</v>
      </c>
      <c r="BH98" s="705">
        <v>184</v>
      </c>
      <c r="BI98" s="705">
        <v>204</v>
      </c>
      <c r="BJ98" s="705">
        <v>211</v>
      </c>
      <c r="BK98" s="705">
        <v>159</v>
      </c>
      <c r="BL98" s="851">
        <v>183</v>
      </c>
      <c r="BM98" s="1096">
        <v>196</v>
      </c>
      <c r="BN98" s="1097">
        <v>203</v>
      </c>
      <c r="BO98" s="1096">
        <v>181</v>
      </c>
      <c r="BP98" s="1969">
        <v>176</v>
      </c>
      <c r="BQ98" s="1096">
        <v>161</v>
      </c>
      <c r="BR98" s="2022">
        <v>115</v>
      </c>
      <c r="BS98" s="1006">
        <v>181</v>
      </c>
      <c r="BU98" s="2172">
        <f t="shared" si="62"/>
        <v>814</v>
      </c>
      <c r="BV98" s="2172">
        <f t="shared" si="63"/>
        <v>1854</v>
      </c>
      <c r="BW98" s="2173">
        <f t="shared" si="64"/>
        <v>0.43905070118662354</v>
      </c>
    </row>
    <row r="99" spans="1:75" s="49" customFormat="1" ht="13.5" customHeight="1" x14ac:dyDescent="0.3">
      <c r="A99" s="56" t="s">
        <v>243</v>
      </c>
      <c r="B99" s="84" t="s">
        <v>244</v>
      </c>
      <c r="C99" s="57" t="s">
        <v>255</v>
      </c>
      <c r="D99" s="1623">
        <f t="shared" si="42"/>
        <v>0.26811594202898553</v>
      </c>
      <c r="E99" s="1624">
        <f t="shared" si="43"/>
        <v>0.22941176470588234</v>
      </c>
      <c r="F99" s="1624">
        <f t="shared" si="44"/>
        <v>0.22023809523809523</v>
      </c>
      <c r="G99" s="1624">
        <f t="shared" si="45"/>
        <v>0.26666666666666666</v>
      </c>
      <c r="H99" s="1624">
        <f t="shared" si="46"/>
        <v>0.27384615384615385</v>
      </c>
      <c r="I99" s="1624">
        <f t="shared" si="47"/>
        <v>0.28528528528528529</v>
      </c>
      <c r="J99" s="1624">
        <f t="shared" si="48"/>
        <v>0.31927710843373491</v>
      </c>
      <c r="K99" s="1624">
        <f t="shared" si="49"/>
        <v>0.29878048780487804</v>
      </c>
      <c r="L99" s="1624">
        <f t="shared" si="50"/>
        <v>0.32432432432432434</v>
      </c>
      <c r="M99" s="1624">
        <f t="shared" si="51"/>
        <v>0.35202492211838005</v>
      </c>
      <c r="N99" s="1624">
        <f t="shared" si="52"/>
        <v>0.38620689655172413</v>
      </c>
      <c r="O99" s="1624">
        <f t="shared" si="53"/>
        <v>0.37769784172661869</v>
      </c>
      <c r="P99" s="1624">
        <f t="shared" si="54"/>
        <v>0.34163701067615659</v>
      </c>
      <c r="Q99" s="1624">
        <f t="shared" si="55"/>
        <v>0.4096774193548387</v>
      </c>
      <c r="R99" s="1625">
        <f t="shared" si="56"/>
        <v>0.45733788395904434</v>
      </c>
      <c r="S99" s="1626">
        <f>'Non-marital births'!L100</f>
        <v>0.43129770992366412</v>
      </c>
      <c r="T99" s="1627">
        <v>0.45512820512820512</v>
      </c>
      <c r="U99" s="1628">
        <f t="shared" si="57"/>
        <v>0.42446043165467628</v>
      </c>
      <c r="V99" s="2018">
        <f t="shared" si="58"/>
        <v>0.39649122807017545</v>
      </c>
      <c r="W99" s="2018">
        <f t="shared" si="59"/>
        <v>0.45779220779220781</v>
      </c>
      <c r="X99" s="2013">
        <f t="shared" si="60"/>
        <v>0.38947368421052631</v>
      </c>
      <c r="Y99" s="2096">
        <f t="shared" si="61"/>
        <v>0.43129770992366412</v>
      </c>
      <c r="Z99" s="2096"/>
      <c r="AA99" s="681">
        <v>276</v>
      </c>
      <c r="AB99" s="682">
        <v>340</v>
      </c>
      <c r="AC99" s="683">
        <v>336</v>
      </c>
      <c r="AD99" s="682">
        <v>315</v>
      </c>
      <c r="AE99" s="683">
        <v>325</v>
      </c>
      <c r="AF99" s="682">
        <v>333</v>
      </c>
      <c r="AG99" s="683">
        <v>332</v>
      </c>
      <c r="AH99" s="682">
        <v>328</v>
      </c>
      <c r="AI99" s="696">
        <v>333</v>
      </c>
      <c r="AJ99" s="696">
        <v>321</v>
      </c>
      <c r="AK99" s="696">
        <v>290</v>
      </c>
      <c r="AL99" s="696">
        <v>278</v>
      </c>
      <c r="AM99" s="697">
        <v>281</v>
      </c>
      <c r="AN99" s="697">
        <v>310</v>
      </c>
      <c r="AO99" s="848">
        <v>293</v>
      </c>
      <c r="AP99" s="1095">
        <v>271</v>
      </c>
      <c r="AQ99" s="1608">
        <v>312</v>
      </c>
      <c r="AR99" s="1608">
        <v>278</v>
      </c>
      <c r="AS99" s="1971">
        <v>285</v>
      </c>
      <c r="AT99" s="1095">
        <v>308</v>
      </c>
      <c r="AU99" s="2020">
        <v>285</v>
      </c>
      <c r="AV99" s="1005">
        <v>262</v>
      </c>
      <c r="AW99" s="1005"/>
      <c r="AX99" s="704">
        <v>74</v>
      </c>
      <c r="AY99" s="705">
        <v>78</v>
      </c>
      <c r="AZ99" s="705">
        <v>74</v>
      </c>
      <c r="BA99" s="705">
        <v>84</v>
      </c>
      <c r="BB99" s="705">
        <v>89</v>
      </c>
      <c r="BC99" s="705">
        <v>95</v>
      </c>
      <c r="BD99" s="705">
        <v>106</v>
      </c>
      <c r="BE99" s="705">
        <v>98</v>
      </c>
      <c r="BF99" s="705">
        <v>108</v>
      </c>
      <c r="BG99" s="705">
        <v>113</v>
      </c>
      <c r="BH99" s="705">
        <v>112</v>
      </c>
      <c r="BI99" s="705">
        <v>105</v>
      </c>
      <c r="BJ99" s="705">
        <v>96</v>
      </c>
      <c r="BK99" s="705">
        <v>127</v>
      </c>
      <c r="BL99" s="851">
        <v>134</v>
      </c>
      <c r="BM99" s="1096">
        <v>111</v>
      </c>
      <c r="BN99" s="1097">
        <v>142</v>
      </c>
      <c r="BO99" s="1096">
        <v>118</v>
      </c>
      <c r="BP99" s="1969">
        <v>113</v>
      </c>
      <c r="BQ99" s="1096">
        <v>141</v>
      </c>
      <c r="BR99" s="2022">
        <v>111</v>
      </c>
      <c r="BS99" s="1006">
        <v>113</v>
      </c>
      <c r="BU99" s="2172">
        <f t="shared" si="62"/>
        <v>596</v>
      </c>
      <c r="BV99" s="2172">
        <f t="shared" si="63"/>
        <v>1418</v>
      </c>
      <c r="BW99" s="2173">
        <f t="shared" si="64"/>
        <v>0.42031029619181948</v>
      </c>
    </row>
    <row r="100" spans="1:75" s="49" customFormat="1" ht="13.5" customHeight="1" x14ac:dyDescent="0.3">
      <c r="A100" s="56" t="s">
        <v>245</v>
      </c>
      <c r="B100" s="84" t="s">
        <v>246</v>
      </c>
      <c r="C100" s="57" t="s">
        <v>251</v>
      </c>
      <c r="D100" s="1623">
        <f t="shared" si="42"/>
        <v>0.17592592592592593</v>
      </c>
      <c r="E100" s="1624">
        <f t="shared" si="43"/>
        <v>0.20161290322580644</v>
      </c>
      <c r="F100" s="1624">
        <f t="shared" si="44"/>
        <v>0.21385176184690158</v>
      </c>
      <c r="G100" s="1624">
        <f t="shared" si="45"/>
        <v>0.20926966292134833</v>
      </c>
      <c r="H100" s="1624">
        <f t="shared" si="46"/>
        <v>0.17569546120058566</v>
      </c>
      <c r="I100" s="1624">
        <f t="shared" si="47"/>
        <v>0.18656716417910449</v>
      </c>
      <c r="J100" s="1624">
        <f t="shared" si="48"/>
        <v>0.21449704142011836</v>
      </c>
      <c r="K100" s="1624">
        <f t="shared" si="49"/>
        <v>0.1926163723916533</v>
      </c>
      <c r="L100" s="1624">
        <f t="shared" si="50"/>
        <v>0.2259083728278041</v>
      </c>
      <c r="M100" s="1624">
        <f t="shared" si="51"/>
        <v>0.19941348973607037</v>
      </c>
      <c r="N100" s="1624">
        <f t="shared" si="52"/>
        <v>0.2417910447761194</v>
      </c>
      <c r="O100" s="1624">
        <f t="shared" si="53"/>
        <v>0.22507122507122507</v>
      </c>
      <c r="P100" s="1624">
        <f t="shared" si="54"/>
        <v>0.20958083832335328</v>
      </c>
      <c r="Q100" s="1624">
        <f t="shared" si="55"/>
        <v>0.24041297935103245</v>
      </c>
      <c r="R100" s="1625">
        <f t="shared" si="56"/>
        <v>0.21580547112462006</v>
      </c>
      <c r="S100" s="1626">
        <f>'Non-marital births'!L101</f>
        <v>0.21251819505094613</v>
      </c>
      <c r="T100" s="1627">
        <v>0.21793275217932753</v>
      </c>
      <c r="U100" s="1628">
        <f t="shared" si="57"/>
        <v>0.20974289580514208</v>
      </c>
      <c r="V100" s="2018">
        <f t="shared" si="58"/>
        <v>0.22002472187886279</v>
      </c>
      <c r="W100" s="2018">
        <f t="shared" si="59"/>
        <v>0.21349862258953167</v>
      </c>
      <c r="X100" s="2013">
        <f t="shared" si="60"/>
        <v>0.215633423180593</v>
      </c>
      <c r="Y100" s="2096">
        <f t="shared" si="61"/>
        <v>0.21251819505094613</v>
      </c>
      <c r="Z100" s="2096"/>
      <c r="AA100" s="681">
        <v>648</v>
      </c>
      <c r="AB100" s="682">
        <v>744</v>
      </c>
      <c r="AC100" s="683">
        <v>823</v>
      </c>
      <c r="AD100" s="682">
        <v>712</v>
      </c>
      <c r="AE100" s="683">
        <v>683</v>
      </c>
      <c r="AF100" s="682">
        <v>670</v>
      </c>
      <c r="AG100" s="683">
        <v>676</v>
      </c>
      <c r="AH100" s="682">
        <v>623</v>
      </c>
      <c r="AI100" s="696">
        <v>633</v>
      </c>
      <c r="AJ100" s="696">
        <v>682</v>
      </c>
      <c r="AK100" s="696">
        <v>670</v>
      </c>
      <c r="AL100" s="696">
        <v>702</v>
      </c>
      <c r="AM100" s="697">
        <v>668</v>
      </c>
      <c r="AN100" s="697">
        <v>678</v>
      </c>
      <c r="AO100" s="848">
        <v>658</v>
      </c>
      <c r="AP100" s="1095">
        <v>701</v>
      </c>
      <c r="AQ100" s="1608">
        <v>803</v>
      </c>
      <c r="AR100" s="1608">
        <v>739</v>
      </c>
      <c r="AS100" s="1971">
        <v>809</v>
      </c>
      <c r="AT100" s="1095">
        <v>726</v>
      </c>
      <c r="AU100" s="2020">
        <v>742</v>
      </c>
      <c r="AV100" s="1005">
        <v>687</v>
      </c>
      <c r="AW100" s="1005"/>
      <c r="AX100" s="704">
        <v>114</v>
      </c>
      <c r="AY100" s="705">
        <v>150</v>
      </c>
      <c r="AZ100" s="705">
        <v>176</v>
      </c>
      <c r="BA100" s="705">
        <v>149</v>
      </c>
      <c r="BB100" s="705">
        <v>120</v>
      </c>
      <c r="BC100" s="705">
        <v>125</v>
      </c>
      <c r="BD100" s="705">
        <v>145</v>
      </c>
      <c r="BE100" s="705">
        <v>120</v>
      </c>
      <c r="BF100" s="705">
        <v>143</v>
      </c>
      <c r="BG100" s="705">
        <v>136</v>
      </c>
      <c r="BH100" s="705">
        <v>162</v>
      </c>
      <c r="BI100" s="705">
        <v>158</v>
      </c>
      <c r="BJ100" s="705">
        <v>140</v>
      </c>
      <c r="BK100" s="705">
        <v>163</v>
      </c>
      <c r="BL100" s="851">
        <v>142</v>
      </c>
      <c r="BM100" s="1096">
        <v>157</v>
      </c>
      <c r="BN100" s="1097">
        <v>175</v>
      </c>
      <c r="BO100" s="1096">
        <v>155</v>
      </c>
      <c r="BP100" s="1969">
        <v>178</v>
      </c>
      <c r="BQ100" s="1096">
        <v>155</v>
      </c>
      <c r="BR100" s="2022">
        <v>160</v>
      </c>
      <c r="BS100" s="1006">
        <v>146</v>
      </c>
      <c r="BU100" s="2172">
        <f t="shared" si="62"/>
        <v>794</v>
      </c>
      <c r="BV100" s="2172">
        <f t="shared" si="63"/>
        <v>3703</v>
      </c>
      <c r="BW100" s="2173">
        <f t="shared" si="64"/>
        <v>0.21442073994058872</v>
      </c>
    </row>
    <row r="101" spans="1:75" s="49" customFormat="1" ht="13.5" customHeight="1" x14ac:dyDescent="0.3">
      <c r="A101" s="56" t="s">
        <v>13</v>
      </c>
      <c r="B101" s="84" t="s">
        <v>14</v>
      </c>
      <c r="C101" s="57" t="s">
        <v>254</v>
      </c>
      <c r="D101" s="1623">
        <f t="shared" ref="D101:D125" si="65">AX101/AA101</f>
        <v>0.26824644549763033</v>
      </c>
      <c r="E101" s="1624">
        <f t="shared" ref="E101:E125" si="66">AY101/AB101</f>
        <v>0.30776470588235294</v>
      </c>
      <c r="F101" s="1624">
        <f t="shared" ref="F101:F125" si="67">AZ101/AC101</f>
        <v>0.28741776315789475</v>
      </c>
      <c r="G101" s="1624">
        <f t="shared" ref="G101:G125" si="68">BA101/AD101</f>
        <v>0.28589108910891087</v>
      </c>
      <c r="H101" s="1624">
        <f t="shared" ref="H101:H125" si="69">BB101/AE101</f>
        <v>0.26539855072463769</v>
      </c>
      <c r="I101" s="1624">
        <f t="shared" ref="I101:I125" si="70">BC101/AF101</f>
        <v>0.27089584226318048</v>
      </c>
      <c r="J101" s="1624">
        <f t="shared" ref="J101:J125" si="71">BD101/AG101</f>
        <v>0.2711578947368421</v>
      </c>
      <c r="K101" s="1624">
        <f t="shared" ref="K101:K125" si="72">BE101/AH101</f>
        <v>0.30150958792329663</v>
      </c>
      <c r="L101" s="1624">
        <f t="shared" ref="L101:L125" si="73">BF101/AI101</f>
        <v>0.30336617405582922</v>
      </c>
      <c r="M101" s="1624">
        <f t="shared" ref="M101:M125" si="74">BG101/AJ101</f>
        <v>0.31247524752475248</v>
      </c>
      <c r="N101" s="1624">
        <f t="shared" ref="N101:N125" si="75">BH101/AK101</f>
        <v>0.2928709055876686</v>
      </c>
      <c r="O101" s="1624">
        <f t="shared" ref="O101:O125" si="76">BI101/AL101</f>
        <v>0.2935887412040657</v>
      </c>
      <c r="P101" s="1624">
        <f t="shared" ref="P101:P125" si="77">BJ101/AM101</f>
        <v>0.27334083239595053</v>
      </c>
      <c r="Q101" s="1624">
        <f t="shared" ref="Q101:Q125" si="78">BK101/AN101</f>
        <v>0.28343465045592703</v>
      </c>
      <c r="R101" s="1625">
        <f t="shared" ref="R101:R125" si="79">BL101/AO101</f>
        <v>0.24502352515381831</v>
      </c>
      <c r="S101" s="1626">
        <f>'Non-marital births'!L102</f>
        <v>0.23477564102564102</v>
      </c>
      <c r="T101" s="1627">
        <v>0.23144104803493451</v>
      </c>
      <c r="U101" s="1628">
        <f t="shared" si="57"/>
        <v>0.22787531350770332</v>
      </c>
      <c r="V101" s="2018">
        <f t="shared" si="58"/>
        <v>0.24150815217391305</v>
      </c>
      <c r="W101" s="2018">
        <f t="shared" si="59"/>
        <v>0.22029422859298378</v>
      </c>
      <c r="X101" s="2013">
        <f t="shared" si="60"/>
        <v>0.2181958365458751</v>
      </c>
      <c r="Y101" s="2096">
        <f t="shared" si="61"/>
        <v>0.23477564102564102</v>
      </c>
      <c r="Z101" s="2096"/>
      <c r="AA101" s="681">
        <v>2110</v>
      </c>
      <c r="AB101" s="682">
        <v>2125</v>
      </c>
      <c r="AC101" s="683">
        <v>2432</v>
      </c>
      <c r="AD101" s="682">
        <v>2424</v>
      </c>
      <c r="AE101" s="683">
        <v>2208</v>
      </c>
      <c r="AF101" s="682">
        <v>2333</v>
      </c>
      <c r="AG101" s="683">
        <v>2375</v>
      </c>
      <c r="AH101" s="682">
        <v>2451</v>
      </c>
      <c r="AI101" s="696">
        <v>2436</v>
      </c>
      <c r="AJ101" s="696">
        <v>2525</v>
      </c>
      <c r="AK101" s="696">
        <v>2595</v>
      </c>
      <c r="AL101" s="696">
        <v>2558</v>
      </c>
      <c r="AM101" s="697">
        <v>2667</v>
      </c>
      <c r="AN101" s="697">
        <v>2632</v>
      </c>
      <c r="AO101" s="848">
        <v>2763</v>
      </c>
      <c r="AP101" s="1095">
        <v>2727</v>
      </c>
      <c r="AQ101" s="1608">
        <v>2748</v>
      </c>
      <c r="AR101" s="1608">
        <v>2791</v>
      </c>
      <c r="AS101" s="1971">
        <v>2944</v>
      </c>
      <c r="AT101" s="1095">
        <v>2651</v>
      </c>
      <c r="AU101" s="2020">
        <v>2594</v>
      </c>
      <c r="AV101" s="1005">
        <v>2496</v>
      </c>
      <c r="AW101" s="1005"/>
      <c r="AX101" s="704">
        <v>566</v>
      </c>
      <c r="AY101" s="705">
        <v>654</v>
      </c>
      <c r="AZ101" s="705">
        <v>699</v>
      </c>
      <c r="BA101" s="705">
        <v>693</v>
      </c>
      <c r="BB101" s="705">
        <v>586</v>
      </c>
      <c r="BC101" s="705">
        <v>632</v>
      </c>
      <c r="BD101" s="705">
        <v>644</v>
      </c>
      <c r="BE101" s="705">
        <v>739</v>
      </c>
      <c r="BF101" s="705">
        <v>739</v>
      </c>
      <c r="BG101" s="705">
        <v>789</v>
      </c>
      <c r="BH101" s="705">
        <v>760</v>
      </c>
      <c r="BI101" s="705">
        <v>751</v>
      </c>
      <c r="BJ101" s="705">
        <v>729</v>
      </c>
      <c r="BK101" s="705">
        <v>746</v>
      </c>
      <c r="BL101" s="851">
        <v>677</v>
      </c>
      <c r="BM101" s="1096">
        <v>626</v>
      </c>
      <c r="BN101" s="1097">
        <v>636</v>
      </c>
      <c r="BO101" s="1096">
        <v>636</v>
      </c>
      <c r="BP101" s="1969">
        <v>711</v>
      </c>
      <c r="BQ101" s="1096">
        <v>584</v>
      </c>
      <c r="BR101" s="2022">
        <v>566</v>
      </c>
      <c r="BS101" s="1006">
        <v>586</v>
      </c>
      <c r="BU101" s="2172">
        <f t="shared" si="62"/>
        <v>3083</v>
      </c>
      <c r="BV101" s="2172">
        <f t="shared" si="63"/>
        <v>13476</v>
      </c>
      <c r="BW101" s="2173">
        <f t="shared" si="64"/>
        <v>0.22877708518848322</v>
      </c>
    </row>
    <row r="102" spans="1:75" s="49" customFormat="1" ht="13.5" customHeight="1" x14ac:dyDescent="0.3">
      <c r="A102" s="56" t="s">
        <v>33</v>
      </c>
      <c r="B102" s="84" t="s">
        <v>34</v>
      </c>
      <c r="C102" s="57" t="s">
        <v>255</v>
      </c>
      <c r="D102" s="1623">
        <f t="shared" si="65"/>
        <v>0.30851063829787234</v>
      </c>
      <c r="E102" s="1624">
        <f t="shared" si="66"/>
        <v>0.31221719457013575</v>
      </c>
      <c r="F102" s="1624">
        <f t="shared" si="67"/>
        <v>0.31753554502369669</v>
      </c>
      <c r="G102" s="1624">
        <f t="shared" si="68"/>
        <v>0.36597938144329895</v>
      </c>
      <c r="H102" s="1624">
        <f t="shared" si="69"/>
        <v>0.38421052631578945</v>
      </c>
      <c r="I102" s="1624">
        <f t="shared" si="70"/>
        <v>0.37037037037037035</v>
      </c>
      <c r="J102" s="1624">
        <f t="shared" si="71"/>
        <v>0.38277511961722488</v>
      </c>
      <c r="K102" s="1624">
        <f t="shared" si="72"/>
        <v>0.45945945945945948</v>
      </c>
      <c r="L102" s="1624">
        <f t="shared" si="73"/>
        <v>0.4</v>
      </c>
      <c r="M102" s="1624">
        <f t="shared" si="74"/>
        <v>0.47488584474885842</v>
      </c>
      <c r="N102" s="1624">
        <f t="shared" si="75"/>
        <v>0.47465437788018433</v>
      </c>
      <c r="O102" s="1624">
        <f t="shared" si="76"/>
        <v>0.58256880733944949</v>
      </c>
      <c r="P102" s="1624">
        <f t="shared" si="77"/>
        <v>0.53846153846153844</v>
      </c>
      <c r="Q102" s="1624">
        <f t="shared" si="78"/>
        <v>0.46153846153846156</v>
      </c>
      <c r="R102" s="1625">
        <f t="shared" si="79"/>
        <v>0.55491329479768781</v>
      </c>
      <c r="S102" s="1626">
        <f>'Non-marital births'!L103</f>
        <v>0.5</v>
      </c>
      <c r="T102" s="1627">
        <v>0.48101265822784811</v>
      </c>
      <c r="U102" s="1628">
        <f t="shared" ref="U102:U125" si="80">BO102/AR102</f>
        <v>0.47317073170731705</v>
      </c>
      <c r="V102" s="2018">
        <f t="shared" ref="V102:V125" si="81">BP102/AS102</f>
        <v>0.43147208121827413</v>
      </c>
      <c r="W102" s="2018">
        <f t="shared" ref="W102:W125" si="82">BQ102/AT102</f>
        <v>0.45185185185185184</v>
      </c>
      <c r="X102" s="2013">
        <f t="shared" ref="X102:X125" si="83">BR102/AU102</f>
        <v>0.10071942446043165</v>
      </c>
      <c r="Y102" s="2096">
        <f t="shared" si="61"/>
        <v>0.5</v>
      </c>
      <c r="Z102" s="2096"/>
      <c r="AA102" s="681">
        <v>188</v>
      </c>
      <c r="AB102" s="682">
        <v>221</v>
      </c>
      <c r="AC102" s="683">
        <v>211</v>
      </c>
      <c r="AD102" s="682">
        <v>194</v>
      </c>
      <c r="AE102" s="683">
        <v>190</v>
      </c>
      <c r="AF102" s="682">
        <v>162</v>
      </c>
      <c r="AG102" s="683">
        <v>209</v>
      </c>
      <c r="AH102" s="682">
        <v>185</v>
      </c>
      <c r="AI102" s="696">
        <v>205</v>
      </c>
      <c r="AJ102" s="696">
        <v>219</v>
      </c>
      <c r="AK102" s="696">
        <v>217</v>
      </c>
      <c r="AL102" s="696">
        <v>218</v>
      </c>
      <c r="AM102" s="697">
        <v>208</v>
      </c>
      <c r="AN102" s="697">
        <v>143</v>
      </c>
      <c r="AO102" s="848">
        <v>173</v>
      </c>
      <c r="AP102" s="1095">
        <v>200</v>
      </c>
      <c r="AQ102" s="1608">
        <v>158</v>
      </c>
      <c r="AR102" s="1608">
        <v>205</v>
      </c>
      <c r="AS102" s="1971">
        <v>197</v>
      </c>
      <c r="AT102" s="1095">
        <v>135</v>
      </c>
      <c r="AU102" s="2020">
        <v>139</v>
      </c>
      <c r="AV102" s="1005">
        <v>152</v>
      </c>
      <c r="AW102" s="1005"/>
      <c r="AX102" s="704">
        <v>58</v>
      </c>
      <c r="AY102" s="705">
        <v>69</v>
      </c>
      <c r="AZ102" s="705">
        <v>67</v>
      </c>
      <c r="BA102" s="705">
        <v>71</v>
      </c>
      <c r="BB102" s="705">
        <v>73</v>
      </c>
      <c r="BC102" s="705">
        <v>60</v>
      </c>
      <c r="BD102" s="705">
        <v>80</v>
      </c>
      <c r="BE102" s="705">
        <v>85</v>
      </c>
      <c r="BF102" s="705">
        <v>82</v>
      </c>
      <c r="BG102" s="705">
        <v>104</v>
      </c>
      <c r="BH102" s="705">
        <v>103</v>
      </c>
      <c r="BI102" s="705">
        <v>127</v>
      </c>
      <c r="BJ102" s="705">
        <v>112</v>
      </c>
      <c r="BK102" s="705">
        <v>66</v>
      </c>
      <c r="BL102" s="851">
        <v>96</v>
      </c>
      <c r="BM102" s="1096">
        <v>102</v>
      </c>
      <c r="BN102" s="1097">
        <v>76</v>
      </c>
      <c r="BO102" s="1096">
        <v>97</v>
      </c>
      <c r="BP102" s="1969">
        <v>85</v>
      </c>
      <c r="BQ102" s="1096">
        <v>61</v>
      </c>
      <c r="BR102" s="2022">
        <v>14</v>
      </c>
      <c r="BS102" s="1006">
        <v>76</v>
      </c>
      <c r="BU102" s="2172">
        <f t="shared" si="62"/>
        <v>333</v>
      </c>
      <c r="BV102" s="2172">
        <f t="shared" si="63"/>
        <v>828</v>
      </c>
      <c r="BW102" s="2173">
        <f t="shared" si="64"/>
        <v>0.40217391304347827</v>
      </c>
    </row>
    <row r="103" spans="1:75" s="49" customFormat="1" ht="13.5" customHeight="1" x14ac:dyDescent="0.3">
      <c r="A103" s="56" t="s">
        <v>51</v>
      </c>
      <c r="B103" s="84" t="s">
        <v>52</v>
      </c>
      <c r="C103" s="57" t="s">
        <v>252</v>
      </c>
      <c r="D103" s="1623">
        <f t="shared" si="65"/>
        <v>0.40764331210191085</v>
      </c>
      <c r="E103" s="1624">
        <f t="shared" si="66"/>
        <v>0.40081799591002043</v>
      </c>
      <c r="F103" s="1624">
        <f t="shared" si="67"/>
        <v>0.42727272727272725</v>
      </c>
      <c r="G103" s="1624">
        <f t="shared" si="68"/>
        <v>0.37651821862348178</v>
      </c>
      <c r="H103" s="1624">
        <f t="shared" si="69"/>
        <v>0.38492871690427699</v>
      </c>
      <c r="I103" s="1624">
        <f t="shared" si="70"/>
        <v>0.35781544256120529</v>
      </c>
      <c r="J103" s="1624">
        <f t="shared" si="71"/>
        <v>0.42584745762711862</v>
      </c>
      <c r="K103" s="1624">
        <f t="shared" si="72"/>
        <v>0.41523809523809524</v>
      </c>
      <c r="L103" s="1624">
        <f t="shared" si="73"/>
        <v>0.44377510040160645</v>
      </c>
      <c r="M103" s="1624">
        <f t="shared" si="74"/>
        <v>0.47619047619047616</v>
      </c>
      <c r="N103" s="1624">
        <f t="shared" si="75"/>
        <v>0.43718592964824121</v>
      </c>
      <c r="O103" s="1624">
        <f t="shared" si="76"/>
        <v>0.42031523642732049</v>
      </c>
      <c r="P103" s="1624">
        <f t="shared" si="77"/>
        <v>0.3521897810218978</v>
      </c>
      <c r="Q103" s="1624">
        <f t="shared" si="78"/>
        <v>0.35070140280561124</v>
      </c>
      <c r="R103" s="1625">
        <f t="shared" si="79"/>
        <v>0.3339130434782609</v>
      </c>
      <c r="S103" s="1626">
        <f>'Non-marital births'!L104</f>
        <v>0.29967948717948717</v>
      </c>
      <c r="T103" s="1627">
        <v>0.28320000000000001</v>
      </c>
      <c r="U103" s="1628">
        <f t="shared" si="80"/>
        <v>0.30729166666666669</v>
      </c>
      <c r="V103" s="2018">
        <f t="shared" si="81"/>
        <v>0.28853046594982079</v>
      </c>
      <c r="W103" s="2018">
        <f t="shared" si="82"/>
        <v>0.32935153583617749</v>
      </c>
      <c r="X103" s="2013">
        <f t="shared" si="83"/>
        <v>0.28925619834710742</v>
      </c>
      <c r="Y103" s="2096">
        <f t="shared" si="61"/>
        <v>0.29967948717948717</v>
      </c>
      <c r="Z103" s="2096"/>
      <c r="AA103" s="681">
        <v>471</v>
      </c>
      <c r="AB103" s="682">
        <v>489</v>
      </c>
      <c r="AC103" s="683">
        <v>550</v>
      </c>
      <c r="AD103" s="682">
        <v>494</v>
      </c>
      <c r="AE103" s="683">
        <v>491</v>
      </c>
      <c r="AF103" s="682">
        <v>531</v>
      </c>
      <c r="AG103" s="683">
        <v>472</v>
      </c>
      <c r="AH103" s="682">
        <v>525</v>
      </c>
      <c r="AI103" s="696">
        <v>498</v>
      </c>
      <c r="AJ103" s="696">
        <v>546</v>
      </c>
      <c r="AK103" s="696">
        <v>597</v>
      </c>
      <c r="AL103" s="696">
        <v>571</v>
      </c>
      <c r="AM103" s="697">
        <v>548</v>
      </c>
      <c r="AN103" s="697">
        <v>499</v>
      </c>
      <c r="AO103" s="848">
        <v>575</v>
      </c>
      <c r="AP103" s="1095">
        <v>612</v>
      </c>
      <c r="AQ103" s="1608">
        <v>625</v>
      </c>
      <c r="AR103" s="1608">
        <v>576</v>
      </c>
      <c r="AS103" s="1971">
        <v>558</v>
      </c>
      <c r="AT103" s="1095">
        <v>586</v>
      </c>
      <c r="AU103" s="2020">
        <v>605</v>
      </c>
      <c r="AV103" s="1005">
        <v>624</v>
      </c>
      <c r="AW103" s="1005"/>
      <c r="AX103" s="704">
        <v>192</v>
      </c>
      <c r="AY103" s="705">
        <v>196</v>
      </c>
      <c r="AZ103" s="705">
        <v>235</v>
      </c>
      <c r="BA103" s="705">
        <v>186</v>
      </c>
      <c r="BB103" s="705">
        <v>189</v>
      </c>
      <c r="BC103" s="705">
        <v>190</v>
      </c>
      <c r="BD103" s="705">
        <v>201</v>
      </c>
      <c r="BE103" s="705">
        <v>218</v>
      </c>
      <c r="BF103" s="705">
        <v>221</v>
      </c>
      <c r="BG103" s="705">
        <v>260</v>
      </c>
      <c r="BH103" s="705">
        <v>261</v>
      </c>
      <c r="BI103" s="705">
        <v>240</v>
      </c>
      <c r="BJ103" s="705">
        <v>193</v>
      </c>
      <c r="BK103" s="705">
        <v>175</v>
      </c>
      <c r="BL103" s="851">
        <v>192</v>
      </c>
      <c r="BM103" s="1096">
        <v>206</v>
      </c>
      <c r="BN103" s="1097">
        <v>177</v>
      </c>
      <c r="BO103" s="1096">
        <v>177</v>
      </c>
      <c r="BP103" s="1969">
        <v>161</v>
      </c>
      <c r="BQ103" s="1096">
        <v>193</v>
      </c>
      <c r="BR103" s="2022">
        <v>175</v>
      </c>
      <c r="BS103" s="1006">
        <v>187</v>
      </c>
      <c r="BU103" s="2172">
        <f t="shared" si="62"/>
        <v>893</v>
      </c>
      <c r="BV103" s="2172">
        <f t="shared" si="63"/>
        <v>2949</v>
      </c>
      <c r="BW103" s="2173">
        <f t="shared" si="64"/>
        <v>0.30281451339437099</v>
      </c>
    </row>
    <row r="104" spans="1:75" s="49" customFormat="1" ht="13.5" customHeight="1" x14ac:dyDescent="0.3">
      <c r="A104" s="56" t="s">
        <v>53</v>
      </c>
      <c r="B104" s="84" t="s">
        <v>54</v>
      </c>
      <c r="C104" s="57" t="s">
        <v>251</v>
      </c>
      <c r="D104" s="1623">
        <f t="shared" si="65"/>
        <v>0.30092264017033354</v>
      </c>
      <c r="E104" s="1624">
        <f t="shared" si="66"/>
        <v>0.32263814616755793</v>
      </c>
      <c r="F104" s="1624">
        <f t="shared" si="67"/>
        <v>0.30945659844742412</v>
      </c>
      <c r="G104" s="1624">
        <f t="shared" si="68"/>
        <v>0.32615833637358627</v>
      </c>
      <c r="H104" s="1624">
        <f t="shared" si="69"/>
        <v>0.33746355685131196</v>
      </c>
      <c r="I104" s="1624">
        <f t="shared" si="70"/>
        <v>0.32867132867132864</v>
      </c>
      <c r="J104" s="1624">
        <f t="shared" si="71"/>
        <v>0.3300840336134454</v>
      </c>
      <c r="K104" s="1624">
        <f t="shared" si="72"/>
        <v>0.32424033149171272</v>
      </c>
      <c r="L104" s="1624">
        <f t="shared" si="73"/>
        <v>0.34041095890410961</v>
      </c>
      <c r="M104" s="1624">
        <f t="shared" si="74"/>
        <v>0.36181575433911883</v>
      </c>
      <c r="N104" s="1624">
        <f t="shared" si="75"/>
        <v>0.37344398340248963</v>
      </c>
      <c r="O104" s="1624">
        <f t="shared" si="76"/>
        <v>0.40323159784560142</v>
      </c>
      <c r="P104" s="1624">
        <f t="shared" si="77"/>
        <v>0.39010600706713783</v>
      </c>
      <c r="Q104" s="1624">
        <f t="shared" si="78"/>
        <v>0.39192139737991266</v>
      </c>
      <c r="R104" s="1625">
        <f t="shared" si="79"/>
        <v>0.3754010695187166</v>
      </c>
      <c r="S104" s="1626">
        <f>'Non-marital births'!L105</f>
        <v>0.359375</v>
      </c>
      <c r="T104" s="1627">
        <v>0.35046419098143233</v>
      </c>
      <c r="U104" s="1628">
        <f t="shared" si="80"/>
        <v>0.3418230563002681</v>
      </c>
      <c r="V104" s="2018">
        <f t="shared" si="81"/>
        <v>0.34218804613771409</v>
      </c>
      <c r="W104" s="2018">
        <f t="shared" si="82"/>
        <v>0.34328358208955223</v>
      </c>
      <c r="X104" s="2013">
        <f t="shared" si="83"/>
        <v>0.35567715458276333</v>
      </c>
      <c r="Y104" s="2096">
        <f t="shared" si="61"/>
        <v>0.359375</v>
      </c>
      <c r="Z104" s="2096"/>
      <c r="AA104" s="681">
        <v>2818</v>
      </c>
      <c r="AB104" s="682">
        <v>2805</v>
      </c>
      <c r="AC104" s="683">
        <v>2834</v>
      </c>
      <c r="AD104" s="682">
        <v>2741</v>
      </c>
      <c r="AE104" s="683">
        <v>2744</v>
      </c>
      <c r="AF104" s="682">
        <v>2860</v>
      </c>
      <c r="AG104" s="683">
        <v>2975</v>
      </c>
      <c r="AH104" s="682">
        <v>2896</v>
      </c>
      <c r="AI104" s="696">
        <v>2920</v>
      </c>
      <c r="AJ104" s="696">
        <v>2996</v>
      </c>
      <c r="AK104" s="696">
        <v>2892</v>
      </c>
      <c r="AL104" s="696">
        <v>2785</v>
      </c>
      <c r="AM104" s="697">
        <v>2830</v>
      </c>
      <c r="AN104" s="697">
        <v>2748</v>
      </c>
      <c r="AO104" s="848">
        <v>2805</v>
      </c>
      <c r="AP104" s="1095">
        <v>2785</v>
      </c>
      <c r="AQ104" s="1608">
        <v>3016</v>
      </c>
      <c r="AR104" s="1608">
        <v>2984</v>
      </c>
      <c r="AS104" s="1971">
        <v>2861</v>
      </c>
      <c r="AT104" s="1095">
        <v>2881</v>
      </c>
      <c r="AU104" s="2020">
        <v>2924</v>
      </c>
      <c r="AV104" s="1005">
        <v>2944</v>
      </c>
      <c r="AW104" s="1005"/>
      <c r="AX104" s="704">
        <v>848</v>
      </c>
      <c r="AY104" s="705">
        <v>905</v>
      </c>
      <c r="AZ104" s="705">
        <v>877</v>
      </c>
      <c r="BA104" s="705">
        <v>894</v>
      </c>
      <c r="BB104" s="705">
        <v>926</v>
      </c>
      <c r="BC104" s="705">
        <v>940</v>
      </c>
      <c r="BD104" s="705">
        <v>982</v>
      </c>
      <c r="BE104" s="705">
        <v>939</v>
      </c>
      <c r="BF104" s="705">
        <v>994</v>
      </c>
      <c r="BG104" s="705">
        <v>1084</v>
      </c>
      <c r="BH104" s="705">
        <v>1080</v>
      </c>
      <c r="BI104" s="705">
        <v>1123</v>
      </c>
      <c r="BJ104" s="705">
        <v>1104</v>
      </c>
      <c r="BK104" s="705">
        <v>1077</v>
      </c>
      <c r="BL104" s="851">
        <v>1053</v>
      </c>
      <c r="BM104" s="1096">
        <v>992</v>
      </c>
      <c r="BN104" s="1097">
        <v>1057</v>
      </c>
      <c r="BO104" s="1096">
        <v>1020</v>
      </c>
      <c r="BP104" s="1969">
        <v>979</v>
      </c>
      <c r="BQ104" s="1096">
        <v>989</v>
      </c>
      <c r="BR104" s="2022">
        <v>1040</v>
      </c>
      <c r="BS104" s="1006">
        <v>1058</v>
      </c>
      <c r="BU104" s="2172">
        <f t="shared" si="62"/>
        <v>5086</v>
      </c>
      <c r="BV104" s="2172">
        <f t="shared" si="63"/>
        <v>14594</v>
      </c>
      <c r="BW104" s="2173">
        <f t="shared" si="64"/>
        <v>0.34849938330820884</v>
      </c>
    </row>
    <row r="105" spans="1:75" s="49" customFormat="1" ht="13.5" customHeight="1" x14ac:dyDescent="0.3">
      <c r="A105" s="56" t="s">
        <v>65</v>
      </c>
      <c r="B105" s="84" t="s">
        <v>66</v>
      </c>
      <c r="C105" s="57" t="s">
        <v>252</v>
      </c>
      <c r="D105" s="1623">
        <f t="shared" si="65"/>
        <v>0.55247813411078717</v>
      </c>
      <c r="E105" s="1624">
        <f t="shared" si="66"/>
        <v>0.58673469387755106</v>
      </c>
      <c r="F105" s="1624">
        <f t="shared" si="67"/>
        <v>0.55555555555555558</v>
      </c>
      <c r="G105" s="1624">
        <f t="shared" si="68"/>
        <v>0.56706281833616301</v>
      </c>
      <c r="H105" s="1624">
        <f t="shared" si="69"/>
        <v>0.58673469387755106</v>
      </c>
      <c r="I105" s="1624">
        <f t="shared" si="70"/>
        <v>0.55231560891938247</v>
      </c>
      <c r="J105" s="1624">
        <f t="shared" si="71"/>
        <v>0.61619718309859151</v>
      </c>
      <c r="K105" s="1624">
        <f t="shared" si="72"/>
        <v>0.57632933104631223</v>
      </c>
      <c r="L105" s="1624">
        <f t="shared" si="73"/>
        <v>0.62153846153846148</v>
      </c>
      <c r="M105" s="1624">
        <f t="shared" si="74"/>
        <v>0.66784452296819785</v>
      </c>
      <c r="N105" s="1624">
        <f t="shared" si="75"/>
        <v>0.64779874213836475</v>
      </c>
      <c r="O105" s="1624">
        <f t="shared" si="76"/>
        <v>0.65156250000000004</v>
      </c>
      <c r="P105" s="1624">
        <f t="shared" si="77"/>
        <v>0.66247755834829447</v>
      </c>
      <c r="Q105" s="1624">
        <f t="shared" si="78"/>
        <v>0.63247863247863245</v>
      </c>
      <c r="R105" s="1625">
        <f t="shared" si="79"/>
        <v>0.6405990016638935</v>
      </c>
      <c r="S105" s="1626">
        <f>'Non-marital births'!L106</f>
        <v>0.67981438515081205</v>
      </c>
      <c r="T105" s="1627">
        <v>0.65180102915951976</v>
      </c>
      <c r="U105" s="1628">
        <f t="shared" si="80"/>
        <v>0.68315018315018317</v>
      </c>
      <c r="V105" s="2018">
        <f t="shared" si="81"/>
        <v>0.6565040650406504</v>
      </c>
      <c r="W105" s="2018">
        <f t="shared" si="82"/>
        <v>0.65274725274725276</v>
      </c>
      <c r="X105" s="2013">
        <f t="shared" si="83"/>
        <v>0.67075664621676889</v>
      </c>
      <c r="Y105" s="2096">
        <f t="shared" si="61"/>
        <v>0.67981438515081205</v>
      </c>
      <c r="Z105" s="2096"/>
      <c r="AA105" s="681">
        <v>686</v>
      </c>
      <c r="AB105" s="682">
        <v>588</v>
      </c>
      <c r="AC105" s="683">
        <v>585</v>
      </c>
      <c r="AD105" s="682">
        <v>589</v>
      </c>
      <c r="AE105" s="683">
        <v>588</v>
      </c>
      <c r="AF105" s="682">
        <v>583</v>
      </c>
      <c r="AG105" s="683">
        <v>568</v>
      </c>
      <c r="AH105" s="682">
        <v>583</v>
      </c>
      <c r="AI105" s="696">
        <v>650</v>
      </c>
      <c r="AJ105" s="696">
        <v>566</v>
      </c>
      <c r="AK105" s="696">
        <v>636</v>
      </c>
      <c r="AL105" s="696">
        <v>640</v>
      </c>
      <c r="AM105" s="697">
        <v>557</v>
      </c>
      <c r="AN105" s="697">
        <v>585</v>
      </c>
      <c r="AO105" s="848">
        <v>601</v>
      </c>
      <c r="AP105" s="1095">
        <v>587</v>
      </c>
      <c r="AQ105" s="1608">
        <v>583</v>
      </c>
      <c r="AR105" s="1608">
        <v>546</v>
      </c>
      <c r="AS105" s="1971">
        <v>492</v>
      </c>
      <c r="AT105" s="1095">
        <v>455</v>
      </c>
      <c r="AU105" s="2020">
        <v>489</v>
      </c>
      <c r="AV105" s="1005">
        <v>431</v>
      </c>
      <c r="AW105" s="1005"/>
      <c r="AX105" s="704">
        <v>379</v>
      </c>
      <c r="AY105" s="705">
        <v>345</v>
      </c>
      <c r="AZ105" s="705">
        <v>325</v>
      </c>
      <c r="BA105" s="705">
        <v>334</v>
      </c>
      <c r="BB105" s="705">
        <v>345</v>
      </c>
      <c r="BC105" s="705">
        <v>322</v>
      </c>
      <c r="BD105" s="705">
        <v>350</v>
      </c>
      <c r="BE105" s="705">
        <v>336</v>
      </c>
      <c r="BF105" s="705">
        <v>404</v>
      </c>
      <c r="BG105" s="705">
        <v>378</v>
      </c>
      <c r="BH105" s="705">
        <v>412</v>
      </c>
      <c r="BI105" s="705">
        <v>417</v>
      </c>
      <c r="BJ105" s="705">
        <v>369</v>
      </c>
      <c r="BK105" s="705">
        <v>370</v>
      </c>
      <c r="BL105" s="851">
        <v>385</v>
      </c>
      <c r="BM105" s="1096">
        <v>374</v>
      </c>
      <c r="BN105" s="1097">
        <v>380</v>
      </c>
      <c r="BO105" s="1096">
        <v>373</v>
      </c>
      <c r="BP105" s="1969">
        <v>323</v>
      </c>
      <c r="BQ105" s="1096">
        <v>297</v>
      </c>
      <c r="BR105" s="2022">
        <v>328</v>
      </c>
      <c r="BS105" s="1006">
        <v>293</v>
      </c>
      <c r="BU105" s="2172">
        <f t="shared" si="62"/>
        <v>1614</v>
      </c>
      <c r="BV105" s="2172">
        <f t="shared" si="63"/>
        <v>2413</v>
      </c>
      <c r="BW105" s="2173">
        <f t="shared" si="64"/>
        <v>0.66887691670120186</v>
      </c>
    </row>
    <row r="106" spans="1:75" s="49" customFormat="1" ht="13.5" customHeight="1" x14ac:dyDescent="0.3">
      <c r="A106" s="56" t="s">
        <v>81</v>
      </c>
      <c r="B106" s="84" t="s">
        <v>82</v>
      </c>
      <c r="C106" s="57" t="s">
        <v>251</v>
      </c>
      <c r="D106" s="1623">
        <f t="shared" si="65"/>
        <v>0.55434782608695654</v>
      </c>
      <c r="E106" s="1624">
        <f t="shared" si="66"/>
        <v>0.58823529411764708</v>
      </c>
      <c r="F106" s="1624">
        <f t="shared" si="67"/>
        <v>0.58771929824561409</v>
      </c>
      <c r="G106" s="1624">
        <f t="shared" si="68"/>
        <v>0.484375</v>
      </c>
      <c r="H106" s="1624">
        <f t="shared" si="69"/>
        <v>0.48905109489051096</v>
      </c>
      <c r="I106" s="1624">
        <f t="shared" si="70"/>
        <v>0.53793103448275859</v>
      </c>
      <c r="J106" s="1624">
        <f t="shared" si="71"/>
        <v>0.5714285714285714</v>
      </c>
      <c r="K106" s="1624">
        <f t="shared" si="72"/>
        <v>0.54</v>
      </c>
      <c r="L106" s="1624">
        <f t="shared" si="73"/>
        <v>0.5535714285714286</v>
      </c>
      <c r="M106" s="1624">
        <f t="shared" si="74"/>
        <v>0.60897435897435892</v>
      </c>
      <c r="N106" s="1624">
        <f t="shared" si="75"/>
        <v>0.55639097744360899</v>
      </c>
      <c r="O106" s="1624">
        <f t="shared" si="76"/>
        <v>0.69172932330827064</v>
      </c>
      <c r="P106" s="1624">
        <f t="shared" si="77"/>
        <v>0.66666666666666663</v>
      </c>
      <c r="Q106" s="1624">
        <f t="shared" si="78"/>
        <v>0.66467065868263475</v>
      </c>
      <c r="R106" s="1625">
        <f t="shared" si="79"/>
        <v>0.60389610389610393</v>
      </c>
      <c r="S106" s="1626">
        <f>'Non-marital births'!L107</f>
        <v>0.61445783132530118</v>
      </c>
      <c r="T106" s="1627">
        <v>0.63291139240506333</v>
      </c>
      <c r="U106" s="1628">
        <f t="shared" si="80"/>
        <v>0.57894736842105265</v>
      </c>
      <c r="V106" s="2018">
        <f t="shared" si="81"/>
        <v>0.70408163265306123</v>
      </c>
      <c r="W106" s="2018">
        <f t="shared" si="82"/>
        <v>0.63190184049079756</v>
      </c>
      <c r="X106" s="2013">
        <f t="shared" si="83"/>
        <v>0.58125000000000004</v>
      </c>
      <c r="Y106" s="2096">
        <f t="shared" si="61"/>
        <v>0.61445783132530118</v>
      </c>
      <c r="Z106" s="2096"/>
      <c r="AA106" s="681">
        <v>92</v>
      </c>
      <c r="AB106" s="682">
        <v>102</v>
      </c>
      <c r="AC106" s="683">
        <v>114</v>
      </c>
      <c r="AD106" s="682">
        <v>128</v>
      </c>
      <c r="AE106" s="683">
        <v>137</v>
      </c>
      <c r="AF106" s="682">
        <v>145</v>
      </c>
      <c r="AG106" s="683">
        <v>154</v>
      </c>
      <c r="AH106" s="682">
        <v>150</v>
      </c>
      <c r="AI106" s="696">
        <v>168</v>
      </c>
      <c r="AJ106" s="696">
        <v>156</v>
      </c>
      <c r="AK106" s="696">
        <v>133</v>
      </c>
      <c r="AL106" s="696">
        <v>133</v>
      </c>
      <c r="AM106" s="697">
        <v>147</v>
      </c>
      <c r="AN106" s="697">
        <v>167</v>
      </c>
      <c r="AO106" s="848">
        <v>154</v>
      </c>
      <c r="AP106" s="1095">
        <v>167</v>
      </c>
      <c r="AQ106" s="1608">
        <v>158</v>
      </c>
      <c r="AR106" s="1608">
        <v>133</v>
      </c>
      <c r="AS106" s="1971">
        <v>98</v>
      </c>
      <c r="AT106" s="1095">
        <v>163</v>
      </c>
      <c r="AU106" s="2020">
        <v>160</v>
      </c>
      <c r="AV106" s="1005">
        <v>166</v>
      </c>
      <c r="AW106" s="1005"/>
      <c r="AX106" s="704">
        <v>51</v>
      </c>
      <c r="AY106" s="705">
        <v>60</v>
      </c>
      <c r="AZ106" s="705">
        <v>67</v>
      </c>
      <c r="BA106" s="705">
        <v>62</v>
      </c>
      <c r="BB106" s="705">
        <v>67</v>
      </c>
      <c r="BC106" s="705">
        <v>78</v>
      </c>
      <c r="BD106" s="705">
        <v>88</v>
      </c>
      <c r="BE106" s="705">
        <v>81</v>
      </c>
      <c r="BF106" s="705">
        <v>93</v>
      </c>
      <c r="BG106" s="705">
        <v>95</v>
      </c>
      <c r="BH106" s="705">
        <v>74</v>
      </c>
      <c r="BI106" s="705">
        <v>92</v>
      </c>
      <c r="BJ106" s="705">
        <v>98</v>
      </c>
      <c r="BK106" s="705">
        <v>111</v>
      </c>
      <c r="BL106" s="851">
        <v>93</v>
      </c>
      <c r="BM106" s="1096">
        <v>101</v>
      </c>
      <c r="BN106" s="1097">
        <v>100</v>
      </c>
      <c r="BO106" s="1096">
        <v>77</v>
      </c>
      <c r="BP106" s="1969">
        <v>69</v>
      </c>
      <c r="BQ106" s="1096">
        <v>103</v>
      </c>
      <c r="BR106" s="2022">
        <v>93</v>
      </c>
      <c r="BS106" s="1006">
        <v>102</v>
      </c>
      <c r="BU106" s="2172">
        <f t="shared" si="62"/>
        <v>444</v>
      </c>
      <c r="BV106" s="2172">
        <f t="shared" si="63"/>
        <v>720</v>
      </c>
      <c r="BW106" s="2173">
        <f t="shared" si="64"/>
        <v>0.6166666666666667</v>
      </c>
    </row>
    <row r="107" spans="1:75" s="49" customFormat="1" ht="13.5" customHeight="1" x14ac:dyDescent="0.3">
      <c r="A107" s="56" t="s">
        <v>87</v>
      </c>
      <c r="B107" s="84" t="s">
        <v>88</v>
      </c>
      <c r="C107" s="57" t="s">
        <v>254</v>
      </c>
      <c r="D107" s="1623">
        <f t="shared" si="65"/>
        <v>0.48344370860927155</v>
      </c>
      <c r="E107" s="1624">
        <f t="shared" si="66"/>
        <v>0.46354166666666669</v>
      </c>
      <c r="F107" s="1624">
        <f t="shared" si="67"/>
        <v>0.39240506329113922</v>
      </c>
      <c r="G107" s="1624">
        <f t="shared" si="68"/>
        <v>0.46590909090909088</v>
      </c>
      <c r="H107" s="1624">
        <f t="shared" si="69"/>
        <v>0.4859550561797753</v>
      </c>
      <c r="I107" s="1624">
        <f t="shared" si="70"/>
        <v>0.5</v>
      </c>
      <c r="J107" s="1624">
        <f t="shared" si="71"/>
        <v>0.55919395465994959</v>
      </c>
      <c r="K107" s="1624">
        <f t="shared" si="72"/>
        <v>0.5582655826558266</v>
      </c>
      <c r="L107" s="1624">
        <f t="shared" si="73"/>
        <v>0.56403940886699511</v>
      </c>
      <c r="M107" s="1624">
        <f t="shared" si="74"/>
        <v>0.53995157384987891</v>
      </c>
      <c r="N107" s="1624">
        <f t="shared" si="75"/>
        <v>0.58221024258760112</v>
      </c>
      <c r="O107" s="1624">
        <f t="shared" si="76"/>
        <v>0.50127226463104324</v>
      </c>
      <c r="P107" s="1624">
        <f t="shared" si="77"/>
        <v>0.54285714285714282</v>
      </c>
      <c r="Q107" s="1624">
        <f t="shared" si="78"/>
        <v>0.53527980535279807</v>
      </c>
      <c r="R107" s="1625">
        <f t="shared" si="79"/>
        <v>0.47764705882352942</v>
      </c>
      <c r="S107" s="1626">
        <f>'Non-marital births'!L108</f>
        <v>0.49582172701949861</v>
      </c>
      <c r="T107" s="1627">
        <v>0.46386946386946387</v>
      </c>
      <c r="U107" s="1628">
        <f t="shared" si="80"/>
        <v>0.45566502463054187</v>
      </c>
      <c r="V107" s="2018">
        <f t="shared" si="81"/>
        <v>0.43341404358353514</v>
      </c>
      <c r="W107" s="2018">
        <f t="shared" si="82"/>
        <v>0.48931116389548696</v>
      </c>
      <c r="X107" s="2013">
        <f t="shared" si="83"/>
        <v>0.47792207792207791</v>
      </c>
      <c r="Y107" s="2096">
        <f t="shared" si="61"/>
        <v>0.49582172701949861</v>
      </c>
      <c r="Z107" s="2096"/>
      <c r="AA107" s="681">
        <v>302</v>
      </c>
      <c r="AB107" s="682">
        <v>384</v>
      </c>
      <c r="AC107" s="683">
        <v>395</v>
      </c>
      <c r="AD107" s="682">
        <v>352</v>
      </c>
      <c r="AE107" s="683">
        <v>356</v>
      </c>
      <c r="AF107" s="682">
        <v>380</v>
      </c>
      <c r="AG107" s="683">
        <v>397</v>
      </c>
      <c r="AH107" s="682">
        <v>369</v>
      </c>
      <c r="AI107" s="696">
        <v>406</v>
      </c>
      <c r="AJ107" s="696">
        <v>413</v>
      </c>
      <c r="AK107" s="696">
        <v>371</v>
      </c>
      <c r="AL107" s="696">
        <v>393</v>
      </c>
      <c r="AM107" s="697">
        <v>385</v>
      </c>
      <c r="AN107" s="697">
        <v>411</v>
      </c>
      <c r="AO107" s="848">
        <v>425</v>
      </c>
      <c r="AP107" s="1095">
        <v>417</v>
      </c>
      <c r="AQ107" s="1608">
        <v>429</v>
      </c>
      <c r="AR107" s="1608">
        <v>406</v>
      </c>
      <c r="AS107" s="1971">
        <v>413</v>
      </c>
      <c r="AT107" s="1095">
        <v>421</v>
      </c>
      <c r="AU107" s="2020">
        <v>385</v>
      </c>
      <c r="AV107" s="1005">
        <v>359</v>
      </c>
      <c r="AW107" s="1005"/>
      <c r="AX107" s="704">
        <v>146</v>
      </c>
      <c r="AY107" s="705">
        <v>178</v>
      </c>
      <c r="AZ107" s="705">
        <v>155</v>
      </c>
      <c r="BA107" s="705">
        <v>164</v>
      </c>
      <c r="BB107" s="705">
        <v>173</v>
      </c>
      <c r="BC107" s="705">
        <v>190</v>
      </c>
      <c r="BD107" s="705">
        <v>222</v>
      </c>
      <c r="BE107" s="705">
        <v>206</v>
      </c>
      <c r="BF107" s="705">
        <v>229</v>
      </c>
      <c r="BG107" s="705">
        <v>223</v>
      </c>
      <c r="BH107" s="705">
        <v>216</v>
      </c>
      <c r="BI107" s="705">
        <v>197</v>
      </c>
      <c r="BJ107" s="705">
        <v>209</v>
      </c>
      <c r="BK107" s="705">
        <v>220</v>
      </c>
      <c r="BL107" s="851">
        <v>203</v>
      </c>
      <c r="BM107" s="1096">
        <v>206</v>
      </c>
      <c r="BN107" s="1097">
        <v>199</v>
      </c>
      <c r="BO107" s="1096">
        <v>185</v>
      </c>
      <c r="BP107" s="1969">
        <v>179</v>
      </c>
      <c r="BQ107" s="1096">
        <v>206</v>
      </c>
      <c r="BR107" s="2022">
        <v>184</v>
      </c>
      <c r="BS107" s="1006">
        <v>178</v>
      </c>
      <c r="BU107" s="2172">
        <f t="shared" si="62"/>
        <v>932</v>
      </c>
      <c r="BV107" s="2172">
        <f t="shared" si="63"/>
        <v>1984</v>
      </c>
      <c r="BW107" s="2173">
        <f t="shared" si="64"/>
        <v>0.46975806451612906</v>
      </c>
    </row>
    <row r="108" spans="1:75" s="49" customFormat="1" ht="13.5" customHeight="1" x14ac:dyDescent="0.3">
      <c r="A108" s="56" t="s">
        <v>89</v>
      </c>
      <c r="B108" s="84" t="s">
        <v>90</v>
      </c>
      <c r="C108" s="57" t="s">
        <v>255</v>
      </c>
      <c r="D108" s="1623">
        <f t="shared" si="65"/>
        <v>0.43103448275862066</v>
      </c>
      <c r="E108" s="1624">
        <f t="shared" si="66"/>
        <v>0.3247863247863248</v>
      </c>
      <c r="F108" s="1624">
        <f t="shared" si="67"/>
        <v>0.40157480314960631</v>
      </c>
      <c r="G108" s="1624">
        <f t="shared" si="68"/>
        <v>0.49090909090909091</v>
      </c>
      <c r="H108" s="1624">
        <f t="shared" si="69"/>
        <v>0.51351351351351349</v>
      </c>
      <c r="I108" s="1624">
        <f t="shared" si="70"/>
        <v>0.54545454545454541</v>
      </c>
      <c r="J108" s="1624">
        <f t="shared" si="71"/>
        <v>0.52941176470588236</v>
      </c>
      <c r="K108" s="1624">
        <f t="shared" si="72"/>
        <v>0.5</v>
      </c>
      <c r="L108" s="1624">
        <f t="shared" si="73"/>
        <v>0.50649350649350644</v>
      </c>
      <c r="M108" s="1624">
        <f t="shared" si="74"/>
        <v>0.60439560439560436</v>
      </c>
      <c r="N108" s="1624">
        <f t="shared" si="75"/>
        <v>0.57831325301204817</v>
      </c>
      <c r="O108" s="1624">
        <f t="shared" si="76"/>
        <v>0.63779527559055116</v>
      </c>
      <c r="P108" s="1624">
        <f t="shared" si="77"/>
        <v>0.53030303030303028</v>
      </c>
      <c r="Q108" s="1624">
        <f t="shared" si="78"/>
        <v>0.45945945945945948</v>
      </c>
      <c r="R108" s="1625">
        <f t="shared" si="79"/>
        <v>0.52459016393442626</v>
      </c>
      <c r="S108" s="1626">
        <f>'Non-marital births'!L109</f>
        <v>0.53921568627450978</v>
      </c>
      <c r="T108" s="1627">
        <v>0.45</v>
      </c>
      <c r="U108" s="1628">
        <f t="shared" si="80"/>
        <v>0.53333333333333333</v>
      </c>
      <c r="V108" s="2018">
        <f t="shared" si="81"/>
        <v>0.57608695652173914</v>
      </c>
      <c r="W108" s="2018">
        <f t="shared" si="82"/>
        <v>0.43055555555555558</v>
      </c>
      <c r="X108" s="2013">
        <f t="shared" si="83"/>
        <v>0.5053763440860215</v>
      </c>
      <c r="Y108" s="2096">
        <f t="shared" si="61"/>
        <v>0.53921568627450978</v>
      </c>
      <c r="Z108" s="2096"/>
      <c r="AA108" s="681">
        <v>116</v>
      </c>
      <c r="AB108" s="682">
        <v>117</v>
      </c>
      <c r="AC108" s="683">
        <v>127</v>
      </c>
      <c r="AD108" s="682">
        <v>110</v>
      </c>
      <c r="AE108" s="683">
        <v>111</v>
      </c>
      <c r="AF108" s="682">
        <v>88</v>
      </c>
      <c r="AG108" s="683">
        <v>85</v>
      </c>
      <c r="AH108" s="682">
        <v>78</v>
      </c>
      <c r="AI108" s="696">
        <v>77</v>
      </c>
      <c r="AJ108" s="696">
        <v>91</v>
      </c>
      <c r="AK108" s="696">
        <v>83</v>
      </c>
      <c r="AL108" s="696">
        <v>127</v>
      </c>
      <c r="AM108" s="697">
        <v>132</v>
      </c>
      <c r="AN108" s="697">
        <v>111</v>
      </c>
      <c r="AO108" s="848">
        <v>122</v>
      </c>
      <c r="AP108" s="1095">
        <v>100</v>
      </c>
      <c r="AQ108" s="1608">
        <v>100</v>
      </c>
      <c r="AR108" s="1608">
        <v>75</v>
      </c>
      <c r="AS108" s="1971">
        <v>92</v>
      </c>
      <c r="AT108" s="1095">
        <v>72</v>
      </c>
      <c r="AU108" s="2020">
        <v>93</v>
      </c>
      <c r="AV108" s="1005">
        <v>102</v>
      </c>
      <c r="AW108" s="1005"/>
      <c r="AX108" s="704">
        <v>50</v>
      </c>
      <c r="AY108" s="705">
        <v>38</v>
      </c>
      <c r="AZ108" s="705">
        <v>51</v>
      </c>
      <c r="BA108" s="705">
        <v>54</v>
      </c>
      <c r="BB108" s="705">
        <v>57</v>
      </c>
      <c r="BC108" s="705">
        <v>48</v>
      </c>
      <c r="BD108" s="705">
        <v>45</v>
      </c>
      <c r="BE108" s="705">
        <v>39</v>
      </c>
      <c r="BF108" s="705">
        <v>39</v>
      </c>
      <c r="BG108" s="705">
        <v>55</v>
      </c>
      <c r="BH108" s="705">
        <v>48</v>
      </c>
      <c r="BI108" s="705">
        <v>81</v>
      </c>
      <c r="BJ108" s="705">
        <v>70</v>
      </c>
      <c r="BK108" s="705">
        <v>51</v>
      </c>
      <c r="BL108" s="851">
        <v>64</v>
      </c>
      <c r="BM108" s="1096">
        <v>49</v>
      </c>
      <c r="BN108" s="1097">
        <v>45</v>
      </c>
      <c r="BO108" s="1096">
        <v>40</v>
      </c>
      <c r="BP108" s="1969">
        <v>53</v>
      </c>
      <c r="BQ108" s="1096">
        <v>31</v>
      </c>
      <c r="BR108" s="2022">
        <v>47</v>
      </c>
      <c r="BS108" s="1006">
        <v>55</v>
      </c>
      <c r="BU108" s="2172">
        <f t="shared" si="62"/>
        <v>226</v>
      </c>
      <c r="BV108" s="2172">
        <f t="shared" si="63"/>
        <v>434</v>
      </c>
      <c r="BW108" s="2173">
        <f t="shared" si="64"/>
        <v>0.52073732718894006</v>
      </c>
    </row>
    <row r="109" spans="1:75" s="49" customFormat="1" ht="13.5" customHeight="1" x14ac:dyDescent="0.3">
      <c r="A109" s="56" t="s">
        <v>105</v>
      </c>
      <c r="B109" s="84" t="s">
        <v>106</v>
      </c>
      <c r="C109" s="57" t="s">
        <v>251</v>
      </c>
      <c r="D109" s="1623">
        <f t="shared" si="65"/>
        <v>0.40137389597644751</v>
      </c>
      <c r="E109" s="1624">
        <f t="shared" si="66"/>
        <v>0.42300098716683121</v>
      </c>
      <c r="F109" s="1624">
        <f t="shared" si="67"/>
        <v>0.41769649036085021</v>
      </c>
      <c r="G109" s="1624">
        <f t="shared" si="68"/>
        <v>0.43279709392838611</v>
      </c>
      <c r="H109" s="1624">
        <f t="shared" si="69"/>
        <v>0.43599357257632565</v>
      </c>
      <c r="I109" s="1624">
        <f t="shared" si="70"/>
        <v>0.42928176795580109</v>
      </c>
      <c r="J109" s="1624">
        <f t="shared" si="71"/>
        <v>0.44360141628730398</v>
      </c>
      <c r="K109" s="1624">
        <f t="shared" si="72"/>
        <v>0.4269496544916091</v>
      </c>
      <c r="L109" s="1624">
        <f t="shared" si="73"/>
        <v>0.4161168708765316</v>
      </c>
      <c r="M109" s="1624">
        <f t="shared" si="74"/>
        <v>0.43419203747072599</v>
      </c>
      <c r="N109" s="1624">
        <f t="shared" si="75"/>
        <v>0.44539939332659251</v>
      </c>
      <c r="O109" s="1624">
        <f t="shared" si="76"/>
        <v>0.44731404958677684</v>
      </c>
      <c r="P109" s="1624">
        <f t="shared" si="77"/>
        <v>0.4576365663322185</v>
      </c>
      <c r="Q109" s="1624">
        <f t="shared" si="78"/>
        <v>0.46732215153267787</v>
      </c>
      <c r="R109" s="1625">
        <f t="shared" si="79"/>
        <v>0.47178082191780824</v>
      </c>
      <c r="S109" s="1626">
        <f>'Non-marital births'!L110</f>
        <v>0.5143212951432129</v>
      </c>
      <c r="T109" s="1627">
        <v>0.46288951841359771</v>
      </c>
      <c r="U109" s="1628">
        <f t="shared" si="80"/>
        <v>0.48075748320097739</v>
      </c>
      <c r="V109" s="2018">
        <f t="shared" si="81"/>
        <v>0.46786492374727667</v>
      </c>
      <c r="W109" s="2018">
        <f t="shared" si="82"/>
        <v>0.47113702623906706</v>
      </c>
      <c r="X109" s="2013">
        <f t="shared" si="83"/>
        <v>0.47563946406820951</v>
      </c>
      <c r="Y109" s="2096">
        <f t="shared" si="61"/>
        <v>0.5143212951432129</v>
      </c>
      <c r="Z109" s="2096"/>
      <c r="AA109" s="681">
        <v>2038</v>
      </c>
      <c r="AB109" s="682">
        <v>2026</v>
      </c>
      <c r="AC109" s="683">
        <v>2023</v>
      </c>
      <c r="AD109" s="682">
        <v>1927</v>
      </c>
      <c r="AE109" s="683">
        <v>1867</v>
      </c>
      <c r="AF109" s="682">
        <v>1810</v>
      </c>
      <c r="AG109" s="683">
        <v>1977</v>
      </c>
      <c r="AH109" s="682">
        <v>2026</v>
      </c>
      <c r="AI109" s="696">
        <v>2122</v>
      </c>
      <c r="AJ109" s="696">
        <v>2135</v>
      </c>
      <c r="AK109" s="696">
        <v>1978</v>
      </c>
      <c r="AL109" s="696">
        <v>1936</v>
      </c>
      <c r="AM109" s="697">
        <v>1794</v>
      </c>
      <c r="AN109" s="697">
        <v>1729</v>
      </c>
      <c r="AO109" s="848">
        <v>1825</v>
      </c>
      <c r="AP109" s="1095">
        <v>1817</v>
      </c>
      <c r="AQ109" s="1608">
        <v>1765</v>
      </c>
      <c r="AR109" s="1608">
        <v>1637</v>
      </c>
      <c r="AS109" s="1971">
        <v>1836</v>
      </c>
      <c r="AT109" s="1095">
        <v>1715</v>
      </c>
      <c r="AU109" s="2020">
        <v>1642</v>
      </c>
      <c r="AV109" s="1005">
        <v>1606</v>
      </c>
      <c r="AW109" s="1005"/>
      <c r="AX109" s="704">
        <v>818</v>
      </c>
      <c r="AY109" s="705">
        <v>857</v>
      </c>
      <c r="AZ109" s="705">
        <v>845</v>
      </c>
      <c r="BA109" s="705">
        <v>834</v>
      </c>
      <c r="BB109" s="705">
        <v>814</v>
      </c>
      <c r="BC109" s="705">
        <v>777</v>
      </c>
      <c r="BD109" s="705">
        <v>877</v>
      </c>
      <c r="BE109" s="705">
        <v>865</v>
      </c>
      <c r="BF109" s="705">
        <v>883</v>
      </c>
      <c r="BG109" s="705">
        <v>927</v>
      </c>
      <c r="BH109" s="705">
        <v>881</v>
      </c>
      <c r="BI109" s="705">
        <v>866</v>
      </c>
      <c r="BJ109" s="705">
        <v>821</v>
      </c>
      <c r="BK109" s="705">
        <v>808</v>
      </c>
      <c r="BL109" s="851">
        <v>861</v>
      </c>
      <c r="BM109" s="1096">
        <v>856</v>
      </c>
      <c r="BN109" s="1097">
        <v>817</v>
      </c>
      <c r="BO109" s="1096">
        <v>787</v>
      </c>
      <c r="BP109" s="1969">
        <v>859</v>
      </c>
      <c r="BQ109" s="1096">
        <v>808</v>
      </c>
      <c r="BR109" s="2022">
        <v>781</v>
      </c>
      <c r="BS109" s="1006">
        <v>826</v>
      </c>
      <c r="BU109" s="2172">
        <f t="shared" si="62"/>
        <v>4061</v>
      </c>
      <c r="BV109" s="2172">
        <f t="shared" si="63"/>
        <v>8436</v>
      </c>
      <c r="BW109" s="2173">
        <f t="shared" si="64"/>
        <v>0.48138928402086295</v>
      </c>
    </row>
    <row r="110" spans="1:75" s="49" customFormat="1" ht="13.5" customHeight="1" x14ac:dyDescent="0.3">
      <c r="A110" s="56" t="s">
        <v>115</v>
      </c>
      <c r="B110" s="84" t="s">
        <v>116</v>
      </c>
      <c r="C110" s="57" t="s">
        <v>253</v>
      </c>
      <c r="D110" s="1623">
        <f t="shared" si="65"/>
        <v>0.52876712328767128</v>
      </c>
      <c r="E110" s="1624">
        <f t="shared" si="66"/>
        <v>0.57228915662650603</v>
      </c>
      <c r="F110" s="1624">
        <f t="shared" si="67"/>
        <v>0.56334231805929924</v>
      </c>
      <c r="G110" s="1624">
        <f t="shared" si="68"/>
        <v>0.49859154929577465</v>
      </c>
      <c r="H110" s="1624">
        <f t="shared" si="69"/>
        <v>0.56586826347305386</v>
      </c>
      <c r="I110" s="1624">
        <f t="shared" si="70"/>
        <v>0.63716814159292035</v>
      </c>
      <c r="J110" s="1624">
        <f t="shared" si="71"/>
        <v>0.5892857142857143</v>
      </c>
      <c r="K110" s="1624">
        <f t="shared" si="72"/>
        <v>0.60778443113772451</v>
      </c>
      <c r="L110" s="1624">
        <f t="shared" si="73"/>
        <v>0.61138613861386137</v>
      </c>
      <c r="M110" s="1624">
        <f t="shared" si="74"/>
        <v>0.6262626262626263</v>
      </c>
      <c r="N110" s="1624">
        <f t="shared" si="75"/>
        <v>0.59947643979057597</v>
      </c>
      <c r="O110" s="1624">
        <f t="shared" si="76"/>
        <v>0.69007263922518158</v>
      </c>
      <c r="P110" s="1624">
        <f t="shared" si="77"/>
        <v>0.65454545454545454</v>
      </c>
      <c r="Q110" s="1624">
        <f t="shared" si="78"/>
        <v>0.68436578171091444</v>
      </c>
      <c r="R110" s="1625">
        <f t="shared" si="79"/>
        <v>0.63215258855585832</v>
      </c>
      <c r="S110" s="1626">
        <f>'Non-marital births'!L111</f>
        <v>0.64022662889518411</v>
      </c>
      <c r="T110" s="1627">
        <v>0.64673913043478259</v>
      </c>
      <c r="U110" s="1628">
        <f t="shared" si="80"/>
        <v>0.64102564102564108</v>
      </c>
      <c r="V110" s="2018">
        <f t="shared" si="81"/>
        <v>0.68882175226586106</v>
      </c>
      <c r="W110" s="2018">
        <f t="shared" si="82"/>
        <v>0.6619718309859155</v>
      </c>
      <c r="X110" s="2013">
        <f t="shared" si="83"/>
        <v>0.66863905325443784</v>
      </c>
      <c r="Y110" s="2096">
        <f t="shared" si="61"/>
        <v>0.64022662889518411</v>
      </c>
      <c r="Z110" s="2096"/>
      <c r="AA110" s="681">
        <v>365</v>
      </c>
      <c r="AB110" s="682">
        <v>332</v>
      </c>
      <c r="AC110" s="683">
        <v>371</v>
      </c>
      <c r="AD110" s="682">
        <v>355</v>
      </c>
      <c r="AE110" s="683">
        <v>334</v>
      </c>
      <c r="AF110" s="682">
        <v>339</v>
      </c>
      <c r="AG110" s="683">
        <v>336</v>
      </c>
      <c r="AH110" s="682">
        <v>334</v>
      </c>
      <c r="AI110" s="696">
        <v>404</v>
      </c>
      <c r="AJ110" s="696">
        <v>396</v>
      </c>
      <c r="AK110" s="696">
        <v>382</v>
      </c>
      <c r="AL110" s="696">
        <v>413</v>
      </c>
      <c r="AM110" s="697">
        <v>385</v>
      </c>
      <c r="AN110" s="697">
        <v>339</v>
      </c>
      <c r="AO110" s="848">
        <v>367</v>
      </c>
      <c r="AP110" s="1095">
        <v>383</v>
      </c>
      <c r="AQ110" s="1608">
        <v>368</v>
      </c>
      <c r="AR110" s="1608">
        <v>351</v>
      </c>
      <c r="AS110" s="1971">
        <v>331</v>
      </c>
      <c r="AT110" s="1095">
        <v>355</v>
      </c>
      <c r="AU110" s="2020">
        <v>338</v>
      </c>
      <c r="AV110" s="1005">
        <v>353</v>
      </c>
      <c r="AW110" s="1005"/>
      <c r="AX110" s="704">
        <v>193</v>
      </c>
      <c r="AY110" s="705">
        <v>190</v>
      </c>
      <c r="AZ110" s="705">
        <v>209</v>
      </c>
      <c r="BA110" s="705">
        <v>177</v>
      </c>
      <c r="BB110" s="705">
        <v>189</v>
      </c>
      <c r="BC110" s="705">
        <v>216</v>
      </c>
      <c r="BD110" s="705">
        <v>198</v>
      </c>
      <c r="BE110" s="705">
        <v>203</v>
      </c>
      <c r="BF110" s="705">
        <v>247</v>
      </c>
      <c r="BG110" s="705">
        <v>248</v>
      </c>
      <c r="BH110" s="705">
        <v>229</v>
      </c>
      <c r="BI110" s="705">
        <v>285</v>
      </c>
      <c r="BJ110" s="705">
        <v>252</v>
      </c>
      <c r="BK110" s="705">
        <v>232</v>
      </c>
      <c r="BL110" s="851">
        <v>232</v>
      </c>
      <c r="BM110" s="1096">
        <v>252</v>
      </c>
      <c r="BN110" s="1097">
        <v>238</v>
      </c>
      <c r="BO110" s="1096">
        <v>225</v>
      </c>
      <c r="BP110" s="1969">
        <v>228</v>
      </c>
      <c r="BQ110" s="1096">
        <v>235</v>
      </c>
      <c r="BR110" s="2022">
        <v>226</v>
      </c>
      <c r="BS110" s="1006">
        <v>226</v>
      </c>
      <c r="BU110" s="2172">
        <f t="shared" si="62"/>
        <v>1140</v>
      </c>
      <c r="BV110" s="2172">
        <f t="shared" si="63"/>
        <v>1728</v>
      </c>
      <c r="BW110" s="2173">
        <f t="shared" si="64"/>
        <v>0.65972222222222221</v>
      </c>
    </row>
    <row r="111" spans="1:75" s="49" customFormat="1" ht="13.5" customHeight="1" x14ac:dyDescent="0.3">
      <c r="A111" s="56" t="s">
        <v>137</v>
      </c>
      <c r="B111" s="84" t="s">
        <v>138</v>
      </c>
      <c r="C111" s="57" t="s">
        <v>252</v>
      </c>
      <c r="D111" s="1623">
        <f t="shared" si="65"/>
        <v>0.44579945799457993</v>
      </c>
      <c r="E111" s="1624">
        <f t="shared" si="66"/>
        <v>0.41792929292929293</v>
      </c>
      <c r="F111" s="1624">
        <f t="shared" si="67"/>
        <v>0.4437869822485207</v>
      </c>
      <c r="G111" s="1624">
        <f t="shared" si="68"/>
        <v>0.45443645083932854</v>
      </c>
      <c r="H111" s="1624">
        <f t="shared" si="69"/>
        <v>0.46561443066516345</v>
      </c>
      <c r="I111" s="1624">
        <f t="shared" si="70"/>
        <v>0.44599303135888502</v>
      </c>
      <c r="J111" s="1624">
        <f t="shared" si="71"/>
        <v>0.43561973525872444</v>
      </c>
      <c r="K111" s="1624">
        <f t="shared" si="72"/>
        <v>0.47089947089947087</v>
      </c>
      <c r="L111" s="1624">
        <f t="shared" si="73"/>
        <v>0.45746887966804978</v>
      </c>
      <c r="M111" s="1624">
        <f t="shared" si="74"/>
        <v>0.4654708520179372</v>
      </c>
      <c r="N111" s="1624">
        <f t="shared" si="75"/>
        <v>0.45568400770712908</v>
      </c>
      <c r="O111" s="1624">
        <f t="shared" si="76"/>
        <v>0.44574780058651026</v>
      </c>
      <c r="P111" s="1624">
        <f t="shared" si="77"/>
        <v>0.44039145907473309</v>
      </c>
      <c r="Q111" s="1624">
        <f t="shared" si="78"/>
        <v>0.42644320297951582</v>
      </c>
      <c r="R111" s="1625">
        <f t="shared" si="79"/>
        <v>0.41807909604519772</v>
      </c>
      <c r="S111" s="1626">
        <f>'Non-marital births'!L112</f>
        <v>0.40176991150442476</v>
      </c>
      <c r="T111" s="1627">
        <v>0.40807560137457044</v>
      </c>
      <c r="U111" s="1628">
        <f t="shared" si="80"/>
        <v>0.41874462596732587</v>
      </c>
      <c r="V111" s="2018">
        <f t="shared" si="81"/>
        <v>0.41073271413828688</v>
      </c>
      <c r="W111" s="2018">
        <f t="shared" si="82"/>
        <v>0.41452991452991456</v>
      </c>
      <c r="X111" s="2013">
        <f t="shared" si="83"/>
        <v>0.37699115044247788</v>
      </c>
      <c r="Y111" s="2096">
        <f t="shared" si="61"/>
        <v>0.40176991150442476</v>
      </c>
      <c r="Z111" s="2096"/>
      <c r="AA111" s="681">
        <v>738</v>
      </c>
      <c r="AB111" s="682">
        <v>792</v>
      </c>
      <c r="AC111" s="683">
        <v>845</v>
      </c>
      <c r="AD111" s="682">
        <v>834</v>
      </c>
      <c r="AE111" s="683">
        <v>887</v>
      </c>
      <c r="AF111" s="683">
        <v>861</v>
      </c>
      <c r="AG111" s="683">
        <v>831</v>
      </c>
      <c r="AH111" s="682">
        <v>945</v>
      </c>
      <c r="AI111" s="696">
        <v>964</v>
      </c>
      <c r="AJ111" s="696">
        <v>1115</v>
      </c>
      <c r="AK111" s="696">
        <v>1038</v>
      </c>
      <c r="AL111" s="696">
        <v>1023</v>
      </c>
      <c r="AM111" s="697">
        <v>1124</v>
      </c>
      <c r="AN111" s="697">
        <v>1074</v>
      </c>
      <c r="AO111" s="848">
        <v>1062</v>
      </c>
      <c r="AP111" s="1095">
        <v>1147</v>
      </c>
      <c r="AQ111" s="1608">
        <v>1164</v>
      </c>
      <c r="AR111" s="1608">
        <v>1163</v>
      </c>
      <c r="AS111" s="1971">
        <v>969</v>
      </c>
      <c r="AT111" s="1095">
        <v>1170</v>
      </c>
      <c r="AU111" s="2020">
        <v>1130</v>
      </c>
      <c r="AV111" s="1005">
        <v>1130</v>
      </c>
      <c r="AW111" s="1005"/>
      <c r="AX111" s="704">
        <v>329</v>
      </c>
      <c r="AY111" s="705">
        <v>331</v>
      </c>
      <c r="AZ111" s="705">
        <v>375</v>
      </c>
      <c r="BA111" s="705">
        <v>379</v>
      </c>
      <c r="BB111" s="705">
        <v>413</v>
      </c>
      <c r="BC111" s="705">
        <v>384</v>
      </c>
      <c r="BD111" s="705">
        <v>362</v>
      </c>
      <c r="BE111" s="705">
        <v>445</v>
      </c>
      <c r="BF111" s="705">
        <v>441</v>
      </c>
      <c r="BG111" s="705">
        <v>519</v>
      </c>
      <c r="BH111" s="705">
        <v>473</v>
      </c>
      <c r="BI111" s="705">
        <v>456</v>
      </c>
      <c r="BJ111" s="705">
        <v>495</v>
      </c>
      <c r="BK111" s="705">
        <v>458</v>
      </c>
      <c r="BL111" s="851">
        <v>444</v>
      </c>
      <c r="BM111" s="1096">
        <v>467</v>
      </c>
      <c r="BN111" s="1097">
        <v>475</v>
      </c>
      <c r="BO111" s="1096">
        <v>487</v>
      </c>
      <c r="BP111" s="1969">
        <v>398</v>
      </c>
      <c r="BQ111" s="1096">
        <v>485</v>
      </c>
      <c r="BR111" s="2022">
        <v>426</v>
      </c>
      <c r="BS111" s="1006">
        <v>454</v>
      </c>
      <c r="BU111" s="2172">
        <f t="shared" si="62"/>
        <v>2250</v>
      </c>
      <c r="BV111" s="2172">
        <f t="shared" si="63"/>
        <v>5562</v>
      </c>
      <c r="BW111" s="2173">
        <f t="shared" si="64"/>
        <v>0.4045307443365696</v>
      </c>
    </row>
    <row r="112" spans="1:75" s="49" customFormat="1" ht="13.5" customHeight="1" x14ac:dyDescent="0.3">
      <c r="A112" s="56" t="s">
        <v>141</v>
      </c>
      <c r="B112" s="84" t="s">
        <v>260</v>
      </c>
      <c r="C112" s="57" t="s">
        <v>254</v>
      </c>
      <c r="D112" s="1623">
        <f t="shared" si="65"/>
        <v>0.25347758887171562</v>
      </c>
      <c r="E112" s="1624">
        <f t="shared" si="66"/>
        <v>0.28508771929824561</v>
      </c>
      <c r="F112" s="1624">
        <f t="shared" si="67"/>
        <v>0.28626943005181349</v>
      </c>
      <c r="G112" s="1624">
        <f t="shared" si="68"/>
        <v>0.29793510324483774</v>
      </c>
      <c r="H112" s="1624">
        <f t="shared" si="69"/>
        <v>0.3001464128843338</v>
      </c>
      <c r="I112" s="1624">
        <f t="shared" si="70"/>
        <v>0.3425655976676385</v>
      </c>
      <c r="J112" s="1624">
        <f t="shared" si="71"/>
        <v>0.36363636363636365</v>
      </c>
      <c r="K112" s="1624">
        <f t="shared" si="72"/>
        <v>0.36151603498542273</v>
      </c>
      <c r="L112" s="1624">
        <f t="shared" si="73"/>
        <v>0.47588005215123858</v>
      </c>
      <c r="M112" s="1624">
        <f t="shared" si="74"/>
        <v>0.44596651445966512</v>
      </c>
      <c r="N112" s="1624">
        <f t="shared" si="75"/>
        <v>0.42153284671532848</v>
      </c>
      <c r="O112" s="1624">
        <f t="shared" si="76"/>
        <v>0.4086206896551724</v>
      </c>
      <c r="P112" s="1624">
        <f t="shared" si="77"/>
        <v>0.43582089552238806</v>
      </c>
      <c r="Q112" s="1624">
        <f t="shared" si="78"/>
        <v>0.40499306518723993</v>
      </c>
      <c r="R112" s="1625">
        <f t="shared" si="79"/>
        <v>0.41456953642384103</v>
      </c>
      <c r="S112" s="1626">
        <f>'Non-marital births'!L113</f>
        <v>0.44744318181818182</v>
      </c>
      <c r="T112" s="1627">
        <v>0.41501976284584979</v>
      </c>
      <c r="U112" s="1628">
        <f t="shared" si="80"/>
        <v>0.40673575129533679</v>
      </c>
      <c r="V112" s="2018">
        <f t="shared" si="81"/>
        <v>0.44308943089430897</v>
      </c>
      <c r="W112" s="2018">
        <f t="shared" si="82"/>
        <v>0.41830065359477125</v>
      </c>
      <c r="X112" s="2013">
        <f t="shared" si="83"/>
        <v>0.40990371389270974</v>
      </c>
      <c r="Y112" s="2096">
        <f t="shared" si="61"/>
        <v>0.44744318181818182</v>
      </c>
      <c r="Z112" s="2096"/>
      <c r="AA112" s="681">
        <v>647</v>
      </c>
      <c r="AB112" s="682">
        <v>684</v>
      </c>
      <c r="AC112" s="683">
        <v>772</v>
      </c>
      <c r="AD112" s="682">
        <v>678</v>
      </c>
      <c r="AE112" s="683">
        <v>683</v>
      </c>
      <c r="AF112" s="682">
        <v>686</v>
      </c>
      <c r="AG112" s="683">
        <v>638</v>
      </c>
      <c r="AH112" s="682">
        <v>686</v>
      </c>
      <c r="AI112" s="696">
        <v>767</v>
      </c>
      <c r="AJ112" s="696">
        <v>657</v>
      </c>
      <c r="AK112" s="696">
        <v>548</v>
      </c>
      <c r="AL112" s="696">
        <v>580</v>
      </c>
      <c r="AM112" s="697">
        <v>670</v>
      </c>
      <c r="AN112" s="697">
        <v>721</v>
      </c>
      <c r="AO112" s="848">
        <v>755</v>
      </c>
      <c r="AP112" s="1095">
        <v>759</v>
      </c>
      <c r="AQ112" s="1608">
        <v>759</v>
      </c>
      <c r="AR112" s="1608">
        <v>772</v>
      </c>
      <c r="AS112" s="1971">
        <v>738</v>
      </c>
      <c r="AT112" s="1095">
        <v>765</v>
      </c>
      <c r="AU112" s="2020">
        <v>727</v>
      </c>
      <c r="AV112" s="1005">
        <v>704</v>
      </c>
      <c r="AW112" s="1005"/>
      <c r="AX112" s="704">
        <v>164</v>
      </c>
      <c r="AY112" s="705">
        <v>195</v>
      </c>
      <c r="AZ112" s="705">
        <v>221</v>
      </c>
      <c r="BA112" s="705">
        <v>202</v>
      </c>
      <c r="BB112" s="705">
        <v>205</v>
      </c>
      <c r="BC112" s="705">
        <v>235</v>
      </c>
      <c r="BD112" s="705">
        <v>232</v>
      </c>
      <c r="BE112" s="705">
        <v>248</v>
      </c>
      <c r="BF112" s="705">
        <v>365</v>
      </c>
      <c r="BG112" s="705">
        <v>293</v>
      </c>
      <c r="BH112" s="705">
        <v>231</v>
      </c>
      <c r="BI112" s="705">
        <v>237</v>
      </c>
      <c r="BJ112" s="705">
        <v>292</v>
      </c>
      <c r="BK112" s="705">
        <v>292</v>
      </c>
      <c r="BL112" s="851">
        <v>313</v>
      </c>
      <c r="BM112" s="1096">
        <v>298</v>
      </c>
      <c r="BN112" s="1097">
        <v>315</v>
      </c>
      <c r="BO112" s="1096">
        <v>314</v>
      </c>
      <c r="BP112" s="1969">
        <v>327</v>
      </c>
      <c r="BQ112" s="1096">
        <v>320</v>
      </c>
      <c r="BR112" s="2022">
        <v>298</v>
      </c>
      <c r="BS112" s="1006">
        <v>315</v>
      </c>
      <c r="BU112" s="2172">
        <f t="shared" si="62"/>
        <v>1574</v>
      </c>
      <c r="BV112" s="2172">
        <f t="shared" si="63"/>
        <v>3706</v>
      </c>
      <c r="BW112" s="2173">
        <f t="shared" si="64"/>
        <v>0.42471667566109012</v>
      </c>
    </row>
    <row r="113" spans="1:75" s="49" customFormat="1" ht="13.5" customHeight="1" x14ac:dyDescent="0.3">
      <c r="A113" s="56" t="s">
        <v>143</v>
      </c>
      <c r="B113" s="84" t="s">
        <v>144</v>
      </c>
      <c r="C113" s="57" t="s">
        <v>254</v>
      </c>
      <c r="D113" s="1623">
        <f t="shared" si="65"/>
        <v>0.28415300546448086</v>
      </c>
      <c r="E113" s="1624">
        <f t="shared" si="66"/>
        <v>0.2318840579710145</v>
      </c>
      <c r="F113" s="1624">
        <f t="shared" si="67"/>
        <v>0.23557692307692307</v>
      </c>
      <c r="G113" s="1624">
        <f t="shared" si="68"/>
        <v>0.23076923076923078</v>
      </c>
      <c r="H113" s="1624">
        <f t="shared" si="69"/>
        <v>0.23236514522821577</v>
      </c>
      <c r="I113" s="1624">
        <f t="shared" si="70"/>
        <v>0.26976744186046514</v>
      </c>
      <c r="J113" s="1624">
        <f t="shared" si="71"/>
        <v>0.36054421768707484</v>
      </c>
      <c r="K113" s="1624">
        <f t="shared" si="72"/>
        <v>0.41155234657039713</v>
      </c>
      <c r="L113" s="1624">
        <f t="shared" si="73"/>
        <v>0.41614906832298137</v>
      </c>
      <c r="M113" s="1624">
        <f t="shared" si="74"/>
        <v>0.39574468085106385</v>
      </c>
      <c r="N113" s="1624">
        <f t="shared" si="75"/>
        <v>0.38053097345132741</v>
      </c>
      <c r="O113" s="1624">
        <f t="shared" si="76"/>
        <v>0.36403508771929827</v>
      </c>
      <c r="P113" s="1624">
        <f t="shared" si="77"/>
        <v>0.33333333333333331</v>
      </c>
      <c r="Q113" s="1624">
        <f t="shared" si="78"/>
        <v>0.34848484848484851</v>
      </c>
      <c r="R113" s="1625">
        <f t="shared" si="79"/>
        <v>0.3</v>
      </c>
      <c r="S113" s="1626">
        <f>'Non-marital births'!L114</f>
        <v>0.3783783783783784</v>
      </c>
      <c r="T113" s="1627">
        <v>0.31818181818181818</v>
      </c>
      <c r="U113" s="1628">
        <f t="shared" si="80"/>
        <v>0.36090225563909772</v>
      </c>
      <c r="V113" s="2018">
        <f t="shared" si="81"/>
        <v>0.35766423357664234</v>
      </c>
      <c r="W113" s="2018">
        <f t="shared" si="82"/>
        <v>0.5</v>
      </c>
      <c r="X113" s="2013">
        <f t="shared" si="83"/>
        <v>0.25</v>
      </c>
      <c r="Y113" s="2096">
        <f t="shared" si="61"/>
        <v>0.3783783783783784</v>
      </c>
      <c r="Z113" s="2096"/>
      <c r="AA113" s="681">
        <v>183</v>
      </c>
      <c r="AB113" s="682">
        <v>207</v>
      </c>
      <c r="AC113" s="683">
        <v>208</v>
      </c>
      <c r="AD113" s="682">
        <v>208</v>
      </c>
      <c r="AE113" s="683">
        <v>241</v>
      </c>
      <c r="AF113" s="682">
        <v>215</v>
      </c>
      <c r="AG113" s="683">
        <v>294</v>
      </c>
      <c r="AH113" s="682">
        <v>277</v>
      </c>
      <c r="AI113" s="696">
        <v>322</v>
      </c>
      <c r="AJ113" s="696">
        <v>235</v>
      </c>
      <c r="AK113" s="696">
        <v>226</v>
      </c>
      <c r="AL113" s="696">
        <v>228</v>
      </c>
      <c r="AM113" s="697">
        <v>21</v>
      </c>
      <c r="AN113" s="697">
        <v>66</v>
      </c>
      <c r="AO113" s="848">
        <v>20</v>
      </c>
      <c r="AP113" s="1095">
        <v>19</v>
      </c>
      <c r="AQ113" s="1608">
        <v>22</v>
      </c>
      <c r="AR113" s="1608">
        <v>266</v>
      </c>
      <c r="AS113" s="1971">
        <v>274</v>
      </c>
      <c r="AT113" s="1095">
        <v>14</v>
      </c>
      <c r="AU113" s="2020">
        <v>16</v>
      </c>
      <c r="AV113" s="1005">
        <v>37</v>
      </c>
      <c r="AW113" s="1005"/>
      <c r="AX113" s="704">
        <v>52</v>
      </c>
      <c r="AY113" s="705">
        <v>48</v>
      </c>
      <c r="AZ113" s="705">
        <v>49</v>
      </c>
      <c r="BA113" s="705">
        <v>48</v>
      </c>
      <c r="BB113" s="705">
        <v>56</v>
      </c>
      <c r="BC113" s="705">
        <v>58</v>
      </c>
      <c r="BD113" s="705">
        <v>106</v>
      </c>
      <c r="BE113" s="705">
        <v>114</v>
      </c>
      <c r="BF113" s="705">
        <v>134</v>
      </c>
      <c r="BG113" s="705">
        <v>93</v>
      </c>
      <c r="BH113" s="705">
        <v>86</v>
      </c>
      <c r="BI113" s="705">
        <v>83</v>
      </c>
      <c r="BJ113" s="705">
        <v>7</v>
      </c>
      <c r="BK113" s="705">
        <v>23</v>
      </c>
      <c r="BL113" s="851">
        <v>6</v>
      </c>
      <c r="BM113" s="1096">
        <v>4</v>
      </c>
      <c r="BN113" s="1097">
        <v>7</v>
      </c>
      <c r="BO113" s="1096">
        <v>96</v>
      </c>
      <c r="BP113" s="1969">
        <v>98</v>
      </c>
      <c r="BQ113" s="1096">
        <v>7</v>
      </c>
      <c r="BR113" s="2022">
        <v>4</v>
      </c>
      <c r="BS113" s="1006">
        <v>14</v>
      </c>
      <c r="BU113" s="2172">
        <f t="shared" si="62"/>
        <v>219</v>
      </c>
      <c r="BV113" s="2172">
        <f t="shared" si="63"/>
        <v>607</v>
      </c>
      <c r="BW113" s="2173">
        <f t="shared" si="64"/>
        <v>0.36079077429983525</v>
      </c>
    </row>
    <row r="114" spans="1:75" s="49" customFormat="1" ht="13.5" customHeight="1" x14ac:dyDescent="0.3">
      <c r="A114" s="56" t="s">
        <v>157</v>
      </c>
      <c r="B114" s="84" t="s">
        <v>158</v>
      </c>
      <c r="C114" s="57" t="s">
        <v>251</v>
      </c>
      <c r="D114" s="1623">
        <f t="shared" si="65"/>
        <v>0.41901408450704225</v>
      </c>
      <c r="E114" s="1624">
        <f t="shared" si="66"/>
        <v>0.41753063147973613</v>
      </c>
      <c r="F114" s="1624">
        <f t="shared" si="67"/>
        <v>0.44017914267434421</v>
      </c>
      <c r="G114" s="1624">
        <f t="shared" si="68"/>
        <v>0.44051346274264247</v>
      </c>
      <c r="H114" s="1624">
        <f t="shared" si="69"/>
        <v>0.42902208201892744</v>
      </c>
      <c r="I114" s="1624">
        <f t="shared" si="70"/>
        <v>0.44707347447073476</v>
      </c>
      <c r="J114" s="1624">
        <f t="shared" si="71"/>
        <v>0.43855271366188397</v>
      </c>
      <c r="K114" s="1624">
        <f t="shared" si="72"/>
        <v>0.44709897610921501</v>
      </c>
      <c r="L114" s="1624">
        <f t="shared" si="73"/>
        <v>0.46922363130219608</v>
      </c>
      <c r="M114" s="1624">
        <f t="shared" si="74"/>
        <v>0.48963169297431136</v>
      </c>
      <c r="N114" s="1624">
        <f t="shared" si="75"/>
        <v>0.4946499541424641</v>
      </c>
      <c r="O114" s="1624">
        <f t="shared" si="76"/>
        <v>0.47535870243293826</v>
      </c>
      <c r="P114" s="1624">
        <f t="shared" si="77"/>
        <v>0.48505976095617531</v>
      </c>
      <c r="Q114" s="1624">
        <f t="shared" si="78"/>
        <v>0.49721220072154804</v>
      </c>
      <c r="R114" s="1625">
        <f t="shared" si="79"/>
        <v>0.5036144578313253</v>
      </c>
      <c r="S114" s="1626">
        <f>'Non-marital births'!L115</f>
        <v>0.50181686046511631</v>
      </c>
      <c r="T114" s="1627">
        <v>0.47668209327162692</v>
      </c>
      <c r="U114" s="1628">
        <f t="shared" si="80"/>
        <v>0.4962486602357985</v>
      </c>
      <c r="V114" s="2018">
        <f t="shared" si="81"/>
        <v>0.47385861561119291</v>
      </c>
      <c r="W114" s="2018">
        <f t="shared" si="82"/>
        <v>0.48724584103512014</v>
      </c>
      <c r="X114" s="2013">
        <f t="shared" si="83"/>
        <v>0.49738219895287961</v>
      </c>
      <c r="Y114" s="2096">
        <f t="shared" si="61"/>
        <v>0.50181686046511631</v>
      </c>
      <c r="Z114" s="2096"/>
      <c r="AA114" s="681">
        <v>3124</v>
      </c>
      <c r="AB114" s="682">
        <v>3183</v>
      </c>
      <c r="AC114" s="683">
        <v>3126</v>
      </c>
      <c r="AD114" s="682">
        <v>3194</v>
      </c>
      <c r="AE114" s="683">
        <v>3170</v>
      </c>
      <c r="AF114" s="682">
        <v>3212</v>
      </c>
      <c r="AG114" s="683">
        <v>3206</v>
      </c>
      <c r="AH114" s="682">
        <v>3223</v>
      </c>
      <c r="AI114" s="696">
        <v>3233</v>
      </c>
      <c r="AJ114" s="696">
        <v>3231</v>
      </c>
      <c r="AK114" s="696">
        <v>3271</v>
      </c>
      <c r="AL114" s="696">
        <v>3206</v>
      </c>
      <c r="AM114" s="697">
        <v>3012</v>
      </c>
      <c r="AN114" s="697">
        <v>3049</v>
      </c>
      <c r="AO114" s="848">
        <v>2905</v>
      </c>
      <c r="AP114" s="1095">
        <v>2856</v>
      </c>
      <c r="AQ114" s="1608">
        <v>2809</v>
      </c>
      <c r="AR114" s="1608">
        <v>2799</v>
      </c>
      <c r="AS114" s="1971">
        <v>2716</v>
      </c>
      <c r="AT114" s="1095">
        <v>2705</v>
      </c>
      <c r="AU114" s="2020">
        <v>2674</v>
      </c>
      <c r="AV114" s="1005">
        <v>2752</v>
      </c>
      <c r="AW114" s="1005"/>
      <c r="AX114" s="704">
        <v>1309</v>
      </c>
      <c r="AY114" s="705">
        <v>1329</v>
      </c>
      <c r="AZ114" s="705">
        <v>1376</v>
      </c>
      <c r="BA114" s="705">
        <v>1407</v>
      </c>
      <c r="BB114" s="705">
        <v>1360</v>
      </c>
      <c r="BC114" s="705">
        <v>1436</v>
      </c>
      <c r="BD114" s="705">
        <v>1406</v>
      </c>
      <c r="BE114" s="705">
        <v>1441</v>
      </c>
      <c r="BF114" s="705">
        <v>1517</v>
      </c>
      <c r="BG114" s="705">
        <v>1582</v>
      </c>
      <c r="BH114" s="705">
        <v>1618</v>
      </c>
      <c r="BI114" s="705">
        <v>1524</v>
      </c>
      <c r="BJ114" s="705">
        <v>1461</v>
      </c>
      <c r="BK114" s="705">
        <v>1516</v>
      </c>
      <c r="BL114" s="851">
        <v>1463</v>
      </c>
      <c r="BM114" s="1096">
        <v>1406</v>
      </c>
      <c r="BN114" s="1097">
        <v>1339</v>
      </c>
      <c r="BO114" s="1096">
        <v>1389</v>
      </c>
      <c r="BP114" s="1969">
        <v>1287</v>
      </c>
      <c r="BQ114" s="1096">
        <v>1318</v>
      </c>
      <c r="BR114" s="2022">
        <v>1330</v>
      </c>
      <c r="BS114" s="1006">
        <v>1381</v>
      </c>
      <c r="BU114" s="2172">
        <f t="shared" si="62"/>
        <v>6705</v>
      </c>
      <c r="BV114" s="2172">
        <f t="shared" si="63"/>
        <v>13646</v>
      </c>
      <c r="BW114" s="2173">
        <f t="shared" si="64"/>
        <v>0.49135277737065808</v>
      </c>
    </row>
    <row r="115" spans="1:75" s="49" customFormat="1" ht="13.5" customHeight="1" x14ac:dyDescent="0.3">
      <c r="A115" s="56" t="s">
        <v>159</v>
      </c>
      <c r="B115" s="84" t="s">
        <v>160</v>
      </c>
      <c r="C115" s="57" t="s">
        <v>251</v>
      </c>
      <c r="D115" s="1623">
        <f t="shared" si="65"/>
        <v>0.50049776007964164</v>
      </c>
      <c r="E115" s="1624">
        <f t="shared" si="66"/>
        <v>0.49284413218839446</v>
      </c>
      <c r="F115" s="1624">
        <f t="shared" si="67"/>
        <v>0.47088353413654621</v>
      </c>
      <c r="G115" s="1624">
        <f t="shared" si="68"/>
        <v>0.50460772104607721</v>
      </c>
      <c r="H115" s="1624">
        <f t="shared" si="69"/>
        <v>0.48628307841709151</v>
      </c>
      <c r="I115" s="1624">
        <f t="shared" si="70"/>
        <v>0.4786910197869102</v>
      </c>
      <c r="J115" s="1624">
        <f t="shared" si="71"/>
        <v>0.45847581827063993</v>
      </c>
      <c r="K115" s="1624">
        <f t="shared" si="72"/>
        <v>0.47278496460824992</v>
      </c>
      <c r="L115" s="1624">
        <f t="shared" si="73"/>
        <v>0.46407333994053518</v>
      </c>
      <c r="M115" s="1624">
        <f t="shared" si="74"/>
        <v>0.48545323395046885</v>
      </c>
      <c r="N115" s="1624">
        <f t="shared" si="75"/>
        <v>0.51443248532289632</v>
      </c>
      <c r="O115" s="1624">
        <f t="shared" si="76"/>
        <v>0.49245184799583552</v>
      </c>
      <c r="P115" s="1624">
        <f t="shared" si="77"/>
        <v>0.5133210234766552</v>
      </c>
      <c r="Q115" s="1624">
        <f t="shared" si="78"/>
        <v>0.50914470145239377</v>
      </c>
      <c r="R115" s="1625">
        <f t="shared" si="79"/>
        <v>0.50569838324940364</v>
      </c>
      <c r="S115" s="1626">
        <f>'Non-marital births'!L116</f>
        <v>0.46600778676250376</v>
      </c>
      <c r="T115" s="1627">
        <v>0.45773480662983423</v>
      </c>
      <c r="U115" s="1628">
        <f t="shared" si="80"/>
        <v>0.46967257112184646</v>
      </c>
      <c r="V115" s="2018">
        <f t="shared" si="81"/>
        <v>0.4523539421440726</v>
      </c>
      <c r="W115" s="2018">
        <f t="shared" si="82"/>
        <v>0.47354419154596511</v>
      </c>
      <c r="X115" s="2013">
        <f t="shared" si="83"/>
        <v>0.45557491289198604</v>
      </c>
      <c r="Y115" s="2096">
        <f t="shared" si="61"/>
        <v>0.46600778676250376</v>
      </c>
      <c r="Z115" s="2096"/>
      <c r="AA115" s="681">
        <v>4018</v>
      </c>
      <c r="AB115" s="682">
        <v>3843</v>
      </c>
      <c r="AC115" s="683">
        <v>3984</v>
      </c>
      <c r="AD115" s="682">
        <v>4015</v>
      </c>
      <c r="AE115" s="683">
        <v>4119</v>
      </c>
      <c r="AF115" s="682">
        <v>3942</v>
      </c>
      <c r="AG115" s="683">
        <v>4094</v>
      </c>
      <c r="AH115" s="682">
        <v>4097</v>
      </c>
      <c r="AI115" s="696">
        <v>4036</v>
      </c>
      <c r="AJ115" s="696">
        <v>4159</v>
      </c>
      <c r="AK115" s="696">
        <v>4088</v>
      </c>
      <c r="AL115" s="696">
        <v>3842</v>
      </c>
      <c r="AM115" s="697">
        <v>3791</v>
      </c>
      <c r="AN115" s="697">
        <v>3718</v>
      </c>
      <c r="AO115" s="848">
        <v>3773</v>
      </c>
      <c r="AP115" s="1095">
        <v>3705</v>
      </c>
      <c r="AQ115" s="1608">
        <v>3620</v>
      </c>
      <c r="AR115" s="1608">
        <v>3726</v>
      </c>
      <c r="AS115" s="1971">
        <v>3526</v>
      </c>
      <c r="AT115" s="1095">
        <v>3383</v>
      </c>
      <c r="AU115" s="2020">
        <v>3444</v>
      </c>
      <c r="AV115" s="1005">
        <v>3339</v>
      </c>
      <c r="AW115" s="1005"/>
      <c r="AX115" s="704">
        <v>2011</v>
      </c>
      <c r="AY115" s="705">
        <v>1894</v>
      </c>
      <c r="AZ115" s="705">
        <v>1876</v>
      </c>
      <c r="BA115" s="705">
        <v>2026</v>
      </c>
      <c r="BB115" s="705">
        <v>2003</v>
      </c>
      <c r="BC115" s="705">
        <v>1887</v>
      </c>
      <c r="BD115" s="705">
        <v>1877</v>
      </c>
      <c r="BE115" s="705">
        <v>1937</v>
      </c>
      <c r="BF115" s="705">
        <v>1873</v>
      </c>
      <c r="BG115" s="705">
        <v>2019</v>
      </c>
      <c r="BH115" s="705">
        <v>2103</v>
      </c>
      <c r="BI115" s="705">
        <v>1892</v>
      </c>
      <c r="BJ115" s="705">
        <v>1946</v>
      </c>
      <c r="BK115" s="705">
        <v>1893</v>
      </c>
      <c r="BL115" s="851">
        <v>1908</v>
      </c>
      <c r="BM115" s="1096">
        <v>1782</v>
      </c>
      <c r="BN115" s="1097">
        <v>1657</v>
      </c>
      <c r="BO115" s="1096">
        <v>1750</v>
      </c>
      <c r="BP115" s="1969">
        <v>1595</v>
      </c>
      <c r="BQ115" s="1096">
        <v>1602</v>
      </c>
      <c r="BR115" s="2022">
        <v>1569</v>
      </c>
      <c r="BS115" s="1006">
        <v>1556</v>
      </c>
      <c r="BU115" s="2172">
        <f t="shared" si="62"/>
        <v>8072</v>
      </c>
      <c r="BV115" s="2172">
        <f t="shared" si="63"/>
        <v>17418</v>
      </c>
      <c r="BW115" s="2173">
        <f t="shared" si="64"/>
        <v>0.46342863704214032</v>
      </c>
    </row>
    <row r="116" spans="1:75" s="49" customFormat="1" ht="13.5" customHeight="1" x14ac:dyDescent="0.3">
      <c r="A116" s="56" t="s">
        <v>165</v>
      </c>
      <c r="B116" s="84" t="s">
        <v>166</v>
      </c>
      <c r="C116" s="57" t="s">
        <v>255</v>
      </c>
      <c r="D116" s="1623">
        <f t="shared" si="65"/>
        <v>0.35555555555555557</v>
      </c>
      <c r="E116" s="1624">
        <f t="shared" si="66"/>
        <v>0.32203389830508472</v>
      </c>
      <c r="F116" s="1624">
        <f t="shared" si="67"/>
        <v>0.29032258064516131</v>
      </c>
      <c r="G116" s="1624">
        <f t="shared" si="68"/>
        <v>0.33333333333333331</v>
      </c>
      <c r="H116" s="1624">
        <f t="shared" si="69"/>
        <v>0.52173913043478259</v>
      </c>
      <c r="I116" s="1624">
        <f t="shared" si="70"/>
        <v>0.51162790697674421</v>
      </c>
      <c r="J116" s="1624">
        <f t="shared" si="71"/>
        <v>0.64864864864864868</v>
      </c>
      <c r="K116" s="1624">
        <f t="shared" si="72"/>
        <v>0.53333333333333333</v>
      </c>
      <c r="L116" s="1624">
        <f t="shared" si="73"/>
        <v>0.5</v>
      </c>
      <c r="M116" s="1624">
        <f t="shared" si="74"/>
        <v>0.51111111111111107</v>
      </c>
      <c r="N116" s="1624">
        <f t="shared" si="75"/>
        <v>0.46341463414634149</v>
      </c>
      <c r="O116" s="1624">
        <f t="shared" si="76"/>
        <v>0.4838709677419355</v>
      </c>
      <c r="P116" s="1624">
        <f t="shared" si="77"/>
        <v>0.45454545454545453</v>
      </c>
      <c r="Q116" s="1624">
        <f t="shared" si="78"/>
        <v>0.5</v>
      </c>
      <c r="R116" s="1625">
        <f t="shared" si="79"/>
        <v>0.58333333333333337</v>
      </c>
      <c r="S116" s="1626">
        <f>'Non-marital births'!L117</f>
        <v>0.69387755102040816</v>
      </c>
      <c r="T116" s="1627">
        <v>0.375</v>
      </c>
      <c r="U116" s="1628">
        <f t="shared" si="80"/>
        <v>0.49019607843137253</v>
      </c>
      <c r="V116" s="2018">
        <f t="shared" si="81"/>
        <v>0.51851851851851849</v>
      </c>
      <c r="W116" s="2018">
        <f t="shared" si="82"/>
        <v>0.42499999999999999</v>
      </c>
      <c r="X116" s="2013">
        <f t="shared" si="83"/>
        <v>0.65909090909090906</v>
      </c>
      <c r="Y116" s="2096">
        <f t="shared" si="61"/>
        <v>0.69387755102040816</v>
      </c>
      <c r="Z116" s="2096"/>
      <c r="AA116" s="681">
        <v>45</v>
      </c>
      <c r="AB116" s="682">
        <v>59</v>
      </c>
      <c r="AC116" s="683">
        <v>62</v>
      </c>
      <c r="AD116" s="682">
        <v>39</v>
      </c>
      <c r="AE116" s="683">
        <v>23</v>
      </c>
      <c r="AF116" s="682">
        <v>43</v>
      </c>
      <c r="AG116" s="683">
        <v>37</v>
      </c>
      <c r="AH116" s="682">
        <v>30</v>
      </c>
      <c r="AI116" s="696">
        <v>36</v>
      </c>
      <c r="AJ116" s="696">
        <v>45</v>
      </c>
      <c r="AK116" s="696">
        <v>41</v>
      </c>
      <c r="AL116" s="696">
        <v>62</v>
      </c>
      <c r="AM116" s="697">
        <v>77</v>
      </c>
      <c r="AN116" s="697">
        <v>58</v>
      </c>
      <c r="AO116" s="848">
        <v>60</v>
      </c>
      <c r="AP116" s="1095">
        <v>59</v>
      </c>
      <c r="AQ116" s="1608">
        <v>48</v>
      </c>
      <c r="AR116" s="1608">
        <v>51</v>
      </c>
      <c r="AS116" s="1971">
        <v>54</v>
      </c>
      <c r="AT116" s="1095">
        <v>40</v>
      </c>
      <c r="AU116" s="2020">
        <v>44</v>
      </c>
      <c r="AV116" s="1005">
        <v>49</v>
      </c>
      <c r="AW116" s="1005"/>
      <c r="AX116" s="704">
        <v>16</v>
      </c>
      <c r="AY116" s="705">
        <v>19</v>
      </c>
      <c r="AZ116" s="705">
        <v>18</v>
      </c>
      <c r="BA116" s="705">
        <v>13</v>
      </c>
      <c r="BB116" s="705">
        <v>12</v>
      </c>
      <c r="BC116" s="705">
        <v>22</v>
      </c>
      <c r="BD116" s="705">
        <v>24</v>
      </c>
      <c r="BE116" s="705">
        <v>16</v>
      </c>
      <c r="BF116" s="705">
        <v>18</v>
      </c>
      <c r="BG116" s="705">
        <v>23</v>
      </c>
      <c r="BH116" s="705">
        <v>19</v>
      </c>
      <c r="BI116" s="705">
        <v>30</v>
      </c>
      <c r="BJ116" s="705">
        <v>35</v>
      </c>
      <c r="BK116" s="705">
        <v>29</v>
      </c>
      <c r="BL116" s="851">
        <v>35</v>
      </c>
      <c r="BM116" s="1096">
        <v>27</v>
      </c>
      <c r="BN116" s="1097">
        <v>18</v>
      </c>
      <c r="BO116" s="1096">
        <v>25</v>
      </c>
      <c r="BP116" s="1969">
        <v>28</v>
      </c>
      <c r="BQ116" s="1096">
        <v>17</v>
      </c>
      <c r="BR116" s="2022">
        <v>29</v>
      </c>
      <c r="BS116" s="1006">
        <v>34</v>
      </c>
      <c r="BU116" s="2172">
        <f t="shared" si="62"/>
        <v>133</v>
      </c>
      <c r="BV116" s="2172">
        <f t="shared" si="63"/>
        <v>238</v>
      </c>
      <c r="BW116" s="2173">
        <f t="shared" si="64"/>
        <v>0.55882352941176472</v>
      </c>
    </row>
    <row r="117" spans="1:75" s="49" customFormat="1" ht="13.5" customHeight="1" x14ac:dyDescent="0.3">
      <c r="A117" s="56" t="s">
        <v>175</v>
      </c>
      <c r="B117" s="84" t="s">
        <v>176</v>
      </c>
      <c r="C117" s="57" t="s">
        <v>253</v>
      </c>
      <c r="D117" s="1623">
        <f t="shared" si="65"/>
        <v>0.65734265734265729</v>
      </c>
      <c r="E117" s="1624">
        <f t="shared" si="66"/>
        <v>0.68965517241379315</v>
      </c>
      <c r="F117" s="1624">
        <f t="shared" si="67"/>
        <v>0.73193916349809884</v>
      </c>
      <c r="G117" s="1624">
        <f t="shared" si="68"/>
        <v>0.70810810810810809</v>
      </c>
      <c r="H117" s="1624">
        <f t="shared" si="69"/>
        <v>0.71132075471698109</v>
      </c>
      <c r="I117" s="1624">
        <f t="shared" si="70"/>
        <v>0.72559852670349911</v>
      </c>
      <c r="J117" s="1624">
        <f t="shared" si="71"/>
        <v>0.72159090909090906</v>
      </c>
      <c r="K117" s="1624">
        <f t="shared" si="72"/>
        <v>0.73577235772357719</v>
      </c>
      <c r="L117" s="1624">
        <f t="shared" si="73"/>
        <v>0.68309859154929575</v>
      </c>
      <c r="M117" s="1624">
        <f t="shared" si="74"/>
        <v>0.70092024539877296</v>
      </c>
      <c r="N117" s="1624">
        <f t="shared" si="75"/>
        <v>0.75124378109452739</v>
      </c>
      <c r="O117" s="1624">
        <f t="shared" si="76"/>
        <v>0.74662668665667165</v>
      </c>
      <c r="P117" s="1624">
        <f t="shared" si="77"/>
        <v>0.75679542203147354</v>
      </c>
      <c r="Q117" s="1624">
        <f t="shared" si="78"/>
        <v>0.74203338391502272</v>
      </c>
      <c r="R117" s="1625">
        <f t="shared" si="79"/>
        <v>0.76960784313725494</v>
      </c>
      <c r="S117" s="1626">
        <f>'Non-marital births'!L118</f>
        <v>0.70735294117647063</v>
      </c>
      <c r="T117" s="1627">
        <v>0.74781341107871724</v>
      </c>
      <c r="U117" s="1628">
        <f t="shared" si="80"/>
        <v>0.70742358078602618</v>
      </c>
      <c r="V117" s="2018">
        <f t="shared" si="81"/>
        <v>0.7831858407079646</v>
      </c>
      <c r="W117" s="2018">
        <f t="shared" si="82"/>
        <v>0.74047954866008459</v>
      </c>
      <c r="X117" s="2013">
        <f t="shared" si="83"/>
        <v>0.69252077562326875</v>
      </c>
      <c r="Y117" s="2096">
        <f t="shared" si="61"/>
        <v>0.70735294117647063</v>
      </c>
      <c r="Z117" s="2096"/>
      <c r="AA117" s="681">
        <v>572</v>
      </c>
      <c r="AB117" s="682">
        <v>551</v>
      </c>
      <c r="AC117" s="683">
        <v>526</v>
      </c>
      <c r="AD117" s="682">
        <v>555</v>
      </c>
      <c r="AE117" s="683">
        <v>530</v>
      </c>
      <c r="AF117" s="682">
        <v>543</v>
      </c>
      <c r="AG117" s="683">
        <v>528</v>
      </c>
      <c r="AH117" s="682">
        <v>492</v>
      </c>
      <c r="AI117" s="696">
        <v>568</v>
      </c>
      <c r="AJ117" s="696">
        <v>652</v>
      </c>
      <c r="AK117" s="696">
        <v>603</v>
      </c>
      <c r="AL117" s="696">
        <v>667</v>
      </c>
      <c r="AM117" s="697">
        <v>699</v>
      </c>
      <c r="AN117" s="697">
        <v>659</v>
      </c>
      <c r="AO117" s="848">
        <v>612</v>
      </c>
      <c r="AP117" s="1095">
        <v>721</v>
      </c>
      <c r="AQ117" s="1608">
        <v>686</v>
      </c>
      <c r="AR117" s="1608">
        <v>687</v>
      </c>
      <c r="AS117" s="1971">
        <v>452</v>
      </c>
      <c r="AT117" s="1095">
        <v>709</v>
      </c>
      <c r="AU117" s="2020">
        <v>722</v>
      </c>
      <c r="AV117" s="1005">
        <v>680</v>
      </c>
      <c r="AW117" s="1005"/>
      <c r="AX117" s="704">
        <v>376</v>
      </c>
      <c r="AY117" s="705">
        <v>380</v>
      </c>
      <c r="AZ117" s="705">
        <v>385</v>
      </c>
      <c r="BA117" s="705">
        <v>393</v>
      </c>
      <c r="BB117" s="705">
        <v>377</v>
      </c>
      <c r="BC117" s="705">
        <v>394</v>
      </c>
      <c r="BD117" s="705">
        <v>381</v>
      </c>
      <c r="BE117" s="705">
        <v>362</v>
      </c>
      <c r="BF117" s="705">
        <v>388</v>
      </c>
      <c r="BG117" s="705">
        <v>457</v>
      </c>
      <c r="BH117" s="705">
        <v>453</v>
      </c>
      <c r="BI117" s="705">
        <v>498</v>
      </c>
      <c r="BJ117" s="705">
        <v>529</v>
      </c>
      <c r="BK117" s="705">
        <v>489</v>
      </c>
      <c r="BL117" s="851">
        <v>471</v>
      </c>
      <c r="BM117" s="1096">
        <v>510</v>
      </c>
      <c r="BN117" s="1097">
        <v>513</v>
      </c>
      <c r="BO117" s="1096">
        <v>486</v>
      </c>
      <c r="BP117" s="1969">
        <v>354</v>
      </c>
      <c r="BQ117" s="1096">
        <v>525</v>
      </c>
      <c r="BR117" s="2022">
        <v>500</v>
      </c>
      <c r="BS117" s="1006">
        <v>481</v>
      </c>
      <c r="BU117" s="2172">
        <f t="shared" si="62"/>
        <v>2346</v>
      </c>
      <c r="BV117" s="2172">
        <f t="shared" si="63"/>
        <v>3250</v>
      </c>
      <c r="BW117" s="2173">
        <f t="shared" si="64"/>
        <v>0.7218461538461538</v>
      </c>
    </row>
    <row r="118" spans="1:75" s="49" customFormat="1" ht="13.5" customHeight="1" x14ac:dyDescent="0.3">
      <c r="A118" s="56" t="s">
        <v>179</v>
      </c>
      <c r="B118" s="84" t="s">
        <v>180</v>
      </c>
      <c r="C118" s="57" t="s">
        <v>251</v>
      </c>
      <c r="D118" s="1623">
        <f t="shared" si="65"/>
        <v>0.52615571776155723</v>
      </c>
      <c r="E118" s="1624">
        <f t="shared" si="66"/>
        <v>0.52805486284289271</v>
      </c>
      <c r="F118" s="1624">
        <f t="shared" si="67"/>
        <v>0.53044041450777202</v>
      </c>
      <c r="G118" s="1624">
        <f t="shared" si="68"/>
        <v>0.53753943217665612</v>
      </c>
      <c r="H118" s="1624">
        <f t="shared" si="69"/>
        <v>0.51656920077972712</v>
      </c>
      <c r="I118" s="1624">
        <f t="shared" si="70"/>
        <v>0.49530369442705074</v>
      </c>
      <c r="J118" s="1624">
        <f t="shared" si="71"/>
        <v>0.50273224043715847</v>
      </c>
      <c r="K118" s="1624">
        <f t="shared" si="72"/>
        <v>0.50308641975308643</v>
      </c>
      <c r="L118" s="1624">
        <f t="shared" si="73"/>
        <v>0.52006880733944949</v>
      </c>
      <c r="M118" s="1624">
        <f t="shared" si="74"/>
        <v>0.51766138855054811</v>
      </c>
      <c r="N118" s="1624">
        <f t="shared" si="75"/>
        <v>0.54276527331189706</v>
      </c>
      <c r="O118" s="1624">
        <f t="shared" si="76"/>
        <v>0.55699322242760319</v>
      </c>
      <c r="P118" s="1624">
        <f t="shared" si="77"/>
        <v>0.53144654088050314</v>
      </c>
      <c r="Q118" s="1624">
        <f t="shared" si="78"/>
        <v>0.56835443037974687</v>
      </c>
      <c r="R118" s="1625">
        <f t="shared" si="79"/>
        <v>0.54432855280312908</v>
      </c>
      <c r="S118" s="1626">
        <f>'Non-marital births'!L119</f>
        <v>0.55932203389830504</v>
      </c>
      <c r="T118" s="1627">
        <v>0.55691056910569103</v>
      </c>
      <c r="U118" s="1628">
        <f t="shared" si="80"/>
        <v>0.54085603112840464</v>
      </c>
      <c r="V118" s="2018">
        <f t="shared" si="81"/>
        <v>0.55072463768115942</v>
      </c>
      <c r="W118" s="2018">
        <f t="shared" si="82"/>
        <v>0.55969634230503795</v>
      </c>
      <c r="X118" s="2013">
        <f t="shared" si="83"/>
        <v>0.54956268221574345</v>
      </c>
      <c r="Y118" s="2096">
        <f t="shared" si="61"/>
        <v>0.55932203389830504</v>
      </c>
      <c r="Z118" s="2096"/>
      <c r="AA118" s="681">
        <v>1644</v>
      </c>
      <c r="AB118" s="682">
        <v>1604</v>
      </c>
      <c r="AC118" s="683">
        <v>1544</v>
      </c>
      <c r="AD118" s="682">
        <v>1585</v>
      </c>
      <c r="AE118" s="683">
        <v>1539</v>
      </c>
      <c r="AF118" s="682">
        <v>1597</v>
      </c>
      <c r="AG118" s="683">
        <v>1647</v>
      </c>
      <c r="AH118" s="682">
        <v>1620</v>
      </c>
      <c r="AI118" s="696">
        <v>1744</v>
      </c>
      <c r="AJ118" s="696">
        <v>1642</v>
      </c>
      <c r="AK118" s="696">
        <v>1555</v>
      </c>
      <c r="AL118" s="696">
        <v>1623</v>
      </c>
      <c r="AM118" s="697">
        <v>1590</v>
      </c>
      <c r="AN118" s="697">
        <v>1580</v>
      </c>
      <c r="AO118" s="848">
        <v>1534</v>
      </c>
      <c r="AP118" s="1095">
        <v>1551</v>
      </c>
      <c r="AQ118" s="1608">
        <v>1476</v>
      </c>
      <c r="AR118" s="1608">
        <v>1542</v>
      </c>
      <c r="AS118" s="1971">
        <v>1449</v>
      </c>
      <c r="AT118" s="1095">
        <v>1449</v>
      </c>
      <c r="AU118" s="2020">
        <v>1372</v>
      </c>
      <c r="AV118" s="1005">
        <v>1475</v>
      </c>
      <c r="AW118" s="1005"/>
      <c r="AX118" s="704">
        <v>865</v>
      </c>
      <c r="AY118" s="705">
        <v>847</v>
      </c>
      <c r="AZ118" s="705">
        <v>819</v>
      </c>
      <c r="BA118" s="705">
        <v>852</v>
      </c>
      <c r="BB118" s="705">
        <v>795</v>
      </c>
      <c r="BC118" s="705">
        <v>791</v>
      </c>
      <c r="BD118" s="705">
        <v>828</v>
      </c>
      <c r="BE118" s="705">
        <v>815</v>
      </c>
      <c r="BF118" s="705">
        <v>907</v>
      </c>
      <c r="BG118" s="705">
        <v>850</v>
      </c>
      <c r="BH118" s="705">
        <v>844</v>
      </c>
      <c r="BI118" s="705">
        <v>904</v>
      </c>
      <c r="BJ118" s="705">
        <v>845</v>
      </c>
      <c r="BK118" s="705">
        <v>898</v>
      </c>
      <c r="BL118" s="851">
        <v>835</v>
      </c>
      <c r="BM118" s="1096">
        <v>850</v>
      </c>
      <c r="BN118" s="1097">
        <v>822</v>
      </c>
      <c r="BO118" s="1096">
        <v>834</v>
      </c>
      <c r="BP118" s="1969">
        <v>798</v>
      </c>
      <c r="BQ118" s="1096">
        <v>811</v>
      </c>
      <c r="BR118" s="2022">
        <v>754</v>
      </c>
      <c r="BS118" s="1006">
        <v>825</v>
      </c>
      <c r="BU118" s="2172">
        <f t="shared" si="62"/>
        <v>4022</v>
      </c>
      <c r="BV118" s="2172">
        <f t="shared" si="63"/>
        <v>7287</v>
      </c>
      <c r="BW118" s="2173">
        <f t="shared" si="64"/>
        <v>0.55194181418965282</v>
      </c>
    </row>
    <row r="119" spans="1:75" s="49" customFormat="1" ht="13.5" customHeight="1" x14ac:dyDescent="0.3">
      <c r="A119" s="56" t="s">
        <v>191</v>
      </c>
      <c r="B119" s="84" t="s">
        <v>192</v>
      </c>
      <c r="C119" s="57" t="s">
        <v>255</v>
      </c>
      <c r="D119" s="1623">
        <f t="shared" si="65"/>
        <v>0.38211382113821141</v>
      </c>
      <c r="E119" s="1624">
        <f t="shared" si="66"/>
        <v>0.26712328767123289</v>
      </c>
      <c r="F119" s="1624">
        <f t="shared" si="67"/>
        <v>0.33333333333333331</v>
      </c>
      <c r="G119" s="1624">
        <f t="shared" si="68"/>
        <v>0.27407407407407408</v>
      </c>
      <c r="H119" s="1624">
        <f t="shared" si="69"/>
        <v>0.31496062992125984</v>
      </c>
      <c r="I119" s="1624">
        <f t="shared" si="70"/>
        <v>0.32539682539682541</v>
      </c>
      <c r="J119" s="1624">
        <f t="shared" si="71"/>
        <v>0.3783783783783784</v>
      </c>
      <c r="K119" s="1624">
        <f t="shared" si="72"/>
        <v>0.33333333333333331</v>
      </c>
      <c r="L119" s="1624">
        <f t="shared" si="73"/>
        <v>0.39568345323741005</v>
      </c>
      <c r="M119" s="1624">
        <f t="shared" si="74"/>
        <v>0.30201342281879195</v>
      </c>
      <c r="N119" s="1624">
        <f t="shared" si="75"/>
        <v>0.39370078740157483</v>
      </c>
      <c r="O119" s="1624">
        <f t="shared" si="76"/>
        <v>0.36090225563909772</v>
      </c>
      <c r="P119" s="1624">
        <f t="shared" si="77"/>
        <v>0.48920863309352519</v>
      </c>
      <c r="Q119" s="1624">
        <f t="shared" si="78"/>
        <v>0.41911764705882354</v>
      </c>
      <c r="R119" s="1625">
        <f t="shared" si="79"/>
        <v>0.46853146853146854</v>
      </c>
      <c r="S119" s="1626">
        <f>'Non-marital births'!L120</f>
        <v>0.45038167938931295</v>
      </c>
      <c r="T119" s="1627">
        <v>0.46405228758169936</v>
      </c>
      <c r="U119" s="1628">
        <f t="shared" si="80"/>
        <v>0.37681159420289856</v>
      </c>
      <c r="V119" s="2018">
        <f t="shared" si="81"/>
        <v>0.38461538461538464</v>
      </c>
      <c r="W119" s="2018">
        <f t="shared" si="82"/>
        <v>0.39160839160839161</v>
      </c>
      <c r="X119" s="2013">
        <f t="shared" si="83"/>
        <v>0.40944881889763779</v>
      </c>
      <c r="Y119" s="2096">
        <f t="shared" si="61"/>
        <v>0.45038167938931295</v>
      </c>
      <c r="Z119" s="2096"/>
      <c r="AA119" s="681">
        <v>123</v>
      </c>
      <c r="AB119" s="682">
        <v>146</v>
      </c>
      <c r="AC119" s="683">
        <v>159</v>
      </c>
      <c r="AD119" s="682">
        <v>135</v>
      </c>
      <c r="AE119" s="683">
        <v>127</v>
      </c>
      <c r="AF119" s="682">
        <v>126</v>
      </c>
      <c r="AG119" s="683">
        <v>111</v>
      </c>
      <c r="AH119" s="682">
        <v>129</v>
      </c>
      <c r="AI119" s="696">
        <v>139</v>
      </c>
      <c r="AJ119" s="696">
        <v>149</v>
      </c>
      <c r="AK119" s="696">
        <v>127</v>
      </c>
      <c r="AL119" s="696">
        <v>133</v>
      </c>
      <c r="AM119" s="697">
        <v>139</v>
      </c>
      <c r="AN119" s="697">
        <v>136</v>
      </c>
      <c r="AO119" s="848">
        <v>143</v>
      </c>
      <c r="AP119" s="1095">
        <v>160</v>
      </c>
      <c r="AQ119" s="1608">
        <v>153</v>
      </c>
      <c r="AR119" s="1608">
        <v>138</v>
      </c>
      <c r="AS119" s="1971">
        <v>117</v>
      </c>
      <c r="AT119" s="1095">
        <v>143</v>
      </c>
      <c r="AU119" s="2020">
        <v>127</v>
      </c>
      <c r="AV119" s="1005">
        <v>131</v>
      </c>
      <c r="AW119" s="1005"/>
      <c r="AX119" s="704">
        <v>47</v>
      </c>
      <c r="AY119" s="705">
        <v>39</v>
      </c>
      <c r="AZ119" s="705">
        <v>53</v>
      </c>
      <c r="BA119" s="705">
        <v>37</v>
      </c>
      <c r="BB119" s="705">
        <v>40</v>
      </c>
      <c r="BC119" s="705">
        <v>41</v>
      </c>
      <c r="BD119" s="705">
        <v>42</v>
      </c>
      <c r="BE119" s="705">
        <v>43</v>
      </c>
      <c r="BF119" s="705">
        <v>55</v>
      </c>
      <c r="BG119" s="705">
        <v>45</v>
      </c>
      <c r="BH119" s="705">
        <v>50</v>
      </c>
      <c r="BI119" s="705">
        <v>48</v>
      </c>
      <c r="BJ119" s="705">
        <v>68</v>
      </c>
      <c r="BK119" s="705">
        <v>57</v>
      </c>
      <c r="BL119" s="851">
        <v>67</v>
      </c>
      <c r="BM119" s="1096">
        <v>65</v>
      </c>
      <c r="BN119" s="1097">
        <v>71</v>
      </c>
      <c r="BO119" s="1096">
        <v>52</v>
      </c>
      <c r="BP119" s="1969">
        <v>45</v>
      </c>
      <c r="BQ119" s="1096">
        <v>56</v>
      </c>
      <c r="BR119" s="2022">
        <v>52</v>
      </c>
      <c r="BS119" s="1006">
        <v>59</v>
      </c>
      <c r="BU119" s="2172">
        <f t="shared" si="62"/>
        <v>264</v>
      </c>
      <c r="BV119" s="2172">
        <f t="shared" si="63"/>
        <v>656</v>
      </c>
      <c r="BW119" s="2173">
        <f t="shared" si="64"/>
        <v>0.40243902439024393</v>
      </c>
    </row>
    <row r="120" spans="1:75" s="49" customFormat="1" ht="13.5" customHeight="1" x14ac:dyDescent="0.3">
      <c r="A120" s="56" t="s">
        <v>195</v>
      </c>
      <c r="B120" s="84" t="s">
        <v>196</v>
      </c>
      <c r="C120" s="57" t="s">
        <v>253</v>
      </c>
      <c r="D120" s="1623">
        <f t="shared" si="65"/>
        <v>0.6399719002458728</v>
      </c>
      <c r="E120" s="1624">
        <f t="shared" si="66"/>
        <v>0.59066121336059985</v>
      </c>
      <c r="F120" s="1624">
        <f t="shared" si="67"/>
        <v>0.61367353614654896</v>
      </c>
      <c r="G120" s="1624">
        <f t="shared" si="68"/>
        <v>0.60593490746649648</v>
      </c>
      <c r="H120" s="1624">
        <f t="shared" si="69"/>
        <v>0.59980525803310614</v>
      </c>
      <c r="I120" s="1624">
        <f t="shared" si="70"/>
        <v>0.6080156402737048</v>
      </c>
      <c r="J120" s="1624">
        <f t="shared" si="71"/>
        <v>0.60998336106489182</v>
      </c>
      <c r="K120" s="1624">
        <f t="shared" si="72"/>
        <v>0.61164406218987766</v>
      </c>
      <c r="L120" s="1624">
        <f t="shared" si="73"/>
        <v>0.62401055408970973</v>
      </c>
      <c r="M120" s="1624">
        <f t="shared" si="74"/>
        <v>0.63526570048309183</v>
      </c>
      <c r="N120" s="1624">
        <f t="shared" si="75"/>
        <v>0.63672111312764668</v>
      </c>
      <c r="O120" s="1624">
        <f t="shared" si="76"/>
        <v>0.6450704225352113</v>
      </c>
      <c r="P120" s="1624">
        <f t="shared" si="77"/>
        <v>0.64503042596348881</v>
      </c>
      <c r="Q120" s="1624">
        <f t="shared" si="78"/>
        <v>0.63904729956390471</v>
      </c>
      <c r="R120" s="1625">
        <f t="shared" si="79"/>
        <v>0.64137461721674038</v>
      </c>
      <c r="S120" s="1626">
        <f>'Non-marital births'!L121</f>
        <v>0.59961190168175937</v>
      </c>
      <c r="T120" s="1627">
        <v>0.60095989029825159</v>
      </c>
      <c r="U120" s="1628">
        <f t="shared" si="80"/>
        <v>0.62536208561313167</v>
      </c>
      <c r="V120" s="2018">
        <f t="shared" si="81"/>
        <v>0.57648630594522376</v>
      </c>
      <c r="W120" s="2018">
        <f t="shared" si="82"/>
        <v>0.61915810407689753</v>
      </c>
      <c r="X120" s="2013">
        <f t="shared" si="83"/>
        <v>0.58992346938775508</v>
      </c>
      <c r="Y120" s="2096">
        <f t="shared" si="61"/>
        <v>0.59961190168175937</v>
      </c>
      <c r="Z120" s="2096"/>
      <c r="AA120" s="681">
        <v>2847</v>
      </c>
      <c r="AB120" s="682">
        <v>2934</v>
      </c>
      <c r="AC120" s="683">
        <v>3057</v>
      </c>
      <c r="AD120" s="682">
        <v>3134</v>
      </c>
      <c r="AE120" s="683">
        <v>3081</v>
      </c>
      <c r="AF120" s="682">
        <v>3069</v>
      </c>
      <c r="AG120" s="683">
        <v>3005</v>
      </c>
      <c r="AH120" s="682">
        <v>3023</v>
      </c>
      <c r="AI120" s="696">
        <v>3032</v>
      </c>
      <c r="AJ120" s="696">
        <v>3312</v>
      </c>
      <c r="AK120" s="696">
        <v>3306</v>
      </c>
      <c r="AL120" s="696">
        <v>3195</v>
      </c>
      <c r="AM120" s="697">
        <v>2958</v>
      </c>
      <c r="AN120" s="697">
        <v>2981</v>
      </c>
      <c r="AO120" s="848">
        <v>2939</v>
      </c>
      <c r="AP120" s="1095">
        <v>2837</v>
      </c>
      <c r="AQ120" s="1608">
        <v>2917</v>
      </c>
      <c r="AR120" s="1608">
        <v>3107</v>
      </c>
      <c r="AS120" s="1971">
        <v>2994</v>
      </c>
      <c r="AT120" s="1095">
        <v>3017</v>
      </c>
      <c r="AU120" s="2020">
        <v>3136</v>
      </c>
      <c r="AV120" s="1005">
        <v>3092</v>
      </c>
      <c r="AW120" s="1005"/>
      <c r="AX120" s="704">
        <v>1822</v>
      </c>
      <c r="AY120" s="705">
        <v>1733</v>
      </c>
      <c r="AZ120" s="705">
        <v>1876</v>
      </c>
      <c r="BA120" s="705">
        <v>1899</v>
      </c>
      <c r="BB120" s="705">
        <v>1848</v>
      </c>
      <c r="BC120" s="705">
        <v>1866</v>
      </c>
      <c r="BD120" s="705">
        <v>1833</v>
      </c>
      <c r="BE120" s="705">
        <v>1849</v>
      </c>
      <c r="BF120" s="705">
        <v>1892</v>
      </c>
      <c r="BG120" s="705">
        <v>2104</v>
      </c>
      <c r="BH120" s="705">
        <v>2105</v>
      </c>
      <c r="BI120" s="705">
        <v>2061</v>
      </c>
      <c r="BJ120" s="705">
        <v>1908</v>
      </c>
      <c r="BK120" s="705">
        <v>1905</v>
      </c>
      <c r="BL120" s="851">
        <v>1885</v>
      </c>
      <c r="BM120" s="1096">
        <v>1828</v>
      </c>
      <c r="BN120" s="1097">
        <v>1753</v>
      </c>
      <c r="BO120" s="1096">
        <v>1943</v>
      </c>
      <c r="BP120" s="1969">
        <v>1726</v>
      </c>
      <c r="BQ120" s="1096">
        <v>1868</v>
      </c>
      <c r="BR120" s="2022">
        <v>1850</v>
      </c>
      <c r="BS120" s="1006">
        <v>1854</v>
      </c>
      <c r="BU120" s="2172">
        <f t="shared" si="62"/>
        <v>9241</v>
      </c>
      <c r="BV120" s="2172">
        <f t="shared" si="63"/>
        <v>15346</v>
      </c>
      <c r="BW120" s="2173">
        <f t="shared" si="64"/>
        <v>0.60217646292193405</v>
      </c>
    </row>
    <row r="121" spans="1:75" s="49" customFormat="1" ht="13.5" customHeight="1" x14ac:dyDescent="0.3">
      <c r="A121" s="56" t="s">
        <v>199</v>
      </c>
      <c r="B121" s="84" t="s">
        <v>200</v>
      </c>
      <c r="C121" s="57" t="s">
        <v>252</v>
      </c>
      <c r="D121" s="1623">
        <f t="shared" si="65"/>
        <v>0.45777777777777778</v>
      </c>
      <c r="E121" s="1624">
        <f t="shared" si="66"/>
        <v>0.44927536231884058</v>
      </c>
      <c r="F121" s="1624">
        <f t="shared" si="67"/>
        <v>0.48230088495575218</v>
      </c>
      <c r="G121" s="1624">
        <f t="shared" si="68"/>
        <v>0.44278996865203762</v>
      </c>
      <c r="H121" s="1624">
        <f t="shared" si="69"/>
        <v>0.50538599640933568</v>
      </c>
      <c r="I121" s="1624">
        <f t="shared" si="70"/>
        <v>0.48234410217881291</v>
      </c>
      <c r="J121" s="1624">
        <f t="shared" si="71"/>
        <v>0.51263157894736844</v>
      </c>
      <c r="K121" s="1624">
        <f t="shared" si="72"/>
        <v>0.52329450915141429</v>
      </c>
      <c r="L121" s="1624">
        <f t="shared" si="73"/>
        <v>0.54430379746835444</v>
      </c>
      <c r="M121" s="1624">
        <f t="shared" si="74"/>
        <v>0.56980416929879973</v>
      </c>
      <c r="N121" s="1624">
        <f t="shared" si="75"/>
        <v>0.5740390674228103</v>
      </c>
      <c r="O121" s="1624">
        <f t="shared" si="76"/>
        <v>0.55613238157040878</v>
      </c>
      <c r="P121" s="1624">
        <f t="shared" si="77"/>
        <v>0.56090846524432214</v>
      </c>
      <c r="Q121" s="1624">
        <f t="shared" si="78"/>
        <v>0.5630026809651475</v>
      </c>
      <c r="R121" s="1625">
        <f t="shared" si="79"/>
        <v>0.56501340482573725</v>
      </c>
      <c r="S121" s="1626">
        <f>'Non-marital births'!L122</f>
        <v>0.55442176870748294</v>
      </c>
      <c r="T121" s="1627">
        <v>0.56085753803596128</v>
      </c>
      <c r="U121" s="1628">
        <f t="shared" si="80"/>
        <v>0.55847568988173457</v>
      </c>
      <c r="V121" s="2018">
        <f t="shared" si="81"/>
        <v>0.56309963099631</v>
      </c>
      <c r="W121" s="2018">
        <f t="shared" si="82"/>
        <v>0.54376854599406532</v>
      </c>
      <c r="X121" s="2013">
        <f t="shared" si="83"/>
        <v>0.53636363636363638</v>
      </c>
      <c r="Y121" s="2096">
        <f t="shared" si="61"/>
        <v>0.55442176870748294</v>
      </c>
      <c r="Z121" s="2096"/>
      <c r="AA121" s="681">
        <v>1350</v>
      </c>
      <c r="AB121" s="682">
        <v>1380</v>
      </c>
      <c r="AC121" s="683">
        <v>1356</v>
      </c>
      <c r="AD121" s="682">
        <v>1276</v>
      </c>
      <c r="AE121" s="683">
        <v>1114</v>
      </c>
      <c r="AF121" s="682">
        <v>1331</v>
      </c>
      <c r="AG121" s="683">
        <v>950</v>
      </c>
      <c r="AH121" s="682">
        <v>1202</v>
      </c>
      <c r="AI121" s="696">
        <v>1422</v>
      </c>
      <c r="AJ121" s="696">
        <v>1583</v>
      </c>
      <c r="AK121" s="696">
        <v>1587</v>
      </c>
      <c r="AL121" s="696">
        <v>1541</v>
      </c>
      <c r="AM121" s="697">
        <v>1453</v>
      </c>
      <c r="AN121" s="697">
        <v>1492</v>
      </c>
      <c r="AO121" s="848">
        <v>1492</v>
      </c>
      <c r="AP121" s="1095">
        <v>1495</v>
      </c>
      <c r="AQ121" s="1608">
        <v>1446</v>
      </c>
      <c r="AR121" s="1608">
        <v>1522</v>
      </c>
      <c r="AS121" s="1971">
        <v>1355</v>
      </c>
      <c r="AT121" s="1095">
        <v>1348</v>
      </c>
      <c r="AU121" s="2020">
        <v>1430</v>
      </c>
      <c r="AV121" s="1005">
        <v>1470</v>
      </c>
      <c r="AW121" s="1005"/>
      <c r="AX121" s="704">
        <v>618</v>
      </c>
      <c r="AY121" s="705">
        <v>620</v>
      </c>
      <c r="AZ121" s="705">
        <v>654</v>
      </c>
      <c r="BA121" s="705">
        <v>565</v>
      </c>
      <c r="BB121" s="705">
        <v>563</v>
      </c>
      <c r="BC121" s="705">
        <v>642</v>
      </c>
      <c r="BD121" s="705">
        <v>487</v>
      </c>
      <c r="BE121" s="705">
        <v>629</v>
      </c>
      <c r="BF121" s="705">
        <v>774</v>
      </c>
      <c r="BG121" s="705">
        <v>902</v>
      </c>
      <c r="BH121" s="705">
        <v>911</v>
      </c>
      <c r="BI121" s="705">
        <v>857</v>
      </c>
      <c r="BJ121" s="705">
        <v>815</v>
      </c>
      <c r="BK121" s="705">
        <v>840</v>
      </c>
      <c r="BL121" s="851">
        <v>843</v>
      </c>
      <c r="BM121" s="1096">
        <v>836</v>
      </c>
      <c r="BN121" s="1097">
        <v>811</v>
      </c>
      <c r="BO121" s="1096">
        <v>850</v>
      </c>
      <c r="BP121" s="1969">
        <v>763</v>
      </c>
      <c r="BQ121" s="1096">
        <v>733</v>
      </c>
      <c r="BR121" s="2022">
        <v>767</v>
      </c>
      <c r="BS121" s="1006">
        <v>815</v>
      </c>
      <c r="BU121" s="2172">
        <f t="shared" si="62"/>
        <v>3928</v>
      </c>
      <c r="BV121" s="2172">
        <f t="shared" si="63"/>
        <v>7125</v>
      </c>
      <c r="BW121" s="2173">
        <f t="shared" si="64"/>
        <v>0.55129824561403507</v>
      </c>
    </row>
    <row r="122" spans="1:75" s="49" customFormat="1" ht="13.5" customHeight="1" x14ac:dyDescent="0.3">
      <c r="A122" s="56" t="s">
        <v>221</v>
      </c>
      <c r="B122" s="84" t="s">
        <v>222</v>
      </c>
      <c r="C122" s="57" t="s">
        <v>251</v>
      </c>
      <c r="D122" s="1623">
        <f t="shared" si="65"/>
        <v>0.45701357466063347</v>
      </c>
      <c r="E122" s="1624">
        <f t="shared" si="66"/>
        <v>0.39445628997867804</v>
      </c>
      <c r="F122" s="1624">
        <f t="shared" si="67"/>
        <v>0.36706349206349204</v>
      </c>
      <c r="G122" s="1624">
        <f t="shared" si="68"/>
        <v>0.3882476390346275</v>
      </c>
      <c r="H122" s="1624">
        <f t="shared" si="69"/>
        <v>0.37618147448015121</v>
      </c>
      <c r="I122" s="1624">
        <f t="shared" si="70"/>
        <v>0.36338546458141674</v>
      </c>
      <c r="J122" s="1624">
        <f t="shared" si="71"/>
        <v>0.34401349072512649</v>
      </c>
      <c r="K122" s="1624">
        <f t="shared" si="72"/>
        <v>0.35338983050847456</v>
      </c>
      <c r="L122" s="1624">
        <f t="shared" si="73"/>
        <v>0.36554621848739494</v>
      </c>
      <c r="M122" s="1624">
        <f t="shared" si="74"/>
        <v>0.37593360995850622</v>
      </c>
      <c r="N122" s="1624">
        <f t="shared" si="75"/>
        <v>0.40825688073394495</v>
      </c>
      <c r="O122" s="1624">
        <f t="shared" si="76"/>
        <v>0.42746113989637308</v>
      </c>
      <c r="P122" s="1624">
        <f t="shared" si="77"/>
        <v>0.43321299638989169</v>
      </c>
      <c r="Q122" s="1624">
        <f t="shared" si="78"/>
        <v>0.38943598925693823</v>
      </c>
      <c r="R122" s="1625">
        <f t="shared" si="79"/>
        <v>0.41122355105795766</v>
      </c>
      <c r="S122" s="1626">
        <f>'Non-marital births'!L123</f>
        <v>0.38146167557932265</v>
      </c>
      <c r="T122" s="1627">
        <v>0.36688014638609334</v>
      </c>
      <c r="U122" s="1628">
        <f t="shared" si="80"/>
        <v>0.39724849527085127</v>
      </c>
      <c r="V122" s="2018">
        <f t="shared" si="81"/>
        <v>0.37207207207207205</v>
      </c>
      <c r="W122" s="2018">
        <f t="shared" si="82"/>
        <v>0.39912280701754388</v>
      </c>
      <c r="X122" s="2013">
        <f t="shared" si="83"/>
        <v>0.36604095563139932</v>
      </c>
      <c r="Y122" s="2096">
        <f t="shared" si="61"/>
        <v>0.38146167557932265</v>
      </c>
      <c r="Z122" s="2096"/>
      <c r="AA122" s="681">
        <v>884</v>
      </c>
      <c r="AB122" s="682">
        <v>938</v>
      </c>
      <c r="AC122" s="683">
        <v>1008</v>
      </c>
      <c r="AD122" s="682">
        <v>953</v>
      </c>
      <c r="AE122" s="683">
        <v>1058</v>
      </c>
      <c r="AF122" s="682">
        <v>1087</v>
      </c>
      <c r="AG122" s="683">
        <v>1186</v>
      </c>
      <c r="AH122" s="682">
        <v>1180</v>
      </c>
      <c r="AI122" s="696">
        <v>1190</v>
      </c>
      <c r="AJ122" s="696">
        <v>1205</v>
      </c>
      <c r="AK122" s="696">
        <v>1090</v>
      </c>
      <c r="AL122" s="696">
        <v>1158</v>
      </c>
      <c r="AM122" s="697">
        <v>1108</v>
      </c>
      <c r="AN122" s="697">
        <v>1117</v>
      </c>
      <c r="AO122" s="848">
        <v>1087</v>
      </c>
      <c r="AP122" s="1095">
        <v>1091</v>
      </c>
      <c r="AQ122" s="1608">
        <v>1093</v>
      </c>
      <c r="AR122" s="1608">
        <v>1163</v>
      </c>
      <c r="AS122" s="1971">
        <v>1110</v>
      </c>
      <c r="AT122" s="1095">
        <v>1140</v>
      </c>
      <c r="AU122" s="2020">
        <v>1172</v>
      </c>
      <c r="AV122" s="1005">
        <v>1122</v>
      </c>
      <c r="AW122" s="1005"/>
      <c r="AX122" s="704">
        <v>404</v>
      </c>
      <c r="AY122" s="705">
        <v>370</v>
      </c>
      <c r="AZ122" s="705">
        <v>370</v>
      </c>
      <c r="BA122" s="705">
        <v>370</v>
      </c>
      <c r="BB122" s="705">
        <v>398</v>
      </c>
      <c r="BC122" s="705">
        <v>395</v>
      </c>
      <c r="BD122" s="705">
        <v>408</v>
      </c>
      <c r="BE122" s="705">
        <v>417</v>
      </c>
      <c r="BF122" s="705">
        <v>435</v>
      </c>
      <c r="BG122" s="705">
        <v>453</v>
      </c>
      <c r="BH122" s="705">
        <v>445</v>
      </c>
      <c r="BI122" s="705">
        <v>495</v>
      </c>
      <c r="BJ122" s="705">
        <v>480</v>
      </c>
      <c r="BK122" s="705">
        <v>435</v>
      </c>
      <c r="BL122" s="851">
        <v>447</v>
      </c>
      <c r="BM122" s="1096">
        <v>413</v>
      </c>
      <c r="BN122" s="1097">
        <v>401</v>
      </c>
      <c r="BO122" s="1096">
        <v>462</v>
      </c>
      <c r="BP122" s="1969">
        <v>413</v>
      </c>
      <c r="BQ122" s="1096">
        <v>455</v>
      </c>
      <c r="BR122" s="2022">
        <v>429</v>
      </c>
      <c r="BS122" s="1006">
        <v>428</v>
      </c>
      <c r="BU122" s="2172">
        <f t="shared" si="62"/>
        <v>2187</v>
      </c>
      <c r="BV122" s="2172">
        <f t="shared" si="63"/>
        <v>5707</v>
      </c>
      <c r="BW122" s="2173">
        <f t="shared" si="64"/>
        <v>0.38321359733660415</v>
      </c>
    </row>
    <row r="123" spans="1:75" s="49" customFormat="1" ht="13.5" customHeight="1" x14ac:dyDescent="0.3">
      <c r="A123" s="56" t="s">
        <v>229</v>
      </c>
      <c r="B123" s="84" t="s">
        <v>230</v>
      </c>
      <c r="C123" s="57" t="s">
        <v>251</v>
      </c>
      <c r="D123" s="1623">
        <f t="shared" si="65"/>
        <v>0.25836869401225837</v>
      </c>
      <c r="E123" s="1624">
        <f t="shared" si="66"/>
        <v>0.26511852926947266</v>
      </c>
      <c r="F123" s="1624">
        <f t="shared" si="67"/>
        <v>0.2711076684740511</v>
      </c>
      <c r="G123" s="1624">
        <f t="shared" si="68"/>
        <v>0.29288838490199254</v>
      </c>
      <c r="H123" s="1624">
        <f t="shared" si="69"/>
        <v>0.287135065768367</v>
      </c>
      <c r="I123" s="1624">
        <f t="shared" si="70"/>
        <v>0.27660910518053378</v>
      </c>
      <c r="J123" s="1624">
        <f t="shared" si="71"/>
        <v>0.28297074268567141</v>
      </c>
      <c r="K123" s="1624">
        <f t="shared" si="72"/>
        <v>0.28517706048260733</v>
      </c>
      <c r="L123" s="1624">
        <f t="shared" si="73"/>
        <v>0.30470534490634993</v>
      </c>
      <c r="M123" s="1624">
        <f t="shared" si="74"/>
        <v>0.30446798710271766</v>
      </c>
      <c r="N123" s="1624">
        <f t="shared" si="75"/>
        <v>0.3182463333859013</v>
      </c>
      <c r="O123" s="1624">
        <f t="shared" si="76"/>
        <v>0.32843137254901961</v>
      </c>
      <c r="P123" s="1624">
        <f t="shared" si="77"/>
        <v>0.31824841282760868</v>
      </c>
      <c r="Q123" s="1624">
        <f t="shared" si="78"/>
        <v>0.30948951832293164</v>
      </c>
      <c r="R123" s="1625">
        <f t="shared" si="79"/>
        <v>0.32232854864433813</v>
      </c>
      <c r="S123" s="1626">
        <f>'Non-marital births'!L124</f>
        <v>0.30982044705020156</v>
      </c>
      <c r="T123" s="1627">
        <v>0.30157687253613669</v>
      </c>
      <c r="U123" s="1628">
        <f t="shared" si="80"/>
        <v>0.30224553351909522</v>
      </c>
      <c r="V123" s="2018">
        <f t="shared" si="81"/>
        <v>0.30669144981412638</v>
      </c>
      <c r="W123" s="2018">
        <f t="shared" si="82"/>
        <v>0.30393367436937729</v>
      </c>
      <c r="X123" s="2013">
        <f t="shared" si="83"/>
        <v>0.30463458110516933</v>
      </c>
      <c r="Y123" s="2096">
        <f t="shared" si="61"/>
        <v>0.30982044705020156</v>
      </c>
      <c r="Z123" s="2096"/>
      <c r="AA123" s="681">
        <v>6363</v>
      </c>
      <c r="AB123" s="682">
        <v>6201</v>
      </c>
      <c r="AC123" s="683">
        <v>6455</v>
      </c>
      <c r="AD123" s="682">
        <v>6173</v>
      </c>
      <c r="AE123" s="683">
        <v>6234</v>
      </c>
      <c r="AF123" s="682">
        <v>6370</v>
      </c>
      <c r="AG123" s="683">
        <v>6665</v>
      </c>
      <c r="AH123" s="682">
        <v>6382</v>
      </c>
      <c r="AI123" s="696">
        <v>6567</v>
      </c>
      <c r="AJ123" s="696">
        <v>6513</v>
      </c>
      <c r="AK123" s="696">
        <v>6341</v>
      </c>
      <c r="AL123" s="696">
        <v>6324</v>
      </c>
      <c r="AM123" s="697">
        <v>6143</v>
      </c>
      <c r="AN123" s="697">
        <v>6249</v>
      </c>
      <c r="AO123" s="848">
        <v>6270</v>
      </c>
      <c r="AP123" s="1095">
        <v>6003</v>
      </c>
      <c r="AQ123" s="1608">
        <v>6088</v>
      </c>
      <c r="AR123" s="1608">
        <v>6101</v>
      </c>
      <c r="AS123" s="1971">
        <v>5918</v>
      </c>
      <c r="AT123" s="1095">
        <v>5669</v>
      </c>
      <c r="AU123" s="2020">
        <v>5610</v>
      </c>
      <c r="AV123" s="1005">
        <v>5458</v>
      </c>
      <c r="AW123" s="1005"/>
      <c r="AX123" s="704">
        <v>1644</v>
      </c>
      <c r="AY123" s="705">
        <v>1644</v>
      </c>
      <c r="AZ123" s="705">
        <v>1750</v>
      </c>
      <c r="BA123" s="705">
        <v>1808</v>
      </c>
      <c r="BB123" s="705">
        <v>1790</v>
      </c>
      <c r="BC123" s="705">
        <v>1762</v>
      </c>
      <c r="BD123" s="705">
        <v>1886</v>
      </c>
      <c r="BE123" s="705">
        <v>1820</v>
      </c>
      <c r="BF123" s="705">
        <v>2001</v>
      </c>
      <c r="BG123" s="705">
        <v>1983</v>
      </c>
      <c r="BH123" s="705">
        <v>2018</v>
      </c>
      <c r="BI123" s="705">
        <v>2077</v>
      </c>
      <c r="BJ123" s="705">
        <v>1955</v>
      </c>
      <c r="BK123" s="705">
        <v>1934</v>
      </c>
      <c r="BL123" s="851">
        <v>2021</v>
      </c>
      <c r="BM123" s="1096">
        <v>1852</v>
      </c>
      <c r="BN123" s="1097">
        <v>1836</v>
      </c>
      <c r="BO123" s="1096">
        <v>1844</v>
      </c>
      <c r="BP123" s="1969">
        <v>1815</v>
      </c>
      <c r="BQ123" s="1096">
        <v>1723</v>
      </c>
      <c r="BR123" s="2022">
        <v>1709</v>
      </c>
      <c r="BS123" s="1006">
        <v>1691</v>
      </c>
      <c r="BU123" s="2172">
        <f t="shared" si="62"/>
        <v>8782</v>
      </c>
      <c r="BV123" s="2172">
        <f t="shared" si="63"/>
        <v>28756</v>
      </c>
      <c r="BW123" s="2173">
        <f t="shared" si="64"/>
        <v>0.30539713451105854</v>
      </c>
    </row>
    <row r="124" spans="1:75" s="49" customFormat="1" ht="13.5" customHeight="1" x14ac:dyDescent="0.3">
      <c r="A124" s="56" t="s">
        <v>237</v>
      </c>
      <c r="B124" s="84" t="s">
        <v>238</v>
      </c>
      <c r="C124" s="57" t="s">
        <v>251</v>
      </c>
      <c r="D124" s="1623">
        <f t="shared" si="65"/>
        <v>0.34722222222222221</v>
      </c>
      <c r="E124" s="1624">
        <f t="shared" si="66"/>
        <v>0.3611111111111111</v>
      </c>
      <c r="F124" s="1624">
        <f t="shared" si="67"/>
        <v>0.30508474576271188</v>
      </c>
      <c r="G124" s="1624">
        <f t="shared" si="68"/>
        <v>0.30208333333333331</v>
      </c>
      <c r="H124" s="1624">
        <f t="shared" si="69"/>
        <v>0.27131782945736432</v>
      </c>
      <c r="I124" s="1624">
        <f t="shared" si="70"/>
        <v>0.37234042553191488</v>
      </c>
      <c r="J124" s="1624">
        <f t="shared" si="71"/>
        <v>0.27906976744186046</v>
      </c>
      <c r="K124" s="1624">
        <f t="shared" si="72"/>
        <v>0.32188841201716739</v>
      </c>
      <c r="L124" s="1624">
        <f t="shared" si="73"/>
        <v>0.375</v>
      </c>
      <c r="M124" s="1624">
        <f t="shared" si="74"/>
        <v>0.37888198757763975</v>
      </c>
      <c r="N124" s="1624">
        <f t="shared" si="75"/>
        <v>0.37634408602150538</v>
      </c>
      <c r="O124" s="1624">
        <f t="shared" si="76"/>
        <v>0.40845070422535212</v>
      </c>
      <c r="P124" s="1624">
        <f t="shared" si="77"/>
        <v>0.37209302325581395</v>
      </c>
      <c r="Q124" s="1624">
        <f t="shared" si="78"/>
        <v>0.38750000000000001</v>
      </c>
      <c r="R124" s="1625">
        <f t="shared" si="79"/>
        <v>0.4175824175824176</v>
      </c>
      <c r="S124" s="1626">
        <f>'Non-marital births'!L125</f>
        <v>0.45</v>
      </c>
      <c r="T124" s="1627">
        <v>0.39080459770114945</v>
      </c>
      <c r="U124" s="1628">
        <f t="shared" si="80"/>
        <v>0.51546391752577314</v>
      </c>
      <c r="V124" s="2018">
        <f t="shared" si="81"/>
        <v>0.41605839416058393</v>
      </c>
      <c r="W124" s="2018">
        <f t="shared" si="82"/>
        <v>0.5</v>
      </c>
      <c r="X124" s="2013">
        <f t="shared" si="83"/>
        <v>0.4861111111111111</v>
      </c>
      <c r="Y124" s="2096">
        <f t="shared" si="61"/>
        <v>0.45</v>
      </c>
      <c r="Z124" s="2096"/>
      <c r="AA124" s="681">
        <v>144</v>
      </c>
      <c r="AB124" s="682">
        <v>72</v>
      </c>
      <c r="AC124" s="683">
        <v>59</v>
      </c>
      <c r="AD124" s="682">
        <v>96</v>
      </c>
      <c r="AE124" s="683">
        <v>129</v>
      </c>
      <c r="AF124" s="682">
        <v>188</v>
      </c>
      <c r="AG124" s="683">
        <v>172</v>
      </c>
      <c r="AH124" s="682">
        <v>233</v>
      </c>
      <c r="AI124" s="696">
        <v>192</v>
      </c>
      <c r="AJ124" s="696">
        <v>161</v>
      </c>
      <c r="AK124" s="696">
        <v>186</v>
      </c>
      <c r="AL124" s="696">
        <v>142</v>
      </c>
      <c r="AM124" s="697">
        <v>86</v>
      </c>
      <c r="AN124" s="697">
        <v>80</v>
      </c>
      <c r="AO124" s="848">
        <v>91</v>
      </c>
      <c r="AP124" s="1095">
        <v>79</v>
      </c>
      <c r="AQ124" s="1608">
        <v>87</v>
      </c>
      <c r="AR124" s="1608">
        <v>97</v>
      </c>
      <c r="AS124" s="1971">
        <v>137</v>
      </c>
      <c r="AT124" s="1095">
        <v>74</v>
      </c>
      <c r="AU124" s="2020">
        <v>72</v>
      </c>
      <c r="AV124" s="1005">
        <v>80</v>
      </c>
      <c r="AW124" s="1005"/>
      <c r="AX124" s="704">
        <v>50</v>
      </c>
      <c r="AY124" s="705">
        <v>26</v>
      </c>
      <c r="AZ124" s="705">
        <v>18</v>
      </c>
      <c r="BA124" s="705">
        <v>29</v>
      </c>
      <c r="BB124" s="705">
        <v>35</v>
      </c>
      <c r="BC124" s="705">
        <v>70</v>
      </c>
      <c r="BD124" s="705">
        <v>48</v>
      </c>
      <c r="BE124" s="705">
        <v>75</v>
      </c>
      <c r="BF124" s="705">
        <v>72</v>
      </c>
      <c r="BG124" s="705">
        <v>61</v>
      </c>
      <c r="BH124" s="705">
        <v>70</v>
      </c>
      <c r="BI124" s="705">
        <v>58</v>
      </c>
      <c r="BJ124" s="705">
        <v>32</v>
      </c>
      <c r="BK124" s="705">
        <v>31</v>
      </c>
      <c r="BL124" s="851">
        <v>38</v>
      </c>
      <c r="BM124" s="1096">
        <v>31</v>
      </c>
      <c r="BN124" s="1097">
        <v>34</v>
      </c>
      <c r="BO124" s="1096">
        <v>50</v>
      </c>
      <c r="BP124" s="1969">
        <v>57</v>
      </c>
      <c r="BQ124" s="1096">
        <v>37</v>
      </c>
      <c r="BR124" s="2022">
        <v>35</v>
      </c>
      <c r="BS124" s="1006">
        <v>36</v>
      </c>
      <c r="BU124" s="2172">
        <f t="shared" si="62"/>
        <v>215</v>
      </c>
      <c r="BV124" s="2172">
        <f t="shared" si="63"/>
        <v>460</v>
      </c>
      <c r="BW124" s="2173">
        <f t="shared" si="64"/>
        <v>0.46739130434782611</v>
      </c>
    </row>
    <row r="125" spans="1:75" s="49" customFormat="1" ht="13.5" customHeight="1" x14ac:dyDescent="0.3">
      <c r="A125" s="62" t="s">
        <v>239</v>
      </c>
      <c r="B125" s="86" t="s">
        <v>240</v>
      </c>
      <c r="C125" s="63" t="s">
        <v>254</v>
      </c>
      <c r="D125" s="1623">
        <f t="shared" si="65"/>
        <v>0.40064102564102566</v>
      </c>
      <c r="E125" s="1624">
        <f t="shared" si="66"/>
        <v>0.4281150159744409</v>
      </c>
      <c r="F125" s="1624">
        <f t="shared" si="67"/>
        <v>0.39402985074626867</v>
      </c>
      <c r="G125" s="1624">
        <f t="shared" si="68"/>
        <v>0.38337801608579086</v>
      </c>
      <c r="H125" s="1624">
        <f t="shared" si="69"/>
        <v>0.49712643678160917</v>
      </c>
      <c r="I125" s="1624">
        <f t="shared" si="70"/>
        <v>0.43718592964824121</v>
      </c>
      <c r="J125" s="1624">
        <f t="shared" si="71"/>
        <v>0.47941888619854722</v>
      </c>
      <c r="K125" s="1624">
        <f t="shared" si="72"/>
        <v>0.47816091954022988</v>
      </c>
      <c r="L125" s="1624">
        <f t="shared" si="73"/>
        <v>0.5</v>
      </c>
      <c r="M125" s="1624">
        <f t="shared" si="74"/>
        <v>0.55353535353535355</v>
      </c>
      <c r="N125" s="1624">
        <f t="shared" si="75"/>
        <v>0.52475247524752477</v>
      </c>
      <c r="O125" s="1624">
        <f t="shared" si="76"/>
        <v>0.53061224489795922</v>
      </c>
      <c r="P125" s="1624">
        <f t="shared" si="77"/>
        <v>0.54035874439461884</v>
      </c>
      <c r="Q125" s="1624">
        <f t="shared" si="78"/>
        <v>0.48019801980198018</v>
      </c>
      <c r="R125" s="1625">
        <f t="shared" si="79"/>
        <v>0.49627791563275436</v>
      </c>
      <c r="S125" s="1626">
        <f>'Non-marital births'!L126</f>
        <v>0.44817927170868349</v>
      </c>
      <c r="T125" s="1627">
        <v>0.50591016548463352</v>
      </c>
      <c r="U125" s="1628">
        <f t="shared" si="80"/>
        <v>0.50666666666666671</v>
      </c>
      <c r="V125" s="2018">
        <f t="shared" si="81"/>
        <v>0.50247524752475248</v>
      </c>
      <c r="W125" s="2018">
        <f t="shared" si="82"/>
        <v>0.50712250712250717</v>
      </c>
      <c r="X125" s="2014">
        <f t="shared" si="83"/>
        <v>0.49579831932773111</v>
      </c>
      <c r="Y125" s="2097">
        <f t="shared" si="61"/>
        <v>0.44817927170868349</v>
      </c>
      <c r="Z125" s="2097"/>
      <c r="AA125" s="684">
        <v>312</v>
      </c>
      <c r="AB125" s="685">
        <v>313</v>
      </c>
      <c r="AC125" s="686">
        <v>335</v>
      </c>
      <c r="AD125" s="685">
        <v>373</v>
      </c>
      <c r="AE125" s="686">
        <v>348</v>
      </c>
      <c r="AF125" s="685">
        <v>398</v>
      </c>
      <c r="AG125" s="686">
        <v>413</v>
      </c>
      <c r="AH125" s="685">
        <v>435</v>
      </c>
      <c r="AI125" s="698">
        <v>434</v>
      </c>
      <c r="AJ125" s="698">
        <v>495</v>
      </c>
      <c r="AK125" s="698">
        <v>404</v>
      </c>
      <c r="AL125" s="698">
        <v>392</v>
      </c>
      <c r="AM125" s="697">
        <v>446</v>
      </c>
      <c r="AN125" s="697">
        <v>404</v>
      </c>
      <c r="AO125" s="848">
        <v>403</v>
      </c>
      <c r="AP125" s="1095">
        <v>347</v>
      </c>
      <c r="AQ125" s="1608">
        <v>423</v>
      </c>
      <c r="AR125" s="1608">
        <v>375</v>
      </c>
      <c r="AS125" s="1971">
        <v>404</v>
      </c>
      <c r="AT125" s="1095">
        <v>351</v>
      </c>
      <c r="AU125" s="2020">
        <v>357</v>
      </c>
      <c r="AV125" s="1005">
        <v>357</v>
      </c>
      <c r="AW125" s="1005"/>
      <c r="AX125" s="704">
        <v>125</v>
      </c>
      <c r="AY125" s="705">
        <v>134</v>
      </c>
      <c r="AZ125" s="705">
        <v>132</v>
      </c>
      <c r="BA125" s="705">
        <v>143</v>
      </c>
      <c r="BB125" s="705">
        <v>173</v>
      </c>
      <c r="BC125" s="705">
        <v>174</v>
      </c>
      <c r="BD125" s="705">
        <v>198</v>
      </c>
      <c r="BE125" s="705">
        <v>208</v>
      </c>
      <c r="BF125" s="705">
        <v>217</v>
      </c>
      <c r="BG125" s="705">
        <v>274</v>
      </c>
      <c r="BH125" s="705">
        <v>212</v>
      </c>
      <c r="BI125" s="705">
        <v>208</v>
      </c>
      <c r="BJ125" s="705">
        <v>241</v>
      </c>
      <c r="BK125" s="705">
        <v>194</v>
      </c>
      <c r="BL125" s="851">
        <v>200</v>
      </c>
      <c r="BM125" s="1096">
        <v>180</v>
      </c>
      <c r="BN125" s="1097">
        <v>214</v>
      </c>
      <c r="BO125" s="1096">
        <v>190</v>
      </c>
      <c r="BP125" s="1969">
        <v>203</v>
      </c>
      <c r="BQ125" s="1096">
        <v>178</v>
      </c>
      <c r="BR125" s="2022">
        <v>177</v>
      </c>
      <c r="BS125" s="1006">
        <v>160</v>
      </c>
      <c r="BU125" s="2172">
        <f t="shared" si="62"/>
        <v>908</v>
      </c>
      <c r="BV125" s="2172">
        <f t="shared" si="63"/>
        <v>1844</v>
      </c>
      <c r="BW125" s="2173">
        <f t="shared" si="64"/>
        <v>0.49240780911062909</v>
      </c>
    </row>
    <row r="126" spans="1:75" s="49" customFormat="1" ht="15.75" customHeight="1" x14ac:dyDescent="0.3">
      <c r="A126" s="116"/>
      <c r="B126" s="90"/>
      <c r="C126" s="117"/>
      <c r="AA126" s="59"/>
      <c r="AB126" s="58"/>
      <c r="AC126" s="59"/>
      <c r="AD126" s="118"/>
      <c r="AE126" s="59"/>
      <c r="AF126" s="58"/>
      <c r="AG126" s="59"/>
      <c r="AH126" s="58"/>
      <c r="AI126" s="119"/>
      <c r="AJ126" s="119"/>
      <c r="AK126" s="119"/>
      <c r="AL126" s="119"/>
    </row>
    <row r="127" spans="1:75" s="49" customFormat="1" ht="15.75" customHeight="1" x14ac:dyDescent="0.3">
      <c r="A127" s="116" t="s">
        <v>253</v>
      </c>
      <c r="B127" s="90"/>
      <c r="C127" s="117"/>
      <c r="D127" s="1623">
        <f t="shared" ref="D127:R131" si="84">AX127/AA127</f>
        <v>0.36652984321378101</v>
      </c>
      <c r="E127" s="1624">
        <f t="shared" si="84"/>
        <v>0.35501409585179217</v>
      </c>
      <c r="F127" s="1624">
        <f t="shared" si="84"/>
        <v>0.36770683099514884</v>
      </c>
      <c r="G127" s="1624">
        <f t="shared" si="84"/>
        <v>0.36700976857011736</v>
      </c>
      <c r="H127" s="1624">
        <f t="shared" si="84"/>
        <v>0.37147487844408428</v>
      </c>
      <c r="I127" s="1624">
        <f t="shared" si="84"/>
        <v>0.38057489043567932</v>
      </c>
      <c r="J127" s="1624">
        <f t="shared" si="84"/>
        <v>0.37851487000436435</v>
      </c>
      <c r="K127" s="1624">
        <f t="shared" si="84"/>
        <v>0.3892965041001295</v>
      </c>
      <c r="L127" s="1624">
        <f t="shared" si="84"/>
        <v>0.39896218537516404</v>
      </c>
      <c r="M127" s="1624">
        <f t="shared" si="84"/>
        <v>0.41428487930329067</v>
      </c>
      <c r="N127" s="1624">
        <f t="shared" si="84"/>
        <v>0.43606537675760126</v>
      </c>
      <c r="O127" s="1624">
        <f t="shared" si="84"/>
        <v>0.44125436378957505</v>
      </c>
      <c r="P127" s="1624">
        <f t="shared" si="84"/>
        <v>0.44088855421686746</v>
      </c>
      <c r="Q127" s="1624">
        <f t="shared" si="84"/>
        <v>0.43955904713634059</v>
      </c>
      <c r="R127" s="1625">
        <f t="shared" si="84"/>
        <v>0.44726191981788288</v>
      </c>
      <c r="S127" s="2018">
        <f>'Non-marital births'!L128</f>
        <v>0.42980859742704736</v>
      </c>
      <c r="T127" s="2018">
        <v>0.43076159145925147</v>
      </c>
      <c r="U127" s="2018">
        <f t="shared" ref="U127:X131" si="85">BO127/AR127</f>
        <v>0.42686603901298381</v>
      </c>
      <c r="V127" s="2018">
        <f t="shared" si="85"/>
        <v>0.42202238712111684</v>
      </c>
      <c r="W127" s="2018">
        <f t="shared" si="85"/>
        <v>0.43098925805645766</v>
      </c>
      <c r="X127" s="2024">
        <f t="shared" si="85"/>
        <v>0.42852730417593277</v>
      </c>
      <c r="Y127" s="2096">
        <f t="shared" si="61"/>
        <v>0.42980859742704736</v>
      </c>
      <c r="Z127" s="2096"/>
      <c r="AA127" s="710">
        <v>14861</v>
      </c>
      <c r="AB127" s="711">
        <v>14898</v>
      </c>
      <c r="AC127" s="712">
        <v>15254</v>
      </c>
      <c r="AD127" s="711">
        <v>15253</v>
      </c>
      <c r="AE127" s="712">
        <v>15425</v>
      </c>
      <c r="AF127" s="711">
        <v>15516</v>
      </c>
      <c r="AG127" s="712">
        <v>16039</v>
      </c>
      <c r="AH127" s="711">
        <v>16219</v>
      </c>
      <c r="AI127" s="690">
        <v>16766</v>
      </c>
      <c r="AJ127" s="690">
        <v>17109</v>
      </c>
      <c r="AK127" s="690">
        <v>16642</v>
      </c>
      <c r="AL127" s="690">
        <v>16614</v>
      </c>
      <c r="AM127" s="705">
        <v>15936</v>
      </c>
      <c r="AN127" s="705">
        <v>15784</v>
      </c>
      <c r="AO127" s="851">
        <v>15814</v>
      </c>
      <c r="AP127" s="1096">
        <v>15776</v>
      </c>
      <c r="AQ127" s="1097">
        <v>16111</v>
      </c>
      <c r="AR127" s="1969">
        <v>16251</v>
      </c>
      <c r="AS127" s="1972">
        <v>15902</v>
      </c>
      <c r="AT127" s="1096">
        <v>16012</v>
      </c>
      <c r="AU127" s="2022">
        <v>16188</v>
      </c>
      <c r="AV127" s="1006">
        <v>15935</v>
      </c>
      <c r="AW127" s="1006"/>
      <c r="AX127" s="704">
        <v>5447</v>
      </c>
      <c r="AY127" s="705">
        <v>5289</v>
      </c>
      <c r="AZ127" s="705">
        <v>5609</v>
      </c>
      <c r="BA127" s="705">
        <v>5598</v>
      </c>
      <c r="BB127" s="705">
        <v>5730</v>
      </c>
      <c r="BC127" s="705">
        <v>5905</v>
      </c>
      <c r="BD127" s="705">
        <v>6071</v>
      </c>
      <c r="BE127" s="705">
        <v>6314</v>
      </c>
      <c r="BF127" s="705">
        <v>6689</v>
      </c>
      <c r="BG127" s="705">
        <v>7088</v>
      </c>
      <c r="BH127" s="705">
        <v>7257</v>
      </c>
      <c r="BI127" s="705">
        <v>7331</v>
      </c>
      <c r="BJ127" s="705">
        <v>7026</v>
      </c>
      <c r="BK127" s="705">
        <v>6938</v>
      </c>
      <c r="BL127" s="851">
        <v>7073</v>
      </c>
      <c r="BM127" s="1096">
        <v>6932</v>
      </c>
      <c r="BN127" s="1097">
        <v>6940</v>
      </c>
      <c r="BO127" s="1969">
        <v>6937</v>
      </c>
      <c r="BP127" s="1972">
        <v>6711</v>
      </c>
      <c r="BQ127" s="1096">
        <v>6901</v>
      </c>
      <c r="BR127" s="2022">
        <v>6937</v>
      </c>
      <c r="BS127" s="1006">
        <v>6849</v>
      </c>
    </row>
    <row r="128" spans="1:75" s="49" customFormat="1" ht="15.75" customHeight="1" x14ac:dyDescent="0.3">
      <c r="A128" s="116" t="s">
        <v>251</v>
      </c>
      <c r="B128" s="90"/>
      <c r="C128" s="117"/>
      <c r="D128" s="1623">
        <f t="shared" si="84"/>
        <v>0.37341746714360358</v>
      </c>
      <c r="E128" s="1624">
        <f t="shared" si="84"/>
        <v>0.37722880362269035</v>
      </c>
      <c r="F128" s="1624">
        <f t="shared" si="84"/>
        <v>0.37406208040439143</v>
      </c>
      <c r="G128" s="1624">
        <f t="shared" si="84"/>
        <v>0.3923052157115261</v>
      </c>
      <c r="H128" s="1624">
        <f t="shared" si="84"/>
        <v>0.38504755407520364</v>
      </c>
      <c r="I128" s="1624">
        <f t="shared" si="84"/>
        <v>0.37942966233146402</v>
      </c>
      <c r="J128" s="1624">
        <f t="shared" si="84"/>
        <v>0.37898931075437725</v>
      </c>
      <c r="K128" s="1624">
        <f t="shared" si="84"/>
        <v>0.38483135114057321</v>
      </c>
      <c r="L128" s="1624">
        <f t="shared" si="84"/>
        <v>0.39784905228633538</v>
      </c>
      <c r="M128" s="1624">
        <f t="shared" si="84"/>
        <v>0.40717948717948715</v>
      </c>
      <c r="N128" s="1624">
        <f t="shared" si="84"/>
        <v>0.42314872433105166</v>
      </c>
      <c r="O128" s="1624">
        <f t="shared" si="84"/>
        <v>0.42440128678660788</v>
      </c>
      <c r="P128" s="1624">
        <f t="shared" si="84"/>
        <v>0.42288821653446723</v>
      </c>
      <c r="Q128" s="1624">
        <f t="shared" si="84"/>
        <v>0.42436647971506941</v>
      </c>
      <c r="R128" s="1625">
        <f t="shared" si="84"/>
        <v>0.42346055560135193</v>
      </c>
      <c r="S128" s="2018">
        <f>'Non-marital births'!L129</f>
        <v>0.41241939757971913</v>
      </c>
      <c r="T128" s="2018">
        <v>0.39805019705455302</v>
      </c>
      <c r="U128" s="2018">
        <f t="shared" si="85"/>
        <v>0.40568625820932747</v>
      </c>
      <c r="V128" s="2018">
        <f t="shared" si="85"/>
        <v>0.39988199098073923</v>
      </c>
      <c r="W128" s="2018">
        <f t="shared" si="85"/>
        <v>0.40467212759502447</v>
      </c>
      <c r="X128" s="2024">
        <f t="shared" si="85"/>
        <v>0.40094525403702247</v>
      </c>
      <c r="Y128" s="2096">
        <f t="shared" si="61"/>
        <v>0.41241939757971913</v>
      </c>
      <c r="Z128" s="2096"/>
      <c r="AA128" s="710">
        <v>24881</v>
      </c>
      <c r="AB128" s="711">
        <v>24733</v>
      </c>
      <c r="AC128" s="712">
        <v>25322</v>
      </c>
      <c r="AD128" s="711">
        <v>24848</v>
      </c>
      <c r="AE128" s="712">
        <v>24919</v>
      </c>
      <c r="AF128" s="711">
        <v>25143</v>
      </c>
      <c r="AG128" s="712">
        <v>26101</v>
      </c>
      <c r="AH128" s="711">
        <v>25645</v>
      </c>
      <c r="AI128" s="690">
        <v>26221</v>
      </c>
      <c r="AJ128" s="690">
        <v>26325</v>
      </c>
      <c r="AK128" s="690">
        <v>25712</v>
      </c>
      <c r="AL128" s="690">
        <v>25179</v>
      </c>
      <c r="AM128" s="705">
        <v>24458</v>
      </c>
      <c r="AN128" s="705">
        <v>24427</v>
      </c>
      <c r="AO128" s="851">
        <v>24262</v>
      </c>
      <c r="AP128" s="1096">
        <v>23830</v>
      </c>
      <c r="AQ128" s="1097">
        <v>24105</v>
      </c>
      <c r="AR128" s="1969">
        <v>24058</v>
      </c>
      <c r="AS128" s="1972">
        <v>23727</v>
      </c>
      <c r="AT128" s="1096">
        <v>23073</v>
      </c>
      <c r="AU128" s="2022">
        <v>22851</v>
      </c>
      <c r="AV128" s="1006">
        <v>22642</v>
      </c>
      <c r="AW128" s="1006"/>
      <c r="AX128" s="704">
        <v>9291</v>
      </c>
      <c r="AY128" s="705">
        <v>9330</v>
      </c>
      <c r="AZ128" s="705">
        <v>9472</v>
      </c>
      <c r="BA128" s="705">
        <v>9748</v>
      </c>
      <c r="BB128" s="705">
        <v>9595</v>
      </c>
      <c r="BC128" s="705">
        <v>9540</v>
      </c>
      <c r="BD128" s="705">
        <v>9892</v>
      </c>
      <c r="BE128" s="705">
        <v>9869</v>
      </c>
      <c r="BF128" s="705">
        <v>10432</v>
      </c>
      <c r="BG128" s="705">
        <v>10719</v>
      </c>
      <c r="BH128" s="705">
        <v>10880</v>
      </c>
      <c r="BI128" s="705">
        <v>10686</v>
      </c>
      <c r="BJ128" s="705">
        <v>10343</v>
      </c>
      <c r="BK128" s="705">
        <v>10366</v>
      </c>
      <c r="BL128" s="851">
        <v>10274</v>
      </c>
      <c r="BM128" s="1096">
        <v>9828</v>
      </c>
      <c r="BN128" s="1097">
        <v>9595</v>
      </c>
      <c r="BO128" s="1969">
        <v>9760</v>
      </c>
      <c r="BP128" s="1972">
        <v>9488</v>
      </c>
      <c r="BQ128" s="1096">
        <v>9337</v>
      </c>
      <c r="BR128" s="2022">
        <v>9162</v>
      </c>
      <c r="BS128" s="1006">
        <v>9338</v>
      </c>
    </row>
    <row r="129" spans="1:71" s="49" customFormat="1" ht="15.75" customHeight="1" x14ac:dyDescent="0.3">
      <c r="A129" s="116" t="s">
        <v>254</v>
      </c>
      <c r="B129" s="90"/>
      <c r="C129" s="117"/>
      <c r="D129" s="1623">
        <f t="shared" si="84"/>
        <v>0.20706561326833642</v>
      </c>
      <c r="E129" s="1624">
        <f t="shared" si="84"/>
        <v>0.21182628608816553</v>
      </c>
      <c r="F129" s="1624">
        <f t="shared" si="84"/>
        <v>0.21459030207083216</v>
      </c>
      <c r="G129" s="1624">
        <f t="shared" si="84"/>
        <v>0.21479075577763898</v>
      </c>
      <c r="H129" s="1624">
        <f t="shared" si="84"/>
        <v>0.21669078156804081</v>
      </c>
      <c r="I129" s="1624">
        <f t="shared" si="84"/>
        <v>0.21945269666449291</v>
      </c>
      <c r="J129" s="1624">
        <f t="shared" si="84"/>
        <v>0.22832927557535945</v>
      </c>
      <c r="K129" s="1624">
        <f t="shared" si="84"/>
        <v>0.24296292941416245</v>
      </c>
      <c r="L129" s="1624">
        <f t="shared" si="84"/>
        <v>0.26965332854029522</v>
      </c>
      <c r="M129" s="1624">
        <f t="shared" si="84"/>
        <v>0.27734461036958724</v>
      </c>
      <c r="N129" s="1624">
        <f t="shared" si="84"/>
        <v>0.27235237734334944</v>
      </c>
      <c r="O129" s="1624">
        <f t="shared" si="84"/>
        <v>0.26863322616183644</v>
      </c>
      <c r="P129" s="1624">
        <f t="shared" si="84"/>
        <v>0.26492612831410645</v>
      </c>
      <c r="Q129" s="1624">
        <f t="shared" si="84"/>
        <v>0.26481322939665658</v>
      </c>
      <c r="R129" s="1625">
        <f t="shared" si="84"/>
        <v>0.25801974435315977</v>
      </c>
      <c r="S129" s="2018">
        <f>'Non-marital births'!L130</f>
        <v>0.26279562721794841</v>
      </c>
      <c r="T129" s="2018">
        <v>0.24923682696987126</v>
      </c>
      <c r="U129" s="2018">
        <f t="shared" si="85"/>
        <v>0.25578703703703703</v>
      </c>
      <c r="V129" s="2018">
        <f t="shared" si="85"/>
        <v>0.25671363998936453</v>
      </c>
      <c r="W129" s="2018">
        <f t="shared" si="85"/>
        <v>0.25914620151480378</v>
      </c>
      <c r="X129" s="2024">
        <f t="shared" si="85"/>
        <v>0.25772151898734175</v>
      </c>
      <c r="Y129" s="2096">
        <f t="shared" si="61"/>
        <v>0.26279562721794841</v>
      </c>
      <c r="Z129" s="2096"/>
      <c r="AA129" s="710">
        <v>35694</v>
      </c>
      <c r="AB129" s="711">
        <v>36681</v>
      </c>
      <c r="AC129" s="712">
        <v>39163</v>
      </c>
      <c r="AD129" s="711">
        <v>40025</v>
      </c>
      <c r="AE129" s="712">
        <v>40777</v>
      </c>
      <c r="AF129" s="711">
        <v>41403</v>
      </c>
      <c r="AG129" s="712">
        <v>43538</v>
      </c>
      <c r="AH129" s="711">
        <v>44159</v>
      </c>
      <c r="AI129" s="690">
        <v>44509</v>
      </c>
      <c r="AJ129" s="690">
        <v>45402</v>
      </c>
      <c r="AK129" s="690">
        <v>44861</v>
      </c>
      <c r="AL129" s="690">
        <v>44477</v>
      </c>
      <c r="AM129" s="705">
        <v>44469</v>
      </c>
      <c r="AN129" s="705">
        <v>44386</v>
      </c>
      <c r="AO129" s="851">
        <v>44671</v>
      </c>
      <c r="AP129" s="1096">
        <v>44465</v>
      </c>
      <c r="AQ129" s="1097">
        <v>45206</v>
      </c>
      <c r="AR129" s="1969">
        <v>44928</v>
      </c>
      <c r="AS129" s="1972">
        <v>45132</v>
      </c>
      <c r="AT129" s="1096">
        <v>43570</v>
      </c>
      <c r="AU129" s="2022">
        <v>43450</v>
      </c>
      <c r="AV129" s="1006">
        <v>41987</v>
      </c>
      <c r="AW129" s="1006"/>
      <c r="AX129" s="704">
        <v>7391</v>
      </c>
      <c r="AY129" s="705">
        <v>7770</v>
      </c>
      <c r="AZ129" s="705">
        <v>8404</v>
      </c>
      <c r="BA129" s="705">
        <v>8597</v>
      </c>
      <c r="BB129" s="705">
        <v>8836</v>
      </c>
      <c r="BC129" s="705">
        <v>9086</v>
      </c>
      <c r="BD129" s="705">
        <v>9941</v>
      </c>
      <c r="BE129" s="705">
        <v>10729</v>
      </c>
      <c r="BF129" s="705">
        <v>12002</v>
      </c>
      <c r="BG129" s="705">
        <v>12592</v>
      </c>
      <c r="BH129" s="705">
        <v>12218</v>
      </c>
      <c r="BI129" s="705">
        <v>11948</v>
      </c>
      <c r="BJ129" s="705">
        <v>11781</v>
      </c>
      <c r="BK129" s="705">
        <v>11754</v>
      </c>
      <c r="BL129" s="851">
        <v>11526</v>
      </c>
      <c r="BM129" s="1096">
        <f>'Non-marital births'!H130</f>
        <v>11034</v>
      </c>
      <c r="BN129" s="1097">
        <v>11125</v>
      </c>
      <c r="BO129" s="1969">
        <v>11492</v>
      </c>
      <c r="BP129" s="1972">
        <v>11586</v>
      </c>
      <c r="BQ129" s="1096">
        <v>11291</v>
      </c>
      <c r="BR129" s="2022">
        <v>11198</v>
      </c>
      <c r="BS129" s="1006">
        <v>11034</v>
      </c>
    </row>
    <row r="130" spans="1:71" s="49" customFormat="1" ht="15.75" customHeight="1" x14ac:dyDescent="0.3">
      <c r="A130" s="116" t="s">
        <v>252</v>
      </c>
      <c r="B130" s="90"/>
      <c r="C130" s="117"/>
      <c r="D130" s="1623">
        <f t="shared" si="84"/>
        <v>0.34276153294558204</v>
      </c>
      <c r="E130" s="1624">
        <f t="shared" si="84"/>
        <v>0.34230253294405427</v>
      </c>
      <c r="F130" s="1624">
        <f t="shared" si="84"/>
        <v>0.3516805427073697</v>
      </c>
      <c r="G130" s="1624">
        <f t="shared" si="84"/>
        <v>0.3561456996148909</v>
      </c>
      <c r="H130" s="1624">
        <f t="shared" si="84"/>
        <v>0.36380811565631677</v>
      </c>
      <c r="I130" s="1624">
        <f t="shared" si="84"/>
        <v>0.36340452661778772</v>
      </c>
      <c r="J130" s="1624">
        <f t="shared" si="84"/>
        <v>0.37749044482394079</v>
      </c>
      <c r="K130" s="1624">
        <f t="shared" si="84"/>
        <v>0.39493993157769114</v>
      </c>
      <c r="L130" s="1624">
        <f t="shared" si="84"/>
        <v>0.4062379371574153</v>
      </c>
      <c r="M130" s="1624">
        <f t="shared" si="84"/>
        <v>0.4285607476635514</v>
      </c>
      <c r="N130" s="1624">
        <f t="shared" si="84"/>
        <v>0.43177527750509703</v>
      </c>
      <c r="O130" s="1624">
        <f t="shared" si="84"/>
        <v>0.42526940496642202</v>
      </c>
      <c r="P130" s="1624">
        <f t="shared" si="84"/>
        <v>0.42250409165302782</v>
      </c>
      <c r="Q130" s="1624">
        <f t="shared" si="84"/>
        <v>0.42368335500650195</v>
      </c>
      <c r="R130" s="1625">
        <f t="shared" si="84"/>
        <v>0.42571826143897845</v>
      </c>
      <c r="S130" s="2018">
        <f>'Non-marital births'!L131</f>
        <v>0.41993299832495812</v>
      </c>
      <c r="T130" s="2018">
        <v>0.42207252162341985</v>
      </c>
      <c r="U130" s="2018">
        <f t="shared" si="85"/>
        <v>0.42417194642713929</v>
      </c>
      <c r="V130" s="2018">
        <f t="shared" si="85"/>
        <v>0.41085080147965475</v>
      </c>
      <c r="W130" s="2018">
        <f t="shared" si="85"/>
        <v>0.42342038753159222</v>
      </c>
      <c r="X130" s="2024">
        <f t="shared" si="85"/>
        <v>0.40670372521363973</v>
      </c>
      <c r="Y130" s="2096">
        <f t="shared" si="61"/>
        <v>0.41993299832495812</v>
      </c>
      <c r="Z130" s="2096"/>
      <c r="AA130" s="710">
        <v>12551</v>
      </c>
      <c r="AB130" s="711">
        <v>12673</v>
      </c>
      <c r="AC130" s="712">
        <v>12972</v>
      </c>
      <c r="AD130" s="711">
        <v>12464</v>
      </c>
      <c r="AE130" s="712">
        <v>12174</v>
      </c>
      <c r="AF130" s="711">
        <v>12548</v>
      </c>
      <c r="AG130" s="712">
        <v>12297</v>
      </c>
      <c r="AH130" s="711">
        <v>12569</v>
      </c>
      <c r="AI130" s="690">
        <v>12953</v>
      </c>
      <c r="AJ130" s="690">
        <v>13375</v>
      </c>
      <c r="AK130" s="690">
        <v>13243</v>
      </c>
      <c r="AL130" s="690">
        <v>12806</v>
      </c>
      <c r="AM130" s="705">
        <v>12220</v>
      </c>
      <c r="AN130" s="705">
        <v>12304</v>
      </c>
      <c r="AO130" s="851">
        <v>12217</v>
      </c>
      <c r="AP130" s="1096">
        <v>12297</v>
      </c>
      <c r="AQ130" s="1097">
        <v>12024</v>
      </c>
      <c r="AR130" s="1969">
        <v>12469</v>
      </c>
      <c r="AS130" s="1972">
        <v>12165</v>
      </c>
      <c r="AT130" s="1096">
        <v>11870</v>
      </c>
      <c r="AU130" s="2022">
        <v>12053</v>
      </c>
      <c r="AV130" s="1006">
        <v>11940</v>
      </c>
      <c r="AW130" s="1006"/>
      <c r="AX130" s="704">
        <v>4302</v>
      </c>
      <c r="AY130" s="705">
        <v>4338</v>
      </c>
      <c r="AZ130" s="705">
        <v>4562</v>
      </c>
      <c r="BA130" s="705">
        <v>4439</v>
      </c>
      <c r="BB130" s="705">
        <v>4429</v>
      </c>
      <c r="BC130" s="705">
        <v>4560</v>
      </c>
      <c r="BD130" s="705">
        <v>4642</v>
      </c>
      <c r="BE130" s="705">
        <v>4964</v>
      </c>
      <c r="BF130" s="705">
        <v>5262</v>
      </c>
      <c r="BG130" s="705">
        <v>5732</v>
      </c>
      <c r="BH130" s="705">
        <v>5718</v>
      </c>
      <c r="BI130" s="705">
        <v>5446</v>
      </c>
      <c r="BJ130" s="705">
        <v>5163</v>
      </c>
      <c r="BK130" s="705">
        <v>5213</v>
      </c>
      <c r="BL130" s="851">
        <v>5201</v>
      </c>
      <c r="BM130" s="1096">
        <v>5256</v>
      </c>
      <c r="BN130" s="1097">
        <v>5075</v>
      </c>
      <c r="BO130" s="1969">
        <v>5289</v>
      </c>
      <c r="BP130" s="1972">
        <v>4998</v>
      </c>
      <c r="BQ130" s="1096">
        <v>5026</v>
      </c>
      <c r="BR130" s="2022">
        <v>4902</v>
      </c>
      <c r="BS130" s="1006">
        <v>5014</v>
      </c>
    </row>
    <row r="131" spans="1:71" s="49" customFormat="1" ht="15.75" customHeight="1" x14ac:dyDescent="0.3">
      <c r="A131" s="116" t="s">
        <v>255</v>
      </c>
      <c r="B131" s="90"/>
      <c r="C131" s="117"/>
      <c r="D131" s="1623">
        <f t="shared" si="84"/>
        <v>0.26538273216908764</v>
      </c>
      <c r="E131" s="1624">
        <f t="shared" si="84"/>
        <v>0.25361620057859208</v>
      </c>
      <c r="F131" s="1624">
        <f t="shared" si="84"/>
        <v>0.25800682815802306</v>
      </c>
      <c r="G131" s="1624">
        <f t="shared" si="84"/>
        <v>0.25921562026594852</v>
      </c>
      <c r="H131" s="1624">
        <f t="shared" si="84"/>
        <v>0.27491582491582489</v>
      </c>
      <c r="I131" s="1624">
        <f t="shared" si="84"/>
        <v>0.28196941690472188</v>
      </c>
      <c r="J131" s="1624">
        <f t="shared" si="84"/>
        <v>0.28078565328778821</v>
      </c>
      <c r="K131" s="1624">
        <f t="shared" si="84"/>
        <v>0.30613975576662145</v>
      </c>
      <c r="L131" s="1624">
        <f t="shared" si="84"/>
        <v>0.31618257261410787</v>
      </c>
      <c r="M131" s="1624">
        <f t="shared" si="84"/>
        <v>0.34643893006767645</v>
      </c>
      <c r="N131" s="1624">
        <f t="shared" si="84"/>
        <v>0.34771241830065358</v>
      </c>
      <c r="O131" s="1624">
        <f t="shared" si="84"/>
        <v>0.37218363543960697</v>
      </c>
      <c r="P131" s="1624">
        <f t="shared" si="84"/>
        <v>0.37925141001538198</v>
      </c>
      <c r="Q131" s="1624">
        <f t="shared" si="84"/>
        <v>0.37677809388335703</v>
      </c>
      <c r="R131" s="1625">
        <f t="shared" si="84"/>
        <v>0.37574824696425518</v>
      </c>
      <c r="S131" s="2018">
        <f>'Non-marital births'!L132</f>
        <v>0.39776876267748479</v>
      </c>
      <c r="T131" s="2018">
        <v>0.38848382875303794</v>
      </c>
      <c r="U131" s="2018">
        <f t="shared" si="85"/>
        <v>0.37898267188373391</v>
      </c>
      <c r="V131" s="2018">
        <f t="shared" si="85"/>
        <v>0.37822080120368629</v>
      </c>
      <c r="W131" s="2018">
        <f t="shared" si="85"/>
        <v>0.37870514820592821</v>
      </c>
      <c r="X131" s="2024">
        <f t="shared" si="85"/>
        <v>0.28779241203066641</v>
      </c>
      <c r="Y131" s="2096">
        <f t="shared" si="61"/>
        <v>0.39776876267748479</v>
      </c>
      <c r="Z131" s="2096"/>
      <c r="AA131" s="710">
        <v>6127</v>
      </c>
      <c r="AB131" s="711">
        <v>6222</v>
      </c>
      <c r="AC131" s="712">
        <v>6151</v>
      </c>
      <c r="AD131" s="711">
        <v>5941</v>
      </c>
      <c r="AE131" s="712">
        <v>5940</v>
      </c>
      <c r="AF131" s="711">
        <v>5951</v>
      </c>
      <c r="AG131" s="712">
        <v>5855</v>
      </c>
      <c r="AH131" s="711">
        <v>5896</v>
      </c>
      <c r="AI131" s="690">
        <v>6025</v>
      </c>
      <c r="AJ131" s="690">
        <v>6206</v>
      </c>
      <c r="AK131" s="690">
        <v>6120</v>
      </c>
      <c r="AL131" s="690">
        <v>5903</v>
      </c>
      <c r="AM131" s="705">
        <v>5851</v>
      </c>
      <c r="AN131" s="705">
        <v>5624</v>
      </c>
      <c r="AO131" s="851">
        <v>5847</v>
      </c>
      <c r="AP131" s="1096">
        <v>5608</v>
      </c>
      <c r="AQ131" s="1097">
        <v>5349</v>
      </c>
      <c r="AR131" s="1969">
        <v>5367</v>
      </c>
      <c r="AS131" s="1972">
        <v>5317</v>
      </c>
      <c r="AT131" s="1096">
        <v>5128</v>
      </c>
      <c r="AU131" s="2022">
        <v>5087</v>
      </c>
      <c r="AV131" s="1006">
        <v>4930</v>
      </c>
      <c r="AW131" s="1006"/>
      <c r="AX131" s="704">
        <v>1626</v>
      </c>
      <c r="AY131" s="705">
        <v>1578</v>
      </c>
      <c r="AZ131" s="705">
        <v>1587</v>
      </c>
      <c r="BA131" s="705">
        <v>1540</v>
      </c>
      <c r="BB131" s="705">
        <v>1633</v>
      </c>
      <c r="BC131" s="705">
        <v>1678</v>
      </c>
      <c r="BD131" s="705">
        <v>1644</v>
      </c>
      <c r="BE131" s="705">
        <v>1805</v>
      </c>
      <c r="BF131" s="705">
        <v>1905</v>
      </c>
      <c r="BG131" s="705">
        <v>2150</v>
      </c>
      <c r="BH131" s="705">
        <v>2128</v>
      </c>
      <c r="BI131" s="705">
        <v>2197</v>
      </c>
      <c r="BJ131" s="705">
        <v>2219</v>
      </c>
      <c r="BK131" s="705">
        <v>2119</v>
      </c>
      <c r="BL131" s="851">
        <v>2197</v>
      </c>
      <c r="BM131" s="1096">
        <v>2147</v>
      </c>
      <c r="BN131" s="1097">
        <v>2078</v>
      </c>
      <c r="BO131" s="1969">
        <v>2034</v>
      </c>
      <c r="BP131" s="1972">
        <v>2011</v>
      </c>
      <c r="BQ131" s="1096">
        <v>1942</v>
      </c>
      <c r="BR131" s="2022">
        <v>1464</v>
      </c>
      <c r="BS131" s="1006">
        <v>1961</v>
      </c>
    </row>
    <row r="132" spans="1:71" s="49" customFormat="1" ht="15.75" customHeight="1" x14ac:dyDescent="0.3">
      <c r="A132" s="116"/>
      <c r="B132" s="90"/>
      <c r="C132" s="117"/>
      <c r="AA132" s="59"/>
      <c r="AB132" s="58"/>
      <c r="AC132" s="59"/>
      <c r="AD132" s="118"/>
      <c r="AE132" s="59"/>
      <c r="AF132" s="58"/>
      <c r="AG132" s="59"/>
      <c r="AH132" s="58"/>
      <c r="AI132" s="119"/>
      <c r="AJ132" s="119"/>
      <c r="AK132" s="119"/>
      <c r="AL132" s="119"/>
    </row>
    <row r="133" spans="1:71" ht="31.5" customHeight="1" x14ac:dyDescent="0.3">
      <c r="A133" s="2087" t="s">
        <v>727</v>
      </c>
      <c r="B133" s="2087"/>
      <c r="C133" s="2087"/>
      <c r="AA133" s="2087"/>
      <c r="AB133" s="2087"/>
      <c r="AC133" s="2087"/>
      <c r="AD133" s="2087"/>
    </row>
    <row r="134" spans="1:71" s="81" customFormat="1" ht="13.8" x14ac:dyDescent="0.3">
      <c r="A134" s="81" t="s">
        <v>247</v>
      </c>
    </row>
    <row r="135" spans="1:71" s="81" customFormat="1" ht="13.8" x14ac:dyDescent="0.3">
      <c r="A135" s="87" t="s">
        <v>248</v>
      </c>
      <c r="B135" s="71" t="s">
        <v>249</v>
      </c>
    </row>
  </sheetData>
  <autoFilter ref="A4:C125"/>
  <sortState ref="A6:BP125">
    <sortCondition ref="A6:A125"/>
  </sortState>
  <mergeCells count="3">
    <mergeCell ref="D3:T3"/>
    <mergeCell ref="AA3:AV3"/>
    <mergeCell ref="AX3:BS3"/>
  </mergeCells>
  <hyperlinks>
    <hyperlink ref="B135"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31"/>
  <sheetViews>
    <sheetView zoomScaleNormal="100" workbookViewId="0">
      <selection activeCell="L15" sqref="L15"/>
    </sheetView>
  </sheetViews>
  <sheetFormatPr defaultRowHeight="15.6" x14ac:dyDescent="0.3"/>
  <cols>
    <col min="1" max="1" width="9.796875" bestFit="1" customWidth="1"/>
    <col min="4" max="7" width="11.59765625" customWidth="1"/>
    <col min="8" max="8" width="12.5" customWidth="1"/>
    <col min="17" max="17" width="13.59765625" bestFit="1" customWidth="1"/>
    <col min="18" max="18" width="12.5" bestFit="1" customWidth="1"/>
    <col min="19" max="20" width="14.5" bestFit="1" customWidth="1"/>
  </cols>
  <sheetData>
    <row r="1" spans="1:20" s="4" customFormat="1" ht="15.75" customHeight="1" x14ac:dyDescent="0.25">
      <c r="A1" s="2439" t="s">
        <v>625</v>
      </c>
      <c r="B1" s="2440"/>
      <c r="C1" s="2437" t="s">
        <v>8</v>
      </c>
      <c r="D1" s="2438"/>
      <c r="E1" s="1824"/>
      <c r="F1" s="1824"/>
      <c r="G1" s="1824"/>
      <c r="H1" s="845"/>
      <c r="I1" s="68"/>
      <c r="J1" s="68"/>
      <c r="M1" s="9"/>
      <c r="N1" s="9"/>
      <c r="O1" s="9"/>
    </row>
    <row r="2" spans="1:20" s="4" customFormat="1" ht="15.75" customHeight="1" x14ac:dyDescent="0.25">
      <c r="A2" s="1825"/>
      <c r="B2" s="842"/>
      <c r="C2" s="843"/>
      <c r="D2" s="842"/>
      <c r="E2" s="844"/>
      <c r="F2" s="68"/>
      <c r="G2" s="68"/>
      <c r="H2" s="68"/>
      <c r="I2" s="68"/>
      <c r="J2" s="68"/>
      <c r="M2" s="9"/>
      <c r="N2" s="9"/>
      <c r="O2" s="9"/>
    </row>
    <row r="3" spans="1:20" s="4" customFormat="1" ht="13.5" customHeight="1" x14ac:dyDescent="0.25">
      <c r="A3" s="2457" t="s">
        <v>915</v>
      </c>
      <c r="B3" s="2458"/>
      <c r="C3" s="2459"/>
      <c r="D3" s="2454" t="s">
        <v>287</v>
      </c>
      <c r="E3" s="2455" t="s">
        <v>288</v>
      </c>
      <c r="F3" s="2456" t="s">
        <v>289</v>
      </c>
      <c r="G3" s="2441" t="s">
        <v>279</v>
      </c>
      <c r="H3" s="2442" t="s">
        <v>606</v>
      </c>
      <c r="I3" s="16"/>
      <c r="J3" s="21"/>
      <c r="O3" s="20"/>
      <c r="P3" s="30"/>
      <c r="Q3" s="34"/>
      <c r="R3" s="18"/>
      <c r="S3" s="18"/>
      <c r="T3" s="25"/>
    </row>
    <row r="4" spans="1:20" s="4" customFormat="1" ht="13.5" customHeight="1" x14ac:dyDescent="0.25">
      <c r="A4" s="2460" t="str">
        <f>C1</f>
        <v>Statewide</v>
      </c>
      <c r="B4" s="2263"/>
      <c r="C4" s="2264"/>
      <c r="D4" s="2275"/>
      <c r="E4" s="2277"/>
      <c r="F4" s="2279"/>
      <c r="G4" s="2279"/>
      <c r="H4" s="2443"/>
      <c r="I4" s="16"/>
      <c r="J4" s="21"/>
      <c r="O4" s="20"/>
      <c r="P4" s="30"/>
      <c r="Q4" s="34"/>
      <c r="R4" s="18"/>
      <c r="S4" s="18"/>
      <c r="T4" s="25"/>
    </row>
    <row r="5" spans="1:20" s="4" customFormat="1" ht="13.5" customHeight="1" x14ac:dyDescent="0.2">
      <c r="A5" s="2453" t="s">
        <v>290</v>
      </c>
      <c r="B5" s="2261"/>
      <c r="C5" s="2261"/>
      <c r="D5" s="1844">
        <f>D6+D7</f>
        <v>366815823.25999999</v>
      </c>
      <c r="E5" s="1844">
        <f t="shared" ref="E5:H5" si="0">E6+E7</f>
        <v>111531387.14</v>
      </c>
      <c r="F5" s="1844">
        <f t="shared" si="0"/>
        <v>226416404.11999997</v>
      </c>
      <c r="G5" s="1845">
        <f t="shared" si="0"/>
        <v>39949117.840000004</v>
      </c>
      <c r="H5" s="1846">
        <f t="shared" si="0"/>
        <v>744712732.36000001</v>
      </c>
      <c r="I5" s="16"/>
      <c r="J5" s="21"/>
      <c r="O5" s="20"/>
      <c r="Q5" s="25"/>
      <c r="R5" s="25"/>
      <c r="S5" s="25"/>
      <c r="T5" s="25"/>
    </row>
    <row r="6" spans="1:20" s="4" customFormat="1" ht="13.5" customHeight="1" x14ac:dyDescent="0.2">
      <c r="A6" s="2444" t="s">
        <v>569</v>
      </c>
      <c r="B6" s="2259"/>
      <c r="C6" s="2259"/>
      <c r="D6" s="933">
        <f>VLOOKUP($C$1,Admin_Costs_LASER,4,FALSE)</f>
        <v>344890720.25999999</v>
      </c>
      <c r="E6" s="934">
        <f>VLOOKUP($C$1,Admin_Costs_LASER,5,FALSE)</f>
        <v>111531387.14</v>
      </c>
      <c r="F6" s="934">
        <f>VLOOKUP($C$1,Admin_Costs_LASER,6,FALSE)</f>
        <v>204491301.11999997</v>
      </c>
      <c r="G6" s="1826">
        <f>VLOOKUP($C$1,Admin_Costs_LASER,10,FALSE)</f>
        <v>9678092.2299999986</v>
      </c>
      <c r="H6" s="935">
        <f>VLOOKUP(C1,Admin_Costs_LASER,9,FALSE)</f>
        <v>670591500.75</v>
      </c>
      <c r="I6" s="16"/>
      <c r="J6" s="21"/>
      <c r="O6" s="20"/>
      <c r="Q6" s="35"/>
      <c r="R6" s="18"/>
      <c r="S6" s="18"/>
      <c r="T6" s="25"/>
    </row>
    <row r="7" spans="1:20" s="4" customFormat="1" ht="13.5" customHeight="1" x14ac:dyDescent="0.2">
      <c r="A7" s="2444" t="s">
        <v>574</v>
      </c>
      <c r="B7" s="2259"/>
      <c r="C7" s="2259"/>
      <c r="D7" s="933">
        <f>VLOOKUP($C$1,Other_Oper_Exp_LASER,4,FALSE)</f>
        <v>21925103</v>
      </c>
      <c r="E7" s="934">
        <f>VLOOKUP($C$1,Other_Oper_Exp_LASER,5,FALSE)</f>
        <v>0</v>
      </c>
      <c r="F7" s="934">
        <f>VLOOKUP($C$1,Other_Oper_Exp_LASER,6,FALSE)</f>
        <v>21925103</v>
      </c>
      <c r="G7" s="1826">
        <f>VLOOKUP($C$1,Other_Oper_Exp_LASER,10,FALSE)</f>
        <v>30271025.610000003</v>
      </c>
      <c r="H7" s="935">
        <f>VLOOKUP(C1,Other_Oper_Exp_LASER,9,FALSE)</f>
        <v>74121231.609999999</v>
      </c>
      <c r="K7" s="144"/>
      <c r="L7" s="144"/>
      <c r="M7" s="135"/>
      <c r="N7" s="134"/>
      <c r="O7" s="20"/>
      <c r="P7" s="19"/>
      <c r="Q7" s="19"/>
      <c r="R7" s="19"/>
      <c r="S7" s="19"/>
    </row>
    <row r="8" spans="1:20" s="4" customFormat="1" ht="13.5" customHeight="1" x14ac:dyDescent="0.2">
      <c r="A8" s="2445" t="s">
        <v>600</v>
      </c>
      <c r="B8" s="2446"/>
      <c r="C8" s="2446"/>
      <c r="D8" s="2189">
        <f>D5/H5</f>
        <v>0.49256016087915944</v>
      </c>
      <c r="E8" s="2189">
        <f>E5/H5</f>
        <v>0.14976430816021666</v>
      </c>
      <c r="F8" s="2189">
        <f>F5/$H$5</f>
        <v>0.30403186931219073</v>
      </c>
      <c r="G8" s="2189">
        <f>G5/$H$5</f>
        <v>5.3643661648433164E-2</v>
      </c>
      <c r="H8" s="1837">
        <f>H5/H5</f>
        <v>1</v>
      </c>
      <c r="K8" s="144"/>
      <c r="L8" s="144"/>
      <c r="M8" s="135"/>
      <c r="N8" s="134"/>
      <c r="O8" s="20"/>
    </row>
    <row r="9" spans="1:20" s="4" customFormat="1" ht="13.5" customHeight="1" x14ac:dyDescent="0.2">
      <c r="A9" s="2447" t="s">
        <v>597</v>
      </c>
      <c r="B9" s="2448"/>
      <c r="C9" s="2448"/>
      <c r="D9" s="2187">
        <f>D5/D24</f>
        <v>4.4569653302975659E-2</v>
      </c>
      <c r="E9" s="2187">
        <f>E5/E24</f>
        <v>1.6758557628724077E-2</v>
      </c>
      <c r="F9" s="2187">
        <f>F5/F24</f>
        <v>0.56696825736004042</v>
      </c>
      <c r="G9" s="2187">
        <f>G5/G24</f>
        <v>0.86807417335102011</v>
      </c>
      <c r="H9" s="2188">
        <f>H5/H24</f>
        <v>4.8576480741884816E-2</v>
      </c>
      <c r="K9" s="144"/>
      <c r="L9" s="144"/>
      <c r="M9" s="136"/>
      <c r="N9" s="134"/>
      <c r="O9" s="20"/>
    </row>
    <row r="10" spans="1:20" s="4" customFormat="1" ht="13.5" customHeight="1" x14ac:dyDescent="0.2">
      <c r="A10" s="2449" t="s">
        <v>575</v>
      </c>
      <c r="B10" s="2450"/>
      <c r="C10" s="2450"/>
      <c r="D10" s="1847">
        <f>VLOOKUP(C1,Client_Svcs_LASER,4,FALSE)</f>
        <v>10601990.879999999</v>
      </c>
      <c r="E10" s="1848">
        <f>VLOOKUP(C1,Client_Svcs_LASER,5,FALSE)</f>
        <v>8642703.8000000007</v>
      </c>
      <c r="F10" s="1848">
        <f>VLOOKUP($C$1,Client_Svcs_LASER,6,FALSE)</f>
        <v>3952816.6099999994</v>
      </c>
      <c r="G10" s="1848">
        <f>VLOOKUP($C$1,Client_Svcs_LASER,10,FALSE)</f>
        <v>4605601.0600000005</v>
      </c>
      <c r="H10" s="1849">
        <f>VLOOKUP(C1,Client_Svcs_LASER,9, FALSE)</f>
        <v>27803112.350000001</v>
      </c>
      <c r="K10" s="144"/>
      <c r="L10" s="144"/>
      <c r="M10" s="136"/>
      <c r="N10" s="134"/>
      <c r="O10" s="20"/>
      <c r="P10" s="19"/>
    </row>
    <row r="11" spans="1:20" s="4" customFormat="1" ht="13.5" customHeight="1" x14ac:dyDescent="0.2">
      <c r="A11" s="1838" t="s">
        <v>601</v>
      </c>
      <c r="B11" s="1839"/>
      <c r="C11" s="1839"/>
      <c r="D11" s="1836">
        <f>D10/H10</f>
        <v>0.38132388728774813</v>
      </c>
      <c r="E11" s="1840">
        <f>E10/H10</f>
        <v>0.31085382424820507</v>
      </c>
      <c r="F11" s="1840">
        <f>F10/H10</f>
        <v>0.14217173100046834</v>
      </c>
      <c r="G11" s="1840">
        <f>G10/H10</f>
        <v>0.16565055746357837</v>
      </c>
      <c r="H11" s="1841">
        <f>H10/H10</f>
        <v>1</v>
      </c>
      <c r="K11" s="144"/>
      <c r="L11" s="144"/>
      <c r="M11" s="136"/>
      <c r="N11" s="134"/>
      <c r="O11" s="20"/>
    </row>
    <row r="12" spans="1:20" s="4" customFormat="1" ht="13.5" customHeight="1" x14ac:dyDescent="0.2">
      <c r="A12" s="2451" t="s">
        <v>598</v>
      </c>
      <c r="B12" s="2452"/>
      <c r="C12" s="2452"/>
      <c r="D12" s="1842">
        <f>D10/D24</f>
        <v>1.2881861356018479E-3</v>
      </c>
      <c r="E12" s="1842">
        <f>E10/E24</f>
        <v>1.2986411575647565E-3</v>
      </c>
      <c r="F12" s="1842">
        <f>F10/F24</f>
        <v>9.8982295640016212E-3</v>
      </c>
      <c r="G12" s="1842">
        <f>G10/G24</f>
        <v>0.10007738716425389</v>
      </c>
      <c r="H12" s="1843">
        <f>H10/H24</f>
        <v>1.813554801667276E-3</v>
      </c>
      <c r="K12" s="143"/>
      <c r="L12" s="143"/>
      <c r="O12" s="20"/>
    </row>
    <row r="13" spans="1:20" s="4" customFormat="1" ht="13.5" customHeight="1" x14ac:dyDescent="0.2">
      <c r="A13" s="2465" t="s">
        <v>427</v>
      </c>
      <c r="B13" s="2307"/>
      <c r="C13" s="2307"/>
      <c r="D13" s="1844">
        <f>SUM(D14:D21)</f>
        <v>7852752179.9243193</v>
      </c>
      <c r="E13" s="1844">
        <f>SUM(E14:E21)</f>
        <v>6535016028.0972023</v>
      </c>
      <c r="F13" s="1844">
        <f>SUM(F14:F21)</f>
        <v>168976600.09999999</v>
      </c>
      <c r="G13" s="1844">
        <f>SUM(G14:G21)</f>
        <v>1465677.8199999998</v>
      </c>
      <c r="H13" s="1846">
        <f>SUM(H14:H21)</f>
        <v>14558210485.941521</v>
      </c>
      <c r="K13" s="143"/>
      <c r="L13" s="143"/>
      <c r="O13" s="20"/>
    </row>
    <row r="14" spans="1:20" s="4" customFormat="1" ht="13.5" customHeight="1" x14ac:dyDescent="0.2">
      <c r="A14" s="2444" t="s">
        <v>576</v>
      </c>
      <c r="B14" s="2259"/>
      <c r="C14" s="2259"/>
      <c r="D14" s="933">
        <f>VLOOKUP(C1,Medicaid_FAMIS_LASER,5,FALSE)</f>
        <v>6361387693.8021622</v>
      </c>
      <c r="E14" s="1830">
        <f>VLOOKUP(C1,Medicaid_FAMIS_LASER,6,FALSE)</f>
        <v>6054100563.8493586</v>
      </c>
      <c r="F14" s="1830">
        <f>VLOOKUP($C$1,Medicaid_FAMIS_LASER,7,FALSE)</f>
        <v>15417114.42</v>
      </c>
      <c r="G14" s="1829" t="s">
        <v>646</v>
      </c>
      <c r="H14" s="935">
        <f>VLOOKUP(C1,Medicaid_FAMIS_LASER,4,FALSE)</f>
        <v>12430905372.071522</v>
      </c>
      <c r="K14" s="143"/>
      <c r="L14" s="143"/>
      <c r="O14" s="20"/>
    </row>
    <row r="15" spans="1:20" s="4" customFormat="1" ht="13.5" customHeight="1" x14ac:dyDescent="0.2">
      <c r="A15" s="2444" t="s">
        <v>609</v>
      </c>
      <c r="B15" s="2259"/>
      <c r="C15" s="2259"/>
      <c r="D15" s="933">
        <f>VLOOKUP(C1,SNAP_LASER,5,FALSE)</f>
        <v>1177173890.6899998</v>
      </c>
      <c r="E15" s="1830" t="s">
        <v>646</v>
      </c>
      <c r="F15" s="1830" t="s">
        <v>646</v>
      </c>
      <c r="G15" s="1829" t="s">
        <v>646</v>
      </c>
      <c r="H15" s="935">
        <f>VLOOKUP(C1,SNAP_LASER,4,FALSE)</f>
        <v>1177173890.6899998</v>
      </c>
      <c r="I15" s="16"/>
      <c r="J15" s="21"/>
      <c r="K15" s="21"/>
      <c r="L15" s="21"/>
      <c r="O15" s="20"/>
    </row>
    <row r="16" spans="1:20" s="4" customFormat="1" ht="13.5" customHeight="1" x14ac:dyDescent="0.2">
      <c r="A16" s="2444" t="s">
        <v>582</v>
      </c>
      <c r="B16" s="2259"/>
      <c r="C16" s="2259"/>
      <c r="D16" s="933">
        <f>VLOOKUP(C1,TANF_LASER,4,FALSE)</f>
        <v>25596405.217764005</v>
      </c>
      <c r="E16" s="933">
        <f>VLOOKUP(C1,TANF_LASER,5,FALSE)</f>
        <v>38729953.67223601</v>
      </c>
      <c r="F16" s="933">
        <f>VLOOKUP($C$1,TANF_LASER,6,FALSE)</f>
        <v>0</v>
      </c>
      <c r="G16" s="933">
        <f>VLOOKUP($C$1,TANF_LASER,6,FALSE)</f>
        <v>0</v>
      </c>
      <c r="H16" s="936">
        <f>VLOOKUP(C1,TANF_LASER,8,FALSE)</f>
        <v>64326358.890000015</v>
      </c>
      <c r="I16" s="16"/>
      <c r="J16" s="21"/>
      <c r="K16" s="21"/>
      <c r="L16" s="21"/>
      <c r="O16" s="20"/>
    </row>
    <row r="17" spans="1:19" s="4" customFormat="1" ht="13.5" customHeight="1" x14ac:dyDescent="0.2">
      <c r="A17" s="2444" t="s">
        <v>610</v>
      </c>
      <c r="B17" s="2259"/>
      <c r="C17" s="2259"/>
      <c r="D17" s="933">
        <f>VLOOKUP(C1,EA_LASER,5,FALSE)</f>
        <v>69929600.409999996</v>
      </c>
      <c r="E17" s="1830" t="s">
        <v>646</v>
      </c>
      <c r="F17" s="1830" t="s">
        <v>646</v>
      </c>
      <c r="G17" s="1829" t="s">
        <v>646</v>
      </c>
      <c r="H17" s="935">
        <f>VLOOKUP(C1,EA_LASER,4,FALSE)</f>
        <v>69929600.409999996</v>
      </c>
      <c r="I17" s="16"/>
      <c r="J17" s="21"/>
      <c r="K17" s="21"/>
      <c r="L17" s="21"/>
      <c r="O17" s="20"/>
    </row>
    <row r="18" spans="1:19" s="4" customFormat="1" ht="13.5" customHeight="1" x14ac:dyDescent="0.2">
      <c r="A18" s="2444" t="s">
        <v>588</v>
      </c>
      <c r="B18" s="2259"/>
      <c r="C18" s="2259"/>
      <c r="D18" s="933">
        <f>VLOOKUP(C1,FC_Adop_LASER,4,FALSE)</f>
        <v>95650681.969999999</v>
      </c>
      <c r="E18" s="933">
        <f>VLOOKUP(C1,FC_Adop_LASER,5,FALSE)</f>
        <v>107113892.42999999</v>
      </c>
      <c r="F18" s="933">
        <f>VLOOKUP($C$1,FC_Adop_LASER,6,FALSE)</f>
        <v>0</v>
      </c>
      <c r="G18" s="933">
        <f>VLOOKUP($C$1,FC_Adop_LASER,10,FALSE)</f>
        <v>383612.01000000007</v>
      </c>
      <c r="H18" s="936">
        <f>VLOOKUP(C1,FC_Adop_LASER,9,FALSE)</f>
        <v>203148186.40999997</v>
      </c>
      <c r="I18" s="16"/>
      <c r="J18" s="21"/>
      <c r="K18" s="21"/>
      <c r="L18" s="21"/>
      <c r="O18" s="20"/>
      <c r="P18" s="19"/>
      <c r="Q18" s="19"/>
      <c r="R18" s="19"/>
      <c r="S18" s="19"/>
    </row>
    <row r="19" spans="1:19" s="4" customFormat="1" ht="13.5" customHeight="1" x14ac:dyDescent="0.2">
      <c r="A19" s="2444" t="s">
        <v>725</v>
      </c>
      <c r="B19" s="2259"/>
      <c r="C19" s="2259"/>
      <c r="D19" s="933">
        <f>VLOOKUP(C1,CSA_LASER,4,FALSE)</f>
        <v>0</v>
      </c>
      <c r="E19" s="933">
        <f>VLOOKUP(C1,CSA_LASER,5,FALSE)</f>
        <v>289434477.63</v>
      </c>
      <c r="F19" s="933">
        <f>VLOOKUP($C$1,CSA_LASER,6,FALSE)</f>
        <v>148876933.98000002</v>
      </c>
      <c r="G19" s="933">
        <f>VLOOKUP($C$1,CSA_LASER,7,FALSE)</f>
        <v>0</v>
      </c>
      <c r="H19" s="936">
        <f>VLOOKUP(C1,CSA_LASER,8,FALSE)</f>
        <v>438311411.61000001</v>
      </c>
      <c r="I19" s="16"/>
      <c r="J19" s="21"/>
      <c r="K19" s="21"/>
      <c r="L19" s="21"/>
      <c r="O19" s="20"/>
      <c r="P19" s="19"/>
      <c r="Q19" s="19"/>
      <c r="R19" s="19"/>
      <c r="S19" s="19"/>
    </row>
    <row r="20" spans="1:19" s="4" customFormat="1" ht="13.5" customHeight="1" x14ac:dyDescent="0.2">
      <c r="A20" s="837" t="s">
        <v>595</v>
      </c>
      <c r="B20" s="838"/>
      <c r="C20" s="838"/>
      <c r="D20" s="933">
        <f>VLOOKUP(C1,ChildCareLASER,9,FALSE)</f>
        <v>121958616.00439319</v>
      </c>
      <c r="E20" s="933">
        <f>VLOOKUP(C1,ChildCareLASER,10,FALSE)</f>
        <v>27436422.14560682</v>
      </c>
      <c r="F20" s="1830" t="s">
        <v>646</v>
      </c>
      <c r="G20" s="1829" t="s">
        <v>646</v>
      </c>
      <c r="H20" s="935">
        <f>VLOOKUP(C1,ChildCareLASER,8,FALSE)</f>
        <v>149395038.15000001</v>
      </c>
      <c r="I20" s="16"/>
      <c r="J20" s="2334"/>
      <c r="K20" s="2334"/>
      <c r="L20" s="21"/>
      <c r="O20" s="20"/>
      <c r="P20" s="19"/>
      <c r="Q20" s="19"/>
      <c r="R20" s="19"/>
      <c r="S20" s="19"/>
    </row>
    <row r="21" spans="1:19" s="4" customFormat="1" ht="13.5" customHeight="1" x14ac:dyDescent="0.2">
      <c r="A21" s="2444" t="s">
        <v>596</v>
      </c>
      <c r="B21" s="2259"/>
      <c r="C21" s="2259"/>
      <c r="D21" s="933">
        <f>VLOOKUP(C1,OT_BENE_LASER,4,FALSE)</f>
        <v>1055291.83</v>
      </c>
      <c r="E21" s="933">
        <f>VLOOKUP(C1,OT_BENE_LASER,5,FALSE)</f>
        <v>18200718.370000001</v>
      </c>
      <c r="F21" s="933">
        <f>VLOOKUP($C$1,OT_BENE_LASER,6,FALSE)</f>
        <v>4682551.7</v>
      </c>
      <c r="G21" s="933">
        <f>VLOOKUP($C$1,OT_BENE_LASER,10,FALSE)</f>
        <v>1082065.8099999998</v>
      </c>
      <c r="H21" s="936">
        <f>VLOOKUP(C1,OT_BENE_LASER,9,FALSE)</f>
        <v>25020627.710000001</v>
      </c>
      <c r="I21" s="16"/>
      <c r="J21" s="2334"/>
      <c r="K21" s="2334"/>
      <c r="L21" s="21"/>
      <c r="O21" s="20"/>
      <c r="P21" s="19"/>
      <c r="Q21" s="19"/>
      <c r="R21" s="19"/>
      <c r="S21" s="19"/>
    </row>
    <row r="22" spans="1:19" s="4" customFormat="1" ht="13.5" customHeight="1" x14ac:dyDescent="0.2">
      <c r="A22" s="2445" t="s">
        <v>602</v>
      </c>
      <c r="B22" s="2446"/>
      <c r="C22" s="2446"/>
      <c r="D22" s="2189">
        <f>D13/$H$13</f>
        <v>0.53940367104236575</v>
      </c>
      <c r="E22" s="2189">
        <f>E13/$H$13</f>
        <v>0.44888868960974943</v>
      </c>
      <c r="F22" s="2189">
        <f>F13/$H$13</f>
        <v>1.1606962288612068E-2</v>
      </c>
      <c r="G22" s="2189">
        <f>G13/$H$13</f>
        <v>1.0067705927286641E-4</v>
      </c>
      <c r="H22" s="1837">
        <f>H13/H13</f>
        <v>1</v>
      </c>
      <c r="I22" s="16"/>
      <c r="J22" s="2334"/>
      <c r="K22" s="2334"/>
      <c r="L22" s="21"/>
      <c r="O22" s="20"/>
      <c r="P22" s="19"/>
      <c r="Q22" s="19"/>
      <c r="R22" s="19"/>
      <c r="S22" s="19"/>
    </row>
    <row r="23" spans="1:19" s="4" customFormat="1" ht="13.5" customHeight="1" x14ac:dyDescent="0.2">
      <c r="A23" s="2447" t="s">
        <v>599</v>
      </c>
      <c r="B23" s="2448"/>
      <c r="C23" s="2448"/>
      <c r="D23" s="2190">
        <f>D13/D24</f>
        <v>0.95414216056142243</v>
      </c>
      <c r="E23" s="2190">
        <f>E13/E24</f>
        <v>0.98194280121371125</v>
      </c>
      <c r="F23" s="2190">
        <f>F13/F24</f>
        <v>0.42313351307595809</v>
      </c>
      <c r="G23" s="2190">
        <f>G13/G24</f>
        <v>3.1848439484725932E-2</v>
      </c>
      <c r="H23" s="2191">
        <f>H13/H24</f>
        <v>0.94960996445644796</v>
      </c>
      <c r="I23" s="16"/>
      <c r="J23" s="2334"/>
      <c r="K23" s="2334"/>
      <c r="L23" s="21"/>
      <c r="O23" s="20"/>
      <c r="P23" s="19"/>
      <c r="Q23" s="19"/>
      <c r="R23" s="19"/>
      <c r="S23" s="19"/>
    </row>
    <row r="24" spans="1:19" s="4" customFormat="1" ht="13.5" customHeight="1" x14ac:dyDescent="0.2">
      <c r="A24" s="2461" t="s">
        <v>607</v>
      </c>
      <c r="B24" s="2462"/>
      <c r="C24" s="2462"/>
      <c r="D24" s="1834">
        <f>D5+D10+D13</f>
        <v>8230169994.0643196</v>
      </c>
      <c r="E24" s="1834">
        <f>E5+E10+E13</f>
        <v>6655190119.0372019</v>
      </c>
      <c r="F24" s="1834">
        <f>F5+F10+F13</f>
        <v>399345820.82999992</v>
      </c>
      <c r="G24" s="1834">
        <f>G5+G10+G13</f>
        <v>46020396.720000006</v>
      </c>
      <c r="H24" s="1835">
        <f>H5+H10+H13</f>
        <v>15330726330.65152</v>
      </c>
      <c r="I24" s="30"/>
      <c r="J24" s="30"/>
      <c r="K24" s="21"/>
      <c r="L24" s="21"/>
      <c r="O24" s="20"/>
      <c r="P24" s="19"/>
      <c r="Q24" s="19"/>
      <c r="R24" s="19"/>
      <c r="S24" s="19"/>
    </row>
    <row r="25" spans="1:19" s="4" customFormat="1" ht="13.5" customHeight="1" x14ac:dyDescent="0.2">
      <c r="A25" s="818" t="s">
        <v>603</v>
      </c>
      <c r="B25" s="819"/>
      <c r="C25" s="820"/>
      <c r="D25" s="2192">
        <f>D24/$H24</f>
        <v>0.53684149182216578</v>
      </c>
      <c r="E25" s="2193">
        <f>E24/$H24</f>
        <v>0.43410794606196407</v>
      </c>
      <c r="F25" s="2193">
        <f>F24/$H24</f>
        <v>2.6048721516316355E-2</v>
      </c>
      <c r="G25" s="2193">
        <f>G24/$H24</f>
        <v>3.0018405995539186E-3</v>
      </c>
      <c r="H25" s="172">
        <f>SUM(D25:F25)</f>
        <v>0.99699815940044623</v>
      </c>
      <c r="I25" s="30"/>
      <c r="J25" s="30"/>
      <c r="L25" s="21"/>
      <c r="O25" s="20"/>
      <c r="P25" s="19"/>
      <c r="Q25" s="19"/>
      <c r="R25" s="19"/>
      <c r="S25" s="19"/>
    </row>
    <row r="26" spans="1:19" s="4" customFormat="1" ht="13.5" customHeight="1" x14ac:dyDescent="0.2">
      <c r="A26" s="2463" t="s">
        <v>614</v>
      </c>
      <c r="B26" s="2463"/>
      <c r="C26" s="2463"/>
      <c r="D26" s="2463"/>
      <c r="E26" s="2463"/>
      <c r="F26" s="2463"/>
      <c r="G26" s="2464"/>
      <c r="H26" s="2463"/>
      <c r="I26" s="30"/>
      <c r="J26" s="30"/>
      <c r="K26" s="21"/>
      <c r="L26" s="21"/>
      <c r="O26" s="20"/>
      <c r="P26" s="19"/>
      <c r="Q26" s="19"/>
      <c r="R26" s="19"/>
      <c r="S26" s="19"/>
    </row>
    <row r="27" spans="1:19" s="4" customFormat="1" ht="13.5" customHeight="1" x14ac:dyDescent="0.2">
      <c r="A27" s="1827"/>
      <c r="B27" s="1827"/>
      <c r="C27" s="1790"/>
      <c r="D27" s="1828"/>
      <c r="E27" s="1828"/>
      <c r="I27" s="30"/>
      <c r="J27" s="30"/>
      <c r="K27" s="21"/>
      <c r="L27" s="21"/>
      <c r="O27" s="20"/>
      <c r="P27" s="19"/>
      <c r="Q27" s="19"/>
      <c r="R27" s="19"/>
      <c r="S27" s="19"/>
    </row>
    <row r="28" spans="1:19" s="4" customFormat="1" ht="13.5" customHeight="1" x14ac:dyDescent="0.2">
      <c r="A28" s="1827"/>
      <c r="B28" s="1827"/>
      <c r="C28" s="1828"/>
      <c r="D28" s="1828"/>
      <c r="E28" s="1828"/>
      <c r="I28" s="30"/>
      <c r="J28" s="30"/>
      <c r="K28" s="21"/>
      <c r="L28" s="21"/>
      <c r="O28" s="20"/>
      <c r="P28" s="19"/>
      <c r="Q28" s="19"/>
      <c r="R28" s="19"/>
      <c r="S28" s="19"/>
    </row>
    <row r="29" spans="1:19" s="4" customFormat="1" ht="13.5" customHeight="1" x14ac:dyDescent="0.2">
      <c r="A29" s="1827"/>
      <c r="B29" s="1827"/>
      <c r="C29" s="1828"/>
      <c r="D29" s="1828"/>
      <c r="E29" s="1828"/>
      <c r="I29" s="30"/>
      <c r="J29" s="30"/>
      <c r="K29" s="21"/>
      <c r="L29" s="21"/>
      <c r="O29" s="20"/>
      <c r="P29" s="19"/>
      <c r="Q29" s="19"/>
      <c r="R29" s="19"/>
      <c r="S29" s="19"/>
    </row>
    <row r="30" spans="1:19" s="4" customFormat="1" ht="13.5" customHeight="1" x14ac:dyDescent="0.2">
      <c r="A30" s="1827"/>
      <c r="B30" s="1827"/>
      <c r="C30" s="1828"/>
      <c r="D30" s="1828"/>
      <c r="E30" s="1828"/>
      <c r="I30" s="30"/>
      <c r="J30" s="30"/>
      <c r="K30" s="21"/>
      <c r="L30" s="21"/>
      <c r="O30" s="20"/>
      <c r="P30" s="19"/>
      <c r="Q30" s="19"/>
      <c r="R30" s="19"/>
      <c r="S30" s="19"/>
    </row>
    <row r="31" spans="1:19" s="4" customFormat="1" ht="13.5" customHeight="1" x14ac:dyDescent="0.2">
      <c r="A31" s="29"/>
      <c r="B31" s="40"/>
      <c r="I31" s="30"/>
      <c r="J31" s="30"/>
      <c r="K31" s="21"/>
      <c r="L31" s="21"/>
      <c r="O31" s="20"/>
      <c r="P31" s="19"/>
      <c r="Q31" s="19"/>
      <c r="R31" s="19"/>
      <c r="S31" s="19"/>
    </row>
  </sheetData>
  <mergeCells count="29">
    <mergeCell ref="A24:C24"/>
    <mergeCell ref="A26:H26"/>
    <mergeCell ref="A13:C13"/>
    <mergeCell ref="A14:C14"/>
    <mergeCell ref="A15:C15"/>
    <mergeCell ref="A16:C16"/>
    <mergeCell ref="A17:C17"/>
    <mergeCell ref="A4:C4"/>
    <mergeCell ref="J20:K23"/>
    <mergeCell ref="A19:C19"/>
    <mergeCell ref="A21:C21"/>
    <mergeCell ref="A22:C22"/>
    <mergeCell ref="A23:C23"/>
    <mergeCell ref="C1:D1"/>
    <mergeCell ref="A1:B1"/>
    <mergeCell ref="G3:G4"/>
    <mergeCell ref="H3:H4"/>
    <mergeCell ref="A18:C18"/>
    <mergeCell ref="A6:C6"/>
    <mergeCell ref="A7:C7"/>
    <mergeCell ref="A8:C8"/>
    <mergeCell ref="A9:C9"/>
    <mergeCell ref="A10:C10"/>
    <mergeCell ref="A12:C12"/>
    <mergeCell ref="A5:C5"/>
    <mergeCell ref="D3:D4"/>
    <mergeCell ref="E3:E4"/>
    <mergeCell ref="F3:F4"/>
    <mergeCell ref="A3:C3"/>
  </mergeCells>
  <dataValidations count="1">
    <dataValidation type="list" allowBlank="1" showInputMessage="1" showErrorMessage="1" sqref="C1">
      <formula1>Region</formula1>
    </dataValidation>
  </dataValidations>
  <pageMargins left="0.45" right="0.45" top="0.75" bottom="0.75" header="0.3" footer="0.3"/>
  <pageSetup orientation="portrait" r:id="rId1"/>
  <headerFooter>
    <oddHeader>&amp;CSocial Services Spending Summary by Region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W135"/>
  <sheetViews>
    <sheetView workbookViewId="0">
      <pane xSplit="3" ySplit="5" topLeftCell="D6" activePane="bottomRight" state="frozen"/>
      <selection pane="topRight" activeCell="D1" sqref="D1"/>
      <selection pane="bottomLeft" activeCell="A6" sqref="A6"/>
      <selection pane="bottomRight"/>
    </sheetView>
  </sheetViews>
  <sheetFormatPr defaultColWidth="9" defaultRowHeight="15.6" x14ac:dyDescent="0.3"/>
  <cols>
    <col min="1" max="1" width="7.69921875" style="41" customWidth="1"/>
    <col min="2" max="2" width="28.59765625" style="65" customWidth="1"/>
    <col min="3" max="3" width="10" style="65" customWidth="1"/>
    <col min="4" max="25" width="9" style="41"/>
    <col min="26" max="26" width="4.296875" style="41" customWidth="1"/>
    <col min="27" max="27" width="8.19921875" style="65" customWidth="1"/>
    <col min="28" max="30" width="8.19921875" style="64" customWidth="1"/>
    <col min="31" max="34" width="8.19921875" style="41" customWidth="1"/>
    <col min="35" max="38" width="8.19921875" style="42" customWidth="1"/>
    <col min="39" max="48" width="8.19921875" style="41" customWidth="1"/>
    <col min="49" max="49" width="4.19921875" style="41" customWidth="1"/>
    <col min="50" max="72" width="9" style="41"/>
    <col min="73" max="75" width="15.296875" style="41" customWidth="1"/>
    <col min="76" max="16384" width="9" style="41"/>
  </cols>
  <sheetData>
    <row r="1" spans="1:75" x14ac:dyDescent="0.3">
      <c r="A1" s="145" t="s">
        <v>895</v>
      </c>
      <c r="B1" s="145"/>
      <c r="C1" s="145"/>
      <c r="AA1" s="145"/>
      <c r="AB1" s="145"/>
      <c r="AC1" s="145"/>
      <c r="AD1" s="145"/>
      <c r="AE1" s="145"/>
      <c r="AF1" s="146"/>
      <c r="AG1" s="146"/>
      <c r="AH1" s="146"/>
      <c r="AI1" s="146"/>
      <c r="AJ1" s="146"/>
      <c r="AK1" s="146"/>
      <c r="AL1" s="146"/>
    </row>
    <row r="2" spans="1:75" ht="18" customHeight="1" x14ac:dyDescent="0.3">
      <c r="A2" s="1978">
        <v>1</v>
      </c>
      <c r="B2" s="43">
        <v>2</v>
      </c>
      <c r="C2" s="43">
        <v>3</v>
      </c>
      <c r="D2" s="43">
        <v>4</v>
      </c>
      <c r="E2" s="43">
        <v>5</v>
      </c>
      <c r="F2" s="43">
        <v>6</v>
      </c>
      <c r="G2" s="43">
        <v>7</v>
      </c>
      <c r="H2" s="43">
        <v>8</v>
      </c>
      <c r="I2" s="43">
        <v>9</v>
      </c>
      <c r="J2" s="43">
        <v>10</v>
      </c>
      <c r="K2" s="43">
        <v>11</v>
      </c>
      <c r="L2" s="43">
        <v>12</v>
      </c>
      <c r="M2" s="43">
        <v>13</v>
      </c>
      <c r="N2" s="43">
        <v>14</v>
      </c>
      <c r="O2" s="43">
        <v>15</v>
      </c>
      <c r="P2" s="43">
        <v>16</v>
      </c>
      <c r="Q2" s="43">
        <v>17</v>
      </c>
      <c r="R2" s="43">
        <v>18</v>
      </c>
      <c r="S2" s="43">
        <v>19</v>
      </c>
      <c r="T2" s="43">
        <v>20</v>
      </c>
      <c r="U2" s="43">
        <v>21</v>
      </c>
      <c r="V2" s="43">
        <v>22</v>
      </c>
      <c r="W2" s="43">
        <v>23</v>
      </c>
      <c r="X2" s="43">
        <v>24</v>
      </c>
      <c r="Y2" s="43">
        <v>25</v>
      </c>
      <c r="Z2" s="43">
        <v>26</v>
      </c>
      <c r="AA2" s="43">
        <v>27</v>
      </c>
      <c r="AB2" s="43">
        <v>28</v>
      </c>
      <c r="AC2" s="43">
        <v>29</v>
      </c>
      <c r="AD2" s="43">
        <v>30</v>
      </c>
      <c r="AE2" s="43">
        <v>31</v>
      </c>
      <c r="AF2" s="43">
        <v>32</v>
      </c>
      <c r="AG2" s="43">
        <v>33</v>
      </c>
      <c r="AH2" s="43">
        <v>34</v>
      </c>
      <c r="AI2" s="43">
        <v>35</v>
      </c>
      <c r="AJ2" s="43">
        <v>36</v>
      </c>
      <c r="AK2" s="43">
        <v>37</v>
      </c>
      <c r="AL2" s="43">
        <v>38</v>
      </c>
      <c r="AM2" s="43">
        <v>39</v>
      </c>
      <c r="AN2" s="43">
        <v>40</v>
      </c>
      <c r="AO2" s="43">
        <v>41</v>
      </c>
      <c r="AP2" s="43">
        <v>42</v>
      </c>
      <c r="AQ2" s="43">
        <v>43</v>
      </c>
      <c r="AR2" s="43">
        <v>44</v>
      </c>
      <c r="AS2" s="43">
        <v>45</v>
      </c>
      <c r="AT2" s="43">
        <v>46</v>
      </c>
      <c r="AU2" s="43">
        <v>47</v>
      </c>
      <c r="AV2" s="43">
        <v>48</v>
      </c>
      <c r="AW2" s="43">
        <v>49</v>
      </c>
      <c r="AX2" s="43">
        <v>50</v>
      </c>
      <c r="AY2" s="43">
        <v>51</v>
      </c>
      <c r="AZ2" s="43">
        <v>52</v>
      </c>
      <c r="BA2" s="43">
        <v>53</v>
      </c>
      <c r="BB2" s="43">
        <v>54</v>
      </c>
      <c r="BC2" s="43">
        <v>55</v>
      </c>
      <c r="BD2" s="43">
        <v>56</v>
      </c>
      <c r="BE2" s="43">
        <v>57</v>
      </c>
      <c r="BF2" s="43">
        <v>58</v>
      </c>
      <c r="BG2" s="43">
        <v>59</v>
      </c>
      <c r="BH2" s="43">
        <v>60</v>
      </c>
      <c r="BI2" s="43">
        <v>61</v>
      </c>
      <c r="BJ2" s="43">
        <v>62</v>
      </c>
      <c r="BK2" s="43">
        <v>63</v>
      </c>
      <c r="BL2" s="43">
        <v>64</v>
      </c>
      <c r="BM2" s="43">
        <v>65</v>
      </c>
      <c r="BN2" s="43">
        <v>66</v>
      </c>
      <c r="BO2" s="43">
        <v>67</v>
      </c>
      <c r="BP2" s="43">
        <v>68</v>
      </c>
      <c r="BQ2" s="43">
        <v>69</v>
      </c>
      <c r="BR2" s="43">
        <v>70</v>
      </c>
      <c r="BS2" s="43">
        <v>71</v>
      </c>
    </row>
    <row r="3" spans="1:75" ht="15.75" customHeight="1" x14ac:dyDescent="0.3">
      <c r="A3" s="31"/>
      <c r="B3" s="43"/>
      <c r="C3" s="43"/>
      <c r="D3" s="2538" t="s">
        <v>548</v>
      </c>
      <c r="E3" s="2538"/>
      <c r="F3" s="2538"/>
      <c r="G3" s="2538"/>
      <c r="H3" s="2538"/>
      <c r="I3" s="2538"/>
      <c r="J3" s="2538"/>
      <c r="K3" s="2538"/>
      <c r="L3" s="2538"/>
      <c r="M3" s="2538"/>
      <c r="N3" s="2538"/>
      <c r="O3" s="2538"/>
      <c r="P3" s="2538"/>
      <c r="Q3" s="2538"/>
      <c r="R3" s="2538"/>
      <c r="S3" s="2538"/>
      <c r="T3" s="2538"/>
      <c r="U3" s="2538"/>
      <c r="V3" s="2538"/>
      <c r="W3" s="2538"/>
      <c r="X3" s="2538"/>
      <c r="Y3" s="2538"/>
      <c r="AA3" s="2537" t="s">
        <v>850</v>
      </c>
      <c r="AB3" s="2537"/>
      <c r="AC3" s="2537"/>
      <c r="AD3" s="2537"/>
      <c r="AE3" s="2537"/>
      <c r="AF3" s="2537"/>
      <c r="AG3" s="2537"/>
      <c r="AH3" s="2537"/>
      <c r="AI3" s="2537"/>
      <c r="AJ3" s="2537"/>
      <c r="AK3" s="2537"/>
      <c r="AL3" s="2537"/>
      <c r="AM3" s="2537"/>
      <c r="AN3" s="2537"/>
      <c r="AO3" s="2537"/>
      <c r="AP3" s="2537"/>
      <c r="AQ3" s="2537"/>
      <c r="AR3" s="2537"/>
      <c r="AS3" s="2537"/>
      <c r="AT3" s="2537"/>
      <c r="AU3" s="2537"/>
      <c r="AV3" s="2537"/>
      <c r="AW3" s="999"/>
      <c r="AX3" s="2539" t="s">
        <v>627</v>
      </c>
      <c r="AY3" s="2539"/>
      <c r="AZ3" s="2539"/>
      <c r="BA3" s="2539"/>
      <c r="BB3" s="2539"/>
      <c r="BC3" s="2539"/>
      <c r="BD3" s="2539"/>
      <c r="BE3" s="2539"/>
      <c r="BF3" s="2539"/>
      <c r="BG3" s="2539"/>
      <c r="BH3" s="2539"/>
      <c r="BI3" s="2539"/>
      <c r="BJ3" s="2539"/>
      <c r="BK3" s="2539"/>
      <c r="BL3" s="2539"/>
      <c r="BM3" s="2539"/>
      <c r="BN3" s="2539"/>
      <c r="BO3" s="1102"/>
      <c r="BP3" s="1602"/>
      <c r="BQ3" s="1609"/>
      <c r="BR3" s="1609"/>
      <c r="BS3" s="1609"/>
    </row>
    <row r="4" spans="1:75" s="49" customFormat="1" ht="31.8" customHeight="1" x14ac:dyDescent="0.3">
      <c r="A4" s="689" t="s">
        <v>4</v>
      </c>
      <c r="B4" s="688" t="s">
        <v>5</v>
      </c>
      <c r="C4" s="688" t="s">
        <v>250</v>
      </c>
      <c r="D4" s="709">
        <v>1998</v>
      </c>
      <c r="E4" s="702">
        <v>1999</v>
      </c>
      <c r="F4" s="702">
        <v>2000</v>
      </c>
      <c r="G4" s="702">
        <v>2001</v>
      </c>
      <c r="H4" s="702">
        <v>2002</v>
      </c>
      <c r="I4" s="702">
        <v>2003</v>
      </c>
      <c r="J4" s="702">
        <v>2004</v>
      </c>
      <c r="K4" s="702">
        <v>2005</v>
      </c>
      <c r="L4" s="702">
        <v>2006</v>
      </c>
      <c r="M4" s="702">
        <v>2007</v>
      </c>
      <c r="N4" s="702">
        <v>2008</v>
      </c>
      <c r="O4" s="702">
        <v>2009</v>
      </c>
      <c r="P4" s="702">
        <v>2010</v>
      </c>
      <c r="Q4" s="702">
        <v>2011</v>
      </c>
      <c r="R4" s="846">
        <v>2012</v>
      </c>
      <c r="S4" s="703">
        <v>2013</v>
      </c>
      <c r="T4" s="1008">
        <v>2014</v>
      </c>
      <c r="U4" s="1639">
        <v>2015</v>
      </c>
      <c r="V4" s="1967">
        <v>2016</v>
      </c>
      <c r="W4" s="2031">
        <v>2017</v>
      </c>
      <c r="X4" s="1606">
        <v>2018</v>
      </c>
      <c r="Y4" s="1003">
        <v>2019</v>
      </c>
      <c r="Z4" s="1003"/>
      <c r="AA4" s="699">
        <v>1998</v>
      </c>
      <c r="AB4" s="700">
        <v>1999</v>
      </c>
      <c r="AC4" s="700">
        <v>2000</v>
      </c>
      <c r="AD4" s="700">
        <v>2001</v>
      </c>
      <c r="AE4" s="700">
        <v>2002</v>
      </c>
      <c r="AF4" s="700">
        <v>2003</v>
      </c>
      <c r="AG4" s="700">
        <v>2004</v>
      </c>
      <c r="AH4" s="700">
        <v>2005</v>
      </c>
      <c r="AI4" s="700">
        <v>2006</v>
      </c>
      <c r="AJ4" s="700">
        <v>2007</v>
      </c>
      <c r="AK4" s="700">
        <v>2008</v>
      </c>
      <c r="AL4" s="701">
        <v>2009</v>
      </c>
      <c r="AM4" s="702">
        <v>2010</v>
      </c>
      <c r="AN4" s="702">
        <v>2011</v>
      </c>
      <c r="AO4" s="846">
        <v>2012</v>
      </c>
      <c r="AP4" s="703">
        <v>2013</v>
      </c>
      <c r="AQ4" s="1003">
        <v>2014</v>
      </c>
      <c r="AR4" s="1632">
        <v>2015</v>
      </c>
      <c r="AS4" s="1967">
        <v>2016</v>
      </c>
      <c r="AT4" s="1603">
        <v>2017</v>
      </c>
      <c r="AU4" s="1606">
        <v>2018</v>
      </c>
      <c r="AV4" s="1003">
        <v>2019</v>
      </c>
      <c r="AW4" s="1003"/>
      <c r="AX4" s="709">
        <v>1998</v>
      </c>
      <c r="AY4" s="702">
        <v>1999</v>
      </c>
      <c r="AZ4" s="702">
        <v>2000</v>
      </c>
      <c r="BA4" s="702">
        <v>2001</v>
      </c>
      <c r="BB4" s="702">
        <v>2002</v>
      </c>
      <c r="BC4" s="702">
        <v>2003</v>
      </c>
      <c r="BD4" s="702">
        <v>2004</v>
      </c>
      <c r="BE4" s="702">
        <v>2005</v>
      </c>
      <c r="BF4" s="702">
        <v>2006</v>
      </c>
      <c r="BG4" s="702">
        <v>2007</v>
      </c>
      <c r="BH4" s="702">
        <v>2008</v>
      </c>
      <c r="BI4" s="702">
        <v>2009</v>
      </c>
      <c r="BJ4" s="702">
        <v>2010</v>
      </c>
      <c r="BK4" s="702">
        <v>2011</v>
      </c>
      <c r="BL4" s="846">
        <v>2012</v>
      </c>
      <c r="BM4" s="703">
        <v>2013</v>
      </c>
      <c r="BN4" s="1008">
        <v>2014</v>
      </c>
      <c r="BO4" s="1632">
        <v>2015</v>
      </c>
      <c r="BP4" s="1967">
        <v>2016</v>
      </c>
      <c r="BQ4" s="1603">
        <v>2017</v>
      </c>
      <c r="BR4" s="1606">
        <v>2018</v>
      </c>
      <c r="BS4" s="1003">
        <v>2019</v>
      </c>
      <c r="BU4" s="2171" t="s">
        <v>962</v>
      </c>
      <c r="BV4" s="2171" t="s">
        <v>963</v>
      </c>
      <c r="BW4" s="2171" t="s">
        <v>964</v>
      </c>
    </row>
    <row r="5" spans="1:75" s="49" customFormat="1" ht="15.75" customHeight="1" x14ac:dyDescent="0.3">
      <c r="A5" s="53" t="s">
        <v>7</v>
      </c>
      <c r="B5" s="54" t="s">
        <v>8</v>
      </c>
      <c r="C5" s="55"/>
      <c r="D5" s="718">
        <f t="shared" ref="D5:D36" si="0">IF(AX5=0,"NA",(AA5/AX5)*1000)</f>
        <v>21.993094229370861</v>
      </c>
      <c r="E5" s="719">
        <f t="shared" ref="E5:E36" si="1">IF(AY5=0,"NA",(AB5/AY5)*1000)</f>
        <v>21.672451714894493</v>
      </c>
      <c r="F5" s="719">
        <f t="shared" ref="F5:F36" si="2">IF(AZ5=0,"NA",(AC5/AZ5)*1000)</f>
        <v>20.498076279692203</v>
      </c>
      <c r="G5" s="719">
        <f t="shared" ref="G5:G36" si="3">IF(BA5=0,"NA",(AD5/BA5)*1000)</f>
        <v>19.688543968751606</v>
      </c>
      <c r="H5" s="719">
        <f t="shared" ref="H5:H36" si="4">IF(BB5=0,"NA",(AE5/BB5)*1000)</f>
        <v>18.674449210372391</v>
      </c>
      <c r="I5" s="719">
        <f t="shared" ref="I5:I36" si="5">IF(BC5=0,"NA",(AF5/BC5)*1000)</f>
        <v>17.903555881281065</v>
      </c>
      <c r="J5" s="719">
        <f t="shared" ref="J5:J36" si="6">IF(BD5=0,"NA",(AG5/BD5)*1000)</f>
        <v>17.707166297187989</v>
      </c>
      <c r="K5" s="719">
        <f t="shared" ref="K5:K36" si="7">IF(BE5=0,"NA",(AH5/BE5)*1000)</f>
        <v>17.591687162315662</v>
      </c>
      <c r="L5" s="719">
        <f t="shared" ref="L5:L36" si="8">IF(BF5=0,"NA",(AI5/BF5)*1000)</f>
        <v>18.306180625228926</v>
      </c>
      <c r="M5" s="719">
        <f t="shared" ref="M5:M36" si="9">IF(BG5=0,"NA",(AJ5/BG5)*1000)</f>
        <v>18.39683066850121</v>
      </c>
      <c r="N5" s="719">
        <f t="shared" ref="N5:N36" si="10">IF(BH5=0,"NA",(AK5/BH5)*1000)</f>
        <v>17.690427455734188</v>
      </c>
      <c r="O5" s="719">
        <f t="shared" ref="O5:O36" si="11">IF(BI5=0,"NA",(AL5/BI5)*1000)</f>
        <v>16.372318054611284</v>
      </c>
      <c r="P5" s="719">
        <f t="shared" ref="P5:P36" si="12">IF(BJ5=0,"NA",(AM5/BJ5)*1000)</f>
        <v>14.340618588477803</v>
      </c>
      <c r="Q5" s="719">
        <f t="shared" ref="Q5:Q36" si="13">IF(BK5=0,"NA",(AN5/BK5)*1000)</f>
        <v>12.702167795404645</v>
      </c>
      <c r="R5" s="853">
        <f t="shared" ref="R5:R36" si="14">IF(BL5=0,"NA",(AO5/BL5)*1000)</f>
        <v>11.846432840922917</v>
      </c>
      <c r="S5" s="856">
        <f t="shared" ref="S5:S36" si="15">IF(BM5=0,"NA",(AP5/BM5)*1000)</f>
        <v>10.25553965050911</v>
      </c>
      <c r="T5" s="1013">
        <f t="shared" ref="T5:T36" si="16">IF(BN5=0,"NA",(AQ5/BN5)*1000)</f>
        <v>9.405709207785387</v>
      </c>
      <c r="U5" s="1640">
        <f t="shared" ref="U5:U36" si="17">IF(BO5=0,"NA",(AR5/BO5)*1000)</f>
        <v>8.735085092108628</v>
      </c>
      <c r="V5" s="1974">
        <f t="shared" ref="V5:V36" si="18">IF(BP5=0,"NA",(AS5/BP5)*1000)</f>
        <v>7.9419432438809618</v>
      </c>
      <c r="W5" s="2032">
        <f>(AT5/BQ5)*1000</f>
        <v>7.6474440227776652</v>
      </c>
      <c r="X5" s="1977">
        <f>(AU5/BR5)*1000</f>
        <v>7.2760622499091445</v>
      </c>
      <c r="Y5" s="2098">
        <f>(AV5/BS5)*1000</f>
        <v>6.9715219724194295</v>
      </c>
      <c r="Z5" s="2098"/>
      <c r="AA5" s="691">
        <v>10102</v>
      </c>
      <c r="AB5" s="692">
        <v>10090</v>
      </c>
      <c r="AC5" s="692">
        <v>9803</v>
      </c>
      <c r="AD5" s="692">
        <v>9577</v>
      </c>
      <c r="AE5" s="692">
        <v>9195</v>
      </c>
      <c r="AF5" s="692">
        <v>8941</v>
      </c>
      <c r="AG5" s="692">
        <v>8914</v>
      </c>
      <c r="AH5" s="692">
        <v>8905</v>
      </c>
      <c r="AI5" s="693">
        <v>9196</v>
      </c>
      <c r="AJ5" s="693">
        <v>9306</v>
      </c>
      <c r="AK5" s="693">
        <v>8902</v>
      </c>
      <c r="AL5" s="693">
        <v>8284</v>
      </c>
      <c r="AM5" s="694">
        <v>7444</v>
      </c>
      <c r="AN5" s="694">
        <v>6572</v>
      </c>
      <c r="AO5" s="847">
        <v>6134</v>
      </c>
      <c r="AP5" s="695">
        <v>5316</v>
      </c>
      <c r="AQ5" s="1004">
        <v>4890</v>
      </c>
      <c r="AR5" s="1636">
        <v>4544</v>
      </c>
      <c r="AS5" s="1970">
        <v>4140</v>
      </c>
      <c r="AT5" s="1604">
        <v>3994</v>
      </c>
      <c r="AU5" s="2019">
        <v>3824</v>
      </c>
      <c r="AV5" s="1004">
        <v>3651</v>
      </c>
      <c r="AW5" s="1004"/>
      <c r="AX5" s="706">
        <v>459326</v>
      </c>
      <c r="AY5" s="707">
        <v>465568</v>
      </c>
      <c r="AZ5" s="707">
        <v>478240</v>
      </c>
      <c r="BA5" s="707">
        <v>486425</v>
      </c>
      <c r="BB5" s="707">
        <v>492384</v>
      </c>
      <c r="BC5" s="707">
        <v>499398</v>
      </c>
      <c r="BD5" s="707">
        <v>503412</v>
      </c>
      <c r="BE5" s="707">
        <v>506205</v>
      </c>
      <c r="BF5" s="707">
        <v>502344</v>
      </c>
      <c r="BG5" s="707">
        <v>505848</v>
      </c>
      <c r="BH5" s="707">
        <v>503210</v>
      </c>
      <c r="BI5" s="707">
        <v>505976</v>
      </c>
      <c r="BJ5" s="707">
        <v>519085</v>
      </c>
      <c r="BK5" s="707">
        <v>517392</v>
      </c>
      <c r="BL5" s="850">
        <v>517793</v>
      </c>
      <c r="BM5" s="708">
        <v>518354</v>
      </c>
      <c r="BN5" s="1115">
        <v>519897</v>
      </c>
      <c r="BO5" s="1633">
        <v>520201</v>
      </c>
      <c r="BP5" s="1968">
        <v>521283</v>
      </c>
      <c r="BQ5" s="1610">
        <v>522266</v>
      </c>
      <c r="BR5" s="2021">
        <v>525559</v>
      </c>
      <c r="BS5" s="1007">
        <v>523702</v>
      </c>
      <c r="BU5" s="49">
        <f>SUM(AR5:AV5)</f>
        <v>20153</v>
      </c>
      <c r="BV5" s="49">
        <f>SUM(BO5:BS5)</f>
        <v>2613011</v>
      </c>
      <c r="BW5" s="2174">
        <f>(BU5/BV5)*1000</f>
        <v>7.7125584239790799</v>
      </c>
    </row>
    <row r="6" spans="1:75" s="49" customFormat="1" ht="15.75" customHeight="1" x14ac:dyDescent="0.3">
      <c r="A6" s="56" t="s">
        <v>9</v>
      </c>
      <c r="B6" s="83" t="s">
        <v>10</v>
      </c>
      <c r="C6" s="57" t="s">
        <v>251</v>
      </c>
      <c r="D6" s="720">
        <f t="shared" si="0"/>
        <v>33.483258370814596</v>
      </c>
      <c r="E6" s="721">
        <f t="shared" si="1"/>
        <v>40.520260130065033</v>
      </c>
      <c r="F6" s="721">
        <f t="shared" si="2"/>
        <v>34.803723188992308</v>
      </c>
      <c r="G6" s="721">
        <f t="shared" si="3"/>
        <v>23.668639053254438</v>
      </c>
      <c r="H6" s="721">
        <f t="shared" si="4"/>
        <v>33.307210031347964</v>
      </c>
      <c r="I6" s="721">
        <f t="shared" si="5"/>
        <v>33.397312859884835</v>
      </c>
      <c r="J6" s="721">
        <f t="shared" si="6"/>
        <v>28.974158183241972</v>
      </c>
      <c r="K6" s="721">
        <f t="shared" si="7"/>
        <v>34.194831013916499</v>
      </c>
      <c r="L6" s="721">
        <f t="shared" si="8"/>
        <v>32.271241830065364</v>
      </c>
      <c r="M6" s="721">
        <f t="shared" si="9"/>
        <v>37.663986457892513</v>
      </c>
      <c r="N6" s="721">
        <f t="shared" si="10"/>
        <v>32.77274687365243</v>
      </c>
      <c r="O6" s="721">
        <f t="shared" si="11"/>
        <v>21.557413110426747</v>
      </c>
      <c r="P6" s="721">
        <f t="shared" si="12"/>
        <v>29.168959823885526</v>
      </c>
      <c r="Q6" s="721">
        <f t="shared" si="13"/>
        <v>23.982152816508645</v>
      </c>
      <c r="R6" s="854">
        <f t="shared" si="14"/>
        <v>18.212862834376779</v>
      </c>
      <c r="S6" s="857">
        <f t="shared" si="15"/>
        <v>13.248847926267281</v>
      </c>
      <c r="T6" s="1010">
        <f t="shared" si="16"/>
        <v>17.793594306049823</v>
      </c>
      <c r="U6" s="1641">
        <f t="shared" si="17"/>
        <v>14.979029358897543</v>
      </c>
      <c r="V6" s="1975">
        <f t="shared" si="18"/>
        <v>12.131715771230503</v>
      </c>
      <c r="W6" s="2033">
        <f t="shared" ref="W6:W37" si="19">(AT6/BQ6)*1000</f>
        <v>14.697236919459142</v>
      </c>
      <c r="X6" s="2035">
        <f t="shared" ref="X6:X37" si="20">(AU6/BR6)*1000</f>
        <v>12.941176470588236</v>
      </c>
      <c r="Y6" s="2099">
        <f t="shared" ref="Y6:Y69" si="21">(AV6/BS6)*1000</f>
        <v>14.318442153493699</v>
      </c>
      <c r="Z6" s="2099"/>
      <c r="AA6" s="681">
        <v>67</v>
      </c>
      <c r="AB6" s="682">
        <v>81</v>
      </c>
      <c r="AC6" s="683">
        <v>86</v>
      </c>
      <c r="AD6" s="682">
        <v>60</v>
      </c>
      <c r="AE6" s="683">
        <v>85</v>
      </c>
      <c r="AF6" s="682">
        <v>87</v>
      </c>
      <c r="AG6" s="683">
        <v>74</v>
      </c>
      <c r="AH6" s="682">
        <v>86</v>
      </c>
      <c r="AI6" s="696">
        <v>79</v>
      </c>
      <c r="AJ6" s="696">
        <v>89</v>
      </c>
      <c r="AK6" s="696">
        <v>76</v>
      </c>
      <c r="AL6" s="696">
        <v>49</v>
      </c>
      <c r="AM6" s="697">
        <v>53</v>
      </c>
      <c r="AN6" s="697">
        <v>43</v>
      </c>
      <c r="AO6" s="848">
        <v>32</v>
      </c>
      <c r="AP6" s="849">
        <v>23</v>
      </c>
      <c r="AQ6" s="1005">
        <v>30</v>
      </c>
      <c r="AR6" s="1637">
        <v>25</v>
      </c>
      <c r="AS6" s="1971">
        <v>21</v>
      </c>
      <c r="AT6" s="1095">
        <v>25</v>
      </c>
      <c r="AU6" s="2020">
        <v>22</v>
      </c>
      <c r="AV6" s="1005">
        <v>25</v>
      </c>
      <c r="AW6" s="1005"/>
      <c r="AX6" s="704">
        <v>2001</v>
      </c>
      <c r="AY6" s="705">
        <v>1999</v>
      </c>
      <c r="AZ6" s="705">
        <v>2471</v>
      </c>
      <c r="BA6" s="705">
        <v>2535</v>
      </c>
      <c r="BB6" s="705">
        <v>2552</v>
      </c>
      <c r="BC6" s="705">
        <v>2605</v>
      </c>
      <c r="BD6" s="705">
        <v>2554</v>
      </c>
      <c r="BE6" s="705">
        <v>2515</v>
      </c>
      <c r="BF6" s="705">
        <v>2448</v>
      </c>
      <c r="BG6" s="705">
        <v>2363</v>
      </c>
      <c r="BH6" s="705">
        <v>2319</v>
      </c>
      <c r="BI6" s="705">
        <v>2273</v>
      </c>
      <c r="BJ6" s="705">
        <v>1817</v>
      </c>
      <c r="BK6" s="705">
        <v>1793</v>
      </c>
      <c r="BL6" s="851">
        <v>1757</v>
      </c>
      <c r="BM6" s="852">
        <v>1736</v>
      </c>
      <c r="BN6" s="1116">
        <v>1686</v>
      </c>
      <c r="BO6" s="1634">
        <v>1669</v>
      </c>
      <c r="BP6" s="1969">
        <v>1731</v>
      </c>
      <c r="BQ6" s="1096">
        <v>1701</v>
      </c>
      <c r="BR6" s="2022">
        <v>1700</v>
      </c>
      <c r="BS6" s="1006">
        <v>1746</v>
      </c>
      <c r="BU6" s="49">
        <f t="shared" ref="BU6:BU69" si="22">SUM(AR6:AV6)</f>
        <v>118</v>
      </c>
      <c r="BV6" s="49">
        <f t="shared" ref="BV6:BV69" si="23">SUM(BO6:BS6)</f>
        <v>8547</v>
      </c>
      <c r="BW6" s="2174">
        <f t="shared" ref="BW6:BW69" si="24">(BU6/BV6)*1000</f>
        <v>13.806013806013807</v>
      </c>
    </row>
    <row r="7" spans="1:75" s="49" customFormat="1" ht="15.75" customHeight="1" x14ac:dyDescent="0.3">
      <c r="A7" s="56" t="s">
        <v>11</v>
      </c>
      <c r="B7" s="84" t="s">
        <v>12</v>
      </c>
      <c r="C7" s="57" t="s">
        <v>252</v>
      </c>
      <c r="D7" s="720">
        <f t="shared" si="0"/>
        <v>12.381411802540601</v>
      </c>
      <c r="E7" s="721">
        <f t="shared" si="1"/>
        <v>12.380504623099828</v>
      </c>
      <c r="F7" s="721">
        <f t="shared" si="2"/>
        <v>12.653374233128835</v>
      </c>
      <c r="G7" s="721">
        <f t="shared" si="3"/>
        <v>12.010347376201034</v>
      </c>
      <c r="H7" s="721">
        <f t="shared" si="4"/>
        <v>11.042722664735699</v>
      </c>
      <c r="I7" s="721">
        <f t="shared" si="5"/>
        <v>8.3999458068012469</v>
      </c>
      <c r="J7" s="721">
        <f t="shared" si="6"/>
        <v>6.7805804176837539</v>
      </c>
      <c r="K7" s="721">
        <f t="shared" si="7"/>
        <v>8.1103000811030004</v>
      </c>
      <c r="L7" s="721">
        <f t="shared" si="8"/>
        <v>9.8765432098765427</v>
      </c>
      <c r="M7" s="721">
        <f t="shared" si="9"/>
        <v>9.9351455774803377</v>
      </c>
      <c r="N7" s="721">
        <f t="shared" si="10"/>
        <v>9.8066685346035314</v>
      </c>
      <c r="O7" s="721">
        <f t="shared" si="11"/>
        <v>7.1833126122392592</v>
      </c>
      <c r="P7" s="721">
        <f t="shared" si="12"/>
        <v>7.3703606212161095</v>
      </c>
      <c r="Q7" s="721">
        <f t="shared" si="13"/>
        <v>4.898801082892871</v>
      </c>
      <c r="R7" s="854">
        <f t="shared" si="14"/>
        <v>5.0961905975283477</v>
      </c>
      <c r="S7" s="857">
        <f t="shared" si="15"/>
        <v>4.1386445938954992</v>
      </c>
      <c r="T7" s="1010">
        <f t="shared" si="16"/>
        <v>3.432494279176201</v>
      </c>
      <c r="U7" s="1641">
        <f t="shared" si="17"/>
        <v>2.5371051630090067</v>
      </c>
      <c r="V7" s="1975">
        <f t="shared" si="18"/>
        <v>3.293223559214693</v>
      </c>
      <c r="W7" s="2033">
        <f t="shared" si="19"/>
        <v>3.2903062515818777</v>
      </c>
      <c r="X7" s="2035">
        <f t="shared" si="20"/>
        <v>3.7859666834931853</v>
      </c>
      <c r="Y7" s="2099">
        <f t="shared" si="21"/>
        <v>2.051545069880754</v>
      </c>
      <c r="Z7" s="2099"/>
      <c r="AA7" s="681">
        <v>77</v>
      </c>
      <c r="AB7" s="682">
        <v>79</v>
      </c>
      <c r="AC7" s="683">
        <v>66</v>
      </c>
      <c r="AD7" s="682">
        <v>65</v>
      </c>
      <c r="AE7" s="683">
        <v>61</v>
      </c>
      <c r="AF7" s="682">
        <v>62</v>
      </c>
      <c r="AG7" s="683">
        <v>50</v>
      </c>
      <c r="AH7" s="682">
        <v>60</v>
      </c>
      <c r="AI7" s="696">
        <v>72</v>
      </c>
      <c r="AJ7" s="696">
        <v>72</v>
      </c>
      <c r="AK7" s="696">
        <v>70</v>
      </c>
      <c r="AL7" s="696">
        <v>52</v>
      </c>
      <c r="AM7" s="697">
        <v>56</v>
      </c>
      <c r="AN7" s="697">
        <v>38</v>
      </c>
      <c r="AO7" s="848">
        <v>40</v>
      </c>
      <c r="AP7" s="849">
        <v>32</v>
      </c>
      <c r="AQ7" s="1005">
        <v>27</v>
      </c>
      <c r="AR7" s="1637">
        <v>20</v>
      </c>
      <c r="AS7" s="1971">
        <v>26</v>
      </c>
      <c r="AT7" s="1095">
        <v>26</v>
      </c>
      <c r="AU7" s="2020">
        <v>30</v>
      </c>
      <c r="AV7" s="1005">
        <v>16</v>
      </c>
      <c r="AW7" s="1005"/>
      <c r="AX7" s="704">
        <v>6219</v>
      </c>
      <c r="AY7" s="705">
        <v>6381</v>
      </c>
      <c r="AZ7" s="705">
        <v>5216</v>
      </c>
      <c r="BA7" s="705">
        <v>5412</v>
      </c>
      <c r="BB7" s="705">
        <v>5524</v>
      </c>
      <c r="BC7" s="705">
        <v>7381</v>
      </c>
      <c r="BD7" s="705">
        <v>7374</v>
      </c>
      <c r="BE7" s="705">
        <v>7398</v>
      </c>
      <c r="BF7" s="705">
        <v>7290</v>
      </c>
      <c r="BG7" s="705">
        <v>7247</v>
      </c>
      <c r="BH7" s="705">
        <v>7138</v>
      </c>
      <c r="BI7" s="705">
        <v>7239</v>
      </c>
      <c r="BJ7" s="705">
        <v>7598</v>
      </c>
      <c r="BK7" s="705">
        <v>7757</v>
      </c>
      <c r="BL7" s="851">
        <v>7849</v>
      </c>
      <c r="BM7" s="852">
        <v>7732</v>
      </c>
      <c r="BN7" s="1116">
        <v>7866</v>
      </c>
      <c r="BO7" s="1634">
        <v>7883</v>
      </c>
      <c r="BP7" s="1969">
        <v>7895</v>
      </c>
      <c r="BQ7" s="1096">
        <v>7902</v>
      </c>
      <c r="BR7" s="2022">
        <v>7924</v>
      </c>
      <c r="BS7" s="1006">
        <v>7799</v>
      </c>
      <c r="BU7" s="49">
        <f t="shared" si="22"/>
        <v>118</v>
      </c>
      <c r="BV7" s="49">
        <f t="shared" si="23"/>
        <v>39403</v>
      </c>
      <c r="BW7" s="2174">
        <f t="shared" si="24"/>
        <v>2.9946958353424864</v>
      </c>
    </row>
    <row r="8" spans="1:75" s="49" customFormat="1" ht="15.75" customHeight="1" x14ac:dyDescent="0.3">
      <c r="A8" s="56" t="s">
        <v>15</v>
      </c>
      <c r="B8" s="84" t="s">
        <v>273</v>
      </c>
      <c r="C8" s="57" t="s">
        <v>252</v>
      </c>
      <c r="D8" s="722">
        <f t="shared" si="0"/>
        <v>26.523297491039425</v>
      </c>
      <c r="E8" s="723">
        <f t="shared" si="1"/>
        <v>29.09090909090909</v>
      </c>
      <c r="F8" s="723">
        <f t="shared" si="2"/>
        <v>22.522522522522522</v>
      </c>
      <c r="G8" s="723">
        <f t="shared" si="3"/>
        <v>18.168054504163514</v>
      </c>
      <c r="H8" s="723">
        <f t="shared" si="4"/>
        <v>16.129032258064516</v>
      </c>
      <c r="I8" s="723">
        <f t="shared" si="5"/>
        <v>16.018306636155607</v>
      </c>
      <c r="J8" s="723">
        <f t="shared" si="6"/>
        <v>24.886877828054295</v>
      </c>
      <c r="K8" s="723">
        <f t="shared" si="7"/>
        <v>16.430171769977594</v>
      </c>
      <c r="L8" s="723">
        <f t="shared" si="8"/>
        <v>26.455026455026452</v>
      </c>
      <c r="M8" s="723">
        <f t="shared" si="9"/>
        <v>23.378582202111613</v>
      </c>
      <c r="N8" s="723">
        <f t="shared" si="10"/>
        <v>27.607361963190183</v>
      </c>
      <c r="O8" s="723">
        <f t="shared" si="11"/>
        <v>15.255530129672005</v>
      </c>
      <c r="P8" s="723">
        <f t="shared" si="12"/>
        <v>16.417910447761194</v>
      </c>
      <c r="Q8" s="723">
        <f t="shared" si="13"/>
        <v>18.237082066869299</v>
      </c>
      <c r="R8" s="855">
        <f t="shared" si="14"/>
        <v>17.371601208459214</v>
      </c>
      <c r="S8" s="857">
        <f t="shared" si="15"/>
        <v>9.2664092664092657</v>
      </c>
      <c r="T8" s="1010">
        <f t="shared" si="16"/>
        <v>16.064257028112447</v>
      </c>
      <c r="U8" s="1641">
        <f t="shared" si="17"/>
        <v>17.543859649122805</v>
      </c>
      <c r="V8" s="1975">
        <f t="shared" si="18"/>
        <v>13.698630136986301</v>
      </c>
      <c r="W8" s="2033">
        <f t="shared" si="19"/>
        <v>11.555555555555555</v>
      </c>
      <c r="X8" s="2035">
        <f t="shared" si="20"/>
        <v>13.489208633093524</v>
      </c>
      <c r="Y8" s="2099">
        <f t="shared" si="21"/>
        <v>10.194624652455978</v>
      </c>
      <c r="Z8" s="2099"/>
      <c r="AA8" s="681">
        <v>37</v>
      </c>
      <c r="AB8" s="682">
        <v>40</v>
      </c>
      <c r="AC8" s="683">
        <v>30</v>
      </c>
      <c r="AD8" s="682">
        <v>24</v>
      </c>
      <c r="AE8" s="683">
        <v>21</v>
      </c>
      <c r="AF8" s="682">
        <v>21</v>
      </c>
      <c r="AG8" s="683">
        <v>33</v>
      </c>
      <c r="AH8" s="682">
        <v>22</v>
      </c>
      <c r="AI8" s="696">
        <v>35</v>
      </c>
      <c r="AJ8" s="696">
        <v>31</v>
      </c>
      <c r="AK8" s="696">
        <v>36</v>
      </c>
      <c r="AL8" s="696">
        <v>20</v>
      </c>
      <c r="AM8" s="697">
        <v>22</v>
      </c>
      <c r="AN8" s="697">
        <v>24</v>
      </c>
      <c r="AO8" s="848">
        <v>23</v>
      </c>
      <c r="AP8" s="849">
        <v>12</v>
      </c>
      <c r="AQ8" s="1005">
        <v>20</v>
      </c>
      <c r="AR8" s="1637">
        <v>21</v>
      </c>
      <c r="AS8" s="1971">
        <v>16</v>
      </c>
      <c r="AT8" s="1095">
        <v>13</v>
      </c>
      <c r="AU8" s="2020">
        <v>15</v>
      </c>
      <c r="AV8" s="1005">
        <v>11</v>
      </c>
      <c r="AW8" s="1005"/>
      <c r="AX8" s="704">
        <v>1395</v>
      </c>
      <c r="AY8" s="705">
        <v>1375</v>
      </c>
      <c r="AZ8" s="705">
        <v>1332</v>
      </c>
      <c r="BA8" s="705">
        <v>1321</v>
      </c>
      <c r="BB8" s="705">
        <v>1302</v>
      </c>
      <c r="BC8" s="705">
        <v>1311</v>
      </c>
      <c r="BD8" s="705">
        <v>1326</v>
      </c>
      <c r="BE8" s="705">
        <v>1339</v>
      </c>
      <c r="BF8" s="705">
        <v>1323</v>
      </c>
      <c r="BG8" s="705">
        <v>1326</v>
      </c>
      <c r="BH8" s="705">
        <v>1304</v>
      </c>
      <c r="BI8" s="705">
        <v>1311</v>
      </c>
      <c r="BJ8" s="705">
        <v>1340</v>
      </c>
      <c r="BK8" s="705">
        <v>1316</v>
      </c>
      <c r="BL8" s="851">
        <v>1324</v>
      </c>
      <c r="BM8" s="852">
        <v>1295</v>
      </c>
      <c r="BN8" s="1116">
        <v>1245</v>
      </c>
      <c r="BO8" s="1634">
        <v>1197</v>
      </c>
      <c r="BP8" s="1969">
        <v>1168</v>
      </c>
      <c r="BQ8" s="1096">
        <v>1125</v>
      </c>
      <c r="BR8" s="2022">
        <v>1112</v>
      </c>
      <c r="BS8" s="1006">
        <v>1079</v>
      </c>
      <c r="BU8" s="49">
        <f t="shared" si="22"/>
        <v>76</v>
      </c>
      <c r="BV8" s="49">
        <f t="shared" si="23"/>
        <v>5681</v>
      </c>
      <c r="BW8" s="2174">
        <f t="shared" si="24"/>
        <v>13.377926421404682</v>
      </c>
    </row>
    <row r="9" spans="1:75" s="49" customFormat="1" ht="15.75" customHeight="1" x14ac:dyDescent="0.3">
      <c r="A9" s="56" t="s">
        <v>17</v>
      </c>
      <c r="B9" s="84" t="s">
        <v>18</v>
      </c>
      <c r="C9" s="57" t="s">
        <v>253</v>
      </c>
      <c r="D9" s="722">
        <f t="shared" si="0"/>
        <v>29.173419773095624</v>
      </c>
      <c r="E9" s="723">
        <f t="shared" si="1"/>
        <v>19.480519480519479</v>
      </c>
      <c r="F9" s="723">
        <f t="shared" si="2"/>
        <v>31.088082901554404</v>
      </c>
      <c r="G9" s="723">
        <f t="shared" si="3"/>
        <v>26.582278481012658</v>
      </c>
      <c r="H9" s="723">
        <f t="shared" si="4"/>
        <v>18.9873417721519</v>
      </c>
      <c r="I9" s="723">
        <f t="shared" si="5"/>
        <v>19.480519480519479</v>
      </c>
      <c r="J9" s="723">
        <f t="shared" si="6"/>
        <v>24.484536082474225</v>
      </c>
      <c r="K9" s="723">
        <f t="shared" si="7"/>
        <v>23.622047244094489</v>
      </c>
      <c r="L9" s="723">
        <f t="shared" si="8"/>
        <v>20.725388601036268</v>
      </c>
      <c r="M9" s="723">
        <f t="shared" si="9"/>
        <v>27.925531914893615</v>
      </c>
      <c r="N9" s="723">
        <f t="shared" si="10"/>
        <v>21.333333333333332</v>
      </c>
      <c r="O9" s="723">
        <f t="shared" si="11"/>
        <v>24.783147459727388</v>
      </c>
      <c r="P9" s="723">
        <f t="shared" si="12"/>
        <v>19.45525291828794</v>
      </c>
      <c r="Q9" s="723">
        <f t="shared" si="13"/>
        <v>7.8740157480314963</v>
      </c>
      <c r="R9" s="855">
        <f t="shared" si="14"/>
        <v>18.567639257294431</v>
      </c>
      <c r="S9" s="857">
        <f t="shared" si="15"/>
        <v>12.080536912751677</v>
      </c>
      <c r="T9" s="1010">
        <f t="shared" si="16"/>
        <v>10.666666666666666</v>
      </c>
      <c r="U9" s="1641">
        <f t="shared" si="17"/>
        <v>7.8843626806833109</v>
      </c>
      <c r="V9" s="1975">
        <f t="shared" si="18"/>
        <v>5.5020632737276483</v>
      </c>
      <c r="W9" s="2033">
        <f t="shared" si="19"/>
        <v>1.3642564802182811</v>
      </c>
      <c r="X9" s="2035">
        <f t="shared" si="20"/>
        <v>4.0053404539385848</v>
      </c>
      <c r="Y9" s="2099">
        <f t="shared" si="21"/>
        <v>12</v>
      </c>
      <c r="Z9" s="2099"/>
      <c r="AA9" s="681">
        <v>18</v>
      </c>
      <c r="AB9" s="682">
        <v>12</v>
      </c>
      <c r="AC9" s="683">
        <v>24</v>
      </c>
      <c r="AD9" s="682">
        <v>21</v>
      </c>
      <c r="AE9" s="683">
        <v>15</v>
      </c>
      <c r="AF9" s="682">
        <v>15</v>
      </c>
      <c r="AG9" s="683">
        <v>19</v>
      </c>
      <c r="AH9" s="682">
        <v>18</v>
      </c>
      <c r="AI9" s="696">
        <v>16</v>
      </c>
      <c r="AJ9" s="696">
        <v>21</v>
      </c>
      <c r="AK9" s="696">
        <v>16</v>
      </c>
      <c r="AL9" s="696">
        <v>20</v>
      </c>
      <c r="AM9" s="697">
        <v>15</v>
      </c>
      <c r="AN9" s="697">
        <v>6</v>
      </c>
      <c r="AO9" s="848">
        <v>14</v>
      </c>
      <c r="AP9" s="849">
        <v>9</v>
      </c>
      <c r="AQ9" s="1005">
        <v>8</v>
      </c>
      <c r="AR9" s="1637">
        <v>6</v>
      </c>
      <c r="AS9" s="1971">
        <v>4</v>
      </c>
      <c r="AT9" s="1095">
        <v>1</v>
      </c>
      <c r="AU9" s="2020">
        <v>3</v>
      </c>
      <c r="AV9" s="1005">
        <v>9</v>
      </c>
      <c r="AW9" s="1005"/>
      <c r="AX9" s="704">
        <v>617</v>
      </c>
      <c r="AY9" s="705">
        <v>616</v>
      </c>
      <c r="AZ9" s="705">
        <v>772</v>
      </c>
      <c r="BA9" s="705">
        <v>790</v>
      </c>
      <c r="BB9" s="705">
        <v>790</v>
      </c>
      <c r="BC9" s="705">
        <v>770</v>
      </c>
      <c r="BD9" s="705">
        <v>776</v>
      </c>
      <c r="BE9" s="705">
        <v>762</v>
      </c>
      <c r="BF9" s="705">
        <v>772</v>
      </c>
      <c r="BG9" s="705">
        <v>752</v>
      </c>
      <c r="BH9" s="705">
        <v>750</v>
      </c>
      <c r="BI9" s="705">
        <v>807</v>
      </c>
      <c r="BJ9" s="705">
        <v>771</v>
      </c>
      <c r="BK9" s="705">
        <v>762</v>
      </c>
      <c r="BL9" s="851">
        <v>754</v>
      </c>
      <c r="BM9" s="852">
        <v>745</v>
      </c>
      <c r="BN9" s="1116">
        <v>750</v>
      </c>
      <c r="BO9" s="1634">
        <v>761</v>
      </c>
      <c r="BP9" s="1969">
        <v>727</v>
      </c>
      <c r="BQ9" s="1096">
        <v>733</v>
      </c>
      <c r="BR9" s="2022">
        <v>749</v>
      </c>
      <c r="BS9" s="1006">
        <v>750</v>
      </c>
      <c r="BU9" s="49">
        <f t="shared" si="22"/>
        <v>23</v>
      </c>
      <c r="BV9" s="49">
        <f t="shared" si="23"/>
        <v>3720</v>
      </c>
      <c r="BW9" s="2174">
        <f t="shared" si="24"/>
        <v>6.182795698924731</v>
      </c>
    </row>
    <row r="10" spans="1:75" s="49" customFormat="1" ht="15.75" customHeight="1" x14ac:dyDescent="0.3">
      <c r="A10" s="56" t="s">
        <v>19</v>
      </c>
      <c r="B10" s="84" t="s">
        <v>20</v>
      </c>
      <c r="C10" s="57" t="s">
        <v>252</v>
      </c>
      <c r="D10" s="722">
        <f t="shared" si="0"/>
        <v>17.467248908296941</v>
      </c>
      <c r="E10" s="723">
        <f t="shared" si="1"/>
        <v>20.894071914480079</v>
      </c>
      <c r="F10" s="723">
        <f t="shared" si="2"/>
        <v>18.875666803446862</v>
      </c>
      <c r="G10" s="723">
        <f t="shared" si="3"/>
        <v>15.944399018806214</v>
      </c>
      <c r="H10" s="723">
        <f t="shared" si="4"/>
        <v>16.817063166529941</v>
      </c>
      <c r="I10" s="723">
        <f t="shared" si="5"/>
        <v>16.182572614107887</v>
      </c>
      <c r="J10" s="723">
        <f t="shared" si="6"/>
        <v>17.241379310344826</v>
      </c>
      <c r="K10" s="723">
        <f t="shared" si="7"/>
        <v>14.559068219633943</v>
      </c>
      <c r="L10" s="723">
        <f t="shared" si="8"/>
        <v>14.817950889077053</v>
      </c>
      <c r="M10" s="723">
        <f t="shared" si="9"/>
        <v>16.701461377870562</v>
      </c>
      <c r="N10" s="723">
        <f t="shared" si="10"/>
        <v>21.303258145363408</v>
      </c>
      <c r="O10" s="723">
        <f t="shared" si="11"/>
        <v>19.008264462809915</v>
      </c>
      <c r="P10" s="723">
        <f t="shared" si="12"/>
        <v>20.008892841262782</v>
      </c>
      <c r="Q10" s="723">
        <f t="shared" si="13"/>
        <v>13.711151736745887</v>
      </c>
      <c r="R10" s="855">
        <f t="shared" si="14"/>
        <v>16.556291390728479</v>
      </c>
      <c r="S10" s="857">
        <f t="shared" si="15"/>
        <v>11.684518013631937</v>
      </c>
      <c r="T10" s="1010">
        <f t="shared" si="16"/>
        <v>13.684744044602128</v>
      </c>
      <c r="U10" s="1641">
        <f t="shared" si="17"/>
        <v>10.416666666666666</v>
      </c>
      <c r="V10" s="1975">
        <f t="shared" si="18"/>
        <v>9.2441544317563888</v>
      </c>
      <c r="W10" s="2033">
        <f t="shared" si="19"/>
        <v>12.380416432189083</v>
      </c>
      <c r="X10" s="2035">
        <f t="shared" si="20"/>
        <v>9.5025153717160435</v>
      </c>
      <c r="Y10" s="2099">
        <f t="shared" si="21"/>
        <v>6.8259385665529013</v>
      </c>
      <c r="Z10" s="2099"/>
      <c r="AA10" s="681">
        <v>36</v>
      </c>
      <c r="AB10" s="682">
        <v>43</v>
      </c>
      <c r="AC10" s="683">
        <v>46</v>
      </c>
      <c r="AD10" s="682">
        <v>39</v>
      </c>
      <c r="AE10" s="683">
        <v>41</v>
      </c>
      <c r="AF10" s="682">
        <v>39</v>
      </c>
      <c r="AG10" s="683">
        <v>42</v>
      </c>
      <c r="AH10" s="682">
        <v>35</v>
      </c>
      <c r="AI10" s="696">
        <v>35</v>
      </c>
      <c r="AJ10" s="696">
        <v>40</v>
      </c>
      <c r="AK10" s="696">
        <v>51</v>
      </c>
      <c r="AL10" s="696">
        <v>46</v>
      </c>
      <c r="AM10" s="697">
        <v>45</v>
      </c>
      <c r="AN10" s="697">
        <v>30</v>
      </c>
      <c r="AO10" s="848">
        <v>35</v>
      </c>
      <c r="AP10" s="849">
        <v>24</v>
      </c>
      <c r="AQ10" s="1005">
        <v>27</v>
      </c>
      <c r="AR10" s="1637">
        <v>20</v>
      </c>
      <c r="AS10" s="1971">
        <v>17</v>
      </c>
      <c r="AT10" s="1095">
        <v>22</v>
      </c>
      <c r="AU10" s="2020">
        <v>17</v>
      </c>
      <c r="AV10" s="1005">
        <v>12</v>
      </c>
      <c r="AW10" s="1005"/>
      <c r="AX10" s="704">
        <v>2061</v>
      </c>
      <c r="AY10" s="705">
        <v>2058</v>
      </c>
      <c r="AZ10" s="705">
        <v>2437</v>
      </c>
      <c r="BA10" s="705">
        <v>2446</v>
      </c>
      <c r="BB10" s="705">
        <v>2438</v>
      </c>
      <c r="BC10" s="705">
        <v>2410</v>
      </c>
      <c r="BD10" s="705">
        <v>2436</v>
      </c>
      <c r="BE10" s="705">
        <v>2404</v>
      </c>
      <c r="BF10" s="705">
        <v>2362</v>
      </c>
      <c r="BG10" s="705">
        <v>2395</v>
      </c>
      <c r="BH10" s="705">
        <v>2394</v>
      </c>
      <c r="BI10" s="705">
        <v>2420</v>
      </c>
      <c r="BJ10" s="705">
        <v>2249</v>
      </c>
      <c r="BK10" s="705">
        <v>2188</v>
      </c>
      <c r="BL10" s="851">
        <v>2114</v>
      </c>
      <c r="BM10" s="852">
        <v>2054</v>
      </c>
      <c r="BN10" s="1116">
        <v>1973</v>
      </c>
      <c r="BO10" s="1634">
        <v>1920</v>
      </c>
      <c r="BP10" s="1969">
        <v>1839</v>
      </c>
      <c r="BQ10" s="1096">
        <v>1777</v>
      </c>
      <c r="BR10" s="2022">
        <v>1789</v>
      </c>
      <c r="BS10" s="1006">
        <v>1758</v>
      </c>
      <c r="BU10" s="49">
        <f t="shared" si="22"/>
        <v>88</v>
      </c>
      <c r="BV10" s="49">
        <f t="shared" si="23"/>
        <v>9083</v>
      </c>
      <c r="BW10" s="2174">
        <f t="shared" si="24"/>
        <v>9.6884289331718598</v>
      </c>
    </row>
    <row r="11" spans="1:75" s="49" customFormat="1" ht="15.75" customHeight="1" x14ac:dyDescent="0.3">
      <c r="A11" s="56" t="s">
        <v>21</v>
      </c>
      <c r="B11" s="84" t="s">
        <v>22</v>
      </c>
      <c r="C11" s="57" t="s">
        <v>252</v>
      </c>
      <c r="D11" s="722">
        <f t="shared" si="0"/>
        <v>22.274325908558033</v>
      </c>
      <c r="E11" s="723">
        <f t="shared" si="1"/>
        <v>27.122641509433961</v>
      </c>
      <c r="F11" s="723">
        <f t="shared" si="2"/>
        <v>23.153252480705625</v>
      </c>
      <c r="G11" s="723">
        <f t="shared" si="3"/>
        <v>21.645021645021643</v>
      </c>
      <c r="H11" s="723">
        <f t="shared" si="4"/>
        <v>23.026315789473681</v>
      </c>
      <c r="I11" s="723">
        <f t="shared" si="5"/>
        <v>25.555555555555557</v>
      </c>
      <c r="J11" s="723">
        <f t="shared" si="6"/>
        <v>24.608501118568235</v>
      </c>
      <c r="K11" s="723">
        <f t="shared" si="7"/>
        <v>22.371364653243848</v>
      </c>
      <c r="L11" s="723">
        <f t="shared" si="8"/>
        <v>24.054982817869416</v>
      </c>
      <c r="M11" s="723">
        <f t="shared" si="9"/>
        <v>19.859813084112147</v>
      </c>
      <c r="N11" s="723">
        <f t="shared" si="10"/>
        <v>23.228803716608596</v>
      </c>
      <c r="O11" s="723">
        <f t="shared" si="11"/>
        <v>17.142857142857142</v>
      </c>
      <c r="P11" s="723">
        <f t="shared" si="12"/>
        <v>21.064301552106432</v>
      </c>
      <c r="Q11" s="723">
        <f t="shared" si="13"/>
        <v>18.784530386740332</v>
      </c>
      <c r="R11" s="855">
        <f t="shared" si="14"/>
        <v>17.640573318632857</v>
      </c>
      <c r="S11" s="857">
        <f t="shared" si="15"/>
        <v>12.114537444933921</v>
      </c>
      <c r="T11" s="1010">
        <f t="shared" si="16"/>
        <v>13.129102844638949</v>
      </c>
      <c r="U11" s="1641">
        <f t="shared" si="17"/>
        <v>9.9228224917309813</v>
      </c>
      <c r="V11" s="1975">
        <f t="shared" si="18"/>
        <v>16.146393972012916</v>
      </c>
      <c r="W11" s="2033">
        <f t="shared" si="19"/>
        <v>12.903225806451612</v>
      </c>
      <c r="X11" s="2035">
        <f t="shared" si="20"/>
        <v>11.049723756906078</v>
      </c>
      <c r="Y11" s="2099">
        <f t="shared" si="21"/>
        <v>13.114754098360656</v>
      </c>
      <c r="Z11" s="2099"/>
      <c r="AA11" s="681">
        <v>19</v>
      </c>
      <c r="AB11" s="682">
        <v>23</v>
      </c>
      <c r="AC11" s="683">
        <v>21</v>
      </c>
      <c r="AD11" s="682">
        <v>20</v>
      </c>
      <c r="AE11" s="683">
        <v>21</v>
      </c>
      <c r="AF11" s="682">
        <v>23</v>
      </c>
      <c r="AG11" s="683">
        <v>22</v>
      </c>
      <c r="AH11" s="682">
        <v>20</v>
      </c>
      <c r="AI11" s="696">
        <v>21</v>
      </c>
      <c r="AJ11" s="696">
        <v>17</v>
      </c>
      <c r="AK11" s="696">
        <v>20</v>
      </c>
      <c r="AL11" s="696">
        <v>15</v>
      </c>
      <c r="AM11" s="697">
        <v>19</v>
      </c>
      <c r="AN11" s="697">
        <v>17</v>
      </c>
      <c r="AO11" s="848">
        <v>16</v>
      </c>
      <c r="AP11" s="849">
        <v>11</v>
      </c>
      <c r="AQ11" s="1005">
        <v>12</v>
      </c>
      <c r="AR11" s="1637">
        <v>9</v>
      </c>
      <c r="AS11" s="1971">
        <v>15</v>
      </c>
      <c r="AT11" s="1095">
        <v>12</v>
      </c>
      <c r="AU11" s="2020">
        <v>10</v>
      </c>
      <c r="AV11" s="1005">
        <v>12</v>
      </c>
      <c r="AW11" s="1005"/>
      <c r="AX11" s="704">
        <v>853</v>
      </c>
      <c r="AY11" s="705">
        <v>848</v>
      </c>
      <c r="AZ11" s="705">
        <v>907</v>
      </c>
      <c r="BA11" s="705">
        <v>924</v>
      </c>
      <c r="BB11" s="705">
        <v>912</v>
      </c>
      <c r="BC11" s="705">
        <v>900</v>
      </c>
      <c r="BD11" s="705">
        <v>894</v>
      </c>
      <c r="BE11" s="705">
        <v>894</v>
      </c>
      <c r="BF11" s="705">
        <v>873</v>
      </c>
      <c r="BG11" s="705">
        <v>856</v>
      </c>
      <c r="BH11" s="705">
        <v>861</v>
      </c>
      <c r="BI11" s="705">
        <v>875</v>
      </c>
      <c r="BJ11" s="705">
        <v>902</v>
      </c>
      <c r="BK11" s="705">
        <v>905</v>
      </c>
      <c r="BL11" s="851">
        <v>907</v>
      </c>
      <c r="BM11" s="852">
        <v>908</v>
      </c>
      <c r="BN11" s="1116">
        <v>914</v>
      </c>
      <c r="BO11" s="1634">
        <v>907</v>
      </c>
      <c r="BP11" s="1969">
        <v>929</v>
      </c>
      <c r="BQ11" s="1096">
        <v>930</v>
      </c>
      <c r="BR11" s="2022">
        <v>905</v>
      </c>
      <c r="BS11" s="1006">
        <v>915</v>
      </c>
      <c r="BU11" s="49">
        <f t="shared" si="22"/>
        <v>58</v>
      </c>
      <c r="BV11" s="49">
        <f t="shared" si="23"/>
        <v>4586</v>
      </c>
      <c r="BW11" s="2174">
        <f t="shared" si="24"/>
        <v>12.64718709114697</v>
      </c>
    </row>
    <row r="12" spans="1:75" s="49" customFormat="1" ht="15.75" customHeight="1" x14ac:dyDescent="0.3">
      <c r="A12" s="56" t="s">
        <v>23</v>
      </c>
      <c r="B12" s="84" t="s">
        <v>24</v>
      </c>
      <c r="C12" s="57" t="s">
        <v>254</v>
      </c>
      <c r="D12" s="722">
        <f t="shared" si="0"/>
        <v>20.512820512820515</v>
      </c>
      <c r="E12" s="723">
        <f t="shared" si="1"/>
        <v>17.694576227721502</v>
      </c>
      <c r="F12" s="723">
        <f t="shared" si="2"/>
        <v>17.901404571743321</v>
      </c>
      <c r="G12" s="723">
        <f t="shared" si="3"/>
        <v>17.66833611574847</v>
      </c>
      <c r="H12" s="723">
        <f t="shared" si="4"/>
        <v>14.605785592739648</v>
      </c>
      <c r="I12" s="723">
        <f t="shared" si="5"/>
        <v>13.273045507584598</v>
      </c>
      <c r="J12" s="723">
        <f t="shared" si="6"/>
        <v>15.627199774743065</v>
      </c>
      <c r="K12" s="723">
        <f t="shared" si="7"/>
        <v>10.545303177466351</v>
      </c>
      <c r="L12" s="723">
        <f t="shared" si="8"/>
        <v>12.386917188587335</v>
      </c>
      <c r="M12" s="723">
        <f t="shared" si="9"/>
        <v>9.9962514057228535</v>
      </c>
      <c r="N12" s="723">
        <f t="shared" si="10"/>
        <v>11.282300133446562</v>
      </c>
      <c r="O12" s="723">
        <f t="shared" si="11"/>
        <v>9.2539863325740317</v>
      </c>
      <c r="P12" s="723">
        <f t="shared" si="12"/>
        <v>9.0051457975986278</v>
      </c>
      <c r="Q12" s="723">
        <f t="shared" si="13"/>
        <v>7.12940543449018</v>
      </c>
      <c r="R12" s="855">
        <f t="shared" si="14"/>
        <v>6.9346346474894052</v>
      </c>
      <c r="S12" s="857">
        <f t="shared" si="15"/>
        <v>5.5893677803999502</v>
      </c>
      <c r="T12" s="1010">
        <f t="shared" si="16"/>
        <v>4.7410216901742324</v>
      </c>
      <c r="U12" s="1641">
        <f t="shared" si="17"/>
        <v>6.2125833050943182</v>
      </c>
      <c r="V12" s="1975">
        <f t="shared" si="18"/>
        <v>4.0178086654359859</v>
      </c>
      <c r="W12" s="2033">
        <f t="shared" si="19"/>
        <v>3.6484936933180445</v>
      </c>
      <c r="X12" s="2035">
        <f t="shared" si="20"/>
        <v>3.1366993827785086</v>
      </c>
      <c r="Y12" s="2099">
        <f t="shared" si="21"/>
        <v>4.2406311637080867</v>
      </c>
      <c r="Z12" s="2099"/>
      <c r="AA12" s="681">
        <v>156</v>
      </c>
      <c r="AB12" s="682">
        <v>138</v>
      </c>
      <c r="AC12" s="683">
        <v>130</v>
      </c>
      <c r="AD12" s="682">
        <v>127</v>
      </c>
      <c r="AE12" s="683">
        <v>103</v>
      </c>
      <c r="AF12" s="682">
        <v>91</v>
      </c>
      <c r="AG12" s="683">
        <v>111</v>
      </c>
      <c r="AH12" s="682">
        <v>76</v>
      </c>
      <c r="AI12" s="696">
        <v>89</v>
      </c>
      <c r="AJ12" s="696">
        <v>80</v>
      </c>
      <c r="AK12" s="696">
        <v>93</v>
      </c>
      <c r="AL12" s="696">
        <v>65</v>
      </c>
      <c r="AM12" s="697">
        <v>63</v>
      </c>
      <c r="AN12" s="697">
        <v>53</v>
      </c>
      <c r="AO12" s="848">
        <v>54</v>
      </c>
      <c r="AP12" s="849">
        <v>45</v>
      </c>
      <c r="AQ12" s="1005">
        <v>40</v>
      </c>
      <c r="AR12" s="1637">
        <v>55</v>
      </c>
      <c r="AS12" s="1971">
        <v>37</v>
      </c>
      <c r="AT12" s="1095">
        <v>35</v>
      </c>
      <c r="AU12" s="2020">
        <v>31</v>
      </c>
      <c r="AV12" s="1005">
        <v>43</v>
      </c>
      <c r="AW12" s="1005"/>
      <c r="AX12" s="704">
        <v>7605</v>
      </c>
      <c r="AY12" s="705">
        <v>7799</v>
      </c>
      <c r="AZ12" s="705">
        <v>7262</v>
      </c>
      <c r="BA12" s="705">
        <v>7188</v>
      </c>
      <c r="BB12" s="705">
        <v>7052</v>
      </c>
      <c r="BC12" s="705">
        <v>6856</v>
      </c>
      <c r="BD12" s="705">
        <v>7103</v>
      </c>
      <c r="BE12" s="705">
        <v>7207</v>
      </c>
      <c r="BF12" s="705">
        <v>7185</v>
      </c>
      <c r="BG12" s="705">
        <v>8003</v>
      </c>
      <c r="BH12" s="705">
        <v>8243</v>
      </c>
      <c r="BI12" s="705">
        <v>7024</v>
      </c>
      <c r="BJ12" s="705">
        <v>6996</v>
      </c>
      <c r="BK12" s="705">
        <v>7434</v>
      </c>
      <c r="BL12" s="851">
        <v>7787</v>
      </c>
      <c r="BM12" s="852">
        <v>8051</v>
      </c>
      <c r="BN12" s="1116">
        <v>8437</v>
      </c>
      <c r="BO12" s="1634">
        <v>8853</v>
      </c>
      <c r="BP12" s="1969">
        <v>9209</v>
      </c>
      <c r="BQ12" s="1096">
        <v>9593</v>
      </c>
      <c r="BR12" s="2022">
        <v>9883</v>
      </c>
      <c r="BS12" s="1006">
        <v>10140</v>
      </c>
      <c r="BU12" s="49">
        <f t="shared" si="22"/>
        <v>201</v>
      </c>
      <c r="BV12" s="49">
        <f t="shared" si="23"/>
        <v>47678</v>
      </c>
      <c r="BW12" s="2174">
        <f t="shared" si="24"/>
        <v>4.2157808632912452</v>
      </c>
    </row>
    <row r="13" spans="1:75" s="49" customFormat="1" ht="15.75" customHeight="1" x14ac:dyDescent="0.3">
      <c r="A13" s="56" t="s">
        <v>25</v>
      </c>
      <c r="B13" s="84" t="s">
        <v>274</v>
      </c>
      <c r="C13" s="57" t="s">
        <v>252</v>
      </c>
      <c r="D13" s="722">
        <f t="shared" si="0"/>
        <v>21.57210401891253</v>
      </c>
      <c r="E13" s="723">
        <f t="shared" si="1"/>
        <v>22.607163828537875</v>
      </c>
      <c r="F13" s="723">
        <f t="shared" si="2"/>
        <v>21.830985915492956</v>
      </c>
      <c r="G13" s="723">
        <f t="shared" si="3"/>
        <v>20.591119204370358</v>
      </c>
      <c r="H13" s="723">
        <f t="shared" si="4"/>
        <v>21.967394307819841</v>
      </c>
      <c r="I13" s="723">
        <f t="shared" si="5"/>
        <v>22.309889810910082</v>
      </c>
      <c r="J13" s="723">
        <f t="shared" si="6"/>
        <v>21.832884097035041</v>
      </c>
      <c r="K13" s="723">
        <f t="shared" si="7"/>
        <v>20.981897970378494</v>
      </c>
      <c r="L13" s="723">
        <f t="shared" si="8"/>
        <v>19.580222566558668</v>
      </c>
      <c r="M13" s="723">
        <f t="shared" si="9"/>
        <v>22.978723404255319</v>
      </c>
      <c r="N13" s="723">
        <f t="shared" si="10"/>
        <v>23.026315789473681</v>
      </c>
      <c r="O13" s="723">
        <f t="shared" si="11"/>
        <v>20.213207808389868</v>
      </c>
      <c r="P13" s="723">
        <f t="shared" si="12"/>
        <v>17.932922655715263</v>
      </c>
      <c r="Q13" s="723">
        <f t="shared" si="13"/>
        <v>15.773310999441653</v>
      </c>
      <c r="R13" s="855">
        <f t="shared" si="14"/>
        <v>14.844419069369112</v>
      </c>
      <c r="S13" s="857">
        <f t="shared" si="15"/>
        <v>11.253340835560557</v>
      </c>
      <c r="T13" s="1010">
        <f t="shared" si="16"/>
        <v>13.663535439795046</v>
      </c>
      <c r="U13" s="1641">
        <f t="shared" si="17"/>
        <v>12.564991334488735</v>
      </c>
      <c r="V13" s="1975">
        <f t="shared" si="18"/>
        <v>9.8316698942350662</v>
      </c>
      <c r="W13" s="2033">
        <f t="shared" si="19"/>
        <v>11.363636363636363</v>
      </c>
      <c r="X13" s="2035">
        <f t="shared" si="20"/>
        <v>11.587659894657637</v>
      </c>
      <c r="Y13" s="2099">
        <f t="shared" si="21"/>
        <v>8.0910997902307464</v>
      </c>
      <c r="Z13" s="2099"/>
      <c r="AA13" s="681">
        <v>146</v>
      </c>
      <c r="AB13" s="682">
        <v>154</v>
      </c>
      <c r="AC13" s="683">
        <v>155</v>
      </c>
      <c r="AD13" s="682">
        <v>147</v>
      </c>
      <c r="AE13" s="683">
        <v>159</v>
      </c>
      <c r="AF13" s="682">
        <v>164</v>
      </c>
      <c r="AG13" s="683">
        <v>162</v>
      </c>
      <c r="AH13" s="682">
        <v>153</v>
      </c>
      <c r="AI13" s="696">
        <v>139</v>
      </c>
      <c r="AJ13" s="696">
        <v>162</v>
      </c>
      <c r="AK13" s="696">
        <v>161</v>
      </c>
      <c r="AL13" s="696">
        <v>146</v>
      </c>
      <c r="AM13" s="697">
        <v>131</v>
      </c>
      <c r="AN13" s="697">
        <v>113</v>
      </c>
      <c r="AO13" s="848">
        <v>104</v>
      </c>
      <c r="AP13" s="849">
        <v>80</v>
      </c>
      <c r="AQ13" s="1005">
        <v>96</v>
      </c>
      <c r="AR13" s="1637">
        <v>87</v>
      </c>
      <c r="AS13" s="1971">
        <v>66</v>
      </c>
      <c r="AT13" s="1095">
        <v>76</v>
      </c>
      <c r="AU13" s="2020">
        <v>77</v>
      </c>
      <c r="AV13" s="1005">
        <v>54</v>
      </c>
      <c r="AW13" s="1005"/>
      <c r="AX13" s="704">
        <v>6768</v>
      </c>
      <c r="AY13" s="705">
        <v>6812</v>
      </c>
      <c r="AZ13" s="705">
        <v>7100</v>
      </c>
      <c r="BA13" s="705">
        <v>7139</v>
      </c>
      <c r="BB13" s="705">
        <v>7238</v>
      </c>
      <c r="BC13" s="705">
        <v>7351</v>
      </c>
      <c r="BD13" s="705">
        <v>7420</v>
      </c>
      <c r="BE13" s="705">
        <v>7292</v>
      </c>
      <c r="BF13" s="705">
        <v>7099</v>
      </c>
      <c r="BG13" s="705">
        <v>7050</v>
      </c>
      <c r="BH13" s="705">
        <v>6992</v>
      </c>
      <c r="BI13" s="705">
        <v>7223</v>
      </c>
      <c r="BJ13" s="705">
        <v>7305</v>
      </c>
      <c r="BK13" s="705">
        <v>7164</v>
      </c>
      <c r="BL13" s="851">
        <v>7006</v>
      </c>
      <c r="BM13" s="852">
        <v>7109</v>
      </c>
      <c r="BN13" s="1116">
        <v>7026</v>
      </c>
      <c r="BO13" s="1634">
        <v>6924</v>
      </c>
      <c r="BP13" s="1969">
        <v>6713</v>
      </c>
      <c r="BQ13" s="1096">
        <v>6688</v>
      </c>
      <c r="BR13" s="2022">
        <v>6645</v>
      </c>
      <c r="BS13" s="1006">
        <v>6674</v>
      </c>
      <c r="BU13" s="49">
        <f t="shared" si="22"/>
        <v>360</v>
      </c>
      <c r="BV13" s="49">
        <f t="shared" si="23"/>
        <v>33644</v>
      </c>
      <c r="BW13" s="2174">
        <f t="shared" si="24"/>
        <v>10.700273451432649</v>
      </c>
    </row>
    <row r="14" spans="1:75" s="49" customFormat="1" ht="15.75" customHeight="1" x14ac:dyDescent="0.3">
      <c r="A14" s="56" t="s">
        <v>26</v>
      </c>
      <c r="B14" s="84" t="s">
        <v>27</v>
      </c>
      <c r="C14" s="57" t="s">
        <v>252</v>
      </c>
      <c r="D14" s="722">
        <f t="shared" si="0"/>
        <v>26.200873362445414</v>
      </c>
      <c r="E14" s="723">
        <f t="shared" si="1"/>
        <v>8.8888888888888893</v>
      </c>
      <c r="F14" s="723">
        <f t="shared" si="2"/>
        <v>6.6225165562913908</v>
      </c>
      <c r="G14" s="723">
        <f t="shared" si="3"/>
        <v>3.3557046979865772</v>
      </c>
      <c r="H14" s="723">
        <f t="shared" si="4"/>
        <v>3.2679738562091503</v>
      </c>
      <c r="I14" s="723">
        <f t="shared" si="5"/>
        <v>6.5146579804560263</v>
      </c>
      <c r="J14" s="723">
        <f t="shared" si="6"/>
        <v>3.3112582781456954</v>
      </c>
      <c r="K14" s="723">
        <f t="shared" si="7"/>
        <v>3.3222591362126246</v>
      </c>
      <c r="L14" s="723">
        <f t="shared" si="8"/>
        <v>3.4482758620689653</v>
      </c>
      <c r="M14" s="723">
        <f t="shared" si="9"/>
        <v>3.7453183520599249</v>
      </c>
      <c r="N14" s="723">
        <f t="shared" si="10"/>
        <v>16.064257028112447</v>
      </c>
      <c r="O14" s="723">
        <f t="shared" si="11"/>
        <v>3.6764705882352939</v>
      </c>
      <c r="P14" s="723">
        <f t="shared" si="12"/>
        <v>23.52941176470588</v>
      </c>
      <c r="Q14" s="723">
        <f t="shared" si="13"/>
        <v>4.048582995951417</v>
      </c>
      <c r="R14" s="855">
        <f t="shared" si="14"/>
        <v>15.384615384615385</v>
      </c>
      <c r="S14" s="857">
        <f t="shared" si="15"/>
        <v>21.929824561403507</v>
      </c>
      <c r="T14" s="1010">
        <f t="shared" si="16"/>
        <v>18.779342723004696</v>
      </c>
      <c r="U14" s="1641">
        <f t="shared" si="17"/>
        <v>4.6082949308755756</v>
      </c>
      <c r="V14" s="1975">
        <f t="shared" si="18"/>
        <v>16.042780748663102</v>
      </c>
      <c r="W14" s="2033">
        <f t="shared" si="19"/>
        <v>21.621621621621621</v>
      </c>
      <c r="X14" s="2035">
        <f t="shared" si="20"/>
        <v>11.494252873563218</v>
      </c>
      <c r="Y14" s="2099">
        <f t="shared" si="21"/>
        <v>11.904761904761903</v>
      </c>
      <c r="Z14" s="2099"/>
      <c r="AA14" s="681">
        <v>6</v>
      </c>
      <c r="AB14" s="682">
        <v>2</v>
      </c>
      <c r="AC14" s="683">
        <v>2</v>
      </c>
      <c r="AD14" s="682">
        <v>1</v>
      </c>
      <c r="AE14" s="683">
        <v>1</v>
      </c>
      <c r="AF14" s="682">
        <v>2</v>
      </c>
      <c r="AG14" s="683">
        <v>1</v>
      </c>
      <c r="AH14" s="682">
        <v>1</v>
      </c>
      <c r="AI14" s="696">
        <v>1</v>
      </c>
      <c r="AJ14" s="696">
        <v>1</v>
      </c>
      <c r="AK14" s="696">
        <v>4</v>
      </c>
      <c r="AL14" s="696">
        <v>1</v>
      </c>
      <c r="AM14" s="697">
        <v>6</v>
      </c>
      <c r="AN14" s="697">
        <v>1</v>
      </c>
      <c r="AO14" s="848">
        <v>4</v>
      </c>
      <c r="AP14" s="849">
        <v>5</v>
      </c>
      <c r="AQ14" s="1005">
        <v>4</v>
      </c>
      <c r="AR14" s="1637">
        <v>1</v>
      </c>
      <c r="AS14" s="1971">
        <v>3</v>
      </c>
      <c r="AT14" s="1095">
        <v>4</v>
      </c>
      <c r="AU14" s="2020">
        <v>2</v>
      </c>
      <c r="AV14" s="1005">
        <v>2</v>
      </c>
      <c r="AW14" s="1005"/>
      <c r="AX14" s="704">
        <v>229</v>
      </c>
      <c r="AY14" s="705">
        <v>225</v>
      </c>
      <c r="AZ14" s="705">
        <v>302</v>
      </c>
      <c r="BA14" s="705">
        <v>298</v>
      </c>
      <c r="BB14" s="705">
        <v>306</v>
      </c>
      <c r="BC14" s="705">
        <v>307</v>
      </c>
      <c r="BD14" s="705">
        <v>302</v>
      </c>
      <c r="BE14" s="705">
        <v>301</v>
      </c>
      <c r="BF14" s="705">
        <v>290</v>
      </c>
      <c r="BG14" s="705">
        <v>267</v>
      </c>
      <c r="BH14" s="705">
        <v>249</v>
      </c>
      <c r="BI14" s="705">
        <v>272</v>
      </c>
      <c r="BJ14" s="705">
        <v>255</v>
      </c>
      <c r="BK14" s="705">
        <v>247</v>
      </c>
      <c r="BL14" s="851">
        <v>260</v>
      </c>
      <c r="BM14" s="852">
        <v>228</v>
      </c>
      <c r="BN14" s="1116">
        <v>213</v>
      </c>
      <c r="BO14" s="1634">
        <v>217</v>
      </c>
      <c r="BP14" s="1969">
        <v>187</v>
      </c>
      <c r="BQ14" s="1096">
        <v>185</v>
      </c>
      <c r="BR14" s="2022">
        <v>174</v>
      </c>
      <c r="BS14" s="1006">
        <v>168</v>
      </c>
      <c r="BU14" s="49">
        <f t="shared" si="22"/>
        <v>12</v>
      </c>
      <c r="BV14" s="49">
        <f t="shared" si="23"/>
        <v>931</v>
      </c>
      <c r="BW14" s="2174">
        <f t="shared" si="24"/>
        <v>12.889366272824921</v>
      </c>
    </row>
    <row r="15" spans="1:75" s="49" customFormat="1" ht="15.75" customHeight="1" x14ac:dyDescent="0.3">
      <c r="A15" s="56" t="s">
        <v>28</v>
      </c>
      <c r="B15" s="84" t="s">
        <v>568</v>
      </c>
      <c r="C15" s="57" t="s">
        <v>252</v>
      </c>
      <c r="D15" s="722">
        <f t="shared" si="0"/>
        <v>19.937339789233835</v>
      </c>
      <c r="E15" s="723">
        <f t="shared" si="1"/>
        <v>16.351846630955738</v>
      </c>
      <c r="F15" s="723">
        <f t="shared" si="2"/>
        <v>16.638935108153078</v>
      </c>
      <c r="G15" s="723">
        <f t="shared" si="3"/>
        <v>11.951275568834751</v>
      </c>
      <c r="H15" s="723">
        <f t="shared" si="4"/>
        <v>15.198927134555209</v>
      </c>
      <c r="I15" s="723">
        <f t="shared" si="5"/>
        <v>13.840070298769772</v>
      </c>
      <c r="J15" s="723">
        <f t="shared" si="6"/>
        <v>15.835140997830802</v>
      </c>
      <c r="K15" s="723">
        <f t="shared" si="7"/>
        <v>13.227513227513226</v>
      </c>
      <c r="L15" s="723">
        <f t="shared" si="8"/>
        <v>14.742014742014742</v>
      </c>
      <c r="M15" s="723">
        <f t="shared" si="9"/>
        <v>14.473089099954771</v>
      </c>
      <c r="N15" s="723">
        <f t="shared" si="10"/>
        <v>15.873015873015872</v>
      </c>
      <c r="O15" s="723">
        <f t="shared" si="11"/>
        <v>14.330218068535824</v>
      </c>
      <c r="P15" s="723">
        <f t="shared" si="12"/>
        <v>9.3965337231154731</v>
      </c>
      <c r="Q15" s="723">
        <f t="shared" si="13"/>
        <v>12.356020942408378</v>
      </c>
      <c r="R15" s="855">
        <f t="shared" si="14"/>
        <v>9.3597106998510959</v>
      </c>
      <c r="S15" s="857">
        <f t="shared" si="15"/>
        <v>8.310249307479225</v>
      </c>
      <c r="T15" s="1010">
        <f t="shared" si="16"/>
        <v>8.6938083121289225</v>
      </c>
      <c r="U15" s="1641">
        <f t="shared" si="17"/>
        <v>5.4393305439330542</v>
      </c>
      <c r="V15" s="1975">
        <f t="shared" si="18"/>
        <v>7.2018640118618942</v>
      </c>
      <c r="W15" s="2033">
        <f t="shared" si="19"/>
        <v>7.3832790445168301</v>
      </c>
      <c r="X15" s="2035">
        <f t="shared" si="20"/>
        <v>8.3608360836083619</v>
      </c>
      <c r="Y15" s="2099">
        <f t="shared" si="21"/>
        <v>7.557234941098022</v>
      </c>
      <c r="Z15" s="2099"/>
      <c r="AA15" s="681">
        <v>70</v>
      </c>
      <c r="AB15" s="682">
        <v>58</v>
      </c>
      <c r="AC15" s="683">
        <v>70</v>
      </c>
      <c r="AD15" s="682">
        <v>52</v>
      </c>
      <c r="AE15" s="683">
        <v>68</v>
      </c>
      <c r="AF15" s="682">
        <v>63</v>
      </c>
      <c r="AG15" s="683">
        <v>73</v>
      </c>
      <c r="AH15" s="682">
        <v>60</v>
      </c>
      <c r="AI15" s="696">
        <v>66</v>
      </c>
      <c r="AJ15" s="696">
        <v>64</v>
      </c>
      <c r="AK15" s="696">
        <v>69</v>
      </c>
      <c r="AL15" s="696">
        <v>69</v>
      </c>
      <c r="AM15" s="697">
        <v>45</v>
      </c>
      <c r="AN15" s="697">
        <v>59</v>
      </c>
      <c r="AO15" s="848">
        <v>44</v>
      </c>
      <c r="AP15" s="849">
        <v>39</v>
      </c>
      <c r="AQ15" s="1005">
        <v>41</v>
      </c>
      <c r="AR15" s="1637">
        <v>26</v>
      </c>
      <c r="AS15" s="1971">
        <v>34</v>
      </c>
      <c r="AT15" s="1095">
        <v>34</v>
      </c>
      <c r="AU15" s="2020">
        <v>38</v>
      </c>
      <c r="AV15" s="1005">
        <v>34</v>
      </c>
      <c r="AW15" s="1005"/>
      <c r="AX15" s="704">
        <v>3511</v>
      </c>
      <c r="AY15" s="705">
        <v>3547</v>
      </c>
      <c r="AZ15" s="705">
        <v>4207</v>
      </c>
      <c r="BA15" s="705">
        <v>4351</v>
      </c>
      <c r="BB15" s="705">
        <v>4474</v>
      </c>
      <c r="BC15" s="705">
        <v>4552</v>
      </c>
      <c r="BD15" s="705">
        <v>4610</v>
      </c>
      <c r="BE15" s="705">
        <v>4536</v>
      </c>
      <c r="BF15" s="705">
        <v>4477</v>
      </c>
      <c r="BG15" s="705">
        <v>4422</v>
      </c>
      <c r="BH15" s="705">
        <v>4347</v>
      </c>
      <c r="BI15" s="705">
        <v>4815</v>
      </c>
      <c r="BJ15" s="705">
        <v>4789</v>
      </c>
      <c r="BK15" s="705">
        <v>4775</v>
      </c>
      <c r="BL15" s="851">
        <v>4701</v>
      </c>
      <c r="BM15" s="852">
        <v>4693</v>
      </c>
      <c r="BN15" s="1116">
        <v>4716</v>
      </c>
      <c r="BO15" s="1634">
        <v>4780</v>
      </c>
      <c r="BP15" s="1969">
        <v>4721</v>
      </c>
      <c r="BQ15" s="1096">
        <v>4605</v>
      </c>
      <c r="BR15" s="2022">
        <v>4545</v>
      </c>
      <c r="BS15" s="1006">
        <v>4499</v>
      </c>
      <c r="BU15" s="49">
        <f t="shared" si="22"/>
        <v>166</v>
      </c>
      <c r="BV15" s="49">
        <f t="shared" si="23"/>
        <v>23150</v>
      </c>
      <c r="BW15" s="2174">
        <f t="shared" si="24"/>
        <v>7.1706263498920091</v>
      </c>
    </row>
    <row r="16" spans="1:75" s="49" customFormat="1" ht="15.75" customHeight="1" x14ac:dyDescent="0.3">
      <c r="A16" s="56" t="s">
        <v>29</v>
      </c>
      <c r="B16" s="84" t="s">
        <v>30</v>
      </c>
      <c r="C16" s="57" t="s">
        <v>255</v>
      </c>
      <c r="D16" s="722">
        <f t="shared" si="0"/>
        <v>12.787723785166239</v>
      </c>
      <c r="E16" s="723">
        <f t="shared" si="1"/>
        <v>12.987012987012989</v>
      </c>
      <c r="F16" s="723">
        <f t="shared" si="2"/>
        <v>18.666666666666668</v>
      </c>
      <c r="G16" s="723">
        <f t="shared" si="3"/>
        <v>18.567639257294431</v>
      </c>
      <c r="H16" s="723">
        <f t="shared" si="4"/>
        <v>10.840108401084011</v>
      </c>
      <c r="I16" s="723">
        <f t="shared" si="5"/>
        <v>2.6809651474530831</v>
      </c>
      <c r="J16" s="723">
        <f t="shared" si="6"/>
        <v>5.4054054054054053</v>
      </c>
      <c r="K16" s="723">
        <f t="shared" si="7"/>
        <v>11.235955056179774</v>
      </c>
      <c r="L16" s="723">
        <f t="shared" si="8"/>
        <v>14.970059880239521</v>
      </c>
      <c r="M16" s="723">
        <f t="shared" si="9"/>
        <v>18.18181818181818</v>
      </c>
      <c r="N16" s="723">
        <f t="shared" si="10"/>
        <v>27.607361963190183</v>
      </c>
      <c r="O16" s="723">
        <f t="shared" si="11"/>
        <v>5.6338028169014089</v>
      </c>
      <c r="P16" s="723">
        <f t="shared" si="12"/>
        <v>23.054755043227665</v>
      </c>
      <c r="Q16" s="723">
        <f t="shared" si="13"/>
        <v>30.487804878048781</v>
      </c>
      <c r="R16" s="855">
        <f t="shared" si="14"/>
        <v>22.364217252396166</v>
      </c>
      <c r="S16" s="857">
        <f t="shared" si="15"/>
        <v>6.2695924764890281</v>
      </c>
      <c r="T16" s="1010">
        <f t="shared" si="16"/>
        <v>10.204081632653061</v>
      </c>
      <c r="U16" s="1641">
        <f t="shared" si="17"/>
        <v>3.3783783783783785</v>
      </c>
      <c r="V16" s="1975">
        <f t="shared" si="18"/>
        <v>6.7340067340067336</v>
      </c>
      <c r="W16" s="2033">
        <f t="shared" si="19"/>
        <v>10.135135135135135</v>
      </c>
      <c r="X16" s="2035">
        <f t="shared" si="20"/>
        <v>3.7037037037037037</v>
      </c>
      <c r="Y16" s="2099">
        <f t="shared" si="21"/>
        <v>7.2992700729927007</v>
      </c>
      <c r="Z16" s="2099"/>
      <c r="AA16" s="681">
        <v>5</v>
      </c>
      <c r="AB16" s="682">
        <v>5</v>
      </c>
      <c r="AC16" s="683">
        <v>7</v>
      </c>
      <c r="AD16" s="682">
        <v>7</v>
      </c>
      <c r="AE16" s="683">
        <v>4</v>
      </c>
      <c r="AF16" s="682">
        <v>1</v>
      </c>
      <c r="AG16" s="683">
        <v>2</v>
      </c>
      <c r="AH16" s="682">
        <v>4</v>
      </c>
      <c r="AI16" s="696">
        <v>5</v>
      </c>
      <c r="AJ16" s="696">
        <v>6</v>
      </c>
      <c r="AK16" s="696">
        <v>9</v>
      </c>
      <c r="AL16" s="696">
        <v>2</v>
      </c>
      <c r="AM16" s="697">
        <v>8</v>
      </c>
      <c r="AN16" s="697">
        <v>10</v>
      </c>
      <c r="AO16" s="848">
        <v>7</v>
      </c>
      <c r="AP16" s="849">
        <v>2</v>
      </c>
      <c r="AQ16" s="1005">
        <v>3</v>
      </c>
      <c r="AR16" s="1637">
        <v>1</v>
      </c>
      <c r="AS16" s="1971">
        <v>2</v>
      </c>
      <c r="AT16" s="1095">
        <v>3</v>
      </c>
      <c r="AU16" s="2020">
        <v>1</v>
      </c>
      <c r="AV16" s="1005">
        <v>2</v>
      </c>
      <c r="AW16" s="1005"/>
      <c r="AX16" s="704">
        <v>391</v>
      </c>
      <c r="AY16" s="705">
        <v>385</v>
      </c>
      <c r="AZ16" s="705">
        <v>375</v>
      </c>
      <c r="BA16" s="705">
        <v>377</v>
      </c>
      <c r="BB16" s="705">
        <v>369</v>
      </c>
      <c r="BC16" s="705">
        <v>373</v>
      </c>
      <c r="BD16" s="705">
        <v>370</v>
      </c>
      <c r="BE16" s="705">
        <v>356</v>
      </c>
      <c r="BF16" s="705">
        <v>334</v>
      </c>
      <c r="BG16" s="705">
        <v>330</v>
      </c>
      <c r="BH16" s="705">
        <v>326</v>
      </c>
      <c r="BI16" s="705">
        <v>355</v>
      </c>
      <c r="BJ16" s="705">
        <v>347</v>
      </c>
      <c r="BK16" s="705">
        <v>328</v>
      </c>
      <c r="BL16" s="851">
        <v>313</v>
      </c>
      <c r="BM16" s="852">
        <v>319</v>
      </c>
      <c r="BN16" s="1116">
        <v>294</v>
      </c>
      <c r="BO16" s="1634">
        <v>296</v>
      </c>
      <c r="BP16" s="1969">
        <v>297</v>
      </c>
      <c r="BQ16" s="1096">
        <v>296</v>
      </c>
      <c r="BR16" s="2022">
        <v>270</v>
      </c>
      <c r="BS16" s="1006">
        <v>274</v>
      </c>
      <c r="BU16" s="49">
        <f t="shared" si="22"/>
        <v>9</v>
      </c>
      <c r="BV16" s="49">
        <f t="shared" si="23"/>
        <v>1433</v>
      </c>
      <c r="BW16" s="2174">
        <f t="shared" si="24"/>
        <v>6.2805303558967207</v>
      </c>
    </row>
    <row r="17" spans="1:75" s="49" customFormat="1" ht="15.75" customHeight="1" x14ac:dyDescent="0.3">
      <c r="A17" s="56" t="s">
        <v>31</v>
      </c>
      <c r="B17" s="84" t="s">
        <v>32</v>
      </c>
      <c r="C17" s="57" t="s">
        <v>252</v>
      </c>
      <c r="D17" s="722">
        <f t="shared" si="0"/>
        <v>19.631901840490798</v>
      </c>
      <c r="E17" s="723">
        <f t="shared" si="1"/>
        <v>14.241486068111454</v>
      </c>
      <c r="F17" s="723">
        <f t="shared" si="2"/>
        <v>11.645569620253164</v>
      </c>
      <c r="G17" s="723">
        <f t="shared" si="3"/>
        <v>8.4200099058940072</v>
      </c>
      <c r="H17" s="723">
        <f t="shared" si="4"/>
        <v>13.64522417153996</v>
      </c>
      <c r="I17" s="723">
        <f t="shared" si="5"/>
        <v>10.309278350515465</v>
      </c>
      <c r="J17" s="723">
        <f t="shared" si="6"/>
        <v>7.3099415204678362</v>
      </c>
      <c r="K17" s="723">
        <f t="shared" si="7"/>
        <v>11.863568956994563</v>
      </c>
      <c r="L17" s="723">
        <f t="shared" si="8"/>
        <v>7.1465033180193975</v>
      </c>
      <c r="M17" s="723">
        <f t="shared" si="9"/>
        <v>12.8068303094984</v>
      </c>
      <c r="N17" s="723">
        <f t="shared" si="10"/>
        <v>9.1447014523937593</v>
      </c>
      <c r="O17" s="723">
        <f t="shared" si="11"/>
        <v>10.164569215876089</v>
      </c>
      <c r="P17" s="723">
        <f t="shared" si="12"/>
        <v>7.5973409306742647</v>
      </c>
      <c r="Q17" s="723">
        <f t="shared" si="13"/>
        <v>5.7609217474795971</v>
      </c>
      <c r="R17" s="855">
        <f t="shared" si="14"/>
        <v>3.7541060534960109</v>
      </c>
      <c r="S17" s="857">
        <f t="shared" si="15"/>
        <v>5.7720057720057723</v>
      </c>
      <c r="T17" s="1010">
        <f t="shared" si="16"/>
        <v>6.2200956937799043</v>
      </c>
      <c r="U17" s="1641">
        <f t="shared" si="17"/>
        <v>6.7961165048543686</v>
      </c>
      <c r="V17" s="1975">
        <f t="shared" si="18"/>
        <v>4.0526849037487338</v>
      </c>
      <c r="W17" s="2033">
        <f t="shared" si="19"/>
        <v>3.6630036630036629</v>
      </c>
      <c r="X17" s="2035">
        <f t="shared" si="20"/>
        <v>5.2742616033755274</v>
      </c>
      <c r="Y17" s="2099">
        <f t="shared" si="21"/>
        <v>2.6260504201680672</v>
      </c>
      <c r="Z17" s="2099"/>
      <c r="AA17" s="681">
        <v>32</v>
      </c>
      <c r="AB17" s="682">
        <v>23</v>
      </c>
      <c r="AC17" s="683">
        <v>23</v>
      </c>
      <c r="AD17" s="682">
        <v>17</v>
      </c>
      <c r="AE17" s="683">
        <v>28</v>
      </c>
      <c r="AF17" s="682">
        <v>21</v>
      </c>
      <c r="AG17" s="683">
        <v>15</v>
      </c>
      <c r="AH17" s="682">
        <v>24</v>
      </c>
      <c r="AI17" s="696">
        <v>14</v>
      </c>
      <c r="AJ17" s="696">
        <v>24</v>
      </c>
      <c r="AK17" s="696">
        <v>17</v>
      </c>
      <c r="AL17" s="696">
        <v>21</v>
      </c>
      <c r="AM17" s="697">
        <v>16</v>
      </c>
      <c r="AN17" s="697">
        <v>12</v>
      </c>
      <c r="AO17" s="848">
        <v>8</v>
      </c>
      <c r="AP17" s="849">
        <v>12</v>
      </c>
      <c r="AQ17" s="1005">
        <v>13</v>
      </c>
      <c r="AR17" s="1637">
        <v>14</v>
      </c>
      <c r="AS17" s="1971">
        <v>8</v>
      </c>
      <c r="AT17" s="1095">
        <v>7</v>
      </c>
      <c r="AU17" s="2020">
        <v>10</v>
      </c>
      <c r="AV17" s="1005">
        <v>5</v>
      </c>
      <c r="AW17" s="1005"/>
      <c r="AX17" s="704">
        <v>1630</v>
      </c>
      <c r="AY17" s="705">
        <v>1615</v>
      </c>
      <c r="AZ17" s="705">
        <v>1975</v>
      </c>
      <c r="BA17" s="705">
        <v>2019</v>
      </c>
      <c r="BB17" s="705">
        <v>2052</v>
      </c>
      <c r="BC17" s="705">
        <v>2037</v>
      </c>
      <c r="BD17" s="705">
        <v>2052</v>
      </c>
      <c r="BE17" s="705">
        <v>2023</v>
      </c>
      <c r="BF17" s="705">
        <v>1959</v>
      </c>
      <c r="BG17" s="705">
        <v>1874</v>
      </c>
      <c r="BH17" s="705">
        <v>1859</v>
      </c>
      <c r="BI17" s="705">
        <v>2066</v>
      </c>
      <c r="BJ17" s="705">
        <v>2106</v>
      </c>
      <c r="BK17" s="705">
        <v>2083</v>
      </c>
      <c r="BL17" s="851">
        <v>2131</v>
      </c>
      <c r="BM17" s="852">
        <v>2079</v>
      </c>
      <c r="BN17" s="1116">
        <v>2090</v>
      </c>
      <c r="BO17" s="1634">
        <v>2060</v>
      </c>
      <c r="BP17" s="1969">
        <v>1974</v>
      </c>
      <c r="BQ17" s="1096">
        <v>1911</v>
      </c>
      <c r="BR17" s="2022">
        <v>1896</v>
      </c>
      <c r="BS17" s="1006">
        <v>1904</v>
      </c>
      <c r="BU17" s="49">
        <f t="shared" si="22"/>
        <v>44</v>
      </c>
      <c r="BV17" s="49">
        <f t="shared" si="23"/>
        <v>9745</v>
      </c>
      <c r="BW17" s="2174">
        <f t="shared" si="24"/>
        <v>4.5151359671626476</v>
      </c>
    </row>
    <row r="18" spans="1:75" s="49" customFormat="1" ht="15.75" customHeight="1" x14ac:dyDescent="0.3">
      <c r="A18" s="56" t="s">
        <v>35</v>
      </c>
      <c r="B18" s="84" t="s">
        <v>36</v>
      </c>
      <c r="C18" s="57" t="s">
        <v>251</v>
      </c>
      <c r="D18" s="722">
        <f t="shared" si="0"/>
        <v>35.102040816326529</v>
      </c>
      <c r="E18" s="723">
        <f t="shared" si="1"/>
        <v>19.704433497536947</v>
      </c>
      <c r="F18" s="723">
        <f t="shared" si="2"/>
        <v>25.295109612141651</v>
      </c>
      <c r="G18" s="723">
        <f t="shared" si="3"/>
        <v>35.590277777777779</v>
      </c>
      <c r="H18" s="723">
        <f t="shared" si="4"/>
        <v>27.604630454140697</v>
      </c>
      <c r="I18" s="723">
        <f t="shared" si="5"/>
        <v>26.455026455026452</v>
      </c>
      <c r="J18" s="723">
        <f t="shared" si="6"/>
        <v>28.41429880843263</v>
      </c>
      <c r="K18" s="723">
        <f t="shared" si="7"/>
        <v>29.3282876064333</v>
      </c>
      <c r="L18" s="723">
        <f t="shared" si="8"/>
        <v>17.142857142857142</v>
      </c>
      <c r="M18" s="723">
        <f t="shared" si="9"/>
        <v>27.932960893854748</v>
      </c>
      <c r="N18" s="723">
        <f t="shared" si="10"/>
        <v>27.462121212121211</v>
      </c>
      <c r="O18" s="723">
        <f t="shared" si="11"/>
        <v>16.6015625</v>
      </c>
      <c r="P18" s="723">
        <f t="shared" si="12"/>
        <v>25.440313111545986</v>
      </c>
      <c r="Q18" s="723">
        <f t="shared" si="13"/>
        <v>18.537590113285273</v>
      </c>
      <c r="R18" s="855">
        <f t="shared" si="14"/>
        <v>23.206751054852322</v>
      </c>
      <c r="S18" s="857">
        <f t="shared" si="15"/>
        <v>15.486725663716815</v>
      </c>
      <c r="T18" s="1010">
        <f t="shared" si="16"/>
        <v>16.298020954598368</v>
      </c>
      <c r="U18" s="1641">
        <f t="shared" si="17"/>
        <v>18.072289156626507</v>
      </c>
      <c r="V18" s="1975">
        <f t="shared" si="18"/>
        <v>15.544041450777202</v>
      </c>
      <c r="W18" s="2033">
        <f t="shared" si="19"/>
        <v>19.083969465648856</v>
      </c>
      <c r="X18" s="2035">
        <f t="shared" si="20"/>
        <v>6.6137566137566131</v>
      </c>
      <c r="Y18" s="2099">
        <f t="shared" si="21"/>
        <v>10.973936899862824</v>
      </c>
      <c r="Z18" s="2099"/>
      <c r="AA18" s="681">
        <v>43</v>
      </c>
      <c r="AB18" s="682">
        <v>24</v>
      </c>
      <c r="AC18" s="683">
        <v>30</v>
      </c>
      <c r="AD18" s="682">
        <v>41</v>
      </c>
      <c r="AE18" s="683">
        <v>31</v>
      </c>
      <c r="AF18" s="682">
        <v>30</v>
      </c>
      <c r="AG18" s="683">
        <v>31</v>
      </c>
      <c r="AH18" s="682">
        <v>31</v>
      </c>
      <c r="AI18" s="696">
        <v>18</v>
      </c>
      <c r="AJ18" s="696">
        <v>30</v>
      </c>
      <c r="AK18" s="696">
        <v>29</v>
      </c>
      <c r="AL18" s="696">
        <v>17</v>
      </c>
      <c r="AM18" s="697">
        <v>26</v>
      </c>
      <c r="AN18" s="697">
        <v>18</v>
      </c>
      <c r="AO18" s="848">
        <v>22</v>
      </c>
      <c r="AP18" s="849">
        <v>14</v>
      </c>
      <c r="AQ18" s="1005">
        <v>14</v>
      </c>
      <c r="AR18" s="1637">
        <v>15</v>
      </c>
      <c r="AS18" s="1971">
        <v>12</v>
      </c>
      <c r="AT18" s="1095">
        <v>15</v>
      </c>
      <c r="AU18" s="2020">
        <v>5</v>
      </c>
      <c r="AV18" s="1005">
        <v>8</v>
      </c>
      <c r="AW18" s="1005"/>
      <c r="AX18" s="704">
        <v>1225</v>
      </c>
      <c r="AY18" s="705">
        <v>1218</v>
      </c>
      <c r="AZ18" s="705">
        <v>1186</v>
      </c>
      <c r="BA18" s="705">
        <v>1152</v>
      </c>
      <c r="BB18" s="705">
        <v>1123</v>
      </c>
      <c r="BC18" s="705">
        <v>1134</v>
      </c>
      <c r="BD18" s="705">
        <v>1091</v>
      </c>
      <c r="BE18" s="705">
        <v>1057</v>
      </c>
      <c r="BF18" s="705">
        <v>1050</v>
      </c>
      <c r="BG18" s="705">
        <v>1074</v>
      </c>
      <c r="BH18" s="705">
        <v>1056</v>
      </c>
      <c r="BI18" s="705">
        <v>1024</v>
      </c>
      <c r="BJ18" s="705">
        <v>1022</v>
      </c>
      <c r="BK18" s="705">
        <v>971</v>
      </c>
      <c r="BL18" s="851">
        <v>948</v>
      </c>
      <c r="BM18" s="852">
        <v>904</v>
      </c>
      <c r="BN18" s="1116">
        <v>859</v>
      </c>
      <c r="BO18" s="1634">
        <v>830</v>
      </c>
      <c r="BP18" s="1969">
        <v>772</v>
      </c>
      <c r="BQ18" s="1096">
        <v>786</v>
      </c>
      <c r="BR18" s="2022">
        <v>756</v>
      </c>
      <c r="BS18" s="1006">
        <v>729</v>
      </c>
      <c r="BU18" s="49">
        <f t="shared" si="22"/>
        <v>55</v>
      </c>
      <c r="BV18" s="49">
        <f t="shared" si="23"/>
        <v>3873</v>
      </c>
      <c r="BW18" s="2174">
        <f t="shared" si="24"/>
        <v>14.200877872450297</v>
      </c>
    </row>
    <row r="19" spans="1:75" s="49" customFormat="1" ht="15.75" customHeight="1" x14ac:dyDescent="0.3">
      <c r="A19" s="56" t="s">
        <v>37</v>
      </c>
      <c r="B19" s="84" t="s">
        <v>38</v>
      </c>
      <c r="C19" s="57" t="s">
        <v>255</v>
      </c>
      <c r="D19" s="722">
        <f t="shared" si="0"/>
        <v>29.663147310206131</v>
      </c>
      <c r="E19" s="723">
        <f t="shared" si="1"/>
        <v>25.196850393700785</v>
      </c>
      <c r="F19" s="723">
        <f t="shared" si="2"/>
        <v>27.809307604994324</v>
      </c>
      <c r="G19" s="723">
        <f t="shared" si="3"/>
        <v>29.325513196480941</v>
      </c>
      <c r="H19" s="723">
        <f t="shared" si="4"/>
        <v>17.879161528976571</v>
      </c>
      <c r="I19" s="723">
        <f t="shared" si="5"/>
        <v>24.057217165149545</v>
      </c>
      <c r="J19" s="723">
        <f t="shared" si="6"/>
        <v>19.281914893617021</v>
      </c>
      <c r="K19" s="723">
        <f t="shared" si="7"/>
        <v>22.268615170494087</v>
      </c>
      <c r="L19" s="723">
        <f t="shared" si="8"/>
        <v>20.758768790264853</v>
      </c>
      <c r="M19" s="723">
        <f t="shared" si="9"/>
        <v>25.278810408921935</v>
      </c>
      <c r="N19" s="723">
        <f t="shared" si="10"/>
        <v>26.418026418026418</v>
      </c>
      <c r="O19" s="723">
        <f t="shared" si="11"/>
        <v>26.315789473684209</v>
      </c>
      <c r="P19" s="723">
        <f t="shared" si="12"/>
        <v>24.143302180685357</v>
      </c>
      <c r="Q19" s="723">
        <f t="shared" si="13"/>
        <v>22.388059701492537</v>
      </c>
      <c r="R19" s="855">
        <f t="shared" si="14"/>
        <v>21.541010770505384</v>
      </c>
      <c r="S19" s="857">
        <f t="shared" si="15"/>
        <v>20.356234096692113</v>
      </c>
      <c r="T19" s="1010">
        <f t="shared" si="16"/>
        <v>13.876843018213355</v>
      </c>
      <c r="U19" s="1641">
        <f t="shared" si="17"/>
        <v>17.590149516270891</v>
      </c>
      <c r="V19" s="1975">
        <f t="shared" si="18"/>
        <v>20.300088261253311</v>
      </c>
      <c r="W19" s="2033">
        <f t="shared" si="19"/>
        <v>15.582034830430796</v>
      </c>
      <c r="X19" s="2035">
        <f t="shared" si="20"/>
        <v>19.98097050428164</v>
      </c>
      <c r="Y19" s="2099">
        <f t="shared" si="21"/>
        <v>17.191977077363898</v>
      </c>
      <c r="Z19" s="2099"/>
      <c r="AA19" s="681">
        <v>59</v>
      </c>
      <c r="AB19" s="682">
        <v>48</v>
      </c>
      <c r="AC19" s="683">
        <v>49</v>
      </c>
      <c r="AD19" s="682">
        <v>50</v>
      </c>
      <c r="AE19" s="683">
        <v>29</v>
      </c>
      <c r="AF19" s="682">
        <v>37</v>
      </c>
      <c r="AG19" s="683">
        <v>29</v>
      </c>
      <c r="AH19" s="682">
        <v>32</v>
      </c>
      <c r="AI19" s="696">
        <v>29</v>
      </c>
      <c r="AJ19" s="696">
        <v>34</v>
      </c>
      <c r="AK19" s="696">
        <v>34</v>
      </c>
      <c r="AL19" s="696">
        <v>33</v>
      </c>
      <c r="AM19" s="697">
        <v>31</v>
      </c>
      <c r="AN19" s="697">
        <v>27</v>
      </c>
      <c r="AO19" s="848">
        <v>26</v>
      </c>
      <c r="AP19" s="849">
        <v>24</v>
      </c>
      <c r="AQ19" s="1005">
        <v>16</v>
      </c>
      <c r="AR19" s="1637">
        <v>20</v>
      </c>
      <c r="AS19" s="1971">
        <v>23</v>
      </c>
      <c r="AT19" s="1095">
        <v>17</v>
      </c>
      <c r="AU19" s="2020">
        <v>21</v>
      </c>
      <c r="AV19" s="1005">
        <v>18</v>
      </c>
      <c r="AW19" s="1005"/>
      <c r="AX19" s="704">
        <v>1989</v>
      </c>
      <c r="AY19" s="705">
        <v>1905</v>
      </c>
      <c r="AZ19" s="705">
        <v>1762</v>
      </c>
      <c r="BA19" s="705">
        <v>1705</v>
      </c>
      <c r="BB19" s="705">
        <v>1622</v>
      </c>
      <c r="BC19" s="705">
        <v>1538</v>
      </c>
      <c r="BD19" s="705">
        <v>1504</v>
      </c>
      <c r="BE19" s="705">
        <v>1437</v>
      </c>
      <c r="BF19" s="705">
        <v>1397</v>
      </c>
      <c r="BG19" s="705">
        <v>1345</v>
      </c>
      <c r="BH19" s="705">
        <v>1287</v>
      </c>
      <c r="BI19" s="705">
        <v>1254</v>
      </c>
      <c r="BJ19" s="705">
        <v>1284</v>
      </c>
      <c r="BK19" s="705">
        <v>1206</v>
      </c>
      <c r="BL19" s="851">
        <v>1207</v>
      </c>
      <c r="BM19" s="852">
        <v>1179</v>
      </c>
      <c r="BN19" s="1116">
        <v>1153</v>
      </c>
      <c r="BO19" s="1634">
        <v>1137</v>
      </c>
      <c r="BP19" s="1969">
        <v>1133</v>
      </c>
      <c r="BQ19" s="1096">
        <v>1091</v>
      </c>
      <c r="BR19" s="2022">
        <v>1051</v>
      </c>
      <c r="BS19" s="1006">
        <v>1047</v>
      </c>
      <c r="BU19" s="49">
        <f t="shared" si="22"/>
        <v>99</v>
      </c>
      <c r="BV19" s="49">
        <f t="shared" si="23"/>
        <v>5459</v>
      </c>
      <c r="BW19" s="2174">
        <f t="shared" si="24"/>
        <v>18.135189595163951</v>
      </c>
    </row>
    <row r="20" spans="1:75" s="49" customFormat="1" ht="15.75" customHeight="1" x14ac:dyDescent="0.3">
      <c r="A20" s="56" t="s">
        <v>39</v>
      </c>
      <c r="B20" s="84" t="s">
        <v>40</v>
      </c>
      <c r="C20" s="57" t="s">
        <v>253</v>
      </c>
      <c r="D20" s="722">
        <f t="shared" si="0"/>
        <v>23.866348448687351</v>
      </c>
      <c r="E20" s="723">
        <f t="shared" si="1"/>
        <v>21.377672209026127</v>
      </c>
      <c r="F20" s="723">
        <f t="shared" si="2"/>
        <v>11.639185257032008</v>
      </c>
      <c r="G20" s="723">
        <f t="shared" si="3"/>
        <v>28.275212064090482</v>
      </c>
      <c r="H20" s="723">
        <f t="shared" si="4"/>
        <v>24.413145539906104</v>
      </c>
      <c r="I20" s="723">
        <f t="shared" si="5"/>
        <v>19.553072625698324</v>
      </c>
      <c r="J20" s="723">
        <f t="shared" si="6"/>
        <v>22.792022792022792</v>
      </c>
      <c r="K20" s="723">
        <f t="shared" si="7"/>
        <v>13.131313131313131</v>
      </c>
      <c r="L20" s="723">
        <f t="shared" si="8"/>
        <v>28.846153846153847</v>
      </c>
      <c r="M20" s="723">
        <f t="shared" si="9"/>
        <v>27.716186252771621</v>
      </c>
      <c r="N20" s="723">
        <f t="shared" si="10"/>
        <v>29.748283752860413</v>
      </c>
      <c r="O20" s="723">
        <f t="shared" si="11"/>
        <v>25.842696629213481</v>
      </c>
      <c r="P20" s="723">
        <f t="shared" si="12"/>
        <v>21.413276231263382</v>
      </c>
      <c r="Q20" s="723">
        <f t="shared" si="13"/>
        <v>15.80135440180587</v>
      </c>
      <c r="R20" s="855">
        <f t="shared" si="14"/>
        <v>16.826923076923077</v>
      </c>
      <c r="S20" s="857">
        <f t="shared" si="15"/>
        <v>6.2111801242236018</v>
      </c>
      <c r="T20" s="1010">
        <f t="shared" si="16"/>
        <v>12.886597938144329</v>
      </c>
      <c r="U20" s="1641">
        <f t="shared" si="17"/>
        <v>11.39240506329114</v>
      </c>
      <c r="V20" s="1975">
        <f t="shared" si="18"/>
        <v>8.7939698492462313</v>
      </c>
      <c r="W20" s="2033">
        <f t="shared" si="19"/>
        <v>10.256410256410257</v>
      </c>
      <c r="X20" s="2035">
        <f t="shared" si="20"/>
        <v>9.9502487562189046</v>
      </c>
      <c r="Y20" s="2099">
        <f t="shared" si="21"/>
        <v>6.009615384615385</v>
      </c>
      <c r="Z20" s="2099"/>
      <c r="AA20" s="681">
        <v>20</v>
      </c>
      <c r="AB20" s="682">
        <v>18</v>
      </c>
      <c r="AC20" s="683">
        <v>12</v>
      </c>
      <c r="AD20" s="682">
        <v>30</v>
      </c>
      <c r="AE20" s="683">
        <v>26</v>
      </c>
      <c r="AF20" s="682">
        <v>21</v>
      </c>
      <c r="AG20" s="683">
        <v>24</v>
      </c>
      <c r="AH20" s="682">
        <v>13</v>
      </c>
      <c r="AI20" s="696">
        <v>27</v>
      </c>
      <c r="AJ20" s="696">
        <v>25</v>
      </c>
      <c r="AK20" s="696">
        <v>26</v>
      </c>
      <c r="AL20" s="696">
        <v>23</v>
      </c>
      <c r="AM20" s="697">
        <v>20</v>
      </c>
      <c r="AN20" s="697">
        <v>14</v>
      </c>
      <c r="AO20" s="848">
        <v>14</v>
      </c>
      <c r="AP20" s="849">
        <v>5</v>
      </c>
      <c r="AQ20" s="1005">
        <v>10</v>
      </c>
      <c r="AR20" s="1637">
        <v>9</v>
      </c>
      <c r="AS20" s="1971">
        <v>7</v>
      </c>
      <c r="AT20" s="1095">
        <v>8</v>
      </c>
      <c r="AU20" s="2020">
        <v>8</v>
      </c>
      <c r="AV20" s="1005">
        <v>5</v>
      </c>
      <c r="AW20" s="1005"/>
      <c r="AX20" s="704">
        <v>838</v>
      </c>
      <c r="AY20" s="705">
        <v>842</v>
      </c>
      <c r="AZ20" s="705">
        <v>1031</v>
      </c>
      <c r="BA20" s="705">
        <v>1061</v>
      </c>
      <c r="BB20" s="705">
        <v>1065</v>
      </c>
      <c r="BC20" s="705">
        <v>1074</v>
      </c>
      <c r="BD20" s="705">
        <v>1053</v>
      </c>
      <c r="BE20" s="705">
        <v>990</v>
      </c>
      <c r="BF20" s="705">
        <v>936</v>
      </c>
      <c r="BG20" s="705">
        <v>902</v>
      </c>
      <c r="BH20" s="705">
        <v>874</v>
      </c>
      <c r="BI20" s="705">
        <v>890</v>
      </c>
      <c r="BJ20" s="705">
        <v>934</v>
      </c>
      <c r="BK20" s="705">
        <v>886</v>
      </c>
      <c r="BL20" s="851">
        <v>832</v>
      </c>
      <c r="BM20" s="852">
        <v>805</v>
      </c>
      <c r="BN20" s="1116">
        <v>776</v>
      </c>
      <c r="BO20" s="1634">
        <v>790</v>
      </c>
      <c r="BP20" s="1969">
        <v>796</v>
      </c>
      <c r="BQ20" s="1096">
        <v>780</v>
      </c>
      <c r="BR20" s="2022">
        <v>804</v>
      </c>
      <c r="BS20" s="1006">
        <v>832</v>
      </c>
      <c r="BU20" s="49">
        <f t="shared" si="22"/>
        <v>37</v>
      </c>
      <c r="BV20" s="49">
        <f t="shared" si="23"/>
        <v>4002</v>
      </c>
      <c r="BW20" s="2174">
        <f t="shared" si="24"/>
        <v>9.2453773113443276</v>
      </c>
    </row>
    <row r="21" spans="1:75" s="49" customFormat="1" ht="15.75" customHeight="1" x14ac:dyDescent="0.3">
      <c r="A21" s="56" t="s">
        <v>41</v>
      </c>
      <c r="B21" s="84" t="s">
        <v>42</v>
      </c>
      <c r="C21" s="57" t="s">
        <v>252</v>
      </c>
      <c r="D21" s="722">
        <f t="shared" si="0"/>
        <v>31.292517006802726</v>
      </c>
      <c r="E21" s="723">
        <f t="shared" si="1"/>
        <v>32.736044107512058</v>
      </c>
      <c r="F21" s="723">
        <f t="shared" si="2"/>
        <v>27.961515333734216</v>
      </c>
      <c r="G21" s="723">
        <f t="shared" si="3"/>
        <v>20.883777239709442</v>
      </c>
      <c r="H21" s="723">
        <f t="shared" si="4"/>
        <v>19.044740024183799</v>
      </c>
      <c r="I21" s="723">
        <f t="shared" si="5"/>
        <v>19.537120529005108</v>
      </c>
      <c r="J21" s="723">
        <f t="shared" si="6"/>
        <v>22.122571001494766</v>
      </c>
      <c r="K21" s="723">
        <f t="shared" si="7"/>
        <v>21.853146853146853</v>
      </c>
      <c r="L21" s="723">
        <f t="shared" si="8"/>
        <v>15.973477998794452</v>
      </c>
      <c r="M21" s="723">
        <f t="shared" si="9"/>
        <v>20.23557837511326</v>
      </c>
      <c r="N21" s="723">
        <f t="shared" si="10"/>
        <v>16.975308641975307</v>
      </c>
      <c r="O21" s="723">
        <f t="shared" si="11"/>
        <v>15.101177891875567</v>
      </c>
      <c r="P21" s="723">
        <f t="shared" si="12"/>
        <v>15.235457063711912</v>
      </c>
      <c r="Q21" s="723">
        <f t="shared" si="13"/>
        <v>17.893217893217894</v>
      </c>
      <c r="R21" s="855">
        <f t="shared" si="14"/>
        <v>11.988304093567251</v>
      </c>
      <c r="S21" s="857">
        <f t="shared" si="15"/>
        <v>10.749477455957003</v>
      </c>
      <c r="T21" s="1010">
        <f t="shared" si="16"/>
        <v>9.8522167487684733</v>
      </c>
      <c r="U21" s="1641">
        <f t="shared" si="17"/>
        <v>12.662234884457106</v>
      </c>
      <c r="V21" s="1975">
        <f t="shared" si="18"/>
        <v>7.2349795533186541</v>
      </c>
      <c r="W21" s="2033">
        <f t="shared" si="19"/>
        <v>9.4554939680469516</v>
      </c>
      <c r="X21" s="2035">
        <f t="shared" si="20"/>
        <v>9.2348284960422173</v>
      </c>
      <c r="Y21" s="2099">
        <f t="shared" si="21"/>
        <v>9.1001011122345812</v>
      </c>
      <c r="Z21" s="2099"/>
      <c r="AA21" s="681">
        <v>92</v>
      </c>
      <c r="AB21" s="682">
        <v>95</v>
      </c>
      <c r="AC21" s="683">
        <v>93</v>
      </c>
      <c r="AD21" s="682">
        <v>69</v>
      </c>
      <c r="AE21" s="683">
        <v>63</v>
      </c>
      <c r="AF21" s="682">
        <v>65</v>
      </c>
      <c r="AG21" s="683">
        <v>74</v>
      </c>
      <c r="AH21" s="682">
        <v>75</v>
      </c>
      <c r="AI21" s="696">
        <v>53</v>
      </c>
      <c r="AJ21" s="696">
        <v>67</v>
      </c>
      <c r="AK21" s="696">
        <v>55</v>
      </c>
      <c r="AL21" s="696">
        <v>50</v>
      </c>
      <c r="AM21" s="697">
        <v>55</v>
      </c>
      <c r="AN21" s="697">
        <v>62</v>
      </c>
      <c r="AO21" s="848">
        <v>41</v>
      </c>
      <c r="AP21" s="849">
        <v>36</v>
      </c>
      <c r="AQ21" s="1005">
        <v>32</v>
      </c>
      <c r="AR21" s="1637">
        <v>40</v>
      </c>
      <c r="AS21" s="1971">
        <v>23</v>
      </c>
      <c r="AT21" s="1095">
        <v>29</v>
      </c>
      <c r="AU21" s="2020">
        <v>28</v>
      </c>
      <c r="AV21" s="1005">
        <v>27</v>
      </c>
      <c r="AW21" s="1005"/>
      <c r="AX21" s="704">
        <v>2940</v>
      </c>
      <c r="AY21" s="705">
        <v>2902</v>
      </c>
      <c r="AZ21" s="705">
        <v>3326</v>
      </c>
      <c r="BA21" s="705">
        <v>3304</v>
      </c>
      <c r="BB21" s="705">
        <v>3308</v>
      </c>
      <c r="BC21" s="705">
        <v>3327</v>
      </c>
      <c r="BD21" s="705">
        <v>3345</v>
      </c>
      <c r="BE21" s="705">
        <v>3432</v>
      </c>
      <c r="BF21" s="705">
        <v>3318</v>
      </c>
      <c r="BG21" s="705">
        <v>3311</v>
      </c>
      <c r="BH21" s="705">
        <v>3240</v>
      </c>
      <c r="BI21" s="705">
        <v>3311</v>
      </c>
      <c r="BJ21" s="705">
        <v>3610</v>
      </c>
      <c r="BK21" s="705">
        <v>3465</v>
      </c>
      <c r="BL21" s="851">
        <v>3420</v>
      </c>
      <c r="BM21" s="852">
        <v>3349</v>
      </c>
      <c r="BN21" s="1116">
        <v>3248</v>
      </c>
      <c r="BO21" s="1634">
        <v>3159</v>
      </c>
      <c r="BP21" s="1969">
        <v>3179</v>
      </c>
      <c r="BQ21" s="1096">
        <v>3067</v>
      </c>
      <c r="BR21" s="2022">
        <v>3032</v>
      </c>
      <c r="BS21" s="1006">
        <v>2967</v>
      </c>
      <c r="BU21" s="49">
        <f t="shared" si="22"/>
        <v>147</v>
      </c>
      <c r="BV21" s="49">
        <f t="shared" si="23"/>
        <v>15404</v>
      </c>
      <c r="BW21" s="2174">
        <f t="shared" si="24"/>
        <v>9.5429758504284603</v>
      </c>
    </row>
    <row r="22" spans="1:75" s="49" customFormat="1" ht="15.75" customHeight="1" x14ac:dyDescent="0.3">
      <c r="A22" s="56" t="s">
        <v>43</v>
      </c>
      <c r="B22" s="84" t="s">
        <v>44</v>
      </c>
      <c r="C22" s="57" t="s">
        <v>253</v>
      </c>
      <c r="D22" s="722">
        <f t="shared" si="0"/>
        <v>21.513353115727003</v>
      </c>
      <c r="E22" s="723">
        <f t="shared" si="1"/>
        <v>30.37037037037037</v>
      </c>
      <c r="F22" s="723">
        <f t="shared" si="2"/>
        <v>27.008777852802162</v>
      </c>
      <c r="G22" s="723">
        <f t="shared" si="3"/>
        <v>25.982678214523652</v>
      </c>
      <c r="H22" s="723">
        <f t="shared" si="4"/>
        <v>23.778071334214001</v>
      </c>
      <c r="I22" s="723">
        <f t="shared" si="5"/>
        <v>24.041585445094217</v>
      </c>
      <c r="J22" s="723">
        <f t="shared" si="6"/>
        <v>25.252525252525253</v>
      </c>
      <c r="K22" s="723">
        <f t="shared" si="7"/>
        <v>27.522935779816514</v>
      </c>
      <c r="L22" s="723">
        <f t="shared" si="8"/>
        <v>22.905364677516577</v>
      </c>
      <c r="M22" s="723">
        <f t="shared" si="9"/>
        <v>24.44987775061125</v>
      </c>
      <c r="N22" s="723">
        <f t="shared" si="10"/>
        <v>22.783251231527093</v>
      </c>
      <c r="O22" s="723">
        <f t="shared" si="11"/>
        <v>28.606208155812539</v>
      </c>
      <c r="P22" s="723">
        <f t="shared" si="12"/>
        <v>15.552995391705069</v>
      </c>
      <c r="Q22" s="723">
        <f t="shared" si="13"/>
        <v>23.713128976286871</v>
      </c>
      <c r="R22" s="855">
        <f t="shared" si="14"/>
        <v>18.81413911060433</v>
      </c>
      <c r="S22" s="857">
        <f t="shared" si="15"/>
        <v>16.250725478816019</v>
      </c>
      <c r="T22" s="1010">
        <f t="shared" si="16"/>
        <v>11.540680900173111</v>
      </c>
      <c r="U22" s="1641">
        <f t="shared" si="17"/>
        <v>12.694748990190421</v>
      </c>
      <c r="V22" s="1975">
        <f t="shared" si="18"/>
        <v>11.993146773272416</v>
      </c>
      <c r="W22" s="2033">
        <f t="shared" si="19"/>
        <v>13.225991949396205</v>
      </c>
      <c r="X22" s="2035">
        <f t="shared" si="20"/>
        <v>9.1690544412607444</v>
      </c>
      <c r="Y22" s="2099">
        <f t="shared" si="21"/>
        <v>8.7260034904013963</v>
      </c>
      <c r="Z22" s="2099"/>
      <c r="AA22" s="681">
        <v>29</v>
      </c>
      <c r="AB22" s="682">
        <v>41</v>
      </c>
      <c r="AC22" s="683">
        <v>40</v>
      </c>
      <c r="AD22" s="682">
        <v>39</v>
      </c>
      <c r="AE22" s="683">
        <v>36</v>
      </c>
      <c r="AF22" s="682">
        <v>37</v>
      </c>
      <c r="AG22" s="683">
        <v>40</v>
      </c>
      <c r="AH22" s="682">
        <v>45</v>
      </c>
      <c r="AI22" s="696">
        <v>38</v>
      </c>
      <c r="AJ22" s="696">
        <v>40</v>
      </c>
      <c r="AK22" s="696">
        <v>37</v>
      </c>
      <c r="AL22" s="696">
        <v>47</v>
      </c>
      <c r="AM22" s="697">
        <v>27</v>
      </c>
      <c r="AN22" s="697">
        <v>41</v>
      </c>
      <c r="AO22" s="848">
        <v>33</v>
      </c>
      <c r="AP22" s="849">
        <v>28</v>
      </c>
      <c r="AQ22" s="1005">
        <v>20</v>
      </c>
      <c r="AR22" s="1637">
        <v>22</v>
      </c>
      <c r="AS22" s="1971">
        <v>21</v>
      </c>
      <c r="AT22" s="1095">
        <v>23</v>
      </c>
      <c r="AU22" s="2020">
        <v>16</v>
      </c>
      <c r="AV22" s="1005">
        <v>15</v>
      </c>
      <c r="AW22" s="1005"/>
      <c r="AX22" s="704">
        <v>1348</v>
      </c>
      <c r="AY22" s="705">
        <v>1350</v>
      </c>
      <c r="AZ22" s="705">
        <v>1481</v>
      </c>
      <c r="BA22" s="705">
        <v>1501</v>
      </c>
      <c r="BB22" s="705">
        <v>1514</v>
      </c>
      <c r="BC22" s="705">
        <v>1539</v>
      </c>
      <c r="BD22" s="705">
        <v>1584</v>
      </c>
      <c r="BE22" s="705">
        <v>1635</v>
      </c>
      <c r="BF22" s="705">
        <v>1659</v>
      </c>
      <c r="BG22" s="705">
        <v>1636</v>
      </c>
      <c r="BH22" s="705">
        <v>1624</v>
      </c>
      <c r="BI22" s="705">
        <v>1643</v>
      </c>
      <c r="BJ22" s="705">
        <v>1736</v>
      </c>
      <c r="BK22" s="705">
        <v>1729</v>
      </c>
      <c r="BL22" s="851">
        <v>1754</v>
      </c>
      <c r="BM22" s="852">
        <v>1723</v>
      </c>
      <c r="BN22" s="1116">
        <v>1733</v>
      </c>
      <c r="BO22" s="1634">
        <v>1733</v>
      </c>
      <c r="BP22" s="1969">
        <v>1751</v>
      </c>
      <c r="BQ22" s="1096">
        <v>1739</v>
      </c>
      <c r="BR22" s="2022">
        <v>1745</v>
      </c>
      <c r="BS22" s="1006">
        <v>1719</v>
      </c>
      <c r="BU22" s="49">
        <f t="shared" si="22"/>
        <v>97</v>
      </c>
      <c r="BV22" s="49">
        <f t="shared" si="23"/>
        <v>8687</v>
      </c>
      <c r="BW22" s="2174">
        <f t="shared" si="24"/>
        <v>11.166110279728329</v>
      </c>
    </row>
    <row r="23" spans="1:75" s="49" customFormat="1" ht="15.75" customHeight="1" x14ac:dyDescent="0.3">
      <c r="A23" s="56" t="s">
        <v>45</v>
      </c>
      <c r="B23" s="84" t="s">
        <v>46</v>
      </c>
      <c r="C23" s="57" t="s">
        <v>255</v>
      </c>
      <c r="D23" s="722">
        <f t="shared" si="0"/>
        <v>22.680412371134018</v>
      </c>
      <c r="E23" s="723">
        <f t="shared" si="1"/>
        <v>27.972027972027973</v>
      </c>
      <c r="F23" s="723">
        <f t="shared" si="2"/>
        <v>25.625381330079318</v>
      </c>
      <c r="G23" s="723">
        <f t="shared" si="3"/>
        <v>20.656136087484814</v>
      </c>
      <c r="H23" s="723">
        <f t="shared" si="4"/>
        <v>22.277227722772277</v>
      </c>
      <c r="I23" s="723">
        <f t="shared" si="5"/>
        <v>21.472392638036812</v>
      </c>
      <c r="J23" s="723">
        <f t="shared" si="6"/>
        <v>21.459227467811157</v>
      </c>
      <c r="K23" s="723">
        <f t="shared" si="7"/>
        <v>20.535158680771623</v>
      </c>
      <c r="L23" s="723">
        <f t="shared" si="8"/>
        <v>28.019925280199253</v>
      </c>
      <c r="M23" s="723">
        <f t="shared" si="9"/>
        <v>26.717557251908396</v>
      </c>
      <c r="N23" s="723">
        <f t="shared" si="10"/>
        <v>25.096525096525095</v>
      </c>
      <c r="O23" s="723">
        <f t="shared" si="11"/>
        <v>23.809523809523807</v>
      </c>
      <c r="P23" s="723">
        <f t="shared" si="12"/>
        <v>19.366197183098588</v>
      </c>
      <c r="Q23" s="723">
        <f t="shared" si="13"/>
        <v>13.309134906231096</v>
      </c>
      <c r="R23" s="855">
        <f t="shared" si="14"/>
        <v>21.446078431372548</v>
      </c>
      <c r="S23" s="857">
        <f t="shared" si="15"/>
        <v>19.382192610539068</v>
      </c>
      <c r="T23" s="1010">
        <f t="shared" si="16"/>
        <v>13.414634146341463</v>
      </c>
      <c r="U23" s="1641">
        <f t="shared" si="17"/>
        <v>13.788968824940047</v>
      </c>
      <c r="V23" s="1975">
        <f t="shared" si="18"/>
        <v>14.429109159347552</v>
      </c>
      <c r="W23" s="2033">
        <f t="shared" si="19"/>
        <v>8.7774294670846391</v>
      </c>
      <c r="X23" s="2035">
        <f t="shared" si="20"/>
        <v>10.848755583918315</v>
      </c>
      <c r="Y23" s="2099">
        <f t="shared" si="21"/>
        <v>14.184397163120567</v>
      </c>
      <c r="Z23" s="2099"/>
      <c r="AA23" s="681">
        <v>33</v>
      </c>
      <c r="AB23" s="682">
        <v>40</v>
      </c>
      <c r="AC23" s="683">
        <v>42</v>
      </c>
      <c r="AD23" s="682">
        <v>34</v>
      </c>
      <c r="AE23" s="683">
        <v>36</v>
      </c>
      <c r="AF23" s="682">
        <v>35</v>
      </c>
      <c r="AG23" s="683">
        <v>35</v>
      </c>
      <c r="AH23" s="682">
        <v>33</v>
      </c>
      <c r="AI23" s="696">
        <v>45</v>
      </c>
      <c r="AJ23" s="696">
        <v>42</v>
      </c>
      <c r="AK23" s="696">
        <v>39</v>
      </c>
      <c r="AL23" s="696">
        <v>38</v>
      </c>
      <c r="AM23" s="697">
        <v>33</v>
      </c>
      <c r="AN23" s="697">
        <v>22</v>
      </c>
      <c r="AO23" s="848">
        <v>35</v>
      </c>
      <c r="AP23" s="849">
        <v>32</v>
      </c>
      <c r="AQ23" s="1005">
        <v>22</v>
      </c>
      <c r="AR23" s="1637">
        <v>23</v>
      </c>
      <c r="AS23" s="1971">
        <v>23</v>
      </c>
      <c r="AT23" s="1095">
        <v>14</v>
      </c>
      <c r="AU23" s="2020">
        <v>17</v>
      </c>
      <c r="AV23" s="1005">
        <v>22</v>
      </c>
      <c r="AW23" s="1005"/>
      <c r="AX23" s="704">
        <v>1455</v>
      </c>
      <c r="AY23" s="705">
        <v>1430</v>
      </c>
      <c r="AZ23" s="705">
        <v>1639</v>
      </c>
      <c r="BA23" s="705">
        <v>1646</v>
      </c>
      <c r="BB23" s="705">
        <v>1616</v>
      </c>
      <c r="BC23" s="705">
        <v>1630</v>
      </c>
      <c r="BD23" s="705">
        <v>1631</v>
      </c>
      <c r="BE23" s="705">
        <v>1607</v>
      </c>
      <c r="BF23" s="705">
        <v>1606</v>
      </c>
      <c r="BG23" s="705">
        <v>1572</v>
      </c>
      <c r="BH23" s="705">
        <v>1554</v>
      </c>
      <c r="BI23" s="705">
        <v>1596</v>
      </c>
      <c r="BJ23" s="705">
        <v>1704</v>
      </c>
      <c r="BK23" s="705">
        <v>1653</v>
      </c>
      <c r="BL23" s="851">
        <v>1632</v>
      </c>
      <c r="BM23" s="852">
        <v>1651</v>
      </c>
      <c r="BN23" s="1116">
        <v>1640</v>
      </c>
      <c r="BO23" s="1634">
        <v>1668</v>
      </c>
      <c r="BP23" s="1969">
        <v>1594</v>
      </c>
      <c r="BQ23" s="1096">
        <v>1595</v>
      </c>
      <c r="BR23" s="2022">
        <v>1567</v>
      </c>
      <c r="BS23" s="1006">
        <v>1551</v>
      </c>
      <c r="BU23" s="49">
        <f t="shared" si="22"/>
        <v>99</v>
      </c>
      <c r="BV23" s="49">
        <f t="shared" si="23"/>
        <v>7975</v>
      </c>
      <c r="BW23" s="2174">
        <f t="shared" si="24"/>
        <v>12.413793103448276</v>
      </c>
    </row>
    <row r="24" spans="1:75" s="49" customFormat="1" ht="15.75" customHeight="1" x14ac:dyDescent="0.3">
      <c r="A24" s="56" t="s">
        <v>47</v>
      </c>
      <c r="B24" s="84" t="s">
        <v>256</v>
      </c>
      <c r="C24" s="57" t="s">
        <v>253</v>
      </c>
      <c r="D24" s="722">
        <f t="shared" si="0"/>
        <v>25</v>
      </c>
      <c r="E24" s="723">
        <f t="shared" si="1"/>
        <v>32.663316582914575</v>
      </c>
      <c r="F24" s="723">
        <f t="shared" si="2"/>
        <v>26.030368763557483</v>
      </c>
      <c r="G24" s="723">
        <f t="shared" si="3"/>
        <v>32.183908045977013</v>
      </c>
      <c r="H24" s="723">
        <f t="shared" si="4"/>
        <v>18.648018648018649</v>
      </c>
      <c r="I24" s="723">
        <f t="shared" si="5"/>
        <v>16.241299303944317</v>
      </c>
      <c r="J24" s="723">
        <f t="shared" si="6"/>
        <v>17.766497461928935</v>
      </c>
      <c r="K24" s="723">
        <f t="shared" si="7"/>
        <v>20.833333333333332</v>
      </c>
      <c r="L24" s="723">
        <f t="shared" si="8"/>
        <v>23.4375</v>
      </c>
      <c r="M24" s="723">
        <f t="shared" si="9"/>
        <v>5.3619302949061662</v>
      </c>
      <c r="N24" s="723">
        <f t="shared" si="10"/>
        <v>13.054830287206265</v>
      </c>
      <c r="O24" s="723">
        <f t="shared" si="11"/>
        <v>8.310249307479225</v>
      </c>
      <c r="P24" s="723">
        <f t="shared" si="12"/>
        <v>13.513513513513514</v>
      </c>
      <c r="Q24" s="723">
        <f t="shared" si="13"/>
        <v>8</v>
      </c>
      <c r="R24" s="855">
        <f t="shared" si="14"/>
        <v>12.012012012012011</v>
      </c>
      <c r="S24" s="857">
        <f t="shared" si="15"/>
        <v>6.1919504643962853</v>
      </c>
      <c r="T24" s="1010">
        <f t="shared" si="16"/>
        <v>19.543973941368076</v>
      </c>
      <c r="U24" s="1641">
        <f t="shared" si="17"/>
        <v>9.8360655737704921</v>
      </c>
      <c r="V24" s="1975">
        <f t="shared" si="18"/>
        <v>10</v>
      </c>
      <c r="W24" s="2033">
        <f t="shared" si="19"/>
        <v>10.135135135135135</v>
      </c>
      <c r="X24" s="2035">
        <f t="shared" si="20"/>
        <v>0</v>
      </c>
      <c r="Y24" s="2099">
        <f t="shared" si="21"/>
        <v>10.033444816053512</v>
      </c>
      <c r="Z24" s="2099"/>
      <c r="AA24" s="681">
        <v>10</v>
      </c>
      <c r="AB24" s="682">
        <v>13</v>
      </c>
      <c r="AC24" s="683">
        <v>12</v>
      </c>
      <c r="AD24" s="682">
        <v>14</v>
      </c>
      <c r="AE24" s="683">
        <v>8</v>
      </c>
      <c r="AF24" s="682">
        <v>7</v>
      </c>
      <c r="AG24" s="683">
        <v>7</v>
      </c>
      <c r="AH24" s="682">
        <v>8</v>
      </c>
      <c r="AI24" s="696">
        <v>9</v>
      </c>
      <c r="AJ24" s="696">
        <v>2</v>
      </c>
      <c r="AK24" s="696">
        <v>5</v>
      </c>
      <c r="AL24" s="696">
        <v>3</v>
      </c>
      <c r="AM24" s="697">
        <v>5</v>
      </c>
      <c r="AN24" s="697">
        <v>3</v>
      </c>
      <c r="AO24" s="848">
        <v>4</v>
      </c>
      <c r="AP24" s="849">
        <v>2</v>
      </c>
      <c r="AQ24" s="1005">
        <v>6</v>
      </c>
      <c r="AR24" s="1637">
        <v>3</v>
      </c>
      <c r="AS24" s="1971">
        <v>3</v>
      </c>
      <c r="AT24" s="1095">
        <v>3</v>
      </c>
      <c r="AU24" s="2020">
        <v>0</v>
      </c>
      <c r="AV24" s="1005">
        <v>3</v>
      </c>
      <c r="AW24" s="1005"/>
      <c r="AX24" s="704">
        <v>400</v>
      </c>
      <c r="AY24" s="705">
        <v>398</v>
      </c>
      <c r="AZ24" s="705">
        <v>461</v>
      </c>
      <c r="BA24" s="705">
        <v>435</v>
      </c>
      <c r="BB24" s="705">
        <v>429</v>
      </c>
      <c r="BC24" s="705">
        <v>431</v>
      </c>
      <c r="BD24" s="705">
        <v>394</v>
      </c>
      <c r="BE24" s="705">
        <v>384</v>
      </c>
      <c r="BF24" s="705">
        <v>384</v>
      </c>
      <c r="BG24" s="705">
        <v>373</v>
      </c>
      <c r="BH24" s="705">
        <v>383</v>
      </c>
      <c r="BI24" s="705">
        <v>361</v>
      </c>
      <c r="BJ24" s="705">
        <v>370</v>
      </c>
      <c r="BK24" s="705">
        <v>375</v>
      </c>
      <c r="BL24" s="851">
        <v>333</v>
      </c>
      <c r="BM24" s="852">
        <v>323</v>
      </c>
      <c r="BN24" s="1116">
        <v>307</v>
      </c>
      <c r="BO24" s="1634">
        <v>305</v>
      </c>
      <c r="BP24" s="1969">
        <v>300</v>
      </c>
      <c r="BQ24" s="1096">
        <v>296</v>
      </c>
      <c r="BR24" s="2022">
        <v>304</v>
      </c>
      <c r="BS24" s="1006">
        <v>299</v>
      </c>
      <c r="BU24" s="49">
        <f t="shared" si="22"/>
        <v>12</v>
      </c>
      <c r="BV24" s="49">
        <f t="shared" si="23"/>
        <v>1504</v>
      </c>
      <c r="BW24" s="2174">
        <f t="shared" si="24"/>
        <v>7.9787234042553186</v>
      </c>
    </row>
    <row r="25" spans="1:75" s="49" customFormat="1" ht="15.75" customHeight="1" x14ac:dyDescent="0.3">
      <c r="A25" s="56" t="s">
        <v>49</v>
      </c>
      <c r="B25" s="84" t="s">
        <v>50</v>
      </c>
      <c r="C25" s="57" t="s">
        <v>252</v>
      </c>
      <c r="D25" s="722">
        <f t="shared" si="0"/>
        <v>30.183727034120736</v>
      </c>
      <c r="E25" s="723">
        <f t="shared" si="1"/>
        <v>35.76158940397351</v>
      </c>
      <c r="F25" s="723">
        <f t="shared" si="2"/>
        <v>26.285714285714288</v>
      </c>
      <c r="G25" s="723">
        <f t="shared" si="3"/>
        <v>29.213483146067418</v>
      </c>
      <c r="H25" s="723">
        <f t="shared" si="4"/>
        <v>18.994413407821231</v>
      </c>
      <c r="I25" s="723">
        <f t="shared" si="5"/>
        <v>14.623172103487065</v>
      </c>
      <c r="J25" s="723">
        <f t="shared" si="6"/>
        <v>24.24942263279446</v>
      </c>
      <c r="K25" s="723">
        <f t="shared" si="7"/>
        <v>16.891891891891891</v>
      </c>
      <c r="L25" s="723">
        <f t="shared" si="8"/>
        <v>11.862396204033214</v>
      </c>
      <c r="M25" s="723">
        <f t="shared" si="9"/>
        <v>29.232643118148598</v>
      </c>
      <c r="N25" s="723">
        <f t="shared" si="10"/>
        <v>28.02547770700637</v>
      </c>
      <c r="O25" s="723">
        <f t="shared" si="11"/>
        <v>22.988505747126435</v>
      </c>
      <c r="P25" s="723">
        <f t="shared" si="12"/>
        <v>13.904982618771726</v>
      </c>
      <c r="Q25" s="723">
        <f t="shared" si="13"/>
        <v>23.341523341523342</v>
      </c>
      <c r="R25" s="855">
        <f t="shared" si="14"/>
        <v>21.992238033635189</v>
      </c>
      <c r="S25" s="857">
        <f t="shared" si="15"/>
        <v>19.841269841269842</v>
      </c>
      <c r="T25" s="1010">
        <f t="shared" si="16"/>
        <v>10.540184453227932</v>
      </c>
      <c r="U25" s="1641">
        <f t="shared" si="17"/>
        <v>20.161290322580644</v>
      </c>
      <c r="V25" s="1975">
        <f t="shared" si="18"/>
        <v>6.983240223463687</v>
      </c>
      <c r="W25" s="2033">
        <f t="shared" si="19"/>
        <v>8.6330935251798557</v>
      </c>
      <c r="X25" s="2035">
        <f t="shared" si="20"/>
        <v>7.2674418604651159</v>
      </c>
      <c r="Y25" s="2099">
        <f t="shared" si="21"/>
        <v>4.4052863436123353</v>
      </c>
      <c r="Z25" s="2099"/>
      <c r="AA25" s="681">
        <v>23</v>
      </c>
      <c r="AB25" s="682">
        <v>27</v>
      </c>
      <c r="AC25" s="683">
        <v>23</v>
      </c>
      <c r="AD25" s="682">
        <v>26</v>
      </c>
      <c r="AE25" s="683">
        <v>17</v>
      </c>
      <c r="AF25" s="682">
        <v>13</v>
      </c>
      <c r="AG25" s="683">
        <v>21</v>
      </c>
      <c r="AH25" s="682">
        <v>15</v>
      </c>
      <c r="AI25" s="696">
        <v>10</v>
      </c>
      <c r="AJ25" s="696">
        <v>24</v>
      </c>
      <c r="AK25" s="696">
        <v>22</v>
      </c>
      <c r="AL25" s="696">
        <v>18</v>
      </c>
      <c r="AM25" s="697">
        <v>12</v>
      </c>
      <c r="AN25" s="697">
        <v>19</v>
      </c>
      <c r="AO25" s="848">
        <v>17</v>
      </c>
      <c r="AP25" s="849">
        <v>15</v>
      </c>
      <c r="AQ25" s="1005">
        <v>8</v>
      </c>
      <c r="AR25" s="1637">
        <v>15</v>
      </c>
      <c r="AS25" s="1971">
        <v>5</v>
      </c>
      <c r="AT25" s="1095">
        <v>6</v>
      </c>
      <c r="AU25" s="2020">
        <v>5</v>
      </c>
      <c r="AV25" s="1005">
        <v>3</v>
      </c>
      <c r="AW25" s="1005"/>
      <c r="AX25" s="704">
        <v>762</v>
      </c>
      <c r="AY25" s="705">
        <v>755</v>
      </c>
      <c r="AZ25" s="705">
        <v>875</v>
      </c>
      <c r="BA25" s="705">
        <v>890</v>
      </c>
      <c r="BB25" s="705">
        <v>895</v>
      </c>
      <c r="BC25" s="705">
        <v>889</v>
      </c>
      <c r="BD25" s="705">
        <v>866</v>
      </c>
      <c r="BE25" s="705">
        <v>888</v>
      </c>
      <c r="BF25" s="705">
        <v>843</v>
      </c>
      <c r="BG25" s="705">
        <v>821</v>
      </c>
      <c r="BH25" s="705">
        <v>785</v>
      </c>
      <c r="BI25" s="705">
        <v>783</v>
      </c>
      <c r="BJ25" s="705">
        <v>863</v>
      </c>
      <c r="BK25" s="705">
        <v>814</v>
      </c>
      <c r="BL25" s="851">
        <v>773</v>
      </c>
      <c r="BM25" s="852">
        <v>756</v>
      </c>
      <c r="BN25" s="1116">
        <v>759</v>
      </c>
      <c r="BO25" s="1634">
        <v>744</v>
      </c>
      <c r="BP25" s="1969">
        <v>716</v>
      </c>
      <c r="BQ25" s="1096">
        <v>695</v>
      </c>
      <c r="BR25" s="2022">
        <v>688</v>
      </c>
      <c r="BS25" s="1006">
        <v>681</v>
      </c>
      <c r="BU25" s="49">
        <f t="shared" si="22"/>
        <v>34</v>
      </c>
      <c r="BV25" s="49">
        <f t="shared" si="23"/>
        <v>3524</v>
      </c>
      <c r="BW25" s="2174">
        <f t="shared" si="24"/>
        <v>9.6481271282633365</v>
      </c>
    </row>
    <row r="26" spans="1:75" s="49" customFormat="1" ht="15.75" customHeight="1" x14ac:dyDescent="0.3">
      <c r="A26" s="56" t="s">
        <v>55</v>
      </c>
      <c r="B26" s="84" t="s">
        <v>271</v>
      </c>
      <c r="C26" s="57" t="s">
        <v>253</v>
      </c>
      <c r="D26" s="722">
        <f t="shared" si="0"/>
        <v>14.93147883002659</v>
      </c>
      <c r="E26" s="723">
        <f t="shared" si="1"/>
        <v>13.40320467600524</v>
      </c>
      <c r="F26" s="723">
        <f t="shared" si="2"/>
        <v>12.668686312310658</v>
      </c>
      <c r="G26" s="723">
        <f t="shared" si="3"/>
        <v>11.614504831988651</v>
      </c>
      <c r="H26" s="723">
        <f t="shared" si="4"/>
        <v>10.31558702683801</v>
      </c>
      <c r="I26" s="723">
        <f t="shared" si="5"/>
        <v>11.754068716094032</v>
      </c>
      <c r="J26" s="723">
        <f t="shared" si="6"/>
        <v>11.449731846428875</v>
      </c>
      <c r="K26" s="723">
        <f t="shared" si="7"/>
        <v>12.082779896310896</v>
      </c>
      <c r="L26" s="723">
        <f t="shared" si="8"/>
        <v>12.25564234238122</v>
      </c>
      <c r="M26" s="723">
        <f t="shared" si="9"/>
        <v>12.804537446826796</v>
      </c>
      <c r="N26" s="723">
        <f t="shared" si="10"/>
        <v>10.901667824878388</v>
      </c>
      <c r="O26" s="723">
        <f t="shared" si="11"/>
        <v>11.103456660047819</v>
      </c>
      <c r="P26" s="723">
        <f t="shared" si="12"/>
        <v>9.821073558648111</v>
      </c>
      <c r="Q26" s="723">
        <f t="shared" si="13"/>
        <v>9.904520423121113</v>
      </c>
      <c r="R26" s="855">
        <f t="shared" si="14"/>
        <v>9.2064366368965658</v>
      </c>
      <c r="S26" s="857">
        <f t="shared" si="15"/>
        <v>7.0669983023411902</v>
      </c>
      <c r="T26" s="1010">
        <f t="shared" si="16"/>
        <v>7.6620747151534392</v>
      </c>
      <c r="U26" s="1641">
        <f t="shared" si="17"/>
        <v>6.9188929771236598</v>
      </c>
      <c r="V26" s="1975">
        <f t="shared" si="18"/>
        <v>6.8445992466890768</v>
      </c>
      <c r="W26" s="2033">
        <f t="shared" si="19"/>
        <v>5.3112300325916388</v>
      </c>
      <c r="X26" s="2035">
        <f t="shared" si="20"/>
        <v>5.5482377359996802</v>
      </c>
      <c r="Y26" s="2099">
        <f t="shared" si="21"/>
        <v>4.9681477623302213</v>
      </c>
      <c r="Z26" s="2099"/>
      <c r="AA26" s="681">
        <v>292</v>
      </c>
      <c r="AB26" s="682">
        <v>266</v>
      </c>
      <c r="AC26" s="683">
        <v>276</v>
      </c>
      <c r="AD26" s="682">
        <v>262</v>
      </c>
      <c r="AE26" s="683">
        <v>236</v>
      </c>
      <c r="AF26" s="682">
        <v>273</v>
      </c>
      <c r="AG26" s="683">
        <v>269</v>
      </c>
      <c r="AH26" s="682">
        <v>282</v>
      </c>
      <c r="AI26" s="696">
        <v>284</v>
      </c>
      <c r="AJ26" s="696">
        <v>298</v>
      </c>
      <c r="AK26" s="696">
        <v>251</v>
      </c>
      <c r="AL26" s="696">
        <v>274</v>
      </c>
      <c r="AM26" s="697">
        <v>247</v>
      </c>
      <c r="AN26" s="697">
        <v>250</v>
      </c>
      <c r="AO26" s="848">
        <v>234</v>
      </c>
      <c r="AP26" s="849">
        <v>179</v>
      </c>
      <c r="AQ26" s="1005">
        <v>193</v>
      </c>
      <c r="AR26" s="1637">
        <v>173</v>
      </c>
      <c r="AS26" s="1971">
        <v>169</v>
      </c>
      <c r="AT26" s="1095">
        <v>132</v>
      </c>
      <c r="AU26" s="2020">
        <v>139</v>
      </c>
      <c r="AV26" s="1005">
        <v>124</v>
      </c>
      <c r="AW26" s="1005"/>
      <c r="AX26" s="704">
        <v>19556</v>
      </c>
      <c r="AY26" s="705">
        <v>19846</v>
      </c>
      <c r="AZ26" s="705">
        <v>21786</v>
      </c>
      <c r="BA26" s="705">
        <v>22558</v>
      </c>
      <c r="BB26" s="705">
        <v>22878</v>
      </c>
      <c r="BC26" s="705">
        <v>23226</v>
      </c>
      <c r="BD26" s="705">
        <v>23494</v>
      </c>
      <c r="BE26" s="705">
        <v>23339</v>
      </c>
      <c r="BF26" s="705">
        <v>23173</v>
      </c>
      <c r="BG26" s="705">
        <v>23273</v>
      </c>
      <c r="BH26" s="705">
        <v>23024</v>
      </c>
      <c r="BI26" s="705">
        <v>24677</v>
      </c>
      <c r="BJ26" s="705">
        <v>25150</v>
      </c>
      <c r="BK26" s="705">
        <v>25241</v>
      </c>
      <c r="BL26" s="851">
        <v>25417</v>
      </c>
      <c r="BM26" s="852">
        <v>25329</v>
      </c>
      <c r="BN26" s="1116">
        <v>25189</v>
      </c>
      <c r="BO26" s="1634">
        <v>25004</v>
      </c>
      <c r="BP26" s="1969">
        <v>24691</v>
      </c>
      <c r="BQ26" s="1096">
        <v>24853</v>
      </c>
      <c r="BR26" s="2022">
        <v>25053</v>
      </c>
      <c r="BS26" s="1006">
        <v>24959</v>
      </c>
      <c r="BU26" s="49">
        <f t="shared" si="22"/>
        <v>737</v>
      </c>
      <c r="BV26" s="49">
        <f t="shared" si="23"/>
        <v>124560</v>
      </c>
      <c r="BW26" s="2174">
        <f t="shared" si="24"/>
        <v>5.9168272318561339</v>
      </c>
    </row>
    <row r="27" spans="1:75" s="49" customFormat="1" ht="15.75" customHeight="1" x14ac:dyDescent="0.3">
      <c r="A27" s="56" t="s">
        <v>57</v>
      </c>
      <c r="B27" s="84" t="s">
        <v>58</v>
      </c>
      <c r="C27" s="57" t="s">
        <v>254</v>
      </c>
      <c r="D27" s="722">
        <f t="shared" si="0"/>
        <v>13.767209011264081</v>
      </c>
      <c r="E27" s="723">
        <f t="shared" si="1"/>
        <v>18.47290640394089</v>
      </c>
      <c r="F27" s="723">
        <f t="shared" si="2"/>
        <v>15.228426395939087</v>
      </c>
      <c r="G27" s="723">
        <f t="shared" si="3"/>
        <v>14.457831325301205</v>
      </c>
      <c r="H27" s="723">
        <f t="shared" si="4"/>
        <v>12.850467289719626</v>
      </c>
      <c r="I27" s="723">
        <f t="shared" si="5"/>
        <v>8.9686098654708513</v>
      </c>
      <c r="J27" s="723">
        <f t="shared" si="6"/>
        <v>12.06140350877193</v>
      </c>
      <c r="K27" s="723">
        <f t="shared" si="7"/>
        <v>8.501594048884165</v>
      </c>
      <c r="L27" s="723">
        <f t="shared" si="8"/>
        <v>18.18181818181818</v>
      </c>
      <c r="M27" s="723">
        <f t="shared" si="9"/>
        <v>11.969532100108813</v>
      </c>
      <c r="N27" s="723">
        <f t="shared" si="10"/>
        <v>6.7796610169491522</v>
      </c>
      <c r="O27" s="723">
        <f t="shared" si="11"/>
        <v>6.3965884861407245</v>
      </c>
      <c r="P27" s="723">
        <f t="shared" si="12"/>
        <v>15.135135135135135</v>
      </c>
      <c r="Q27" s="723">
        <f t="shared" si="13"/>
        <v>7.2614107883817427</v>
      </c>
      <c r="R27" s="855">
        <f t="shared" si="14"/>
        <v>10.309278350515465</v>
      </c>
      <c r="S27" s="857">
        <f t="shared" si="15"/>
        <v>7.6754385964912277</v>
      </c>
      <c r="T27" s="1010">
        <f t="shared" si="16"/>
        <v>6.5789473684210522</v>
      </c>
      <c r="U27" s="1641">
        <f t="shared" si="17"/>
        <v>2.229654403567447</v>
      </c>
      <c r="V27" s="1975">
        <f t="shared" si="18"/>
        <v>2.1621621621621623</v>
      </c>
      <c r="W27" s="2033">
        <f t="shared" si="19"/>
        <v>2.2321428571428572</v>
      </c>
      <c r="X27" s="2035">
        <f t="shared" si="20"/>
        <v>6.6371681415929205</v>
      </c>
      <c r="Y27" s="2099">
        <f t="shared" si="21"/>
        <v>5.574136008918618</v>
      </c>
      <c r="Z27" s="2099"/>
      <c r="AA27" s="681">
        <v>11</v>
      </c>
      <c r="AB27" s="682">
        <v>15</v>
      </c>
      <c r="AC27" s="683">
        <v>12</v>
      </c>
      <c r="AD27" s="682">
        <v>12</v>
      </c>
      <c r="AE27" s="683">
        <v>11</v>
      </c>
      <c r="AF27" s="682">
        <v>8</v>
      </c>
      <c r="AG27" s="683">
        <v>11</v>
      </c>
      <c r="AH27" s="682">
        <v>8</v>
      </c>
      <c r="AI27" s="696">
        <v>17</v>
      </c>
      <c r="AJ27" s="696">
        <v>11</v>
      </c>
      <c r="AK27" s="696">
        <v>6</v>
      </c>
      <c r="AL27" s="696">
        <v>6</v>
      </c>
      <c r="AM27" s="697">
        <v>14</v>
      </c>
      <c r="AN27" s="697">
        <v>7</v>
      </c>
      <c r="AO27" s="848">
        <v>10</v>
      </c>
      <c r="AP27" s="849">
        <v>7</v>
      </c>
      <c r="AQ27" s="1005">
        <v>6</v>
      </c>
      <c r="AR27" s="1637">
        <v>2</v>
      </c>
      <c r="AS27" s="1971">
        <v>2</v>
      </c>
      <c r="AT27" s="1095">
        <v>2</v>
      </c>
      <c r="AU27" s="2020">
        <v>6</v>
      </c>
      <c r="AV27" s="1005">
        <v>5</v>
      </c>
      <c r="AW27" s="1005"/>
      <c r="AX27" s="704">
        <v>799</v>
      </c>
      <c r="AY27" s="705">
        <v>812</v>
      </c>
      <c r="AZ27" s="705">
        <v>788</v>
      </c>
      <c r="BA27" s="705">
        <v>830</v>
      </c>
      <c r="BB27" s="705">
        <v>856</v>
      </c>
      <c r="BC27" s="705">
        <v>892</v>
      </c>
      <c r="BD27" s="705">
        <v>912</v>
      </c>
      <c r="BE27" s="705">
        <v>941</v>
      </c>
      <c r="BF27" s="705">
        <v>935</v>
      </c>
      <c r="BG27" s="705">
        <v>919</v>
      </c>
      <c r="BH27" s="705">
        <v>885</v>
      </c>
      <c r="BI27" s="705">
        <v>938</v>
      </c>
      <c r="BJ27" s="705">
        <v>925</v>
      </c>
      <c r="BK27" s="705">
        <v>964</v>
      </c>
      <c r="BL27" s="851">
        <v>970</v>
      </c>
      <c r="BM27" s="852">
        <v>912</v>
      </c>
      <c r="BN27" s="1116">
        <v>912</v>
      </c>
      <c r="BO27" s="1634">
        <v>897</v>
      </c>
      <c r="BP27" s="1969">
        <v>925</v>
      </c>
      <c r="BQ27" s="1096">
        <v>896</v>
      </c>
      <c r="BR27" s="2022">
        <v>904</v>
      </c>
      <c r="BS27" s="1006">
        <v>897</v>
      </c>
      <c r="BU27" s="49">
        <f t="shared" si="22"/>
        <v>17</v>
      </c>
      <c r="BV27" s="49">
        <f t="shared" si="23"/>
        <v>4519</v>
      </c>
      <c r="BW27" s="2174">
        <f t="shared" si="24"/>
        <v>3.7618942243859261</v>
      </c>
    </row>
    <row r="28" spans="1:75" s="49" customFormat="1" ht="15.75" customHeight="1" x14ac:dyDescent="0.3">
      <c r="A28" s="56" t="s">
        <v>59</v>
      </c>
      <c r="B28" s="84" t="s">
        <v>60</v>
      </c>
      <c r="C28" s="57" t="s">
        <v>252</v>
      </c>
      <c r="D28" s="722">
        <f t="shared" si="0"/>
        <v>44</v>
      </c>
      <c r="E28" s="723">
        <f t="shared" si="1"/>
        <v>28.225806451612904</v>
      </c>
      <c r="F28" s="723">
        <f t="shared" si="2"/>
        <v>16.44736842105263</v>
      </c>
      <c r="G28" s="723">
        <f t="shared" si="3"/>
        <v>15.197568389057752</v>
      </c>
      <c r="H28" s="723">
        <f t="shared" si="4"/>
        <v>9.1185410334346493</v>
      </c>
      <c r="I28" s="723">
        <f t="shared" si="5"/>
        <v>12.084592145015106</v>
      </c>
      <c r="J28" s="723">
        <f t="shared" si="6"/>
        <v>5.8997050147492622</v>
      </c>
      <c r="K28" s="723">
        <f t="shared" si="7"/>
        <v>11.695906432748536</v>
      </c>
      <c r="L28" s="723">
        <f t="shared" si="8"/>
        <v>14.66275659824047</v>
      </c>
      <c r="M28" s="723">
        <f t="shared" si="9"/>
        <v>12.461059190031152</v>
      </c>
      <c r="N28" s="723">
        <f t="shared" si="10"/>
        <v>15.923566878980891</v>
      </c>
      <c r="O28" s="723">
        <f t="shared" si="11"/>
        <v>32.89473684210526</v>
      </c>
      <c r="P28" s="723">
        <f t="shared" si="12"/>
        <v>9.2307692307692317</v>
      </c>
      <c r="Q28" s="723">
        <f t="shared" si="13"/>
        <v>12.383900928792571</v>
      </c>
      <c r="R28" s="855">
        <f t="shared" si="14"/>
        <v>9.4637223974763405</v>
      </c>
      <c r="S28" s="857">
        <f t="shared" si="15"/>
        <v>31.347962382445139</v>
      </c>
      <c r="T28" s="1010">
        <f t="shared" si="16"/>
        <v>9.7087378640776691</v>
      </c>
      <c r="U28" s="1641">
        <f t="shared" si="17"/>
        <v>10.638297872340425</v>
      </c>
      <c r="V28" s="1975">
        <f t="shared" si="18"/>
        <v>3.5087719298245617</v>
      </c>
      <c r="W28" s="2033">
        <f t="shared" si="19"/>
        <v>7.2463768115942031</v>
      </c>
      <c r="X28" s="2035">
        <f t="shared" si="20"/>
        <v>21.739130434782609</v>
      </c>
      <c r="Y28" s="2099">
        <f t="shared" si="21"/>
        <v>11.278195488721805</v>
      </c>
      <c r="Z28" s="2099"/>
      <c r="AA28" s="681">
        <v>11</v>
      </c>
      <c r="AB28" s="682">
        <v>7</v>
      </c>
      <c r="AC28" s="683">
        <v>5</v>
      </c>
      <c r="AD28" s="682">
        <v>5</v>
      </c>
      <c r="AE28" s="683">
        <v>3</v>
      </c>
      <c r="AF28" s="682">
        <v>4</v>
      </c>
      <c r="AG28" s="683">
        <v>2</v>
      </c>
      <c r="AH28" s="682">
        <v>4</v>
      </c>
      <c r="AI28" s="696">
        <v>5</v>
      </c>
      <c r="AJ28" s="696">
        <v>4</v>
      </c>
      <c r="AK28" s="696">
        <v>5</v>
      </c>
      <c r="AL28" s="696">
        <v>10</v>
      </c>
      <c r="AM28" s="697">
        <v>3</v>
      </c>
      <c r="AN28" s="697">
        <v>4</v>
      </c>
      <c r="AO28" s="848">
        <v>3</v>
      </c>
      <c r="AP28" s="849">
        <v>10</v>
      </c>
      <c r="AQ28" s="1005">
        <v>3</v>
      </c>
      <c r="AR28" s="1637">
        <v>3</v>
      </c>
      <c r="AS28" s="1971">
        <v>1</v>
      </c>
      <c r="AT28" s="1095">
        <v>2</v>
      </c>
      <c r="AU28" s="2020">
        <v>6</v>
      </c>
      <c r="AV28" s="1005">
        <v>3</v>
      </c>
      <c r="AW28" s="1005"/>
      <c r="AX28" s="704">
        <v>250</v>
      </c>
      <c r="AY28" s="705">
        <v>248</v>
      </c>
      <c r="AZ28" s="705">
        <v>304</v>
      </c>
      <c r="BA28" s="705">
        <v>329</v>
      </c>
      <c r="BB28" s="705">
        <v>329</v>
      </c>
      <c r="BC28" s="705">
        <v>331</v>
      </c>
      <c r="BD28" s="705">
        <v>339</v>
      </c>
      <c r="BE28" s="705">
        <v>342</v>
      </c>
      <c r="BF28" s="705">
        <v>341</v>
      </c>
      <c r="BG28" s="705">
        <v>321</v>
      </c>
      <c r="BH28" s="705">
        <v>314</v>
      </c>
      <c r="BI28" s="705">
        <v>304</v>
      </c>
      <c r="BJ28" s="705">
        <v>325</v>
      </c>
      <c r="BK28" s="705">
        <v>323</v>
      </c>
      <c r="BL28" s="851">
        <v>317</v>
      </c>
      <c r="BM28" s="852">
        <v>319</v>
      </c>
      <c r="BN28" s="1116">
        <v>309</v>
      </c>
      <c r="BO28" s="1634">
        <v>282</v>
      </c>
      <c r="BP28" s="1969">
        <v>285</v>
      </c>
      <c r="BQ28" s="1096">
        <v>276</v>
      </c>
      <c r="BR28" s="2022">
        <v>276</v>
      </c>
      <c r="BS28" s="1006">
        <v>266</v>
      </c>
      <c r="BU28" s="49">
        <f t="shared" si="22"/>
        <v>15</v>
      </c>
      <c r="BV28" s="49">
        <f t="shared" si="23"/>
        <v>1385</v>
      </c>
      <c r="BW28" s="2174">
        <f t="shared" si="24"/>
        <v>10.830324909747292</v>
      </c>
    </row>
    <row r="29" spans="1:75" s="49" customFormat="1" ht="15.75" customHeight="1" x14ac:dyDescent="0.3">
      <c r="A29" s="56" t="s">
        <v>61</v>
      </c>
      <c r="B29" s="84" t="s">
        <v>62</v>
      </c>
      <c r="C29" s="57" t="s">
        <v>254</v>
      </c>
      <c r="D29" s="722">
        <f t="shared" si="0"/>
        <v>30.734966592427618</v>
      </c>
      <c r="E29" s="723">
        <f t="shared" si="1"/>
        <v>23.103748910200522</v>
      </c>
      <c r="F29" s="723">
        <f t="shared" si="2"/>
        <v>27.265100671140939</v>
      </c>
      <c r="G29" s="723">
        <f t="shared" si="3"/>
        <v>17.906884202148827</v>
      </c>
      <c r="H29" s="723">
        <f t="shared" si="4"/>
        <v>17.509727626459146</v>
      </c>
      <c r="I29" s="723">
        <f t="shared" si="5"/>
        <v>22.064323111443532</v>
      </c>
      <c r="J29" s="723">
        <f t="shared" si="6"/>
        <v>18.44484629294756</v>
      </c>
      <c r="K29" s="723">
        <f t="shared" si="7"/>
        <v>19.00739176346357</v>
      </c>
      <c r="L29" s="723">
        <f t="shared" si="8"/>
        <v>21.837088388214905</v>
      </c>
      <c r="M29" s="723">
        <f t="shared" si="9"/>
        <v>23.280055594162611</v>
      </c>
      <c r="N29" s="723">
        <f t="shared" si="10"/>
        <v>21.433591004919187</v>
      </c>
      <c r="O29" s="723">
        <f t="shared" si="11"/>
        <v>18.050541516245488</v>
      </c>
      <c r="P29" s="723">
        <f t="shared" si="12"/>
        <v>15.394483643361129</v>
      </c>
      <c r="Q29" s="723">
        <f t="shared" si="13"/>
        <v>14.026139623844438</v>
      </c>
      <c r="R29" s="855">
        <f t="shared" si="14"/>
        <v>14.869888475836431</v>
      </c>
      <c r="S29" s="857">
        <f t="shared" si="15"/>
        <v>10.185185185185187</v>
      </c>
      <c r="T29" s="1010">
        <f t="shared" si="16"/>
        <v>8.3903045369794906</v>
      </c>
      <c r="U29" s="1641">
        <f t="shared" si="17"/>
        <v>11.277049679975617</v>
      </c>
      <c r="V29" s="1975">
        <f t="shared" si="18"/>
        <v>10.231718326813121</v>
      </c>
      <c r="W29" s="2033">
        <f t="shared" si="19"/>
        <v>6.99912510936133</v>
      </c>
      <c r="X29" s="2035">
        <f t="shared" si="20"/>
        <v>8.2129708297932602</v>
      </c>
      <c r="Y29" s="2099">
        <f t="shared" si="21"/>
        <v>14.376555156206802</v>
      </c>
      <c r="Z29" s="2099"/>
      <c r="AA29" s="681">
        <v>69</v>
      </c>
      <c r="AB29" s="682">
        <v>53</v>
      </c>
      <c r="AC29" s="683">
        <v>65</v>
      </c>
      <c r="AD29" s="682">
        <v>45</v>
      </c>
      <c r="AE29" s="683">
        <v>45</v>
      </c>
      <c r="AF29" s="682">
        <v>59</v>
      </c>
      <c r="AG29" s="683">
        <v>51</v>
      </c>
      <c r="AH29" s="682">
        <v>54</v>
      </c>
      <c r="AI29" s="696">
        <v>63</v>
      </c>
      <c r="AJ29" s="696">
        <v>67</v>
      </c>
      <c r="AK29" s="696">
        <v>61</v>
      </c>
      <c r="AL29" s="696">
        <v>55</v>
      </c>
      <c r="AM29" s="697">
        <v>48</v>
      </c>
      <c r="AN29" s="697">
        <v>44</v>
      </c>
      <c r="AO29" s="848">
        <v>48</v>
      </c>
      <c r="AP29" s="849">
        <v>33</v>
      </c>
      <c r="AQ29" s="1005">
        <v>27</v>
      </c>
      <c r="AR29" s="1637">
        <v>37</v>
      </c>
      <c r="AS29" s="1971">
        <v>34</v>
      </c>
      <c r="AT29" s="1095">
        <v>24</v>
      </c>
      <c r="AU29" s="2020">
        <v>29</v>
      </c>
      <c r="AV29" s="1005">
        <v>52</v>
      </c>
      <c r="AW29" s="1005"/>
      <c r="AX29" s="704">
        <v>2245</v>
      </c>
      <c r="AY29" s="705">
        <v>2294</v>
      </c>
      <c r="AZ29" s="705">
        <v>2384</v>
      </c>
      <c r="BA29" s="705">
        <v>2513</v>
      </c>
      <c r="BB29" s="705">
        <v>2570</v>
      </c>
      <c r="BC29" s="705">
        <v>2674</v>
      </c>
      <c r="BD29" s="705">
        <v>2765</v>
      </c>
      <c r="BE29" s="705">
        <v>2841</v>
      </c>
      <c r="BF29" s="705">
        <v>2885</v>
      </c>
      <c r="BG29" s="705">
        <v>2878</v>
      </c>
      <c r="BH29" s="705">
        <v>2846</v>
      </c>
      <c r="BI29" s="705">
        <v>3047</v>
      </c>
      <c r="BJ29" s="705">
        <v>3118</v>
      </c>
      <c r="BK29" s="705">
        <v>3137</v>
      </c>
      <c r="BL29" s="851">
        <v>3228</v>
      </c>
      <c r="BM29" s="852">
        <v>3240</v>
      </c>
      <c r="BN29" s="1116">
        <v>3218</v>
      </c>
      <c r="BO29" s="1634">
        <v>3281</v>
      </c>
      <c r="BP29" s="1969">
        <v>3323</v>
      </c>
      <c r="BQ29" s="1096">
        <v>3429</v>
      </c>
      <c r="BR29" s="2022">
        <v>3531</v>
      </c>
      <c r="BS29" s="1006">
        <v>3617</v>
      </c>
      <c r="BU29" s="49">
        <f t="shared" si="22"/>
        <v>176</v>
      </c>
      <c r="BV29" s="49">
        <f t="shared" si="23"/>
        <v>17181</v>
      </c>
      <c r="BW29" s="2174">
        <f t="shared" si="24"/>
        <v>10.243874046912287</v>
      </c>
    </row>
    <row r="30" spans="1:75" s="49" customFormat="1" ht="15.75" customHeight="1" x14ac:dyDescent="0.3">
      <c r="A30" s="56" t="s">
        <v>63</v>
      </c>
      <c r="B30" s="84" t="s">
        <v>64</v>
      </c>
      <c r="C30" s="57" t="s">
        <v>253</v>
      </c>
      <c r="D30" s="722">
        <f t="shared" si="0"/>
        <v>30.465949820788531</v>
      </c>
      <c r="E30" s="723">
        <f t="shared" si="1"/>
        <v>23.297491039426525</v>
      </c>
      <c r="F30" s="723">
        <f t="shared" si="2"/>
        <v>13.675213675213675</v>
      </c>
      <c r="G30" s="723">
        <f t="shared" si="3"/>
        <v>35.175879396984925</v>
      </c>
      <c r="H30" s="723">
        <f t="shared" si="4"/>
        <v>21.523178807947019</v>
      </c>
      <c r="I30" s="723">
        <f t="shared" si="5"/>
        <v>30.744336569579286</v>
      </c>
      <c r="J30" s="723">
        <f t="shared" si="6"/>
        <v>20.90032154340836</v>
      </c>
      <c r="K30" s="723">
        <f t="shared" si="7"/>
        <v>17.460317460317462</v>
      </c>
      <c r="L30" s="723">
        <f t="shared" si="8"/>
        <v>13.114754098360656</v>
      </c>
      <c r="M30" s="723">
        <f t="shared" si="9"/>
        <v>18.092105263157894</v>
      </c>
      <c r="N30" s="723">
        <f t="shared" si="10"/>
        <v>8.169934640522877</v>
      </c>
      <c r="O30" s="723">
        <f t="shared" si="11"/>
        <v>15.503875968992247</v>
      </c>
      <c r="P30" s="723">
        <f t="shared" si="12"/>
        <v>18.018018018018019</v>
      </c>
      <c r="Q30" s="723">
        <f t="shared" si="13"/>
        <v>17.26844583987441</v>
      </c>
      <c r="R30" s="855">
        <f t="shared" si="14"/>
        <v>12.965964343598054</v>
      </c>
      <c r="S30" s="857">
        <f t="shared" si="15"/>
        <v>5.0847457627118642</v>
      </c>
      <c r="T30" s="1010">
        <f t="shared" si="16"/>
        <v>13.071895424836601</v>
      </c>
      <c r="U30" s="1641">
        <f t="shared" si="17"/>
        <v>12.152777777777779</v>
      </c>
      <c r="V30" s="1975">
        <f t="shared" si="18"/>
        <v>7.1428571428571423</v>
      </c>
      <c r="W30" s="2033">
        <f t="shared" si="19"/>
        <v>8.9126559714795004</v>
      </c>
      <c r="X30" s="2035">
        <f t="shared" si="20"/>
        <v>7.1813285457809695</v>
      </c>
      <c r="Y30" s="2099">
        <f t="shared" si="21"/>
        <v>3.6363636363636362</v>
      </c>
      <c r="Z30" s="2099"/>
      <c r="AA30" s="681">
        <v>17</v>
      </c>
      <c r="AB30" s="682">
        <v>13</v>
      </c>
      <c r="AC30" s="683">
        <v>8</v>
      </c>
      <c r="AD30" s="682">
        <v>21</v>
      </c>
      <c r="AE30" s="683">
        <v>13</v>
      </c>
      <c r="AF30" s="682">
        <v>19</v>
      </c>
      <c r="AG30" s="683">
        <v>13</v>
      </c>
      <c r="AH30" s="682">
        <v>11</v>
      </c>
      <c r="AI30" s="696">
        <v>8</v>
      </c>
      <c r="AJ30" s="696">
        <v>11</v>
      </c>
      <c r="AK30" s="696">
        <v>5</v>
      </c>
      <c r="AL30" s="696">
        <v>10</v>
      </c>
      <c r="AM30" s="697">
        <v>12</v>
      </c>
      <c r="AN30" s="697">
        <v>11</v>
      </c>
      <c r="AO30" s="848">
        <v>8</v>
      </c>
      <c r="AP30" s="849">
        <v>3</v>
      </c>
      <c r="AQ30" s="1005">
        <v>8</v>
      </c>
      <c r="AR30" s="1637">
        <v>7</v>
      </c>
      <c r="AS30" s="1971">
        <v>4</v>
      </c>
      <c r="AT30" s="1095">
        <v>5</v>
      </c>
      <c r="AU30" s="2020">
        <v>4</v>
      </c>
      <c r="AV30" s="1005">
        <v>2</v>
      </c>
      <c r="AW30" s="1005"/>
      <c r="AX30" s="704">
        <v>558</v>
      </c>
      <c r="AY30" s="705">
        <v>558</v>
      </c>
      <c r="AZ30" s="705">
        <v>585</v>
      </c>
      <c r="BA30" s="705">
        <v>597</v>
      </c>
      <c r="BB30" s="705">
        <v>604</v>
      </c>
      <c r="BC30" s="705">
        <v>618</v>
      </c>
      <c r="BD30" s="705">
        <v>622</v>
      </c>
      <c r="BE30" s="705">
        <v>630</v>
      </c>
      <c r="BF30" s="705">
        <v>610</v>
      </c>
      <c r="BG30" s="705">
        <v>608</v>
      </c>
      <c r="BH30" s="705">
        <v>612</v>
      </c>
      <c r="BI30" s="705">
        <v>645</v>
      </c>
      <c r="BJ30" s="705">
        <v>666</v>
      </c>
      <c r="BK30" s="705">
        <v>637</v>
      </c>
      <c r="BL30" s="851">
        <v>617</v>
      </c>
      <c r="BM30" s="852">
        <v>590</v>
      </c>
      <c r="BN30" s="1116">
        <v>612</v>
      </c>
      <c r="BO30" s="1634">
        <v>576</v>
      </c>
      <c r="BP30" s="1969">
        <v>560</v>
      </c>
      <c r="BQ30" s="1096">
        <v>561</v>
      </c>
      <c r="BR30" s="2022">
        <v>557</v>
      </c>
      <c r="BS30" s="1006">
        <v>550</v>
      </c>
      <c r="BU30" s="49">
        <f t="shared" si="22"/>
        <v>22</v>
      </c>
      <c r="BV30" s="49">
        <f t="shared" si="23"/>
        <v>2804</v>
      </c>
      <c r="BW30" s="2174">
        <f t="shared" si="24"/>
        <v>7.8459343794579173</v>
      </c>
    </row>
    <row r="31" spans="1:75" s="49" customFormat="1" ht="15.75" customHeight="1" x14ac:dyDescent="0.3">
      <c r="A31" s="56" t="s">
        <v>67</v>
      </c>
      <c r="B31" s="84" t="s">
        <v>68</v>
      </c>
      <c r="C31" s="57" t="s">
        <v>255</v>
      </c>
      <c r="D31" s="722">
        <f t="shared" si="0"/>
        <v>26.196928635953029</v>
      </c>
      <c r="E31" s="723">
        <f t="shared" si="1"/>
        <v>27.281279397930383</v>
      </c>
      <c r="F31" s="723">
        <f t="shared" si="2"/>
        <v>18.248175182481749</v>
      </c>
      <c r="G31" s="723">
        <f t="shared" si="3"/>
        <v>13.461538461538462</v>
      </c>
      <c r="H31" s="723">
        <f t="shared" si="4"/>
        <v>23.645320197044338</v>
      </c>
      <c r="I31" s="723">
        <f t="shared" si="5"/>
        <v>19.019019019019019</v>
      </c>
      <c r="J31" s="723">
        <f t="shared" si="6"/>
        <v>20.512820512820515</v>
      </c>
      <c r="K31" s="723">
        <f t="shared" si="7"/>
        <v>21.829521829521831</v>
      </c>
      <c r="L31" s="723">
        <f t="shared" si="8"/>
        <v>29.443838604143945</v>
      </c>
      <c r="M31" s="723">
        <f t="shared" si="9"/>
        <v>30.857142857142858</v>
      </c>
      <c r="N31" s="723">
        <f t="shared" si="10"/>
        <v>25.028441410693972</v>
      </c>
      <c r="O31" s="723">
        <f t="shared" si="11"/>
        <v>26.519337016574585</v>
      </c>
      <c r="P31" s="723">
        <f t="shared" si="12"/>
        <v>26.068821689259646</v>
      </c>
      <c r="Q31" s="723">
        <f t="shared" si="13"/>
        <v>29.834254143646408</v>
      </c>
      <c r="R31" s="855">
        <f t="shared" si="14"/>
        <v>22.547914317925592</v>
      </c>
      <c r="S31" s="857">
        <f t="shared" si="15"/>
        <v>23.148148148148145</v>
      </c>
      <c r="T31" s="1010">
        <f t="shared" si="16"/>
        <v>17.321016166281755</v>
      </c>
      <c r="U31" s="1641">
        <f t="shared" si="17"/>
        <v>21.914648212226069</v>
      </c>
      <c r="V31" s="1975">
        <f t="shared" si="18"/>
        <v>19.253910950661854</v>
      </c>
      <c r="W31" s="2033">
        <f t="shared" si="19"/>
        <v>12.5</v>
      </c>
      <c r="X31" s="2035">
        <f t="shared" si="20"/>
        <v>6.3532401524777633</v>
      </c>
      <c r="Y31" s="2099">
        <f t="shared" si="21"/>
        <v>6.6137566137566131</v>
      </c>
      <c r="Z31" s="2099"/>
      <c r="AA31" s="681">
        <v>29</v>
      </c>
      <c r="AB31" s="682">
        <v>29</v>
      </c>
      <c r="AC31" s="683">
        <v>20</v>
      </c>
      <c r="AD31" s="682">
        <v>14</v>
      </c>
      <c r="AE31" s="683">
        <v>24</v>
      </c>
      <c r="AF31" s="682">
        <v>19</v>
      </c>
      <c r="AG31" s="683">
        <v>20</v>
      </c>
      <c r="AH31" s="682">
        <v>21</v>
      </c>
      <c r="AI31" s="696">
        <v>27</v>
      </c>
      <c r="AJ31" s="696">
        <v>27</v>
      </c>
      <c r="AK31" s="696">
        <v>22</v>
      </c>
      <c r="AL31" s="696">
        <v>24</v>
      </c>
      <c r="AM31" s="697">
        <v>25</v>
      </c>
      <c r="AN31" s="697">
        <v>27</v>
      </c>
      <c r="AO31" s="848">
        <v>20</v>
      </c>
      <c r="AP31" s="849">
        <v>20</v>
      </c>
      <c r="AQ31" s="1005">
        <v>15</v>
      </c>
      <c r="AR31" s="1637">
        <v>19</v>
      </c>
      <c r="AS31" s="1971">
        <v>16</v>
      </c>
      <c r="AT31" s="1095">
        <v>10</v>
      </c>
      <c r="AU31" s="2020">
        <v>5</v>
      </c>
      <c r="AV31" s="1005">
        <v>5</v>
      </c>
      <c r="AW31" s="1005"/>
      <c r="AX31" s="704">
        <v>1107</v>
      </c>
      <c r="AY31" s="705">
        <v>1063</v>
      </c>
      <c r="AZ31" s="705">
        <v>1096</v>
      </c>
      <c r="BA31" s="705">
        <v>1040</v>
      </c>
      <c r="BB31" s="705">
        <v>1015</v>
      </c>
      <c r="BC31" s="705">
        <v>999</v>
      </c>
      <c r="BD31" s="705">
        <v>975</v>
      </c>
      <c r="BE31" s="705">
        <v>962</v>
      </c>
      <c r="BF31" s="705">
        <v>917</v>
      </c>
      <c r="BG31" s="705">
        <v>875</v>
      </c>
      <c r="BH31" s="705">
        <v>879</v>
      </c>
      <c r="BI31" s="705">
        <v>905</v>
      </c>
      <c r="BJ31" s="705">
        <v>959</v>
      </c>
      <c r="BK31" s="705">
        <v>905</v>
      </c>
      <c r="BL31" s="851">
        <v>887</v>
      </c>
      <c r="BM31" s="852">
        <v>864</v>
      </c>
      <c r="BN31" s="1116">
        <v>866</v>
      </c>
      <c r="BO31" s="1634">
        <v>867</v>
      </c>
      <c r="BP31" s="1969">
        <v>831</v>
      </c>
      <c r="BQ31" s="1096">
        <v>800</v>
      </c>
      <c r="BR31" s="2022">
        <v>787</v>
      </c>
      <c r="BS31" s="1006">
        <v>756</v>
      </c>
      <c r="BU31" s="49">
        <f t="shared" si="22"/>
        <v>55</v>
      </c>
      <c r="BV31" s="49">
        <f t="shared" si="23"/>
        <v>4041</v>
      </c>
      <c r="BW31" s="2174">
        <f t="shared" si="24"/>
        <v>13.610492452363276</v>
      </c>
    </row>
    <row r="32" spans="1:75" s="49" customFormat="1" ht="15.75" customHeight="1" x14ac:dyDescent="0.3">
      <c r="A32" s="56" t="s">
        <v>69</v>
      </c>
      <c r="B32" s="84" t="s">
        <v>70</v>
      </c>
      <c r="C32" s="57" t="s">
        <v>251</v>
      </c>
      <c r="D32" s="722">
        <f t="shared" si="0"/>
        <v>20.325203252032519</v>
      </c>
      <c r="E32" s="723">
        <f t="shared" si="1"/>
        <v>22.357723577235774</v>
      </c>
      <c r="F32" s="723">
        <f t="shared" si="2"/>
        <v>18.273471959672339</v>
      </c>
      <c r="G32" s="723">
        <f t="shared" si="3"/>
        <v>20.446096654275092</v>
      </c>
      <c r="H32" s="723">
        <f t="shared" si="4"/>
        <v>19.524100061012813</v>
      </c>
      <c r="I32" s="723">
        <f t="shared" si="5"/>
        <v>19.411764705882355</v>
      </c>
      <c r="J32" s="723">
        <f t="shared" si="6"/>
        <v>18.390804597701148</v>
      </c>
      <c r="K32" s="723">
        <f t="shared" si="7"/>
        <v>16.11047180667434</v>
      </c>
      <c r="L32" s="723">
        <f t="shared" si="8"/>
        <v>24.289099526066352</v>
      </c>
      <c r="M32" s="723">
        <f t="shared" si="9"/>
        <v>22.235576923076923</v>
      </c>
      <c r="N32" s="723">
        <f t="shared" si="10"/>
        <v>21.0589651022864</v>
      </c>
      <c r="O32" s="723">
        <f t="shared" si="11"/>
        <v>11.013215859030838</v>
      </c>
      <c r="P32" s="723">
        <f t="shared" si="12"/>
        <v>15.287295730100158</v>
      </c>
      <c r="Q32" s="723">
        <f t="shared" si="13"/>
        <v>16.958424507658645</v>
      </c>
      <c r="R32" s="855">
        <f t="shared" si="14"/>
        <v>13.66120218579235</v>
      </c>
      <c r="S32" s="857">
        <f t="shared" si="15"/>
        <v>9.1901206203331416</v>
      </c>
      <c r="T32" s="1010">
        <f t="shared" si="16"/>
        <v>7.4158585282373073</v>
      </c>
      <c r="U32" s="1641">
        <f t="shared" si="17"/>
        <v>9.0702947845804989</v>
      </c>
      <c r="V32" s="1975">
        <f t="shared" si="18"/>
        <v>14.148273910582908</v>
      </c>
      <c r="W32" s="2033">
        <f t="shared" si="19"/>
        <v>7.8256008943543875</v>
      </c>
      <c r="X32" s="2035">
        <f t="shared" si="20"/>
        <v>3.5440047253396338</v>
      </c>
      <c r="Y32" s="2099">
        <f t="shared" si="21"/>
        <v>4.8048048048048049</v>
      </c>
      <c r="Z32" s="2099"/>
      <c r="AA32" s="681">
        <v>30</v>
      </c>
      <c r="AB32" s="682">
        <v>33</v>
      </c>
      <c r="AC32" s="683">
        <v>29</v>
      </c>
      <c r="AD32" s="682">
        <v>33</v>
      </c>
      <c r="AE32" s="683">
        <v>32</v>
      </c>
      <c r="AF32" s="682">
        <v>33</v>
      </c>
      <c r="AG32" s="683">
        <v>32</v>
      </c>
      <c r="AH32" s="682">
        <v>28</v>
      </c>
      <c r="AI32" s="696">
        <v>41</v>
      </c>
      <c r="AJ32" s="696">
        <v>37</v>
      </c>
      <c r="AK32" s="696">
        <v>35</v>
      </c>
      <c r="AL32" s="696">
        <v>20</v>
      </c>
      <c r="AM32" s="697">
        <v>29</v>
      </c>
      <c r="AN32" s="697">
        <v>31</v>
      </c>
      <c r="AO32" s="848">
        <v>25</v>
      </c>
      <c r="AP32" s="849">
        <v>16</v>
      </c>
      <c r="AQ32" s="1005">
        <v>13</v>
      </c>
      <c r="AR32" s="1637">
        <v>16</v>
      </c>
      <c r="AS32" s="1971">
        <v>25</v>
      </c>
      <c r="AT32" s="1095">
        <v>14</v>
      </c>
      <c r="AU32" s="2020">
        <v>6</v>
      </c>
      <c r="AV32" s="1005">
        <v>8</v>
      </c>
      <c r="AW32" s="1005"/>
      <c r="AX32" s="704">
        <v>1476</v>
      </c>
      <c r="AY32" s="705">
        <v>1476</v>
      </c>
      <c r="AZ32" s="705">
        <v>1587</v>
      </c>
      <c r="BA32" s="705">
        <v>1614</v>
      </c>
      <c r="BB32" s="705">
        <v>1639</v>
      </c>
      <c r="BC32" s="705">
        <v>1700</v>
      </c>
      <c r="BD32" s="705">
        <v>1740</v>
      </c>
      <c r="BE32" s="705">
        <v>1738</v>
      </c>
      <c r="BF32" s="705">
        <v>1688</v>
      </c>
      <c r="BG32" s="705">
        <v>1664</v>
      </c>
      <c r="BH32" s="705">
        <v>1662</v>
      </c>
      <c r="BI32" s="705">
        <v>1816</v>
      </c>
      <c r="BJ32" s="705">
        <v>1897</v>
      </c>
      <c r="BK32" s="705">
        <v>1828</v>
      </c>
      <c r="BL32" s="851">
        <v>1830</v>
      </c>
      <c r="BM32" s="852">
        <v>1741</v>
      </c>
      <c r="BN32" s="1116">
        <v>1753</v>
      </c>
      <c r="BO32" s="1634">
        <v>1764</v>
      </c>
      <c r="BP32" s="1969">
        <v>1767</v>
      </c>
      <c r="BQ32" s="1096">
        <v>1789</v>
      </c>
      <c r="BR32" s="2022">
        <v>1693</v>
      </c>
      <c r="BS32" s="1006">
        <v>1665</v>
      </c>
      <c r="BU32" s="49">
        <f t="shared" si="22"/>
        <v>69</v>
      </c>
      <c r="BV32" s="49">
        <f t="shared" si="23"/>
        <v>8678</v>
      </c>
      <c r="BW32" s="2174">
        <f t="shared" si="24"/>
        <v>7.9511408158561885</v>
      </c>
    </row>
    <row r="33" spans="1:75" s="49" customFormat="1" ht="15.75" customHeight="1" x14ac:dyDescent="0.3">
      <c r="A33" s="56" t="s">
        <v>71</v>
      </c>
      <c r="B33" s="84" t="s">
        <v>72</v>
      </c>
      <c r="C33" s="57" t="s">
        <v>253</v>
      </c>
      <c r="D33" s="722">
        <f t="shared" si="0"/>
        <v>28.119507908611599</v>
      </c>
      <c r="E33" s="723">
        <f t="shared" si="1"/>
        <v>30.035335689045933</v>
      </c>
      <c r="F33" s="723">
        <f t="shared" si="2"/>
        <v>38.28483920367534</v>
      </c>
      <c r="G33" s="723">
        <f t="shared" si="3"/>
        <v>10.174418604651164</v>
      </c>
      <c r="H33" s="723">
        <f t="shared" si="4"/>
        <v>24.673439767779392</v>
      </c>
      <c r="I33" s="723">
        <f t="shared" si="5"/>
        <v>26.388888888888889</v>
      </c>
      <c r="J33" s="723">
        <f t="shared" si="6"/>
        <v>16.689847009735743</v>
      </c>
      <c r="K33" s="723">
        <f t="shared" si="7"/>
        <v>15.736766809728183</v>
      </c>
      <c r="L33" s="723">
        <f t="shared" si="8"/>
        <v>35.820895522388064</v>
      </c>
      <c r="M33" s="723">
        <f t="shared" si="9"/>
        <v>21.406727828746178</v>
      </c>
      <c r="N33" s="723">
        <f t="shared" si="10"/>
        <v>34.645669291338585</v>
      </c>
      <c r="O33" s="723">
        <f t="shared" si="11"/>
        <v>34.328358208955223</v>
      </c>
      <c r="P33" s="723">
        <f t="shared" si="12"/>
        <v>23.346303501945524</v>
      </c>
      <c r="Q33" s="723">
        <f t="shared" si="13"/>
        <v>18.06451612903226</v>
      </c>
      <c r="R33" s="855">
        <f t="shared" si="14"/>
        <v>23.004059539918806</v>
      </c>
      <c r="S33" s="857">
        <f t="shared" si="15"/>
        <v>8.6206896551724128</v>
      </c>
      <c r="T33" s="1010">
        <f t="shared" si="16"/>
        <v>7.3421439060205582</v>
      </c>
      <c r="U33" s="1641">
        <f t="shared" si="17"/>
        <v>8.6330935251798557</v>
      </c>
      <c r="V33" s="1975">
        <f t="shared" si="18"/>
        <v>8.695652173913043</v>
      </c>
      <c r="W33" s="2033">
        <f t="shared" si="19"/>
        <v>14.814814814814815</v>
      </c>
      <c r="X33" s="2035">
        <f t="shared" si="20"/>
        <v>9.4339622641509422</v>
      </c>
      <c r="Y33" s="2099">
        <f t="shared" si="21"/>
        <v>7.8492935635792769</v>
      </c>
      <c r="Z33" s="2099"/>
      <c r="AA33" s="681">
        <v>16</v>
      </c>
      <c r="AB33" s="682">
        <v>17</v>
      </c>
      <c r="AC33" s="683">
        <v>25</v>
      </c>
      <c r="AD33" s="682">
        <v>7</v>
      </c>
      <c r="AE33" s="683">
        <v>17</v>
      </c>
      <c r="AF33" s="682">
        <v>19</v>
      </c>
      <c r="AG33" s="683">
        <v>12</v>
      </c>
      <c r="AH33" s="682">
        <v>11</v>
      </c>
      <c r="AI33" s="696">
        <v>24</v>
      </c>
      <c r="AJ33" s="696">
        <v>14</v>
      </c>
      <c r="AK33" s="696">
        <v>22</v>
      </c>
      <c r="AL33" s="696">
        <v>23</v>
      </c>
      <c r="AM33" s="697">
        <v>18</v>
      </c>
      <c r="AN33" s="697">
        <v>14</v>
      </c>
      <c r="AO33" s="848">
        <v>17</v>
      </c>
      <c r="AP33" s="849">
        <v>6</v>
      </c>
      <c r="AQ33" s="1005">
        <v>5</v>
      </c>
      <c r="AR33" s="1637">
        <v>6</v>
      </c>
      <c r="AS33" s="1971">
        <v>6</v>
      </c>
      <c r="AT33" s="1095">
        <v>10</v>
      </c>
      <c r="AU33" s="2020">
        <v>6</v>
      </c>
      <c r="AV33" s="1005">
        <v>5</v>
      </c>
      <c r="AW33" s="1005"/>
      <c r="AX33" s="704">
        <v>569</v>
      </c>
      <c r="AY33" s="705">
        <v>566</v>
      </c>
      <c r="AZ33" s="705">
        <v>653</v>
      </c>
      <c r="BA33" s="705">
        <v>688</v>
      </c>
      <c r="BB33" s="705">
        <v>689</v>
      </c>
      <c r="BC33" s="705">
        <v>720</v>
      </c>
      <c r="BD33" s="705">
        <v>719</v>
      </c>
      <c r="BE33" s="705">
        <v>699</v>
      </c>
      <c r="BF33" s="705">
        <v>670</v>
      </c>
      <c r="BG33" s="705">
        <v>654</v>
      </c>
      <c r="BH33" s="705">
        <v>635</v>
      </c>
      <c r="BI33" s="705">
        <v>670</v>
      </c>
      <c r="BJ33" s="705">
        <v>771</v>
      </c>
      <c r="BK33" s="705">
        <v>775</v>
      </c>
      <c r="BL33" s="851">
        <v>739</v>
      </c>
      <c r="BM33" s="852">
        <v>696</v>
      </c>
      <c r="BN33" s="1116">
        <v>681</v>
      </c>
      <c r="BO33" s="1634">
        <v>695</v>
      </c>
      <c r="BP33" s="1969">
        <v>690</v>
      </c>
      <c r="BQ33" s="1096">
        <v>675</v>
      </c>
      <c r="BR33" s="2022">
        <v>636</v>
      </c>
      <c r="BS33" s="1006">
        <v>637</v>
      </c>
      <c r="BU33" s="49">
        <f t="shared" si="22"/>
        <v>33</v>
      </c>
      <c r="BV33" s="49">
        <f t="shared" si="23"/>
        <v>3333</v>
      </c>
      <c r="BW33" s="2174">
        <f t="shared" si="24"/>
        <v>9.9009900990099009</v>
      </c>
    </row>
    <row r="34" spans="1:75" s="49" customFormat="1" ht="15.75" customHeight="1" x14ac:dyDescent="0.3">
      <c r="A34" s="56" t="s">
        <v>73</v>
      </c>
      <c r="B34" s="84" t="s">
        <v>405</v>
      </c>
      <c r="C34" s="57" t="s">
        <v>254</v>
      </c>
      <c r="D34" s="722">
        <f t="shared" si="0"/>
        <v>8.3894435415215529</v>
      </c>
      <c r="E34" s="723">
        <f t="shared" si="1"/>
        <v>8.9154397828756835</v>
      </c>
      <c r="F34" s="723">
        <f t="shared" si="2"/>
        <v>9.7058313769360449</v>
      </c>
      <c r="G34" s="723">
        <f t="shared" si="3"/>
        <v>8.7884305729033425</v>
      </c>
      <c r="H34" s="723">
        <f t="shared" si="4"/>
        <v>8.3589773937744098</v>
      </c>
      <c r="I34" s="723">
        <f t="shared" si="5"/>
        <v>8.0546597752941356</v>
      </c>
      <c r="J34" s="723">
        <f t="shared" si="6"/>
        <v>8.4141345672099259</v>
      </c>
      <c r="K34" s="723">
        <f t="shared" si="7"/>
        <v>8.7478534000675179</v>
      </c>
      <c r="L34" s="723">
        <f t="shared" si="8"/>
        <v>9.2646035904038833</v>
      </c>
      <c r="M34" s="723">
        <f t="shared" si="9"/>
        <v>8.6402245581204955</v>
      </c>
      <c r="N34" s="723">
        <f t="shared" si="10"/>
        <v>8.6112670231307789</v>
      </c>
      <c r="O34" s="723">
        <f t="shared" si="11"/>
        <v>7.4837406824458768</v>
      </c>
      <c r="P34" s="723">
        <f t="shared" si="12"/>
        <v>5.6864924156046586</v>
      </c>
      <c r="Q34" s="723">
        <f t="shared" si="13"/>
        <v>5.6201932557680934</v>
      </c>
      <c r="R34" s="855">
        <f t="shared" si="14"/>
        <v>5.2762775238886581</v>
      </c>
      <c r="S34" s="857">
        <f t="shared" si="15"/>
        <v>4.2882115153501585</v>
      </c>
      <c r="T34" s="1010">
        <f t="shared" si="16"/>
        <v>4.6145934827324888</v>
      </c>
      <c r="U34" s="1641">
        <f t="shared" si="17"/>
        <v>4.4665213919304847</v>
      </c>
      <c r="V34" s="1975">
        <f t="shared" si="18"/>
        <v>4.055269836580683</v>
      </c>
      <c r="W34" s="2033">
        <f t="shared" si="19"/>
        <v>4.2131816230141688</v>
      </c>
      <c r="X34" s="2035">
        <f t="shared" si="20"/>
        <v>4.2761799459149827</v>
      </c>
      <c r="Y34" s="2099">
        <f t="shared" si="21"/>
        <v>4.3063548919386649</v>
      </c>
      <c r="Z34" s="2099"/>
      <c r="AA34" s="681">
        <v>542</v>
      </c>
      <c r="AB34" s="682">
        <v>588</v>
      </c>
      <c r="AC34" s="683">
        <v>616</v>
      </c>
      <c r="AD34" s="682">
        <v>584</v>
      </c>
      <c r="AE34" s="683">
        <v>565</v>
      </c>
      <c r="AF34" s="682">
        <v>547</v>
      </c>
      <c r="AG34" s="683">
        <v>571</v>
      </c>
      <c r="AH34" s="682">
        <v>596</v>
      </c>
      <c r="AI34" s="696">
        <v>626</v>
      </c>
      <c r="AJ34" s="696">
        <v>591</v>
      </c>
      <c r="AK34" s="696">
        <v>583</v>
      </c>
      <c r="AL34" s="696">
        <v>504</v>
      </c>
      <c r="AM34" s="697">
        <v>394</v>
      </c>
      <c r="AN34" s="697">
        <v>399</v>
      </c>
      <c r="AO34" s="848">
        <v>381</v>
      </c>
      <c r="AP34" s="849">
        <v>314</v>
      </c>
      <c r="AQ34" s="1005">
        <v>341</v>
      </c>
      <c r="AR34" s="1637">
        <v>330</v>
      </c>
      <c r="AS34" s="1971">
        <v>302</v>
      </c>
      <c r="AT34" s="1095">
        <v>314</v>
      </c>
      <c r="AU34" s="2020">
        <v>321</v>
      </c>
      <c r="AV34" s="1005">
        <v>321</v>
      </c>
      <c r="AW34" s="1005"/>
      <c r="AX34" s="704">
        <v>64605</v>
      </c>
      <c r="AY34" s="705">
        <v>65953</v>
      </c>
      <c r="AZ34" s="705">
        <v>63467</v>
      </c>
      <c r="BA34" s="705">
        <v>66451</v>
      </c>
      <c r="BB34" s="705">
        <v>67592</v>
      </c>
      <c r="BC34" s="705">
        <v>67911</v>
      </c>
      <c r="BD34" s="705">
        <v>67862</v>
      </c>
      <c r="BE34" s="705">
        <v>68131</v>
      </c>
      <c r="BF34" s="705">
        <v>67569</v>
      </c>
      <c r="BG34" s="705">
        <v>68401</v>
      </c>
      <c r="BH34" s="705">
        <v>67702</v>
      </c>
      <c r="BI34" s="705">
        <v>67346</v>
      </c>
      <c r="BJ34" s="705">
        <v>69287</v>
      </c>
      <c r="BK34" s="705">
        <v>70994</v>
      </c>
      <c r="BL34" s="851">
        <v>72210</v>
      </c>
      <c r="BM34" s="852">
        <v>73224</v>
      </c>
      <c r="BN34" s="1116">
        <v>73896</v>
      </c>
      <c r="BO34" s="1634">
        <v>73883</v>
      </c>
      <c r="BP34" s="1969">
        <v>74471</v>
      </c>
      <c r="BQ34" s="1096">
        <v>74528</v>
      </c>
      <c r="BR34" s="2022">
        <v>75067</v>
      </c>
      <c r="BS34" s="1006">
        <v>74541</v>
      </c>
      <c r="BU34" s="49">
        <f t="shared" si="22"/>
        <v>1588</v>
      </c>
      <c r="BV34" s="49">
        <f t="shared" si="23"/>
        <v>372490</v>
      </c>
      <c r="BW34" s="2174">
        <f t="shared" si="24"/>
        <v>4.2632016966898441</v>
      </c>
    </row>
    <row r="35" spans="1:75" s="49" customFormat="1" ht="15.75" customHeight="1" x14ac:dyDescent="0.3">
      <c r="A35" s="56" t="s">
        <v>75</v>
      </c>
      <c r="B35" s="84" t="s">
        <v>76</v>
      </c>
      <c r="C35" s="57" t="s">
        <v>254</v>
      </c>
      <c r="D35" s="722">
        <f t="shared" si="0"/>
        <v>10.818438381937911</v>
      </c>
      <c r="E35" s="723">
        <f t="shared" si="1"/>
        <v>15.268915223336371</v>
      </c>
      <c r="F35" s="723">
        <f t="shared" si="2"/>
        <v>13.85176184690158</v>
      </c>
      <c r="G35" s="723">
        <f t="shared" si="3"/>
        <v>14.61038961038961</v>
      </c>
      <c r="H35" s="723">
        <f t="shared" si="4"/>
        <v>13.617793917385384</v>
      </c>
      <c r="I35" s="723">
        <f t="shared" si="5"/>
        <v>10.645375914836993</v>
      </c>
      <c r="J35" s="723">
        <f t="shared" si="6"/>
        <v>11.757021554539516</v>
      </c>
      <c r="K35" s="723">
        <f t="shared" si="7"/>
        <v>12.710038776389487</v>
      </c>
      <c r="L35" s="723">
        <f t="shared" si="8"/>
        <v>13.767482517482518</v>
      </c>
      <c r="M35" s="723">
        <f t="shared" si="9"/>
        <v>13.83619727739344</v>
      </c>
      <c r="N35" s="723">
        <f t="shared" si="10"/>
        <v>12.443438914027148</v>
      </c>
      <c r="O35" s="723">
        <f t="shared" si="11"/>
        <v>8.3350698062096278</v>
      </c>
      <c r="P35" s="723">
        <f t="shared" si="12"/>
        <v>11.200338123415046</v>
      </c>
      <c r="Q35" s="723">
        <f t="shared" si="13"/>
        <v>9.7046413502109719</v>
      </c>
      <c r="R35" s="855">
        <f t="shared" si="14"/>
        <v>8.6827615417196107</v>
      </c>
      <c r="S35" s="857">
        <f t="shared" si="15"/>
        <v>5.5330921472653758</v>
      </c>
      <c r="T35" s="1010">
        <f t="shared" si="16"/>
        <v>6.1142736664558299</v>
      </c>
      <c r="U35" s="1641">
        <f t="shared" si="17"/>
        <v>5.7167054838026683</v>
      </c>
      <c r="V35" s="1975">
        <f t="shared" si="18"/>
        <v>5.1948051948051948</v>
      </c>
      <c r="W35" s="2033">
        <f t="shared" si="19"/>
        <v>5.0361287497262976</v>
      </c>
      <c r="X35" s="2035">
        <f t="shared" si="20"/>
        <v>4.8468825732540211</v>
      </c>
      <c r="Y35" s="2099">
        <f t="shared" si="21"/>
        <v>3.2559149120902973</v>
      </c>
      <c r="Z35" s="2099"/>
      <c r="AA35" s="681">
        <v>46</v>
      </c>
      <c r="AB35" s="682">
        <v>67</v>
      </c>
      <c r="AC35" s="683">
        <v>57</v>
      </c>
      <c r="AD35" s="682">
        <v>63</v>
      </c>
      <c r="AE35" s="683">
        <v>60</v>
      </c>
      <c r="AF35" s="682">
        <v>48</v>
      </c>
      <c r="AG35" s="683">
        <v>54</v>
      </c>
      <c r="AH35" s="682">
        <v>59</v>
      </c>
      <c r="AI35" s="696">
        <v>63</v>
      </c>
      <c r="AJ35" s="696">
        <v>62</v>
      </c>
      <c r="AK35" s="696">
        <v>55</v>
      </c>
      <c r="AL35" s="696">
        <v>40</v>
      </c>
      <c r="AM35" s="697">
        <v>53</v>
      </c>
      <c r="AN35" s="697">
        <v>46</v>
      </c>
      <c r="AO35" s="848">
        <v>41</v>
      </c>
      <c r="AP35" s="849">
        <v>26</v>
      </c>
      <c r="AQ35" s="1005">
        <v>29</v>
      </c>
      <c r="AR35" s="1637">
        <v>27</v>
      </c>
      <c r="AS35" s="1971">
        <v>24</v>
      </c>
      <c r="AT35" s="1095">
        <v>23</v>
      </c>
      <c r="AU35" s="2020">
        <v>22</v>
      </c>
      <c r="AV35" s="1005">
        <v>15</v>
      </c>
      <c r="AW35" s="1005"/>
      <c r="AX35" s="704">
        <v>4252</v>
      </c>
      <c r="AY35" s="705">
        <v>4388</v>
      </c>
      <c r="AZ35" s="705">
        <v>4115</v>
      </c>
      <c r="BA35" s="705">
        <v>4312</v>
      </c>
      <c r="BB35" s="705">
        <v>4406</v>
      </c>
      <c r="BC35" s="705">
        <v>4509</v>
      </c>
      <c r="BD35" s="705">
        <v>4593</v>
      </c>
      <c r="BE35" s="705">
        <v>4642</v>
      </c>
      <c r="BF35" s="705">
        <v>4576</v>
      </c>
      <c r="BG35" s="705">
        <v>4481</v>
      </c>
      <c r="BH35" s="705">
        <v>4420</v>
      </c>
      <c r="BI35" s="705">
        <v>4799</v>
      </c>
      <c r="BJ35" s="705">
        <v>4732</v>
      </c>
      <c r="BK35" s="705">
        <v>4740</v>
      </c>
      <c r="BL35" s="851">
        <v>4722</v>
      </c>
      <c r="BM35" s="852">
        <v>4699</v>
      </c>
      <c r="BN35" s="1116">
        <v>4743</v>
      </c>
      <c r="BO35" s="1634">
        <v>4723</v>
      </c>
      <c r="BP35" s="1969">
        <v>4620</v>
      </c>
      <c r="BQ35" s="1096">
        <v>4567</v>
      </c>
      <c r="BR35" s="2022">
        <v>4539</v>
      </c>
      <c r="BS35" s="1006">
        <v>4607</v>
      </c>
      <c r="BU35" s="49">
        <f t="shared" si="22"/>
        <v>111</v>
      </c>
      <c r="BV35" s="49">
        <f t="shared" si="23"/>
        <v>23056</v>
      </c>
      <c r="BW35" s="2174">
        <f t="shared" si="24"/>
        <v>4.814365024288688</v>
      </c>
    </row>
    <row r="36" spans="1:75" s="49" customFormat="1" ht="15.75" customHeight="1" x14ac:dyDescent="0.3">
      <c r="A36" s="56" t="s">
        <v>77</v>
      </c>
      <c r="B36" s="84" t="s">
        <v>78</v>
      </c>
      <c r="C36" s="57" t="s">
        <v>255</v>
      </c>
      <c r="D36" s="722">
        <f t="shared" si="0"/>
        <v>22.03856749311295</v>
      </c>
      <c r="E36" s="723">
        <f t="shared" si="1"/>
        <v>27.739251040221916</v>
      </c>
      <c r="F36" s="723">
        <f t="shared" si="2"/>
        <v>17.899761336515514</v>
      </c>
      <c r="G36" s="723">
        <f t="shared" si="3"/>
        <v>21.07728337236534</v>
      </c>
      <c r="H36" s="723">
        <f t="shared" si="4"/>
        <v>12.702078521939953</v>
      </c>
      <c r="I36" s="723">
        <f t="shared" si="5"/>
        <v>14.823261117445838</v>
      </c>
      <c r="J36" s="723">
        <f t="shared" si="6"/>
        <v>10.089686098654708</v>
      </c>
      <c r="K36" s="723">
        <f t="shared" si="7"/>
        <v>12.222222222222223</v>
      </c>
      <c r="L36" s="723">
        <f t="shared" si="8"/>
        <v>14.444444444444445</v>
      </c>
      <c r="M36" s="723">
        <f t="shared" si="9"/>
        <v>13.651877133105803</v>
      </c>
      <c r="N36" s="723">
        <f t="shared" si="10"/>
        <v>13.856812933025404</v>
      </c>
      <c r="O36" s="723">
        <f t="shared" si="11"/>
        <v>20.66590126291619</v>
      </c>
      <c r="P36" s="723">
        <f t="shared" si="12"/>
        <v>15.384615384615385</v>
      </c>
      <c r="Q36" s="723">
        <f t="shared" si="13"/>
        <v>15.452538631346579</v>
      </c>
      <c r="R36" s="855">
        <f t="shared" si="14"/>
        <v>12.074643249176729</v>
      </c>
      <c r="S36" s="857">
        <f t="shared" si="15"/>
        <v>13.45291479820628</v>
      </c>
      <c r="T36" s="1010">
        <f t="shared" si="16"/>
        <v>8.0091533180778036</v>
      </c>
      <c r="U36" s="1641">
        <f t="shared" si="17"/>
        <v>6.9524913093858629</v>
      </c>
      <c r="V36" s="1975">
        <f t="shared" si="18"/>
        <v>11.560693641618496</v>
      </c>
      <c r="W36" s="2033">
        <f t="shared" si="19"/>
        <v>11.560693641618496</v>
      </c>
      <c r="X36" s="2035">
        <f t="shared" si="20"/>
        <v>2.2522522522522523</v>
      </c>
      <c r="Y36" s="2099">
        <f t="shared" si="21"/>
        <v>9.3023255813953494</v>
      </c>
      <c r="Z36" s="2099"/>
      <c r="AA36" s="681">
        <v>16</v>
      </c>
      <c r="AB36" s="682">
        <v>20</v>
      </c>
      <c r="AC36" s="683">
        <v>15</v>
      </c>
      <c r="AD36" s="682">
        <v>18</v>
      </c>
      <c r="AE36" s="683">
        <v>11</v>
      </c>
      <c r="AF36" s="682">
        <v>13</v>
      </c>
      <c r="AG36" s="683">
        <v>9</v>
      </c>
      <c r="AH36" s="682">
        <v>11</v>
      </c>
      <c r="AI36" s="696">
        <v>13</v>
      </c>
      <c r="AJ36" s="696">
        <v>12</v>
      </c>
      <c r="AK36" s="696">
        <v>12</v>
      </c>
      <c r="AL36" s="696">
        <v>18</v>
      </c>
      <c r="AM36" s="697">
        <v>14</v>
      </c>
      <c r="AN36" s="697">
        <v>14</v>
      </c>
      <c r="AO36" s="848">
        <v>11</v>
      </c>
      <c r="AP36" s="849">
        <v>12</v>
      </c>
      <c r="AQ36" s="1005">
        <v>7</v>
      </c>
      <c r="AR36" s="1637">
        <v>6</v>
      </c>
      <c r="AS36" s="1971">
        <v>10</v>
      </c>
      <c r="AT36" s="1095">
        <v>10</v>
      </c>
      <c r="AU36" s="2020">
        <v>2</v>
      </c>
      <c r="AV36" s="1005">
        <v>8</v>
      </c>
      <c r="AW36" s="1005"/>
      <c r="AX36" s="704">
        <v>726</v>
      </c>
      <c r="AY36" s="705">
        <v>721</v>
      </c>
      <c r="AZ36" s="705">
        <v>838</v>
      </c>
      <c r="BA36" s="705">
        <v>854</v>
      </c>
      <c r="BB36" s="705">
        <v>866</v>
      </c>
      <c r="BC36" s="705">
        <v>877</v>
      </c>
      <c r="BD36" s="705">
        <v>892</v>
      </c>
      <c r="BE36" s="705">
        <v>900</v>
      </c>
      <c r="BF36" s="705">
        <v>900</v>
      </c>
      <c r="BG36" s="705">
        <v>879</v>
      </c>
      <c r="BH36" s="705">
        <v>866</v>
      </c>
      <c r="BI36" s="705">
        <v>871</v>
      </c>
      <c r="BJ36" s="705">
        <v>910</v>
      </c>
      <c r="BK36" s="705">
        <v>906</v>
      </c>
      <c r="BL36" s="851">
        <v>911</v>
      </c>
      <c r="BM36" s="852">
        <v>892</v>
      </c>
      <c r="BN36" s="1116">
        <v>874</v>
      </c>
      <c r="BO36" s="1634">
        <v>863</v>
      </c>
      <c r="BP36" s="1969">
        <v>865</v>
      </c>
      <c r="BQ36" s="1096">
        <v>865</v>
      </c>
      <c r="BR36" s="2022">
        <v>888</v>
      </c>
      <c r="BS36" s="1006">
        <v>860</v>
      </c>
      <c r="BU36" s="49">
        <f t="shared" si="22"/>
        <v>36</v>
      </c>
      <c r="BV36" s="49">
        <f t="shared" si="23"/>
        <v>4341</v>
      </c>
      <c r="BW36" s="2174">
        <f t="shared" si="24"/>
        <v>8.2930200414651001</v>
      </c>
    </row>
    <row r="37" spans="1:75" s="49" customFormat="1" ht="15.75" customHeight="1" x14ac:dyDescent="0.3">
      <c r="A37" s="56" t="s">
        <v>79</v>
      </c>
      <c r="B37" s="84" t="s">
        <v>80</v>
      </c>
      <c r="C37" s="57" t="s">
        <v>253</v>
      </c>
      <c r="D37" s="722">
        <f t="shared" ref="D37:D68" si="25">IF(AX37=0,"NA",(AA37/AX37)*1000)</f>
        <v>15.940488841657812</v>
      </c>
      <c r="E37" s="723">
        <f t="shared" ref="E37:E68" si="26">IF(AY37=0,"NA",(AB37/AY37)*1000)</f>
        <v>22.916666666666664</v>
      </c>
      <c r="F37" s="723">
        <f t="shared" ref="F37:F68" si="27">IF(AZ37=0,"NA",(AC37/AZ37)*1000)</f>
        <v>11.016949152542372</v>
      </c>
      <c r="G37" s="723">
        <f t="shared" ref="G37:G68" si="28">IF(BA37=0,"NA",(AD37/BA37)*1000)</f>
        <v>10.309278350515465</v>
      </c>
      <c r="H37" s="723">
        <f t="shared" ref="H37:H68" si="29">IF(BB37=0,"NA",(AE37/BB37)*1000)</f>
        <v>22.404779686333082</v>
      </c>
      <c r="I37" s="723">
        <f t="shared" ref="I37:I68" si="30">IF(BC37=0,"NA",(AF37/BC37)*1000)</f>
        <v>14.064697609001406</v>
      </c>
      <c r="J37" s="723">
        <f t="shared" ref="J37:J68" si="31">IF(BD37=0,"NA",(AG37/BD37)*1000)</f>
        <v>14.824797843665769</v>
      </c>
      <c r="K37" s="723">
        <f t="shared" ref="K37:K68" si="32">IF(BE37=0,"NA",(AH37/BE37)*1000)</f>
        <v>13.461538461538462</v>
      </c>
      <c r="L37" s="723">
        <f t="shared" ref="L37:L68" si="33">IF(BF37=0,"NA",(AI37/BF37)*1000)</f>
        <v>10.223642172523961</v>
      </c>
      <c r="M37" s="723">
        <f t="shared" ref="M37:M68" si="34">IF(BG37=0,"NA",(AJ37/BG37)*1000)</f>
        <v>12.787723785166239</v>
      </c>
      <c r="N37" s="723">
        <f t="shared" ref="N37:N68" si="35">IF(BH37=0,"NA",(AK37/BH37)*1000)</f>
        <v>13.784461152882205</v>
      </c>
      <c r="O37" s="723">
        <f t="shared" ref="O37:O68" si="36">IF(BI37=0,"NA",(AL37/BI37)*1000)</f>
        <v>8.8663711209626346</v>
      </c>
      <c r="P37" s="723">
        <f t="shared" ref="P37:P68" si="37">IF(BJ37=0,"NA",(AM37/BJ37)*1000)</f>
        <v>10</v>
      </c>
      <c r="Q37" s="723">
        <f t="shared" ref="Q37:Q68" si="38">IF(BK37=0,"NA",(AN37/BK37)*1000)</f>
        <v>6.0901339829476244</v>
      </c>
      <c r="R37" s="855">
        <f t="shared" ref="R37:R68" si="39">IF(BL37=0,"NA",(AO37/BL37)*1000)</f>
        <v>6.8493150684931505</v>
      </c>
      <c r="S37" s="857">
        <f t="shared" ref="S37:S68" si="40">IF(BM37=0,"NA",(AP37/BM37)*1000)</f>
        <v>7.3800738007380069</v>
      </c>
      <c r="T37" s="1010">
        <f t="shared" ref="T37:T68" si="41">IF(BN37=0,"NA",(AQ37/BN37)*1000)</f>
        <v>6.7943174799258808</v>
      </c>
      <c r="U37" s="1641">
        <f t="shared" ref="U37:U68" si="42">IF(BO37=0,"NA",(AR37/BO37)*1000)</f>
        <v>10.39119804400978</v>
      </c>
      <c r="V37" s="1975">
        <f t="shared" ref="V37:V68" si="43">IF(BP37=0,"NA",(AS37/BP37)*1000)</f>
        <v>3.7878787878787881</v>
      </c>
      <c r="W37" s="2033">
        <f t="shared" si="19"/>
        <v>8.7390761548064919</v>
      </c>
      <c r="X37" s="2035">
        <f t="shared" si="20"/>
        <v>6.8792995622263913</v>
      </c>
      <c r="Y37" s="2099">
        <f t="shared" si="21"/>
        <v>4.3777360850531579</v>
      </c>
      <c r="Z37" s="2099"/>
      <c r="AA37" s="681">
        <v>15</v>
      </c>
      <c r="AB37" s="682">
        <v>22</v>
      </c>
      <c r="AC37" s="683">
        <v>13</v>
      </c>
      <c r="AD37" s="682">
        <v>13</v>
      </c>
      <c r="AE37" s="683">
        <v>30</v>
      </c>
      <c r="AF37" s="682">
        <v>20</v>
      </c>
      <c r="AG37" s="683">
        <v>22</v>
      </c>
      <c r="AH37" s="682">
        <v>21</v>
      </c>
      <c r="AI37" s="696">
        <v>16</v>
      </c>
      <c r="AJ37" s="696">
        <v>20</v>
      </c>
      <c r="AK37" s="696">
        <v>22</v>
      </c>
      <c r="AL37" s="696">
        <v>14</v>
      </c>
      <c r="AM37" s="697">
        <v>16</v>
      </c>
      <c r="AN37" s="697">
        <v>10</v>
      </c>
      <c r="AO37" s="848">
        <v>11</v>
      </c>
      <c r="AP37" s="849">
        <v>12</v>
      </c>
      <c r="AQ37" s="1005">
        <v>11</v>
      </c>
      <c r="AR37" s="1637">
        <v>17</v>
      </c>
      <c r="AS37" s="1971">
        <v>6</v>
      </c>
      <c r="AT37" s="1095">
        <v>14</v>
      </c>
      <c r="AU37" s="2020">
        <v>11</v>
      </c>
      <c r="AV37" s="1005">
        <v>7</v>
      </c>
      <c r="AW37" s="1005"/>
      <c r="AX37" s="704">
        <v>941</v>
      </c>
      <c r="AY37" s="705">
        <v>960</v>
      </c>
      <c r="AZ37" s="705">
        <v>1180</v>
      </c>
      <c r="BA37" s="705">
        <v>1261</v>
      </c>
      <c r="BB37" s="705">
        <v>1339</v>
      </c>
      <c r="BC37" s="705">
        <v>1422</v>
      </c>
      <c r="BD37" s="705">
        <v>1484</v>
      </c>
      <c r="BE37" s="705">
        <v>1560</v>
      </c>
      <c r="BF37" s="705">
        <v>1565</v>
      </c>
      <c r="BG37" s="705">
        <v>1564</v>
      </c>
      <c r="BH37" s="705">
        <v>1596</v>
      </c>
      <c r="BI37" s="705">
        <v>1579</v>
      </c>
      <c r="BJ37" s="705">
        <v>1600</v>
      </c>
      <c r="BK37" s="705">
        <v>1642</v>
      </c>
      <c r="BL37" s="851">
        <v>1606</v>
      </c>
      <c r="BM37" s="852">
        <v>1626</v>
      </c>
      <c r="BN37" s="1116">
        <v>1619</v>
      </c>
      <c r="BO37" s="1634">
        <v>1636</v>
      </c>
      <c r="BP37" s="1969">
        <v>1584</v>
      </c>
      <c r="BQ37" s="1096">
        <v>1602</v>
      </c>
      <c r="BR37" s="2022">
        <v>1599</v>
      </c>
      <c r="BS37" s="1006">
        <v>1599</v>
      </c>
      <c r="BU37" s="49">
        <f t="shared" si="22"/>
        <v>55</v>
      </c>
      <c r="BV37" s="49">
        <f t="shared" si="23"/>
        <v>8020</v>
      </c>
      <c r="BW37" s="2174">
        <f t="shared" si="24"/>
        <v>6.8578553615960098</v>
      </c>
    </row>
    <row r="38" spans="1:75" s="49" customFormat="1" ht="15.75" customHeight="1" x14ac:dyDescent="0.3">
      <c r="A38" s="56" t="s">
        <v>83</v>
      </c>
      <c r="B38" s="84" t="s">
        <v>84</v>
      </c>
      <c r="C38" s="57" t="s">
        <v>252</v>
      </c>
      <c r="D38" s="722">
        <f t="shared" si="25"/>
        <v>19.979331725800893</v>
      </c>
      <c r="E38" s="723">
        <f t="shared" si="26"/>
        <v>23.34363199450738</v>
      </c>
      <c r="F38" s="723">
        <f t="shared" si="27"/>
        <v>23.863269912931312</v>
      </c>
      <c r="G38" s="723">
        <f t="shared" si="28"/>
        <v>19.695044472681065</v>
      </c>
      <c r="H38" s="723">
        <f t="shared" si="29"/>
        <v>18.867924528301884</v>
      </c>
      <c r="I38" s="723">
        <f t="shared" si="30"/>
        <v>20.024645717806528</v>
      </c>
      <c r="J38" s="723">
        <f t="shared" si="31"/>
        <v>16.158536585365855</v>
      </c>
      <c r="K38" s="723">
        <f t="shared" si="32"/>
        <v>16.907470027666768</v>
      </c>
      <c r="L38" s="723">
        <f t="shared" si="33"/>
        <v>23.824451410658305</v>
      </c>
      <c r="M38" s="723">
        <f t="shared" si="34"/>
        <v>18.945374171139882</v>
      </c>
      <c r="N38" s="723">
        <f t="shared" si="35"/>
        <v>27.954256670902161</v>
      </c>
      <c r="O38" s="723">
        <f t="shared" si="36"/>
        <v>20.074119827053735</v>
      </c>
      <c r="P38" s="723">
        <f t="shared" si="37"/>
        <v>16.770892552586698</v>
      </c>
      <c r="Q38" s="723">
        <f t="shared" si="38"/>
        <v>16.078984485190411</v>
      </c>
      <c r="R38" s="855">
        <f t="shared" si="39"/>
        <v>14.663599769982749</v>
      </c>
      <c r="S38" s="857">
        <f t="shared" si="40"/>
        <v>11.124121779859484</v>
      </c>
      <c r="T38" s="1010">
        <f t="shared" si="41"/>
        <v>9.0352666860973478</v>
      </c>
      <c r="U38" s="1641">
        <f t="shared" si="42"/>
        <v>11.169900058788947</v>
      </c>
      <c r="V38" s="1975">
        <f t="shared" si="43"/>
        <v>11.104441776710685</v>
      </c>
      <c r="W38" s="2033">
        <f t="shared" ref="W38:W69" si="44">(AT38/BQ38)*1000</f>
        <v>9.7264437689969618</v>
      </c>
      <c r="X38" s="2035">
        <f t="shared" ref="X38:X69" si="45">(AU38/BR38)*1000</f>
        <v>7.0921985815602833</v>
      </c>
      <c r="Y38" s="2099">
        <f t="shared" si="21"/>
        <v>10.825858335910917</v>
      </c>
      <c r="Z38" s="2099"/>
      <c r="AA38" s="681">
        <v>58</v>
      </c>
      <c r="AB38" s="682">
        <v>68</v>
      </c>
      <c r="AC38" s="683">
        <v>74</v>
      </c>
      <c r="AD38" s="682">
        <v>62</v>
      </c>
      <c r="AE38" s="683">
        <v>60</v>
      </c>
      <c r="AF38" s="682">
        <v>65</v>
      </c>
      <c r="AG38" s="683">
        <v>53</v>
      </c>
      <c r="AH38" s="682">
        <v>55</v>
      </c>
      <c r="AI38" s="696">
        <v>76</v>
      </c>
      <c r="AJ38" s="696">
        <v>60</v>
      </c>
      <c r="AK38" s="696">
        <v>88</v>
      </c>
      <c r="AL38" s="696">
        <v>65</v>
      </c>
      <c r="AM38" s="697">
        <v>59</v>
      </c>
      <c r="AN38" s="697">
        <v>57</v>
      </c>
      <c r="AO38" s="848">
        <v>51</v>
      </c>
      <c r="AP38" s="849">
        <v>38</v>
      </c>
      <c r="AQ38" s="1005">
        <v>31</v>
      </c>
      <c r="AR38" s="1637">
        <v>38</v>
      </c>
      <c r="AS38" s="1971">
        <v>37</v>
      </c>
      <c r="AT38" s="1095">
        <v>32</v>
      </c>
      <c r="AU38" s="2020">
        <v>23</v>
      </c>
      <c r="AV38" s="1005">
        <v>35</v>
      </c>
      <c r="AW38" s="1005"/>
      <c r="AX38" s="704">
        <v>2903</v>
      </c>
      <c r="AY38" s="705">
        <v>2913</v>
      </c>
      <c r="AZ38" s="705">
        <v>3101</v>
      </c>
      <c r="BA38" s="705">
        <v>3148</v>
      </c>
      <c r="BB38" s="705">
        <v>3180</v>
      </c>
      <c r="BC38" s="705">
        <v>3246</v>
      </c>
      <c r="BD38" s="705">
        <v>3280</v>
      </c>
      <c r="BE38" s="705">
        <v>3253</v>
      </c>
      <c r="BF38" s="705">
        <v>3190</v>
      </c>
      <c r="BG38" s="705">
        <v>3167</v>
      </c>
      <c r="BH38" s="705">
        <v>3148</v>
      </c>
      <c r="BI38" s="705">
        <v>3238</v>
      </c>
      <c r="BJ38" s="705">
        <v>3518</v>
      </c>
      <c r="BK38" s="705">
        <v>3545</v>
      </c>
      <c r="BL38" s="851">
        <v>3478</v>
      </c>
      <c r="BM38" s="852">
        <v>3416</v>
      </c>
      <c r="BN38" s="1116">
        <v>3431</v>
      </c>
      <c r="BO38" s="1634">
        <v>3402</v>
      </c>
      <c r="BP38" s="1969">
        <v>3332</v>
      </c>
      <c r="BQ38" s="1096">
        <v>3290</v>
      </c>
      <c r="BR38" s="2022">
        <v>3243</v>
      </c>
      <c r="BS38" s="1006">
        <v>3233</v>
      </c>
      <c r="BU38" s="49">
        <f t="shared" si="22"/>
        <v>165</v>
      </c>
      <c r="BV38" s="49">
        <f t="shared" si="23"/>
        <v>16500</v>
      </c>
      <c r="BW38" s="2174">
        <f t="shared" si="24"/>
        <v>10</v>
      </c>
    </row>
    <row r="39" spans="1:75" s="49" customFormat="1" ht="15.75" customHeight="1" x14ac:dyDescent="0.3">
      <c r="A39" s="56" t="s">
        <v>85</v>
      </c>
      <c r="B39" s="84" t="s">
        <v>86</v>
      </c>
      <c r="C39" s="57" t="s">
        <v>254</v>
      </c>
      <c r="D39" s="722">
        <f t="shared" si="25"/>
        <v>24.028077753779698</v>
      </c>
      <c r="E39" s="723">
        <f t="shared" si="26"/>
        <v>21.434241862926697</v>
      </c>
      <c r="F39" s="723">
        <f t="shared" si="27"/>
        <v>21.999511121975068</v>
      </c>
      <c r="G39" s="723">
        <f t="shared" si="28"/>
        <v>19.461797212878423</v>
      </c>
      <c r="H39" s="723">
        <f t="shared" si="29"/>
        <v>17.486593611564466</v>
      </c>
      <c r="I39" s="723">
        <f t="shared" si="30"/>
        <v>19.986372927549397</v>
      </c>
      <c r="J39" s="723">
        <f t="shared" si="31"/>
        <v>16.62971175166297</v>
      </c>
      <c r="K39" s="723">
        <f t="shared" si="32"/>
        <v>21.554539516655783</v>
      </c>
      <c r="L39" s="723">
        <f t="shared" si="33"/>
        <v>17.767054178547927</v>
      </c>
      <c r="M39" s="723">
        <f t="shared" si="34"/>
        <v>22.767462422634836</v>
      </c>
      <c r="N39" s="723">
        <f t="shared" si="35"/>
        <v>19.694622704138084</v>
      </c>
      <c r="O39" s="723">
        <f t="shared" si="36"/>
        <v>18.998614684345934</v>
      </c>
      <c r="P39" s="723">
        <f t="shared" si="37"/>
        <v>13.660697803212111</v>
      </c>
      <c r="Q39" s="723">
        <f t="shared" si="38"/>
        <v>15.481017323995577</v>
      </c>
      <c r="R39" s="855">
        <f t="shared" si="39"/>
        <v>10.434134525805851</v>
      </c>
      <c r="S39" s="857">
        <f t="shared" si="40"/>
        <v>8.7166172106824931</v>
      </c>
      <c r="T39" s="1010">
        <f t="shared" si="41"/>
        <v>10.278452625677444</v>
      </c>
      <c r="U39" s="1641">
        <f t="shared" si="42"/>
        <v>8.8712721781804458</v>
      </c>
      <c r="V39" s="1975">
        <f t="shared" si="43"/>
        <v>9.0022505626406595</v>
      </c>
      <c r="W39" s="2033">
        <f t="shared" si="44"/>
        <v>7.5729589951976353</v>
      </c>
      <c r="X39" s="2035">
        <f t="shared" si="45"/>
        <v>6.9419071976616733</v>
      </c>
      <c r="Y39" s="2099">
        <f t="shared" si="21"/>
        <v>5.0853614239011993</v>
      </c>
      <c r="Z39" s="2099"/>
      <c r="AA39" s="681">
        <v>89</v>
      </c>
      <c r="AB39" s="682">
        <v>81</v>
      </c>
      <c r="AC39" s="683">
        <v>90</v>
      </c>
      <c r="AD39" s="682">
        <v>81</v>
      </c>
      <c r="AE39" s="683">
        <v>75</v>
      </c>
      <c r="AF39" s="682">
        <v>88</v>
      </c>
      <c r="AG39" s="683">
        <v>75</v>
      </c>
      <c r="AH39" s="682">
        <v>99</v>
      </c>
      <c r="AI39" s="696">
        <v>81</v>
      </c>
      <c r="AJ39" s="696">
        <v>103</v>
      </c>
      <c r="AK39" s="696">
        <v>89</v>
      </c>
      <c r="AL39" s="696">
        <v>96</v>
      </c>
      <c r="AM39" s="697">
        <v>74</v>
      </c>
      <c r="AN39" s="697">
        <v>84</v>
      </c>
      <c r="AO39" s="848">
        <v>56</v>
      </c>
      <c r="AP39" s="849">
        <v>47</v>
      </c>
      <c r="AQ39" s="1005">
        <v>55</v>
      </c>
      <c r="AR39" s="1637">
        <v>47</v>
      </c>
      <c r="AS39" s="1971">
        <v>48</v>
      </c>
      <c r="AT39" s="1095">
        <v>41</v>
      </c>
      <c r="AU39" s="2020">
        <v>38</v>
      </c>
      <c r="AV39" s="1005">
        <v>28</v>
      </c>
      <c r="AW39" s="1005"/>
      <c r="AX39" s="704">
        <v>3704</v>
      </c>
      <c r="AY39" s="705">
        <v>3779</v>
      </c>
      <c r="AZ39" s="705">
        <v>4091</v>
      </c>
      <c r="BA39" s="705">
        <v>4162</v>
      </c>
      <c r="BB39" s="705">
        <v>4289</v>
      </c>
      <c r="BC39" s="705">
        <v>4403</v>
      </c>
      <c r="BD39" s="705">
        <v>4510</v>
      </c>
      <c r="BE39" s="705">
        <v>4593</v>
      </c>
      <c r="BF39" s="705">
        <v>4559</v>
      </c>
      <c r="BG39" s="705">
        <v>4524</v>
      </c>
      <c r="BH39" s="705">
        <v>4519</v>
      </c>
      <c r="BI39" s="705">
        <v>5053</v>
      </c>
      <c r="BJ39" s="705">
        <v>5417</v>
      </c>
      <c r="BK39" s="705">
        <v>5426</v>
      </c>
      <c r="BL39" s="851">
        <v>5367</v>
      </c>
      <c r="BM39" s="852">
        <v>5392</v>
      </c>
      <c r="BN39" s="1116">
        <v>5351</v>
      </c>
      <c r="BO39" s="1634">
        <v>5298</v>
      </c>
      <c r="BP39" s="1969">
        <v>5332</v>
      </c>
      <c r="BQ39" s="1096">
        <v>5414</v>
      </c>
      <c r="BR39" s="2022">
        <v>5474</v>
      </c>
      <c r="BS39" s="1006">
        <v>5506</v>
      </c>
      <c r="BU39" s="49">
        <f t="shared" si="22"/>
        <v>202</v>
      </c>
      <c r="BV39" s="49">
        <f t="shared" si="23"/>
        <v>27024</v>
      </c>
      <c r="BW39" s="2174">
        <f t="shared" si="24"/>
        <v>7.4748371817643573</v>
      </c>
    </row>
    <row r="40" spans="1:75" s="49" customFormat="1" ht="15.75" customHeight="1" x14ac:dyDescent="0.3">
      <c r="A40" s="56" t="s">
        <v>91</v>
      </c>
      <c r="B40" s="84" t="s">
        <v>92</v>
      </c>
      <c r="C40" s="57" t="s">
        <v>255</v>
      </c>
      <c r="D40" s="722">
        <f t="shared" si="25"/>
        <v>35.35911602209945</v>
      </c>
      <c r="E40" s="723">
        <f t="shared" si="26"/>
        <v>26.996625421822273</v>
      </c>
      <c r="F40" s="723">
        <f t="shared" si="27"/>
        <v>32.753326509723642</v>
      </c>
      <c r="G40" s="723">
        <f t="shared" si="28"/>
        <v>23.421588594704684</v>
      </c>
      <c r="H40" s="723">
        <f t="shared" si="29"/>
        <v>26.262626262626263</v>
      </c>
      <c r="I40" s="723">
        <f t="shared" si="30"/>
        <v>20.181634712411707</v>
      </c>
      <c r="J40" s="723">
        <f t="shared" si="31"/>
        <v>23.023023023023026</v>
      </c>
      <c r="K40" s="723">
        <f t="shared" si="32"/>
        <v>9.0725806451612918</v>
      </c>
      <c r="L40" s="723">
        <f t="shared" si="33"/>
        <v>20.5761316872428</v>
      </c>
      <c r="M40" s="723">
        <f t="shared" si="34"/>
        <v>26.15062761506276</v>
      </c>
      <c r="N40" s="723">
        <f t="shared" si="35"/>
        <v>30.075187969924812</v>
      </c>
      <c r="O40" s="723">
        <f t="shared" si="36"/>
        <v>22.335025380710658</v>
      </c>
      <c r="P40" s="723">
        <f t="shared" si="37"/>
        <v>26.29016553067186</v>
      </c>
      <c r="Q40" s="723">
        <f t="shared" si="38"/>
        <v>17.52577319587629</v>
      </c>
      <c r="R40" s="855">
        <f t="shared" si="39"/>
        <v>20.5761316872428</v>
      </c>
      <c r="S40" s="857">
        <f t="shared" si="40"/>
        <v>7.8354554358472086</v>
      </c>
      <c r="T40" s="1010">
        <f t="shared" si="41"/>
        <v>20.895522388059703</v>
      </c>
      <c r="U40" s="1641">
        <f t="shared" si="42"/>
        <v>22.840119165839127</v>
      </c>
      <c r="V40" s="1975">
        <f t="shared" si="43"/>
        <v>19.436345966958211</v>
      </c>
      <c r="W40" s="2033">
        <f t="shared" si="44"/>
        <v>13.958125623130607</v>
      </c>
      <c r="X40" s="2035">
        <f t="shared" si="45"/>
        <v>12.461059190031152</v>
      </c>
      <c r="Y40" s="2099">
        <f t="shared" si="21"/>
        <v>6.3492063492063489</v>
      </c>
      <c r="Z40" s="2099"/>
      <c r="AA40" s="681">
        <v>32</v>
      </c>
      <c r="AB40" s="682">
        <v>24</v>
      </c>
      <c r="AC40" s="683">
        <v>32</v>
      </c>
      <c r="AD40" s="682">
        <v>23</v>
      </c>
      <c r="AE40" s="683">
        <v>26</v>
      </c>
      <c r="AF40" s="682">
        <v>20</v>
      </c>
      <c r="AG40" s="683">
        <v>23</v>
      </c>
      <c r="AH40" s="682">
        <v>9</v>
      </c>
      <c r="AI40" s="696">
        <v>20</v>
      </c>
      <c r="AJ40" s="696">
        <v>25</v>
      </c>
      <c r="AK40" s="696">
        <v>28</v>
      </c>
      <c r="AL40" s="696">
        <v>22</v>
      </c>
      <c r="AM40" s="697">
        <v>27</v>
      </c>
      <c r="AN40" s="697">
        <v>17</v>
      </c>
      <c r="AO40" s="848">
        <v>20</v>
      </c>
      <c r="AP40" s="849">
        <v>8</v>
      </c>
      <c r="AQ40" s="1005">
        <v>21</v>
      </c>
      <c r="AR40" s="1637">
        <v>23</v>
      </c>
      <c r="AS40" s="1971">
        <v>20</v>
      </c>
      <c r="AT40" s="1095">
        <v>14</v>
      </c>
      <c r="AU40" s="2020">
        <v>12</v>
      </c>
      <c r="AV40" s="1005">
        <v>6</v>
      </c>
      <c r="AW40" s="1005"/>
      <c r="AX40" s="704">
        <v>905</v>
      </c>
      <c r="AY40" s="705">
        <v>889</v>
      </c>
      <c r="AZ40" s="705">
        <v>977</v>
      </c>
      <c r="BA40" s="705">
        <v>982</v>
      </c>
      <c r="BB40" s="705">
        <v>990</v>
      </c>
      <c r="BC40" s="705">
        <v>991</v>
      </c>
      <c r="BD40" s="705">
        <v>999</v>
      </c>
      <c r="BE40" s="705">
        <v>992</v>
      </c>
      <c r="BF40" s="705">
        <v>972</v>
      </c>
      <c r="BG40" s="705">
        <v>956</v>
      </c>
      <c r="BH40" s="705">
        <v>931</v>
      </c>
      <c r="BI40" s="705">
        <v>985</v>
      </c>
      <c r="BJ40" s="705">
        <v>1027</v>
      </c>
      <c r="BK40" s="705">
        <v>970</v>
      </c>
      <c r="BL40" s="851">
        <v>972</v>
      </c>
      <c r="BM40" s="852">
        <v>1021</v>
      </c>
      <c r="BN40" s="1116">
        <v>1005</v>
      </c>
      <c r="BO40" s="1634">
        <v>1007</v>
      </c>
      <c r="BP40" s="1969">
        <v>1029</v>
      </c>
      <c r="BQ40" s="1096">
        <v>1003</v>
      </c>
      <c r="BR40" s="2022">
        <v>963</v>
      </c>
      <c r="BS40" s="1006">
        <v>945</v>
      </c>
      <c r="BU40" s="49">
        <f t="shared" si="22"/>
        <v>75</v>
      </c>
      <c r="BV40" s="49">
        <f t="shared" si="23"/>
        <v>4947</v>
      </c>
      <c r="BW40" s="2174">
        <f t="shared" si="24"/>
        <v>15.160703456640388</v>
      </c>
    </row>
    <row r="41" spans="1:75" s="49" customFormat="1" ht="15.75" customHeight="1" x14ac:dyDescent="0.3">
      <c r="A41" s="56" t="s">
        <v>93</v>
      </c>
      <c r="B41" s="84" t="s">
        <v>94</v>
      </c>
      <c r="C41" s="57" t="s">
        <v>251</v>
      </c>
      <c r="D41" s="722">
        <f t="shared" si="25"/>
        <v>17.40341106856944</v>
      </c>
      <c r="E41" s="723">
        <f t="shared" si="26"/>
        <v>14.155712841253791</v>
      </c>
      <c r="F41" s="723">
        <f t="shared" si="27"/>
        <v>15.769230769230768</v>
      </c>
      <c r="G41" s="723">
        <f t="shared" si="28"/>
        <v>14.722536806342015</v>
      </c>
      <c r="H41" s="723">
        <f t="shared" si="29"/>
        <v>17.742544356360892</v>
      </c>
      <c r="I41" s="723">
        <f t="shared" si="30"/>
        <v>13.533834586466165</v>
      </c>
      <c r="J41" s="723">
        <f t="shared" si="31"/>
        <v>17.917133258678611</v>
      </c>
      <c r="K41" s="723">
        <f t="shared" si="32"/>
        <v>11.818528402592451</v>
      </c>
      <c r="L41" s="723">
        <f t="shared" si="33"/>
        <v>15.073383577945261</v>
      </c>
      <c r="M41" s="723">
        <f t="shared" si="34"/>
        <v>14.94345718901454</v>
      </c>
      <c r="N41" s="723">
        <f t="shared" si="35"/>
        <v>12.376237623762377</v>
      </c>
      <c r="O41" s="723">
        <f t="shared" si="36"/>
        <v>10.91617933723197</v>
      </c>
      <c r="P41" s="723">
        <f t="shared" si="37"/>
        <v>13.900589721988204</v>
      </c>
      <c r="Q41" s="723">
        <f t="shared" si="38"/>
        <v>12.105490704712494</v>
      </c>
      <c r="R41" s="855">
        <f t="shared" si="39"/>
        <v>11.607142857142858</v>
      </c>
      <c r="S41" s="857">
        <f t="shared" si="40"/>
        <v>9.873060648801129</v>
      </c>
      <c r="T41" s="1010">
        <f t="shared" si="41"/>
        <v>7.045561296383279</v>
      </c>
      <c r="U41" s="1641">
        <f t="shared" si="42"/>
        <v>10.793054903801032</v>
      </c>
      <c r="V41" s="1975">
        <f t="shared" si="43"/>
        <v>7.2533849129593806</v>
      </c>
      <c r="W41" s="2033">
        <f t="shared" si="44"/>
        <v>5.4835493519441671</v>
      </c>
      <c r="X41" s="2035">
        <f t="shared" si="45"/>
        <v>5.4107230693556323</v>
      </c>
      <c r="Y41" s="2099">
        <f t="shared" si="21"/>
        <v>8.8713652045342535</v>
      </c>
      <c r="Z41" s="2099"/>
      <c r="AA41" s="681">
        <v>50</v>
      </c>
      <c r="AB41" s="682">
        <v>42</v>
      </c>
      <c r="AC41" s="683">
        <v>41</v>
      </c>
      <c r="AD41" s="682">
        <v>39</v>
      </c>
      <c r="AE41" s="683">
        <v>47</v>
      </c>
      <c r="AF41" s="682">
        <v>36</v>
      </c>
      <c r="AG41" s="683">
        <v>48</v>
      </c>
      <c r="AH41" s="682">
        <v>31</v>
      </c>
      <c r="AI41" s="696">
        <v>38</v>
      </c>
      <c r="AJ41" s="696">
        <v>37</v>
      </c>
      <c r="AK41" s="696">
        <v>30</v>
      </c>
      <c r="AL41" s="696">
        <v>28</v>
      </c>
      <c r="AM41" s="697">
        <v>33</v>
      </c>
      <c r="AN41" s="697">
        <v>28</v>
      </c>
      <c r="AO41" s="848">
        <v>26</v>
      </c>
      <c r="AP41" s="849">
        <v>21</v>
      </c>
      <c r="AQ41" s="1005">
        <v>15</v>
      </c>
      <c r="AR41" s="1637">
        <v>23</v>
      </c>
      <c r="AS41" s="1971">
        <v>15</v>
      </c>
      <c r="AT41" s="1095">
        <v>11</v>
      </c>
      <c r="AU41" s="2020">
        <v>11</v>
      </c>
      <c r="AV41" s="1005">
        <v>18</v>
      </c>
      <c r="AW41" s="1005"/>
      <c r="AX41" s="704">
        <v>2873</v>
      </c>
      <c r="AY41" s="705">
        <v>2967</v>
      </c>
      <c r="AZ41" s="705">
        <v>2600</v>
      </c>
      <c r="BA41" s="705">
        <v>2649</v>
      </c>
      <c r="BB41" s="705">
        <v>2649</v>
      </c>
      <c r="BC41" s="705">
        <v>2660</v>
      </c>
      <c r="BD41" s="705">
        <v>2679</v>
      </c>
      <c r="BE41" s="705">
        <v>2623</v>
      </c>
      <c r="BF41" s="705">
        <v>2521</v>
      </c>
      <c r="BG41" s="705">
        <v>2476</v>
      </c>
      <c r="BH41" s="705">
        <v>2424</v>
      </c>
      <c r="BI41" s="705">
        <v>2565</v>
      </c>
      <c r="BJ41" s="705">
        <v>2374</v>
      </c>
      <c r="BK41" s="705">
        <v>2313</v>
      </c>
      <c r="BL41" s="851">
        <v>2240</v>
      </c>
      <c r="BM41" s="852">
        <v>2127</v>
      </c>
      <c r="BN41" s="1116">
        <v>2129</v>
      </c>
      <c r="BO41" s="1634">
        <v>2131</v>
      </c>
      <c r="BP41" s="1969">
        <v>2068</v>
      </c>
      <c r="BQ41" s="1096">
        <v>2006</v>
      </c>
      <c r="BR41" s="2022">
        <v>2033</v>
      </c>
      <c r="BS41" s="1006">
        <v>2029</v>
      </c>
      <c r="BU41" s="49">
        <f t="shared" si="22"/>
        <v>78</v>
      </c>
      <c r="BV41" s="49">
        <f t="shared" si="23"/>
        <v>10267</v>
      </c>
      <c r="BW41" s="2174">
        <f t="shared" si="24"/>
        <v>7.5971559364955681</v>
      </c>
    </row>
    <row r="42" spans="1:75" s="49" customFormat="1" ht="15.75" customHeight="1" x14ac:dyDescent="0.3">
      <c r="A42" s="56" t="s">
        <v>95</v>
      </c>
      <c r="B42" s="84" t="s">
        <v>96</v>
      </c>
      <c r="C42" s="57" t="s">
        <v>253</v>
      </c>
      <c r="D42" s="722">
        <f t="shared" si="25"/>
        <v>15.081206496519721</v>
      </c>
      <c r="E42" s="723">
        <f t="shared" si="26"/>
        <v>11.441647597254004</v>
      </c>
      <c r="F42" s="723">
        <f t="shared" si="27"/>
        <v>12.847965738758029</v>
      </c>
      <c r="G42" s="723">
        <f t="shared" si="28"/>
        <v>12.409513960703205</v>
      </c>
      <c r="H42" s="723">
        <f t="shared" si="29"/>
        <v>8.0080080080080087</v>
      </c>
      <c r="I42" s="723">
        <f t="shared" si="30"/>
        <v>7.766990291262136</v>
      </c>
      <c r="J42" s="723">
        <f t="shared" si="31"/>
        <v>3.7914691943127963</v>
      </c>
      <c r="K42" s="723">
        <f t="shared" si="32"/>
        <v>10.309278350515465</v>
      </c>
      <c r="L42" s="723">
        <f t="shared" si="33"/>
        <v>14.585232452142206</v>
      </c>
      <c r="M42" s="723">
        <f t="shared" si="34"/>
        <v>6.2724014336917566</v>
      </c>
      <c r="N42" s="723">
        <f t="shared" si="35"/>
        <v>9.0661831368993653</v>
      </c>
      <c r="O42" s="723">
        <f t="shared" si="36"/>
        <v>8.5984522785898534</v>
      </c>
      <c r="P42" s="723">
        <f t="shared" si="37"/>
        <v>6.6445182724252492</v>
      </c>
      <c r="Q42" s="723">
        <f t="shared" si="38"/>
        <v>3.2546786004882016</v>
      </c>
      <c r="R42" s="855">
        <f t="shared" si="39"/>
        <v>3.1796502384737679</v>
      </c>
      <c r="S42" s="857">
        <f t="shared" si="40"/>
        <v>5.5074744295830058</v>
      </c>
      <c r="T42" s="1010">
        <f t="shared" si="41"/>
        <v>4.7206923682140047</v>
      </c>
      <c r="U42" s="1641">
        <f t="shared" si="42"/>
        <v>0.78802206461780933</v>
      </c>
      <c r="V42" s="1975">
        <f t="shared" si="43"/>
        <v>3.9904229848363926</v>
      </c>
      <c r="W42" s="2033">
        <f t="shared" si="44"/>
        <v>0.81234768480909825</v>
      </c>
      <c r="X42" s="2035">
        <f t="shared" si="45"/>
        <v>0.78926598263614833</v>
      </c>
      <c r="Y42" s="2099">
        <f t="shared" si="21"/>
        <v>2.4630541871921183</v>
      </c>
      <c r="Z42" s="2099"/>
      <c r="AA42" s="681">
        <v>13</v>
      </c>
      <c r="AB42" s="682">
        <v>10</v>
      </c>
      <c r="AC42" s="683">
        <v>12</v>
      </c>
      <c r="AD42" s="682">
        <v>12</v>
      </c>
      <c r="AE42" s="683">
        <v>8</v>
      </c>
      <c r="AF42" s="682">
        <v>8</v>
      </c>
      <c r="AG42" s="683">
        <v>4</v>
      </c>
      <c r="AH42" s="682">
        <v>11</v>
      </c>
      <c r="AI42" s="696">
        <v>16</v>
      </c>
      <c r="AJ42" s="696">
        <v>7</v>
      </c>
      <c r="AK42" s="696">
        <v>10</v>
      </c>
      <c r="AL42" s="696">
        <v>10</v>
      </c>
      <c r="AM42" s="697">
        <v>8</v>
      </c>
      <c r="AN42" s="697">
        <v>4</v>
      </c>
      <c r="AO42" s="848">
        <v>4</v>
      </c>
      <c r="AP42" s="849">
        <v>7</v>
      </c>
      <c r="AQ42" s="1005">
        <v>6</v>
      </c>
      <c r="AR42" s="1637">
        <v>1</v>
      </c>
      <c r="AS42" s="1971">
        <v>5</v>
      </c>
      <c r="AT42" s="1095">
        <v>1</v>
      </c>
      <c r="AU42" s="2020">
        <v>1</v>
      </c>
      <c r="AV42" s="1005">
        <v>3</v>
      </c>
      <c r="AW42" s="1005"/>
      <c r="AX42" s="704">
        <v>862</v>
      </c>
      <c r="AY42" s="705">
        <v>874</v>
      </c>
      <c r="AZ42" s="705">
        <v>934</v>
      </c>
      <c r="BA42" s="705">
        <v>967</v>
      </c>
      <c r="BB42" s="705">
        <v>999</v>
      </c>
      <c r="BC42" s="705">
        <v>1030</v>
      </c>
      <c r="BD42" s="705">
        <v>1055</v>
      </c>
      <c r="BE42" s="705">
        <v>1067</v>
      </c>
      <c r="BF42" s="705">
        <v>1097</v>
      </c>
      <c r="BG42" s="705">
        <v>1116</v>
      </c>
      <c r="BH42" s="705">
        <v>1103</v>
      </c>
      <c r="BI42" s="705">
        <v>1163</v>
      </c>
      <c r="BJ42" s="705">
        <v>1204</v>
      </c>
      <c r="BK42" s="705">
        <v>1229</v>
      </c>
      <c r="BL42" s="851">
        <v>1258</v>
      </c>
      <c r="BM42" s="852">
        <v>1271</v>
      </c>
      <c r="BN42" s="1116">
        <v>1271</v>
      </c>
      <c r="BO42" s="1634">
        <v>1269</v>
      </c>
      <c r="BP42" s="1969">
        <v>1253</v>
      </c>
      <c r="BQ42" s="1096">
        <v>1231</v>
      </c>
      <c r="BR42" s="2022">
        <v>1267</v>
      </c>
      <c r="BS42" s="1006">
        <v>1218</v>
      </c>
      <c r="BU42" s="49">
        <f t="shared" si="22"/>
        <v>11</v>
      </c>
      <c r="BV42" s="49">
        <f t="shared" si="23"/>
        <v>6238</v>
      </c>
      <c r="BW42" s="2174">
        <f t="shared" si="24"/>
        <v>1.7633857005450466</v>
      </c>
    </row>
    <row r="43" spans="1:75" s="49" customFormat="1" ht="15.75" customHeight="1" x14ac:dyDescent="0.3">
      <c r="A43" s="56" t="s">
        <v>97</v>
      </c>
      <c r="B43" s="84" t="s">
        <v>98</v>
      </c>
      <c r="C43" s="57" t="s">
        <v>255</v>
      </c>
      <c r="D43" s="722">
        <f t="shared" si="25"/>
        <v>29.473684210526315</v>
      </c>
      <c r="E43" s="723">
        <f t="shared" si="26"/>
        <v>23.52941176470588</v>
      </c>
      <c r="F43" s="723">
        <f t="shared" si="27"/>
        <v>23.157894736842106</v>
      </c>
      <c r="G43" s="723">
        <f t="shared" si="28"/>
        <v>18.480492813141684</v>
      </c>
      <c r="H43" s="723">
        <f t="shared" si="29"/>
        <v>22.869022869022871</v>
      </c>
      <c r="I43" s="723">
        <f t="shared" si="30"/>
        <v>17.453798767967143</v>
      </c>
      <c r="J43" s="723">
        <f t="shared" si="31"/>
        <v>20.28397565922921</v>
      </c>
      <c r="K43" s="723">
        <f t="shared" si="32"/>
        <v>23.834196891191709</v>
      </c>
      <c r="L43" s="723">
        <f t="shared" si="33"/>
        <v>30.010718113612004</v>
      </c>
      <c r="M43" s="723">
        <f t="shared" si="34"/>
        <v>28.697571743929359</v>
      </c>
      <c r="N43" s="723">
        <f t="shared" si="35"/>
        <v>29.411764705882351</v>
      </c>
      <c r="O43" s="723">
        <f t="shared" si="36"/>
        <v>18.994413407821231</v>
      </c>
      <c r="P43" s="723">
        <f t="shared" si="37"/>
        <v>23.655913978494624</v>
      </c>
      <c r="Q43" s="723">
        <f t="shared" si="38"/>
        <v>14.722536806342015</v>
      </c>
      <c r="R43" s="855">
        <f t="shared" si="39"/>
        <v>14.354066985645934</v>
      </c>
      <c r="S43" s="857">
        <f t="shared" si="40"/>
        <v>24.360535931790498</v>
      </c>
      <c r="T43" s="1010">
        <f t="shared" si="41"/>
        <v>19.559902200488999</v>
      </c>
      <c r="U43" s="1641">
        <f t="shared" si="42"/>
        <v>18.564356435643564</v>
      </c>
      <c r="V43" s="1975">
        <f t="shared" si="43"/>
        <v>10.296010296010296</v>
      </c>
      <c r="W43" s="2033">
        <f t="shared" si="44"/>
        <v>13.175230566534914</v>
      </c>
      <c r="X43" s="2035">
        <f t="shared" si="45"/>
        <v>8.0213903743315509</v>
      </c>
      <c r="Y43" s="2099">
        <f t="shared" si="21"/>
        <v>16.877637130801688</v>
      </c>
      <c r="Z43" s="2099"/>
      <c r="AA43" s="681">
        <v>28</v>
      </c>
      <c r="AB43" s="682">
        <v>22</v>
      </c>
      <c r="AC43" s="683">
        <v>22</v>
      </c>
      <c r="AD43" s="682">
        <v>18</v>
      </c>
      <c r="AE43" s="683">
        <v>22</v>
      </c>
      <c r="AF43" s="682">
        <v>17</v>
      </c>
      <c r="AG43" s="683">
        <v>20</v>
      </c>
      <c r="AH43" s="682">
        <v>23</v>
      </c>
      <c r="AI43" s="696">
        <v>28</v>
      </c>
      <c r="AJ43" s="696">
        <v>26</v>
      </c>
      <c r="AK43" s="696">
        <v>26</v>
      </c>
      <c r="AL43" s="696">
        <v>17</v>
      </c>
      <c r="AM43" s="697">
        <v>22</v>
      </c>
      <c r="AN43" s="697">
        <v>13</v>
      </c>
      <c r="AO43" s="848">
        <v>12</v>
      </c>
      <c r="AP43" s="849">
        <v>20</v>
      </c>
      <c r="AQ43" s="1005">
        <v>16</v>
      </c>
      <c r="AR43" s="1637">
        <v>15</v>
      </c>
      <c r="AS43" s="1971">
        <v>8</v>
      </c>
      <c r="AT43" s="1095">
        <v>10</v>
      </c>
      <c r="AU43" s="2020">
        <v>6</v>
      </c>
      <c r="AV43" s="1005">
        <v>12</v>
      </c>
      <c r="AW43" s="1005"/>
      <c r="AX43" s="704">
        <v>950</v>
      </c>
      <c r="AY43" s="705">
        <v>935</v>
      </c>
      <c r="AZ43" s="705">
        <v>950</v>
      </c>
      <c r="BA43" s="705">
        <v>974</v>
      </c>
      <c r="BB43" s="705">
        <v>962</v>
      </c>
      <c r="BC43" s="705">
        <v>974</v>
      </c>
      <c r="BD43" s="705">
        <v>986</v>
      </c>
      <c r="BE43" s="705">
        <v>965</v>
      </c>
      <c r="BF43" s="705">
        <v>933</v>
      </c>
      <c r="BG43" s="705">
        <v>906</v>
      </c>
      <c r="BH43" s="705">
        <v>884</v>
      </c>
      <c r="BI43" s="705">
        <v>895</v>
      </c>
      <c r="BJ43" s="705">
        <v>930</v>
      </c>
      <c r="BK43" s="705">
        <v>883</v>
      </c>
      <c r="BL43" s="851">
        <v>836</v>
      </c>
      <c r="BM43" s="852">
        <v>821</v>
      </c>
      <c r="BN43" s="1116">
        <v>818</v>
      </c>
      <c r="BO43" s="1634">
        <v>808</v>
      </c>
      <c r="BP43" s="1969">
        <v>777</v>
      </c>
      <c r="BQ43" s="1096">
        <v>759</v>
      </c>
      <c r="BR43" s="2022">
        <v>748</v>
      </c>
      <c r="BS43" s="1006">
        <v>711</v>
      </c>
      <c r="BU43" s="49">
        <f t="shared" si="22"/>
        <v>51</v>
      </c>
      <c r="BV43" s="49">
        <f t="shared" si="23"/>
        <v>3803</v>
      </c>
      <c r="BW43" s="2174">
        <f t="shared" si="24"/>
        <v>13.410465422035236</v>
      </c>
    </row>
    <row r="44" spans="1:75" s="49" customFormat="1" ht="15.75" customHeight="1" x14ac:dyDescent="0.3">
      <c r="A44" s="56" t="s">
        <v>99</v>
      </c>
      <c r="B44" s="84" t="s">
        <v>100</v>
      </c>
      <c r="C44" s="57" t="s">
        <v>254</v>
      </c>
      <c r="D44" s="722">
        <f t="shared" si="25"/>
        <v>27.127003699136868</v>
      </c>
      <c r="E44" s="723">
        <f t="shared" si="26"/>
        <v>26.442307692307693</v>
      </c>
      <c r="F44" s="723">
        <f t="shared" si="27"/>
        <v>24.509803921568626</v>
      </c>
      <c r="G44" s="723">
        <f t="shared" si="28"/>
        <v>25.399811853245531</v>
      </c>
      <c r="H44" s="723">
        <f t="shared" si="29"/>
        <v>25.892857142857146</v>
      </c>
      <c r="I44" s="723">
        <f t="shared" si="30"/>
        <v>25.728987993138936</v>
      </c>
      <c r="J44" s="723">
        <f t="shared" si="31"/>
        <v>17.369727047146402</v>
      </c>
      <c r="K44" s="723">
        <f t="shared" si="32"/>
        <v>21.121039805036556</v>
      </c>
      <c r="L44" s="723">
        <f t="shared" si="33"/>
        <v>31.275720164609055</v>
      </c>
      <c r="M44" s="723">
        <f t="shared" si="34"/>
        <v>14.962593516209475</v>
      </c>
      <c r="N44" s="723">
        <f t="shared" si="35"/>
        <v>17.021276595744681</v>
      </c>
      <c r="O44" s="723">
        <f t="shared" si="36"/>
        <v>13.675213675213675</v>
      </c>
      <c r="P44" s="723">
        <f t="shared" si="37"/>
        <v>9.9637681159420275</v>
      </c>
      <c r="Q44" s="723">
        <f t="shared" si="38"/>
        <v>17.969451931716083</v>
      </c>
      <c r="R44" s="855">
        <f t="shared" si="39"/>
        <v>5.5045871559633035</v>
      </c>
      <c r="S44" s="857">
        <f t="shared" si="40"/>
        <v>9.2764378478664202</v>
      </c>
      <c r="T44" s="1010">
        <f t="shared" si="41"/>
        <v>10</v>
      </c>
      <c r="U44" s="1641">
        <f t="shared" si="42"/>
        <v>12.313104661389621</v>
      </c>
      <c r="V44" s="1975">
        <f t="shared" si="43"/>
        <v>9.3299406276505508</v>
      </c>
      <c r="W44" s="2033">
        <f t="shared" si="44"/>
        <v>8.1766148814390842</v>
      </c>
      <c r="X44" s="2035">
        <f t="shared" si="45"/>
        <v>5.6</v>
      </c>
      <c r="Y44" s="2099">
        <f t="shared" si="21"/>
        <v>2.3584905660377355</v>
      </c>
      <c r="Z44" s="2099"/>
      <c r="AA44" s="681">
        <v>22</v>
      </c>
      <c r="AB44" s="682">
        <v>22</v>
      </c>
      <c r="AC44" s="683">
        <v>25</v>
      </c>
      <c r="AD44" s="682">
        <v>27</v>
      </c>
      <c r="AE44" s="683">
        <v>29</v>
      </c>
      <c r="AF44" s="682">
        <v>30</v>
      </c>
      <c r="AG44" s="683">
        <v>21</v>
      </c>
      <c r="AH44" s="682">
        <v>26</v>
      </c>
      <c r="AI44" s="696">
        <v>38</v>
      </c>
      <c r="AJ44" s="696">
        <v>18</v>
      </c>
      <c r="AK44" s="696">
        <v>20</v>
      </c>
      <c r="AL44" s="696">
        <v>16</v>
      </c>
      <c r="AM44" s="697">
        <v>11</v>
      </c>
      <c r="AN44" s="697">
        <v>20</v>
      </c>
      <c r="AO44" s="848">
        <v>6</v>
      </c>
      <c r="AP44" s="849">
        <v>10</v>
      </c>
      <c r="AQ44" s="1005">
        <v>11</v>
      </c>
      <c r="AR44" s="1637">
        <v>14</v>
      </c>
      <c r="AS44" s="1971">
        <v>11</v>
      </c>
      <c r="AT44" s="1095">
        <v>10</v>
      </c>
      <c r="AU44" s="2020">
        <v>7</v>
      </c>
      <c r="AV44" s="1005">
        <v>3</v>
      </c>
      <c r="AW44" s="1005"/>
      <c r="AX44" s="704">
        <v>811</v>
      </c>
      <c r="AY44" s="705">
        <v>832</v>
      </c>
      <c r="AZ44" s="705">
        <v>1020</v>
      </c>
      <c r="BA44" s="705">
        <v>1063</v>
      </c>
      <c r="BB44" s="705">
        <v>1120</v>
      </c>
      <c r="BC44" s="705">
        <v>1166</v>
      </c>
      <c r="BD44" s="705">
        <v>1209</v>
      </c>
      <c r="BE44" s="705">
        <v>1231</v>
      </c>
      <c r="BF44" s="705">
        <v>1215</v>
      </c>
      <c r="BG44" s="705">
        <v>1203</v>
      </c>
      <c r="BH44" s="705">
        <v>1175</v>
      </c>
      <c r="BI44" s="705">
        <v>1170</v>
      </c>
      <c r="BJ44" s="705">
        <v>1104</v>
      </c>
      <c r="BK44" s="705">
        <v>1113</v>
      </c>
      <c r="BL44" s="851">
        <v>1090</v>
      </c>
      <c r="BM44" s="852">
        <v>1078</v>
      </c>
      <c r="BN44" s="1116">
        <v>1100</v>
      </c>
      <c r="BO44" s="1634">
        <v>1137</v>
      </c>
      <c r="BP44" s="1969">
        <v>1179</v>
      </c>
      <c r="BQ44" s="1096">
        <v>1223</v>
      </c>
      <c r="BR44" s="2022">
        <v>1250</v>
      </c>
      <c r="BS44" s="1006">
        <v>1272</v>
      </c>
      <c r="BU44" s="49">
        <f t="shared" si="22"/>
        <v>45</v>
      </c>
      <c r="BV44" s="49">
        <f t="shared" si="23"/>
        <v>6061</v>
      </c>
      <c r="BW44" s="2174">
        <f t="shared" si="24"/>
        <v>7.4245174063685857</v>
      </c>
    </row>
    <row r="45" spans="1:75" s="49" customFormat="1" ht="15.75" customHeight="1" x14ac:dyDescent="0.3">
      <c r="A45" s="56" t="s">
        <v>101</v>
      </c>
      <c r="B45" s="84" t="s">
        <v>263</v>
      </c>
      <c r="C45" s="57" t="s">
        <v>251</v>
      </c>
      <c r="D45" s="722">
        <f t="shared" si="25"/>
        <v>32.193158953722339</v>
      </c>
      <c r="E45" s="723">
        <f t="shared" si="26"/>
        <v>31.281533804238141</v>
      </c>
      <c r="F45" s="723">
        <f t="shared" si="27"/>
        <v>29.721955896452542</v>
      </c>
      <c r="G45" s="723">
        <f t="shared" si="28"/>
        <v>25.201612903225804</v>
      </c>
      <c r="H45" s="723">
        <f t="shared" si="29"/>
        <v>44.776119402985074</v>
      </c>
      <c r="I45" s="723">
        <f t="shared" si="30"/>
        <v>22.74975272007913</v>
      </c>
      <c r="J45" s="723">
        <f t="shared" si="31"/>
        <v>25.536261491317671</v>
      </c>
      <c r="K45" s="723">
        <f t="shared" si="32"/>
        <v>41.666666666666664</v>
      </c>
      <c r="L45" s="723">
        <f t="shared" si="33"/>
        <v>47.774158523344191</v>
      </c>
      <c r="M45" s="723">
        <f t="shared" si="34"/>
        <v>47.619047619047613</v>
      </c>
      <c r="N45" s="723">
        <f t="shared" si="35"/>
        <v>52.194543297746144</v>
      </c>
      <c r="O45" s="723">
        <f t="shared" si="36"/>
        <v>33.842794759825331</v>
      </c>
      <c r="P45" s="723">
        <f t="shared" si="37"/>
        <v>39.337474120082817</v>
      </c>
      <c r="Q45" s="723">
        <f t="shared" si="38"/>
        <v>34.883720930232556</v>
      </c>
      <c r="R45" s="855">
        <f t="shared" si="39"/>
        <v>22.435897435897434</v>
      </c>
      <c r="S45" s="857">
        <f t="shared" si="40"/>
        <v>27.20348204570185</v>
      </c>
      <c r="T45" s="1010">
        <f t="shared" si="41"/>
        <v>19.715224534501644</v>
      </c>
      <c r="U45" s="1641">
        <f t="shared" si="42"/>
        <v>18.558951965065503</v>
      </c>
      <c r="V45" s="1975">
        <f t="shared" si="43"/>
        <v>17.381228273464661</v>
      </c>
      <c r="W45" s="2033">
        <f t="shared" si="44"/>
        <v>22.148394241417499</v>
      </c>
      <c r="X45" s="2035">
        <f t="shared" si="45"/>
        <v>18.735362997658079</v>
      </c>
      <c r="Y45" s="2099">
        <f t="shared" si="21"/>
        <v>17.142857142857142</v>
      </c>
      <c r="Z45" s="2099"/>
      <c r="AA45" s="681">
        <v>32</v>
      </c>
      <c r="AB45" s="682">
        <v>31</v>
      </c>
      <c r="AC45" s="683">
        <v>31</v>
      </c>
      <c r="AD45" s="682">
        <v>25</v>
      </c>
      <c r="AE45" s="683">
        <v>45</v>
      </c>
      <c r="AF45" s="682">
        <v>23</v>
      </c>
      <c r="AG45" s="683">
        <v>25</v>
      </c>
      <c r="AH45" s="682">
        <v>39</v>
      </c>
      <c r="AI45" s="696">
        <v>44</v>
      </c>
      <c r="AJ45" s="696">
        <v>42</v>
      </c>
      <c r="AK45" s="696">
        <v>44</v>
      </c>
      <c r="AL45" s="696">
        <v>31</v>
      </c>
      <c r="AM45" s="697">
        <v>38</v>
      </c>
      <c r="AN45" s="697">
        <v>33</v>
      </c>
      <c r="AO45" s="848">
        <v>21</v>
      </c>
      <c r="AP45" s="849">
        <v>25</v>
      </c>
      <c r="AQ45" s="1005">
        <v>18</v>
      </c>
      <c r="AR45" s="1637">
        <v>17</v>
      </c>
      <c r="AS45" s="1971">
        <v>15</v>
      </c>
      <c r="AT45" s="1095">
        <v>20</v>
      </c>
      <c r="AU45" s="2020">
        <v>16</v>
      </c>
      <c r="AV45" s="1005">
        <v>15</v>
      </c>
      <c r="AW45" s="1005"/>
      <c r="AX45" s="704">
        <v>994</v>
      </c>
      <c r="AY45" s="705">
        <v>991</v>
      </c>
      <c r="AZ45" s="705">
        <v>1043</v>
      </c>
      <c r="BA45" s="705">
        <v>992</v>
      </c>
      <c r="BB45" s="705">
        <v>1005</v>
      </c>
      <c r="BC45" s="705">
        <v>1011</v>
      </c>
      <c r="BD45" s="705">
        <v>979</v>
      </c>
      <c r="BE45" s="705">
        <v>936</v>
      </c>
      <c r="BF45" s="705">
        <v>921</v>
      </c>
      <c r="BG45" s="705">
        <v>882</v>
      </c>
      <c r="BH45" s="705">
        <v>843</v>
      </c>
      <c r="BI45" s="705">
        <v>916</v>
      </c>
      <c r="BJ45" s="705">
        <v>966</v>
      </c>
      <c r="BK45" s="705">
        <v>946</v>
      </c>
      <c r="BL45" s="851">
        <v>936</v>
      </c>
      <c r="BM45" s="852">
        <v>919</v>
      </c>
      <c r="BN45" s="1116">
        <v>913</v>
      </c>
      <c r="BO45" s="1634">
        <v>916</v>
      </c>
      <c r="BP45" s="1969">
        <v>863</v>
      </c>
      <c r="BQ45" s="1096">
        <v>903</v>
      </c>
      <c r="BR45" s="2022">
        <v>854</v>
      </c>
      <c r="BS45" s="1006">
        <v>875</v>
      </c>
      <c r="BU45" s="49">
        <f t="shared" si="22"/>
        <v>83</v>
      </c>
      <c r="BV45" s="49">
        <f t="shared" si="23"/>
        <v>4411</v>
      </c>
      <c r="BW45" s="2174">
        <f t="shared" si="24"/>
        <v>18.816594876445251</v>
      </c>
    </row>
    <row r="46" spans="1:75" s="49" customFormat="1" ht="15.75" customHeight="1" x14ac:dyDescent="0.3">
      <c r="A46" s="56" t="s">
        <v>103</v>
      </c>
      <c r="B46" s="84" t="s">
        <v>104</v>
      </c>
      <c r="C46" s="57" t="s">
        <v>252</v>
      </c>
      <c r="D46" s="722">
        <f t="shared" si="25"/>
        <v>28.697571743929359</v>
      </c>
      <c r="E46" s="723">
        <f t="shared" si="26"/>
        <v>37.583892617449663</v>
      </c>
      <c r="F46" s="723">
        <f t="shared" si="27"/>
        <v>29.449978345604158</v>
      </c>
      <c r="G46" s="723">
        <f t="shared" si="28"/>
        <v>22.309711286089239</v>
      </c>
      <c r="H46" s="723">
        <f t="shared" si="29"/>
        <v>23.76836646499568</v>
      </c>
      <c r="I46" s="723">
        <f t="shared" si="30"/>
        <v>29.767040552200172</v>
      </c>
      <c r="J46" s="723">
        <f t="shared" si="31"/>
        <v>28.683181225554105</v>
      </c>
      <c r="K46" s="723">
        <f t="shared" si="32"/>
        <v>19.16376306620209</v>
      </c>
      <c r="L46" s="723">
        <f t="shared" si="33"/>
        <v>22.717343818261249</v>
      </c>
      <c r="M46" s="723">
        <f t="shared" si="34"/>
        <v>29.358626919602528</v>
      </c>
      <c r="N46" s="723">
        <f t="shared" si="35"/>
        <v>24.770642201834864</v>
      </c>
      <c r="O46" s="723">
        <f t="shared" si="36"/>
        <v>23.469857340082832</v>
      </c>
      <c r="P46" s="723">
        <f t="shared" si="37"/>
        <v>22.559652928416487</v>
      </c>
      <c r="Q46" s="723">
        <f t="shared" si="38"/>
        <v>18.404907975460123</v>
      </c>
      <c r="R46" s="855">
        <f t="shared" si="39"/>
        <v>18.222222222222221</v>
      </c>
      <c r="S46" s="857">
        <f t="shared" si="40"/>
        <v>24.310425432445069</v>
      </c>
      <c r="T46" s="1010">
        <f t="shared" si="41"/>
        <v>19.783325482807346</v>
      </c>
      <c r="U46" s="1641">
        <f t="shared" si="42"/>
        <v>20.24482109227872</v>
      </c>
      <c r="V46" s="1975">
        <f t="shared" si="43"/>
        <v>16.283524904214559</v>
      </c>
      <c r="W46" s="2033">
        <f t="shared" si="44"/>
        <v>15.166340508806261</v>
      </c>
      <c r="X46" s="2035">
        <f t="shared" si="45"/>
        <v>9.9950024987506261</v>
      </c>
      <c r="Y46" s="2099">
        <f t="shared" si="21"/>
        <v>14.803471158754466</v>
      </c>
      <c r="Z46" s="2099"/>
      <c r="AA46" s="681">
        <v>65</v>
      </c>
      <c r="AB46" s="682">
        <v>84</v>
      </c>
      <c r="AC46" s="683">
        <v>68</v>
      </c>
      <c r="AD46" s="682">
        <v>51</v>
      </c>
      <c r="AE46" s="683">
        <v>55</v>
      </c>
      <c r="AF46" s="682">
        <v>69</v>
      </c>
      <c r="AG46" s="683">
        <v>66</v>
      </c>
      <c r="AH46" s="682">
        <v>44</v>
      </c>
      <c r="AI46" s="696">
        <v>52</v>
      </c>
      <c r="AJ46" s="696">
        <v>65</v>
      </c>
      <c r="AK46" s="696">
        <v>54</v>
      </c>
      <c r="AL46" s="696">
        <v>51</v>
      </c>
      <c r="AM46" s="697">
        <v>52</v>
      </c>
      <c r="AN46" s="697">
        <v>42</v>
      </c>
      <c r="AO46" s="848">
        <v>41</v>
      </c>
      <c r="AP46" s="849">
        <v>52</v>
      </c>
      <c r="AQ46" s="1005">
        <v>42</v>
      </c>
      <c r="AR46" s="1637">
        <v>43</v>
      </c>
      <c r="AS46" s="1971">
        <v>34</v>
      </c>
      <c r="AT46" s="1095">
        <v>31</v>
      </c>
      <c r="AU46" s="2020">
        <v>20</v>
      </c>
      <c r="AV46" s="1005">
        <v>29</v>
      </c>
      <c r="AW46" s="1005"/>
      <c r="AX46" s="704">
        <v>2265</v>
      </c>
      <c r="AY46" s="705">
        <v>2235</v>
      </c>
      <c r="AZ46" s="705">
        <v>2309</v>
      </c>
      <c r="BA46" s="705">
        <v>2286</v>
      </c>
      <c r="BB46" s="705">
        <v>2314</v>
      </c>
      <c r="BC46" s="705">
        <v>2318</v>
      </c>
      <c r="BD46" s="705">
        <v>2301</v>
      </c>
      <c r="BE46" s="705">
        <v>2296</v>
      </c>
      <c r="BF46" s="705">
        <v>2289</v>
      </c>
      <c r="BG46" s="705">
        <v>2214</v>
      </c>
      <c r="BH46" s="705">
        <v>2180</v>
      </c>
      <c r="BI46" s="705">
        <v>2173</v>
      </c>
      <c r="BJ46" s="705">
        <v>2305</v>
      </c>
      <c r="BK46" s="705">
        <v>2282</v>
      </c>
      <c r="BL46" s="851">
        <v>2250</v>
      </c>
      <c r="BM46" s="852">
        <v>2139</v>
      </c>
      <c r="BN46" s="1116">
        <v>2123</v>
      </c>
      <c r="BO46" s="1634">
        <v>2124</v>
      </c>
      <c r="BP46" s="1969">
        <v>2088</v>
      </c>
      <c r="BQ46" s="1096">
        <v>2044</v>
      </c>
      <c r="BR46" s="2022">
        <v>2001</v>
      </c>
      <c r="BS46" s="1006">
        <v>1959</v>
      </c>
      <c r="BU46" s="49">
        <f t="shared" si="22"/>
        <v>157</v>
      </c>
      <c r="BV46" s="49">
        <f t="shared" si="23"/>
        <v>10216</v>
      </c>
      <c r="BW46" s="2174">
        <f t="shared" si="24"/>
        <v>15.368050117462802</v>
      </c>
    </row>
    <row r="47" spans="1:75" s="49" customFormat="1" ht="15.75" customHeight="1" x14ac:dyDescent="0.3">
      <c r="A47" s="56" t="s">
        <v>107</v>
      </c>
      <c r="B47" s="84" t="s">
        <v>108</v>
      </c>
      <c r="C47" s="57" t="s">
        <v>253</v>
      </c>
      <c r="D47" s="722">
        <f t="shared" si="25"/>
        <v>11.075652337150366</v>
      </c>
      <c r="E47" s="723">
        <f t="shared" si="26"/>
        <v>11.736658719970658</v>
      </c>
      <c r="F47" s="723">
        <f t="shared" si="27"/>
        <v>8.9030206677265511</v>
      </c>
      <c r="G47" s="723">
        <f t="shared" si="28"/>
        <v>6.799637352674524</v>
      </c>
      <c r="H47" s="723">
        <f t="shared" si="29"/>
        <v>7.2090628218331618</v>
      </c>
      <c r="I47" s="723">
        <f t="shared" si="30"/>
        <v>5.6382824924100037</v>
      </c>
      <c r="J47" s="723">
        <f t="shared" si="31"/>
        <v>7.0691361515622795</v>
      </c>
      <c r="K47" s="723">
        <f t="shared" si="32"/>
        <v>7.9787234042553186</v>
      </c>
      <c r="L47" s="723">
        <f t="shared" si="33"/>
        <v>9.6330925060206827</v>
      </c>
      <c r="M47" s="723">
        <f t="shared" si="34"/>
        <v>7.7341735892294468</v>
      </c>
      <c r="N47" s="723">
        <f t="shared" si="35"/>
        <v>9.0709583028529615</v>
      </c>
      <c r="O47" s="723">
        <f t="shared" si="36"/>
        <v>9.0077794458850828</v>
      </c>
      <c r="P47" s="723">
        <f t="shared" si="37"/>
        <v>6.5870728694936185</v>
      </c>
      <c r="Q47" s="723">
        <f t="shared" si="38"/>
        <v>5.6380638063806376</v>
      </c>
      <c r="R47" s="855">
        <f t="shared" si="39"/>
        <v>5.3395399780941952</v>
      </c>
      <c r="S47" s="857">
        <f t="shared" si="40"/>
        <v>6.1391541609822644</v>
      </c>
      <c r="T47" s="1010">
        <f t="shared" si="41"/>
        <v>3.8335158817086525</v>
      </c>
      <c r="U47" s="1641">
        <f t="shared" si="42"/>
        <v>4.381161007667032</v>
      </c>
      <c r="V47" s="1975">
        <f t="shared" si="43"/>
        <v>2.3923444976076556</v>
      </c>
      <c r="W47" s="2033">
        <f t="shared" si="44"/>
        <v>3.3557046979865772</v>
      </c>
      <c r="X47" s="2035">
        <f t="shared" si="45"/>
        <v>2.6625560538116591</v>
      </c>
      <c r="Y47" s="2099">
        <f t="shared" si="21"/>
        <v>2.4161455372370666</v>
      </c>
      <c r="Z47" s="2099"/>
      <c r="AA47" s="681">
        <v>59</v>
      </c>
      <c r="AB47" s="682">
        <v>64</v>
      </c>
      <c r="AC47" s="683">
        <v>56</v>
      </c>
      <c r="AD47" s="682">
        <v>45</v>
      </c>
      <c r="AE47" s="683">
        <v>49</v>
      </c>
      <c r="AF47" s="682">
        <v>39</v>
      </c>
      <c r="AG47" s="683">
        <v>50</v>
      </c>
      <c r="AH47" s="682">
        <v>57</v>
      </c>
      <c r="AI47" s="696">
        <v>68</v>
      </c>
      <c r="AJ47" s="696">
        <v>54</v>
      </c>
      <c r="AK47" s="696">
        <v>62</v>
      </c>
      <c r="AL47" s="696">
        <v>66</v>
      </c>
      <c r="AM47" s="697">
        <v>48</v>
      </c>
      <c r="AN47" s="697">
        <v>41</v>
      </c>
      <c r="AO47" s="848">
        <v>39</v>
      </c>
      <c r="AP47" s="849">
        <v>45</v>
      </c>
      <c r="AQ47" s="1005">
        <v>28</v>
      </c>
      <c r="AR47" s="1637">
        <v>32</v>
      </c>
      <c r="AS47" s="1971">
        <v>17</v>
      </c>
      <c r="AT47" s="1095">
        <v>24</v>
      </c>
      <c r="AU47" s="2020">
        <v>19</v>
      </c>
      <c r="AV47" s="1005">
        <v>17</v>
      </c>
      <c r="AW47" s="1005"/>
      <c r="AX47" s="704">
        <v>5327</v>
      </c>
      <c r="AY47" s="705">
        <v>5453</v>
      </c>
      <c r="AZ47" s="705">
        <v>6290</v>
      </c>
      <c r="BA47" s="705">
        <v>6618</v>
      </c>
      <c r="BB47" s="705">
        <v>6797</v>
      </c>
      <c r="BC47" s="705">
        <v>6917</v>
      </c>
      <c r="BD47" s="705">
        <v>7073</v>
      </c>
      <c r="BE47" s="705">
        <v>7144</v>
      </c>
      <c r="BF47" s="705">
        <v>7059</v>
      </c>
      <c r="BG47" s="705">
        <v>6982</v>
      </c>
      <c r="BH47" s="705">
        <v>6835</v>
      </c>
      <c r="BI47" s="705">
        <v>7327</v>
      </c>
      <c r="BJ47" s="705">
        <v>7287</v>
      </c>
      <c r="BK47" s="705">
        <v>7272</v>
      </c>
      <c r="BL47" s="851">
        <v>7304</v>
      </c>
      <c r="BM47" s="852">
        <v>7330</v>
      </c>
      <c r="BN47" s="1116">
        <v>7304</v>
      </c>
      <c r="BO47" s="1634">
        <v>7304</v>
      </c>
      <c r="BP47" s="1969">
        <v>7106</v>
      </c>
      <c r="BQ47" s="1096">
        <v>7152</v>
      </c>
      <c r="BR47" s="2022">
        <v>7136</v>
      </c>
      <c r="BS47" s="1006">
        <v>7036</v>
      </c>
      <c r="BU47" s="49">
        <f t="shared" si="22"/>
        <v>109</v>
      </c>
      <c r="BV47" s="49">
        <f t="shared" si="23"/>
        <v>35734</v>
      </c>
      <c r="BW47" s="2174">
        <f t="shared" si="24"/>
        <v>3.0503162254435554</v>
      </c>
    </row>
    <row r="48" spans="1:75" s="49" customFormat="1" ht="15.75" customHeight="1" x14ac:dyDescent="0.3">
      <c r="A48" s="56" t="s">
        <v>109</v>
      </c>
      <c r="B48" s="84" t="s">
        <v>110</v>
      </c>
      <c r="C48" s="57" t="s">
        <v>253</v>
      </c>
      <c r="D48" s="722">
        <f t="shared" si="25"/>
        <v>18.622722400857448</v>
      </c>
      <c r="E48" s="723">
        <f t="shared" si="26"/>
        <v>19.694374917665655</v>
      </c>
      <c r="F48" s="723">
        <f t="shared" si="27"/>
        <v>17.675217871609181</v>
      </c>
      <c r="G48" s="723">
        <f t="shared" si="28"/>
        <v>13.898873711957823</v>
      </c>
      <c r="H48" s="723">
        <f t="shared" si="29"/>
        <v>14.161476084146198</v>
      </c>
      <c r="I48" s="723">
        <f t="shared" si="30"/>
        <v>14.442718223142874</v>
      </c>
      <c r="J48" s="723">
        <f t="shared" si="31"/>
        <v>13.786919240038111</v>
      </c>
      <c r="K48" s="723">
        <f t="shared" si="32"/>
        <v>14.052683787060509</v>
      </c>
      <c r="L48" s="723">
        <f t="shared" si="33"/>
        <v>15.846814130075934</v>
      </c>
      <c r="M48" s="723">
        <f t="shared" si="34"/>
        <v>13.530335011094873</v>
      </c>
      <c r="N48" s="723">
        <f t="shared" si="35"/>
        <v>15.020877392766119</v>
      </c>
      <c r="O48" s="723">
        <f t="shared" si="36"/>
        <v>14.236622484045164</v>
      </c>
      <c r="P48" s="723">
        <f t="shared" si="37"/>
        <v>11.753233422295216</v>
      </c>
      <c r="Q48" s="723">
        <f t="shared" si="38"/>
        <v>9.9025141097998972</v>
      </c>
      <c r="R48" s="855">
        <f t="shared" si="39"/>
        <v>8.7222647283856158</v>
      </c>
      <c r="S48" s="857">
        <f t="shared" si="40"/>
        <v>7.8891473652270667</v>
      </c>
      <c r="T48" s="1010">
        <f t="shared" si="41"/>
        <v>6.8465361598539403</v>
      </c>
      <c r="U48" s="1641">
        <f t="shared" si="42"/>
        <v>6.998992950654582</v>
      </c>
      <c r="V48" s="1975">
        <f t="shared" si="43"/>
        <v>5.1417731629392973</v>
      </c>
      <c r="W48" s="2033">
        <f t="shared" si="44"/>
        <v>5.2180762036034265</v>
      </c>
      <c r="X48" s="2035">
        <f t="shared" si="45"/>
        <v>5.1721590069454715</v>
      </c>
      <c r="Y48" s="2099">
        <f t="shared" si="21"/>
        <v>4.5668900471581031</v>
      </c>
      <c r="Z48" s="2099"/>
      <c r="AA48" s="681">
        <v>278</v>
      </c>
      <c r="AB48" s="682">
        <v>299</v>
      </c>
      <c r="AC48" s="683">
        <v>288</v>
      </c>
      <c r="AD48" s="682">
        <v>232</v>
      </c>
      <c r="AE48" s="683">
        <v>241</v>
      </c>
      <c r="AF48" s="682">
        <v>251</v>
      </c>
      <c r="AG48" s="683">
        <v>246</v>
      </c>
      <c r="AH48" s="682">
        <v>255</v>
      </c>
      <c r="AI48" s="696">
        <v>288</v>
      </c>
      <c r="AJ48" s="696">
        <v>250</v>
      </c>
      <c r="AK48" s="696">
        <v>277</v>
      </c>
      <c r="AL48" s="696">
        <v>261</v>
      </c>
      <c r="AM48" s="697">
        <v>229</v>
      </c>
      <c r="AN48" s="697">
        <v>193</v>
      </c>
      <c r="AO48" s="848">
        <v>171</v>
      </c>
      <c r="AP48" s="849">
        <v>156</v>
      </c>
      <c r="AQ48" s="1005">
        <v>135</v>
      </c>
      <c r="AR48" s="1637">
        <v>139</v>
      </c>
      <c r="AS48" s="1971">
        <v>103</v>
      </c>
      <c r="AT48" s="1095">
        <v>106</v>
      </c>
      <c r="AU48" s="2020">
        <v>105</v>
      </c>
      <c r="AV48" s="1005">
        <v>92</v>
      </c>
      <c r="AW48" s="1005"/>
      <c r="AX48" s="704">
        <v>14928</v>
      </c>
      <c r="AY48" s="705">
        <v>15182</v>
      </c>
      <c r="AZ48" s="705">
        <v>16294</v>
      </c>
      <c r="BA48" s="705">
        <v>16692</v>
      </c>
      <c r="BB48" s="705">
        <v>17018</v>
      </c>
      <c r="BC48" s="705">
        <v>17379</v>
      </c>
      <c r="BD48" s="705">
        <v>17843</v>
      </c>
      <c r="BE48" s="705">
        <v>18146</v>
      </c>
      <c r="BF48" s="705">
        <v>18174</v>
      </c>
      <c r="BG48" s="705">
        <v>18477</v>
      </c>
      <c r="BH48" s="705">
        <v>18441</v>
      </c>
      <c r="BI48" s="705">
        <v>18333</v>
      </c>
      <c r="BJ48" s="705">
        <v>19484</v>
      </c>
      <c r="BK48" s="705">
        <v>19490</v>
      </c>
      <c r="BL48" s="851">
        <v>19605</v>
      </c>
      <c r="BM48" s="852">
        <v>19774</v>
      </c>
      <c r="BN48" s="1116">
        <v>19718</v>
      </c>
      <c r="BO48" s="1634">
        <v>19860</v>
      </c>
      <c r="BP48" s="1969">
        <v>20032</v>
      </c>
      <c r="BQ48" s="1096">
        <v>20314</v>
      </c>
      <c r="BR48" s="2022">
        <v>20301</v>
      </c>
      <c r="BS48" s="1006">
        <v>20145</v>
      </c>
      <c r="BU48" s="49">
        <f t="shared" si="22"/>
        <v>545</v>
      </c>
      <c r="BV48" s="49">
        <f t="shared" si="23"/>
        <v>100652</v>
      </c>
      <c r="BW48" s="2174">
        <f t="shared" si="24"/>
        <v>5.4146961809005285</v>
      </c>
    </row>
    <row r="49" spans="1:75" s="49" customFormat="1" ht="15.75" customHeight="1" x14ac:dyDescent="0.3">
      <c r="A49" s="56" t="s">
        <v>111</v>
      </c>
      <c r="B49" s="84" t="s">
        <v>275</v>
      </c>
      <c r="C49" s="57" t="s">
        <v>252</v>
      </c>
      <c r="D49" s="722">
        <f t="shared" si="25"/>
        <v>31.532524807056227</v>
      </c>
      <c r="E49" s="723">
        <f t="shared" si="26"/>
        <v>32.343819229065133</v>
      </c>
      <c r="F49" s="723">
        <f t="shared" si="27"/>
        <v>27.534685165421557</v>
      </c>
      <c r="G49" s="723">
        <f t="shared" si="28"/>
        <v>29.724452158819698</v>
      </c>
      <c r="H49" s="723">
        <f t="shared" si="29"/>
        <v>29.347349978098993</v>
      </c>
      <c r="I49" s="723">
        <f t="shared" si="30"/>
        <v>30.107047279214985</v>
      </c>
      <c r="J49" s="723">
        <f t="shared" si="31"/>
        <v>27.446569178852645</v>
      </c>
      <c r="K49" s="723">
        <f t="shared" si="32"/>
        <v>28.244788164088771</v>
      </c>
      <c r="L49" s="723">
        <f t="shared" si="33"/>
        <v>36.952031214138167</v>
      </c>
      <c r="M49" s="723">
        <f t="shared" si="34"/>
        <v>40.038360105490291</v>
      </c>
      <c r="N49" s="723">
        <f t="shared" si="35"/>
        <v>31.334813718233406</v>
      </c>
      <c r="O49" s="723">
        <f t="shared" si="36"/>
        <v>31.178124201380015</v>
      </c>
      <c r="P49" s="723">
        <f t="shared" si="37"/>
        <v>24.105556965237248</v>
      </c>
      <c r="Q49" s="723">
        <f t="shared" si="38"/>
        <v>21.710352131321155</v>
      </c>
      <c r="R49" s="855">
        <f t="shared" si="39"/>
        <v>18.857901726427624</v>
      </c>
      <c r="S49" s="857">
        <f t="shared" si="40"/>
        <v>18.888289260658393</v>
      </c>
      <c r="T49" s="1010">
        <f t="shared" si="41"/>
        <v>17.558299039780522</v>
      </c>
      <c r="U49" s="1641">
        <f t="shared" si="42"/>
        <v>15.686274509803921</v>
      </c>
      <c r="V49" s="1975">
        <f t="shared" si="43"/>
        <v>14.991671293725709</v>
      </c>
      <c r="W49" s="2033">
        <f t="shared" si="44"/>
        <v>14.533258803801006</v>
      </c>
      <c r="X49" s="2035">
        <f t="shared" si="45"/>
        <v>12.082045518404046</v>
      </c>
      <c r="Y49" s="2099">
        <f t="shared" si="21"/>
        <v>12.629806342969408</v>
      </c>
      <c r="Z49" s="2099"/>
      <c r="AA49" s="681">
        <v>143</v>
      </c>
      <c r="AB49" s="682">
        <v>146</v>
      </c>
      <c r="AC49" s="683">
        <v>129</v>
      </c>
      <c r="AD49" s="682">
        <v>137</v>
      </c>
      <c r="AE49" s="683">
        <v>134</v>
      </c>
      <c r="AF49" s="682">
        <v>135</v>
      </c>
      <c r="AG49" s="683">
        <v>122</v>
      </c>
      <c r="AH49" s="682">
        <v>126</v>
      </c>
      <c r="AI49" s="696">
        <v>161</v>
      </c>
      <c r="AJ49" s="696">
        <v>167</v>
      </c>
      <c r="AK49" s="696">
        <v>127</v>
      </c>
      <c r="AL49" s="696">
        <v>122</v>
      </c>
      <c r="AM49" s="697">
        <v>95</v>
      </c>
      <c r="AN49" s="697">
        <v>82</v>
      </c>
      <c r="AO49" s="848">
        <v>71</v>
      </c>
      <c r="AP49" s="849">
        <v>70</v>
      </c>
      <c r="AQ49" s="1005">
        <v>64</v>
      </c>
      <c r="AR49" s="1637">
        <v>56</v>
      </c>
      <c r="AS49" s="1971">
        <v>54</v>
      </c>
      <c r="AT49" s="1095">
        <v>52</v>
      </c>
      <c r="AU49" s="2020">
        <v>43</v>
      </c>
      <c r="AV49" s="1005">
        <v>45</v>
      </c>
      <c r="AW49" s="1005"/>
      <c r="AX49" s="704">
        <v>4535</v>
      </c>
      <c r="AY49" s="705">
        <v>4514</v>
      </c>
      <c r="AZ49" s="705">
        <v>4685</v>
      </c>
      <c r="BA49" s="705">
        <v>4609</v>
      </c>
      <c r="BB49" s="705">
        <v>4566</v>
      </c>
      <c r="BC49" s="705">
        <v>4484</v>
      </c>
      <c r="BD49" s="705">
        <v>4445</v>
      </c>
      <c r="BE49" s="705">
        <v>4461</v>
      </c>
      <c r="BF49" s="705">
        <v>4357</v>
      </c>
      <c r="BG49" s="705">
        <v>4171</v>
      </c>
      <c r="BH49" s="705">
        <v>4053</v>
      </c>
      <c r="BI49" s="705">
        <v>3913</v>
      </c>
      <c r="BJ49" s="705">
        <v>3941</v>
      </c>
      <c r="BK49" s="705">
        <v>3777</v>
      </c>
      <c r="BL49" s="851">
        <v>3765</v>
      </c>
      <c r="BM49" s="852">
        <v>3706</v>
      </c>
      <c r="BN49" s="1116">
        <v>3645</v>
      </c>
      <c r="BO49" s="1634">
        <v>3570</v>
      </c>
      <c r="BP49" s="1969">
        <v>3602</v>
      </c>
      <c r="BQ49" s="1096">
        <v>3578</v>
      </c>
      <c r="BR49" s="2022">
        <v>3559</v>
      </c>
      <c r="BS49" s="1006">
        <v>3563</v>
      </c>
      <c r="BU49" s="49">
        <f t="shared" si="22"/>
        <v>250</v>
      </c>
      <c r="BV49" s="49">
        <f t="shared" si="23"/>
        <v>17872</v>
      </c>
      <c r="BW49" s="2174">
        <f t="shared" si="24"/>
        <v>13.988361683079678</v>
      </c>
    </row>
    <row r="50" spans="1:75" s="49" customFormat="1" ht="15.75" customHeight="1" x14ac:dyDescent="0.3">
      <c r="A50" s="56" t="s">
        <v>113</v>
      </c>
      <c r="B50" s="84" t="s">
        <v>114</v>
      </c>
      <c r="C50" s="57" t="s">
        <v>252</v>
      </c>
      <c r="D50" s="722">
        <f t="shared" si="25"/>
        <v>0</v>
      </c>
      <c r="E50" s="723">
        <f t="shared" si="26"/>
        <v>0</v>
      </c>
      <c r="F50" s="723">
        <f t="shared" si="27"/>
        <v>0</v>
      </c>
      <c r="G50" s="723">
        <f t="shared" si="28"/>
        <v>0</v>
      </c>
      <c r="H50" s="723">
        <f t="shared" si="29"/>
        <v>6.6225165562913908</v>
      </c>
      <c r="I50" s="723">
        <f t="shared" si="30"/>
        <v>0</v>
      </c>
      <c r="J50" s="723">
        <f t="shared" si="31"/>
        <v>6.7114093959731544</v>
      </c>
      <c r="K50" s="723">
        <f t="shared" si="32"/>
        <v>7.2463768115942031</v>
      </c>
      <c r="L50" s="723">
        <f t="shared" si="33"/>
        <v>0</v>
      </c>
      <c r="M50" s="723">
        <f t="shared" si="34"/>
        <v>0</v>
      </c>
      <c r="N50" s="723">
        <f t="shared" si="35"/>
        <v>16.806722689075631</v>
      </c>
      <c r="O50" s="723">
        <f t="shared" si="36"/>
        <v>0</v>
      </c>
      <c r="P50" s="723">
        <f t="shared" si="37"/>
        <v>0</v>
      </c>
      <c r="Q50" s="723">
        <f t="shared" si="38"/>
        <v>0</v>
      </c>
      <c r="R50" s="855">
        <f t="shared" si="39"/>
        <v>0</v>
      </c>
      <c r="S50" s="857">
        <f t="shared" si="40"/>
        <v>0</v>
      </c>
      <c r="T50" s="1010">
        <f t="shared" si="41"/>
        <v>0</v>
      </c>
      <c r="U50" s="1641">
        <f t="shared" si="42"/>
        <v>11.627906976744185</v>
      </c>
      <c r="V50" s="1975">
        <f t="shared" si="43"/>
        <v>11.363636363636363</v>
      </c>
      <c r="W50" s="2033">
        <f t="shared" si="44"/>
        <v>0</v>
      </c>
      <c r="X50" s="2035">
        <f t="shared" si="45"/>
        <v>25</v>
      </c>
      <c r="Y50" s="2099">
        <f t="shared" si="21"/>
        <v>0</v>
      </c>
      <c r="Z50" s="2099"/>
      <c r="AA50" s="681">
        <v>0</v>
      </c>
      <c r="AB50" s="682">
        <v>0</v>
      </c>
      <c r="AC50" s="683">
        <v>0</v>
      </c>
      <c r="AD50" s="682">
        <v>0</v>
      </c>
      <c r="AE50" s="683">
        <v>1</v>
      </c>
      <c r="AF50" s="682">
        <v>0</v>
      </c>
      <c r="AG50" s="683">
        <v>1</v>
      </c>
      <c r="AH50" s="682">
        <v>1</v>
      </c>
      <c r="AI50" s="696">
        <v>0</v>
      </c>
      <c r="AJ50" s="696">
        <v>0</v>
      </c>
      <c r="AK50" s="696">
        <v>2</v>
      </c>
      <c r="AL50" s="696">
        <v>0</v>
      </c>
      <c r="AM50" s="697">
        <v>0</v>
      </c>
      <c r="AN50" s="697">
        <v>0</v>
      </c>
      <c r="AO50" s="848">
        <v>0</v>
      </c>
      <c r="AP50" s="849">
        <v>0</v>
      </c>
      <c r="AQ50" s="1005">
        <v>0</v>
      </c>
      <c r="AR50" s="1637">
        <v>1</v>
      </c>
      <c r="AS50" s="1971">
        <v>1</v>
      </c>
      <c r="AT50" s="1095">
        <v>0</v>
      </c>
      <c r="AU50" s="2020">
        <v>2</v>
      </c>
      <c r="AV50" s="1005">
        <v>0</v>
      </c>
      <c r="AW50" s="1005"/>
      <c r="AX50" s="704">
        <v>133</v>
      </c>
      <c r="AY50" s="705">
        <v>130</v>
      </c>
      <c r="AZ50" s="705">
        <v>143</v>
      </c>
      <c r="BA50" s="705">
        <v>150</v>
      </c>
      <c r="BB50" s="705">
        <v>151</v>
      </c>
      <c r="BC50" s="705">
        <v>157</v>
      </c>
      <c r="BD50" s="705">
        <v>149</v>
      </c>
      <c r="BE50" s="705">
        <v>138</v>
      </c>
      <c r="BF50" s="705">
        <v>135</v>
      </c>
      <c r="BG50" s="705">
        <v>122</v>
      </c>
      <c r="BH50" s="705">
        <v>119</v>
      </c>
      <c r="BI50" s="705">
        <v>129</v>
      </c>
      <c r="BJ50" s="705">
        <v>114</v>
      </c>
      <c r="BK50" s="705">
        <v>108</v>
      </c>
      <c r="BL50" s="851">
        <v>99</v>
      </c>
      <c r="BM50" s="852">
        <v>93</v>
      </c>
      <c r="BN50" s="1116">
        <v>93</v>
      </c>
      <c r="BO50" s="1634">
        <v>86</v>
      </c>
      <c r="BP50" s="1969">
        <v>88</v>
      </c>
      <c r="BQ50" s="1096">
        <v>81</v>
      </c>
      <c r="BR50" s="2022">
        <v>80</v>
      </c>
      <c r="BS50" s="1006">
        <v>70</v>
      </c>
      <c r="BU50" s="49">
        <f t="shared" si="22"/>
        <v>4</v>
      </c>
      <c r="BV50" s="49">
        <f t="shared" si="23"/>
        <v>405</v>
      </c>
      <c r="BW50" s="2174">
        <f t="shared" si="24"/>
        <v>9.8765432098765427</v>
      </c>
    </row>
    <row r="51" spans="1:75" s="49" customFormat="1" ht="15.75" customHeight="1" x14ac:dyDescent="0.3">
      <c r="A51" s="56" t="s">
        <v>117</v>
      </c>
      <c r="B51" s="84" t="s">
        <v>257</v>
      </c>
      <c r="C51" s="57" t="s">
        <v>251</v>
      </c>
      <c r="D51" s="722">
        <f t="shared" si="25"/>
        <v>19.726858877086492</v>
      </c>
      <c r="E51" s="723">
        <f t="shared" si="26"/>
        <v>21.297672114908369</v>
      </c>
      <c r="F51" s="723">
        <f t="shared" si="27"/>
        <v>17.694641051567242</v>
      </c>
      <c r="G51" s="723">
        <f t="shared" si="28"/>
        <v>15.270935960591133</v>
      </c>
      <c r="H51" s="723">
        <f t="shared" si="29"/>
        <v>21.072796934865902</v>
      </c>
      <c r="I51" s="723">
        <f t="shared" si="30"/>
        <v>18.587360594795541</v>
      </c>
      <c r="J51" s="723">
        <f t="shared" si="31"/>
        <v>15.625</v>
      </c>
      <c r="K51" s="723">
        <f t="shared" si="32"/>
        <v>18.373909049150207</v>
      </c>
      <c r="L51" s="723">
        <f t="shared" si="33"/>
        <v>15.116811726981219</v>
      </c>
      <c r="M51" s="723">
        <f t="shared" si="34"/>
        <v>11.926605504587156</v>
      </c>
      <c r="N51" s="723">
        <f t="shared" si="35"/>
        <v>11.100832562442182</v>
      </c>
      <c r="O51" s="723">
        <f t="shared" si="36"/>
        <v>13.698630136986301</v>
      </c>
      <c r="P51" s="723">
        <f t="shared" si="37"/>
        <v>10.855405992184108</v>
      </c>
      <c r="Q51" s="723">
        <f t="shared" si="38"/>
        <v>8.4821428571428559</v>
      </c>
      <c r="R51" s="855">
        <f t="shared" si="39"/>
        <v>5.4151624548736459</v>
      </c>
      <c r="S51" s="857">
        <f t="shared" si="40"/>
        <v>6.381039197812215</v>
      </c>
      <c r="T51" s="1010">
        <f t="shared" si="41"/>
        <v>5.7803468208092479</v>
      </c>
      <c r="U51" s="1641">
        <f t="shared" si="42"/>
        <v>7.0890562693841384</v>
      </c>
      <c r="V51" s="1975">
        <f t="shared" si="43"/>
        <v>4.1551246537396125</v>
      </c>
      <c r="W51" s="2033">
        <f t="shared" si="44"/>
        <v>6.3319764812302122</v>
      </c>
      <c r="X51" s="2035">
        <f t="shared" si="45"/>
        <v>6.824385805277525</v>
      </c>
      <c r="Y51" s="2099">
        <f t="shared" si="21"/>
        <v>3.2110091743119269</v>
      </c>
      <c r="Z51" s="2099"/>
      <c r="AA51" s="681">
        <v>39</v>
      </c>
      <c r="AB51" s="682">
        <v>43</v>
      </c>
      <c r="AC51" s="683">
        <v>35</v>
      </c>
      <c r="AD51" s="682">
        <v>31</v>
      </c>
      <c r="AE51" s="683">
        <v>44</v>
      </c>
      <c r="AF51" s="682">
        <v>40</v>
      </c>
      <c r="AG51" s="683">
        <v>34</v>
      </c>
      <c r="AH51" s="682">
        <v>40</v>
      </c>
      <c r="AI51" s="696">
        <v>33</v>
      </c>
      <c r="AJ51" s="696">
        <v>26</v>
      </c>
      <c r="AK51" s="696">
        <v>24</v>
      </c>
      <c r="AL51" s="696">
        <v>32</v>
      </c>
      <c r="AM51" s="697">
        <v>25</v>
      </c>
      <c r="AN51" s="697">
        <v>19</v>
      </c>
      <c r="AO51" s="848">
        <v>12</v>
      </c>
      <c r="AP51" s="849">
        <v>14</v>
      </c>
      <c r="AQ51" s="1005">
        <v>13</v>
      </c>
      <c r="AR51" s="1637">
        <v>16</v>
      </c>
      <c r="AS51" s="1971">
        <v>9</v>
      </c>
      <c r="AT51" s="1095">
        <v>14</v>
      </c>
      <c r="AU51" s="2020">
        <v>15</v>
      </c>
      <c r="AV51" s="1005">
        <v>7</v>
      </c>
      <c r="AW51" s="1005"/>
      <c r="AX51" s="704">
        <v>1977</v>
      </c>
      <c r="AY51" s="705">
        <v>2019</v>
      </c>
      <c r="AZ51" s="705">
        <v>1978</v>
      </c>
      <c r="BA51" s="705">
        <v>2030</v>
      </c>
      <c r="BB51" s="705">
        <v>2088</v>
      </c>
      <c r="BC51" s="705">
        <v>2152</v>
      </c>
      <c r="BD51" s="705">
        <v>2176</v>
      </c>
      <c r="BE51" s="705">
        <v>2177</v>
      </c>
      <c r="BF51" s="705">
        <v>2183</v>
      </c>
      <c r="BG51" s="705">
        <v>2180</v>
      </c>
      <c r="BH51" s="705">
        <v>2162</v>
      </c>
      <c r="BI51" s="705">
        <v>2336</v>
      </c>
      <c r="BJ51" s="705">
        <v>2303</v>
      </c>
      <c r="BK51" s="705">
        <v>2240</v>
      </c>
      <c r="BL51" s="851">
        <v>2216</v>
      </c>
      <c r="BM51" s="852">
        <v>2194</v>
      </c>
      <c r="BN51" s="1116">
        <v>2249</v>
      </c>
      <c r="BO51" s="1634">
        <v>2257</v>
      </c>
      <c r="BP51" s="1969">
        <v>2166</v>
      </c>
      <c r="BQ51" s="1096">
        <v>2211</v>
      </c>
      <c r="BR51" s="2022">
        <v>2198</v>
      </c>
      <c r="BS51" s="1006">
        <v>2180</v>
      </c>
      <c r="BU51" s="49">
        <f t="shared" si="22"/>
        <v>61</v>
      </c>
      <c r="BV51" s="49">
        <f t="shared" si="23"/>
        <v>11012</v>
      </c>
      <c r="BW51" s="2174">
        <f t="shared" si="24"/>
        <v>5.5394115510352337</v>
      </c>
    </row>
    <row r="52" spans="1:75" s="49" customFormat="1" ht="15.75" customHeight="1" x14ac:dyDescent="0.3">
      <c r="A52" s="56" t="s">
        <v>119</v>
      </c>
      <c r="B52" s="84" t="s">
        <v>120</v>
      </c>
      <c r="C52" s="57" t="s">
        <v>251</v>
      </c>
      <c r="D52" s="722">
        <f t="shared" si="25"/>
        <v>13.001083423618635</v>
      </c>
      <c r="E52" s="723">
        <f t="shared" si="26"/>
        <v>17.674089784376108</v>
      </c>
      <c r="F52" s="723">
        <f t="shared" si="27"/>
        <v>14.666666666666666</v>
      </c>
      <c r="G52" s="723">
        <f t="shared" si="28"/>
        <v>11.317195850361522</v>
      </c>
      <c r="H52" s="723">
        <f t="shared" si="29"/>
        <v>11.235955056179774</v>
      </c>
      <c r="I52" s="723">
        <f t="shared" si="30"/>
        <v>9.212481426448738</v>
      </c>
      <c r="J52" s="723">
        <f t="shared" si="31"/>
        <v>10.335917312661499</v>
      </c>
      <c r="K52" s="723">
        <f t="shared" si="32"/>
        <v>12.968299711815563</v>
      </c>
      <c r="L52" s="723">
        <f t="shared" si="33"/>
        <v>13.904982618771726</v>
      </c>
      <c r="M52" s="723">
        <f t="shared" si="34"/>
        <v>10.514350667803352</v>
      </c>
      <c r="N52" s="723">
        <f t="shared" si="35"/>
        <v>11.982881597717546</v>
      </c>
      <c r="O52" s="723">
        <f t="shared" si="36"/>
        <v>10.913705583756345</v>
      </c>
      <c r="P52" s="723">
        <f t="shared" si="37"/>
        <v>12.17391304347826</v>
      </c>
      <c r="Q52" s="723">
        <f t="shared" si="38"/>
        <v>10.00243961941937</v>
      </c>
      <c r="R52" s="855">
        <f t="shared" si="39"/>
        <v>8.7762067284251586</v>
      </c>
      <c r="S52" s="857">
        <f t="shared" si="40"/>
        <v>7.8199052132701414</v>
      </c>
      <c r="T52" s="1010">
        <f t="shared" si="41"/>
        <v>5.7537399309551214</v>
      </c>
      <c r="U52" s="1641">
        <f t="shared" si="42"/>
        <v>6.5146579804560263</v>
      </c>
      <c r="V52" s="1975">
        <f t="shared" si="43"/>
        <v>6.2761506276150625</v>
      </c>
      <c r="W52" s="2033">
        <f t="shared" si="44"/>
        <v>4.3319653442772461</v>
      </c>
      <c r="X52" s="2035">
        <f t="shared" si="45"/>
        <v>6.8415051311288488</v>
      </c>
      <c r="Y52" s="2099">
        <f t="shared" si="21"/>
        <v>6.0394889663182347</v>
      </c>
      <c r="Z52" s="2099"/>
      <c r="AA52" s="681">
        <v>36</v>
      </c>
      <c r="AB52" s="682">
        <v>50</v>
      </c>
      <c r="AC52" s="683">
        <v>44</v>
      </c>
      <c r="AD52" s="682">
        <v>36</v>
      </c>
      <c r="AE52" s="683">
        <v>37</v>
      </c>
      <c r="AF52" s="682">
        <v>31</v>
      </c>
      <c r="AG52" s="683">
        <v>36</v>
      </c>
      <c r="AH52" s="682">
        <v>45</v>
      </c>
      <c r="AI52" s="696">
        <v>48</v>
      </c>
      <c r="AJ52" s="696">
        <v>37</v>
      </c>
      <c r="AK52" s="696">
        <v>42</v>
      </c>
      <c r="AL52" s="696">
        <v>43</v>
      </c>
      <c r="AM52" s="697">
        <v>49</v>
      </c>
      <c r="AN52" s="697">
        <v>41</v>
      </c>
      <c r="AO52" s="848">
        <v>36</v>
      </c>
      <c r="AP52" s="849">
        <v>33</v>
      </c>
      <c r="AQ52" s="1005">
        <v>25</v>
      </c>
      <c r="AR52" s="1637">
        <v>28</v>
      </c>
      <c r="AS52" s="1971">
        <v>27</v>
      </c>
      <c r="AT52" s="1095">
        <v>19</v>
      </c>
      <c r="AU52" s="2020">
        <v>30</v>
      </c>
      <c r="AV52" s="1005">
        <v>26</v>
      </c>
      <c r="AW52" s="1005"/>
      <c r="AX52" s="704">
        <v>2769</v>
      </c>
      <c r="AY52" s="705">
        <v>2829</v>
      </c>
      <c r="AZ52" s="705">
        <v>3000</v>
      </c>
      <c r="BA52" s="705">
        <v>3181</v>
      </c>
      <c r="BB52" s="705">
        <v>3293</v>
      </c>
      <c r="BC52" s="705">
        <v>3365</v>
      </c>
      <c r="BD52" s="705">
        <v>3483</v>
      </c>
      <c r="BE52" s="705">
        <v>3470</v>
      </c>
      <c r="BF52" s="705">
        <v>3452</v>
      </c>
      <c r="BG52" s="705">
        <v>3519</v>
      </c>
      <c r="BH52" s="705">
        <v>3505</v>
      </c>
      <c r="BI52" s="705">
        <v>3940</v>
      </c>
      <c r="BJ52" s="705">
        <v>4025</v>
      </c>
      <c r="BK52" s="705">
        <v>4099</v>
      </c>
      <c r="BL52" s="851">
        <v>4102</v>
      </c>
      <c r="BM52" s="852">
        <v>4220</v>
      </c>
      <c r="BN52" s="1116">
        <v>4345</v>
      </c>
      <c r="BO52" s="1634">
        <v>4298</v>
      </c>
      <c r="BP52" s="1969">
        <v>4302</v>
      </c>
      <c r="BQ52" s="1096">
        <v>4386</v>
      </c>
      <c r="BR52" s="2022">
        <v>4385</v>
      </c>
      <c r="BS52" s="1006">
        <v>4305</v>
      </c>
      <c r="BU52" s="49">
        <f t="shared" si="22"/>
        <v>130</v>
      </c>
      <c r="BV52" s="49">
        <f t="shared" si="23"/>
        <v>21676</v>
      </c>
      <c r="BW52" s="2174">
        <f t="shared" si="24"/>
        <v>5.9974164975087652</v>
      </c>
    </row>
    <row r="53" spans="1:75" s="49" customFormat="1" ht="15.75" customHeight="1" x14ac:dyDescent="0.3">
      <c r="A53" s="56" t="s">
        <v>121</v>
      </c>
      <c r="B53" s="84" t="s">
        <v>258</v>
      </c>
      <c r="C53" s="57" t="s">
        <v>253</v>
      </c>
      <c r="D53" s="722">
        <f t="shared" si="25"/>
        <v>22.058823529411764</v>
      </c>
      <c r="E53" s="723">
        <f t="shared" si="26"/>
        <v>14.814814814814815</v>
      </c>
      <c r="F53" s="723">
        <f t="shared" si="27"/>
        <v>29.197080291970803</v>
      </c>
      <c r="G53" s="723">
        <f t="shared" si="28"/>
        <v>2.4691358024691357</v>
      </c>
      <c r="H53" s="723">
        <f t="shared" si="29"/>
        <v>19.950124688279303</v>
      </c>
      <c r="I53" s="723">
        <f t="shared" si="30"/>
        <v>19.753086419753085</v>
      </c>
      <c r="J53" s="723">
        <f t="shared" si="31"/>
        <v>22.277227722772277</v>
      </c>
      <c r="K53" s="723">
        <f t="shared" si="32"/>
        <v>25.510204081632654</v>
      </c>
      <c r="L53" s="723">
        <f t="shared" si="33"/>
        <v>38.167938931297712</v>
      </c>
      <c r="M53" s="723">
        <f t="shared" si="34"/>
        <v>19.230769230769234</v>
      </c>
      <c r="N53" s="723">
        <f t="shared" si="35"/>
        <v>36.619718309859152</v>
      </c>
      <c r="O53" s="723">
        <f t="shared" si="36"/>
        <v>10.752688172043012</v>
      </c>
      <c r="P53" s="723">
        <f t="shared" si="37"/>
        <v>20.618556701030929</v>
      </c>
      <c r="Q53" s="723">
        <f t="shared" si="38"/>
        <v>19.073569482288828</v>
      </c>
      <c r="R53" s="855">
        <f t="shared" si="39"/>
        <v>19.125683060109289</v>
      </c>
      <c r="S53" s="857">
        <f t="shared" si="40"/>
        <v>18.134715025906733</v>
      </c>
      <c r="T53" s="1010">
        <f t="shared" si="41"/>
        <v>10.230179028132993</v>
      </c>
      <c r="U53" s="1641">
        <f t="shared" si="42"/>
        <v>5.2356020942408383</v>
      </c>
      <c r="V53" s="1975">
        <f t="shared" si="43"/>
        <v>5.7471264367816088</v>
      </c>
      <c r="W53" s="2033">
        <f t="shared" si="44"/>
        <v>8.8235294117647065</v>
      </c>
      <c r="X53" s="2035">
        <f t="shared" si="45"/>
        <v>11.3314447592068</v>
      </c>
      <c r="Y53" s="2099">
        <f t="shared" si="21"/>
        <v>8.9552238805970159</v>
      </c>
      <c r="Z53" s="2099"/>
      <c r="AA53" s="681">
        <v>9</v>
      </c>
      <c r="AB53" s="682">
        <v>6</v>
      </c>
      <c r="AC53" s="683">
        <v>12</v>
      </c>
      <c r="AD53" s="682">
        <v>1</v>
      </c>
      <c r="AE53" s="683">
        <v>8</v>
      </c>
      <c r="AF53" s="682">
        <v>8</v>
      </c>
      <c r="AG53" s="683">
        <v>9</v>
      </c>
      <c r="AH53" s="682">
        <v>10</v>
      </c>
      <c r="AI53" s="696">
        <v>15</v>
      </c>
      <c r="AJ53" s="696">
        <v>7</v>
      </c>
      <c r="AK53" s="696">
        <v>13</v>
      </c>
      <c r="AL53" s="696">
        <v>4</v>
      </c>
      <c r="AM53" s="697">
        <v>8</v>
      </c>
      <c r="AN53" s="697">
        <v>7</v>
      </c>
      <c r="AO53" s="848">
        <v>7</v>
      </c>
      <c r="AP53" s="849">
        <v>7</v>
      </c>
      <c r="AQ53" s="1005">
        <v>4</v>
      </c>
      <c r="AR53" s="1637">
        <v>2</v>
      </c>
      <c r="AS53" s="1971">
        <v>2</v>
      </c>
      <c r="AT53" s="1095">
        <v>3</v>
      </c>
      <c r="AU53" s="2020">
        <v>4</v>
      </c>
      <c r="AV53" s="1005">
        <v>3</v>
      </c>
      <c r="AW53" s="1005"/>
      <c r="AX53" s="704">
        <v>408</v>
      </c>
      <c r="AY53" s="705">
        <v>405</v>
      </c>
      <c r="AZ53" s="705">
        <v>411</v>
      </c>
      <c r="BA53" s="705">
        <v>405</v>
      </c>
      <c r="BB53" s="705">
        <v>401</v>
      </c>
      <c r="BC53" s="705">
        <v>405</v>
      </c>
      <c r="BD53" s="705">
        <v>404</v>
      </c>
      <c r="BE53" s="705">
        <v>392</v>
      </c>
      <c r="BF53" s="705">
        <v>393</v>
      </c>
      <c r="BG53" s="705">
        <v>364</v>
      </c>
      <c r="BH53" s="705">
        <v>355</v>
      </c>
      <c r="BI53" s="705">
        <v>372</v>
      </c>
      <c r="BJ53" s="705">
        <v>388</v>
      </c>
      <c r="BK53" s="705">
        <v>367</v>
      </c>
      <c r="BL53" s="851">
        <v>366</v>
      </c>
      <c r="BM53" s="852">
        <v>386</v>
      </c>
      <c r="BN53" s="1116">
        <v>391</v>
      </c>
      <c r="BO53" s="1634">
        <v>382</v>
      </c>
      <c r="BP53" s="1969">
        <v>348</v>
      </c>
      <c r="BQ53" s="1096">
        <v>340</v>
      </c>
      <c r="BR53" s="2022">
        <v>353</v>
      </c>
      <c r="BS53" s="1006">
        <v>335</v>
      </c>
      <c r="BU53" s="49">
        <f t="shared" si="22"/>
        <v>14</v>
      </c>
      <c r="BV53" s="49">
        <f t="shared" si="23"/>
        <v>1758</v>
      </c>
      <c r="BW53" s="2174">
        <f t="shared" si="24"/>
        <v>7.963594994311717</v>
      </c>
    </row>
    <row r="54" spans="1:75" s="49" customFormat="1" ht="15.75" customHeight="1" x14ac:dyDescent="0.3">
      <c r="A54" s="56" t="s">
        <v>123</v>
      </c>
      <c r="B54" s="84" t="s">
        <v>124</v>
      </c>
      <c r="C54" s="57" t="s">
        <v>254</v>
      </c>
      <c r="D54" s="722">
        <f t="shared" si="25"/>
        <v>20.610057708161584</v>
      </c>
      <c r="E54" s="723">
        <f t="shared" si="26"/>
        <v>20.080321285140563</v>
      </c>
      <c r="F54" s="723">
        <f t="shared" si="27"/>
        <v>22.01524132091448</v>
      </c>
      <c r="G54" s="723">
        <f t="shared" si="28"/>
        <v>21.986970684039086</v>
      </c>
      <c r="H54" s="723">
        <f t="shared" si="29"/>
        <v>23.368251410153103</v>
      </c>
      <c r="I54" s="723">
        <f t="shared" si="30"/>
        <v>27.4079874706343</v>
      </c>
      <c r="J54" s="723">
        <f t="shared" si="31"/>
        <v>21.418020679468242</v>
      </c>
      <c r="K54" s="723">
        <f t="shared" si="32"/>
        <v>18.571428571428573</v>
      </c>
      <c r="L54" s="723">
        <f t="shared" si="33"/>
        <v>13.831258644536652</v>
      </c>
      <c r="M54" s="723">
        <f t="shared" si="34"/>
        <v>15.820698747528017</v>
      </c>
      <c r="N54" s="723">
        <f t="shared" si="35"/>
        <v>24.901703800786368</v>
      </c>
      <c r="O54" s="723">
        <f t="shared" si="36"/>
        <v>11.911852293031567</v>
      </c>
      <c r="P54" s="723">
        <f t="shared" si="37"/>
        <v>10.843373493975903</v>
      </c>
      <c r="Q54" s="723">
        <f t="shared" si="38"/>
        <v>13.387660069848661</v>
      </c>
      <c r="R54" s="855">
        <f t="shared" si="39"/>
        <v>16.597510373443985</v>
      </c>
      <c r="S54" s="857">
        <f t="shared" si="40"/>
        <v>8.1585081585081589</v>
      </c>
      <c r="T54" s="1010">
        <f t="shared" si="41"/>
        <v>8.064516129032258</v>
      </c>
      <c r="U54" s="1641">
        <f t="shared" si="42"/>
        <v>7.8651685393258433</v>
      </c>
      <c r="V54" s="1975">
        <f t="shared" si="43"/>
        <v>7.7864293659621797</v>
      </c>
      <c r="W54" s="2033">
        <f t="shared" si="44"/>
        <v>9.3663911845730023</v>
      </c>
      <c r="X54" s="2035">
        <f t="shared" si="45"/>
        <v>6.4794816414686824</v>
      </c>
      <c r="Y54" s="2099">
        <f t="shared" si="21"/>
        <v>3.2520325203252032</v>
      </c>
      <c r="Z54" s="2099"/>
      <c r="AA54" s="681">
        <v>25</v>
      </c>
      <c r="AB54" s="682">
        <v>25</v>
      </c>
      <c r="AC54" s="683">
        <v>26</v>
      </c>
      <c r="AD54" s="682">
        <v>27</v>
      </c>
      <c r="AE54" s="683">
        <v>29</v>
      </c>
      <c r="AF54" s="682">
        <v>35</v>
      </c>
      <c r="AG54" s="683">
        <v>29</v>
      </c>
      <c r="AH54" s="682">
        <v>26</v>
      </c>
      <c r="AI54" s="696">
        <v>20</v>
      </c>
      <c r="AJ54" s="696">
        <v>24</v>
      </c>
      <c r="AK54" s="696">
        <v>38</v>
      </c>
      <c r="AL54" s="696">
        <v>20</v>
      </c>
      <c r="AM54" s="697">
        <v>18</v>
      </c>
      <c r="AN54" s="697">
        <v>23</v>
      </c>
      <c r="AO54" s="848">
        <v>28</v>
      </c>
      <c r="AP54" s="849">
        <v>14</v>
      </c>
      <c r="AQ54" s="1005">
        <v>14</v>
      </c>
      <c r="AR54" s="1637">
        <v>14</v>
      </c>
      <c r="AS54" s="1971">
        <v>14</v>
      </c>
      <c r="AT54" s="1095">
        <v>17</v>
      </c>
      <c r="AU54" s="2020">
        <v>12</v>
      </c>
      <c r="AV54" s="1005">
        <v>6</v>
      </c>
      <c r="AW54" s="1005"/>
      <c r="AX54" s="704">
        <v>1213</v>
      </c>
      <c r="AY54" s="705">
        <v>1245</v>
      </c>
      <c r="AZ54" s="705">
        <v>1181</v>
      </c>
      <c r="BA54" s="705">
        <v>1228</v>
      </c>
      <c r="BB54" s="705">
        <v>1241</v>
      </c>
      <c r="BC54" s="705">
        <v>1277</v>
      </c>
      <c r="BD54" s="705">
        <v>1354</v>
      </c>
      <c r="BE54" s="705">
        <v>1400</v>
      </c>
      <c r="BF54" s="705">
        <v>1446</v>
      </c>
      <c r="BG54" s="705">
        <v>1517</v>
      </c>
      <c r="BH54" s="705">
        <v>1526</v>
      </c>
      <c r="BI54" s="705">
        <v>1679</v>
      </c>
      <c r="BJ54" s="705">
        <v>1660</v>
      </c>
      <c r="BK54" s="705">
        <v>1718</v>
      </c>
      <c r="BL54" s="851">
        <v>1687</v>
      </c>
      <c r="BM54" s="852">
        <v>1716</v>
      </c>
      <c r="BN54" s="1116">
        <v>1736</v>
      </c>
      <c r="BO54" s="1634">
        <v>1780</v>
      </c>
      <c r="BP54" s="1969">
        <v>1798</v>
      </c>
      <c r="BQ54" s="1096">
        <v>1815</v>
      </c>
      <c r="BR54" s="2022">
        <v>1852</v>
      </c>
      <c r="BS54" s="1006">
        <v>1845</v>
      </c>
      <c r="BU54" s="49">
        <f t="shared" si="22"/>
        <v>63</v>
      </c>
      <c r="BV54" s="49">
        <f t="shared" si="23"/>
        <v>9090</v>
      </c>
      <c r="BW54" s="2174">
        <f t="shared" si="24"/>
        <v>6.9306930693069306</v>
      </c>
    </row>
    <row r="55" spans="1:75" s="49" customFormat="1" ht="15.75" customHeight="1" x14ac:dyDescent="0.3">
      <c r="A55" s="56" t="s">
        <v>125</v>
      </c>
      <c r="B55" s="84" t="s">
        <v>126</v>
      </c>
      <c r="C55" s="57" t="s">
        <v>253</v>
      </c>
      <c r="D55" s="722">
        <f t="shared" si="25"/>
        <v>19.274376417233558</v>
      </c>
      <c r="E55" s="723">
        <f t="shared" si="26"/>
        <v>20.044543429844101</v>
      </c>
      <c r="F55" s="723">
        <f t="shared" si="27"/>
        <v>33.519553072625698</v>
      </c>
      <c r="G55" s="723">
        <f t="shared" si="28"/>
        <v>12.035010940919038</v>
      </c>
      <c r="H55" s="723">
        <f t="shared" si="29"/>
        <v>19.271948608137045</v>
      </c>
      <c r="I55" s="723">
        <f t="shared" si="30"/>
        <v>15.889830508474576</v>
      </c>
      <c r="J55" s="723">
        <f t="shared" si="31"/>
        <v>18.027571580063629</v>
      </c>
      <c r="K55" s="723">
        <f t="shared" si="32"/>
        <v>12.486992715920914</v>
      </c>
      <c r="L55" s="723">
        <f t="shared" si="33"/>
        <v>10.395010395010395</v>
      </c>
      <c r="M55" s="723">
        <f t="shared" si="34"/>
        <v>14.271151885830784</v>
      </c>
      <c r="N55" s="723">
        <f t="shared" si="35"/>
        <v>13.347022587268993</v>
      </c>
      <c r="O55" s="723">
        <f t="shared" si="36"/>
        <v>21.276595744680851</v>
      </c>
      <c r="P55" s="723">
        <f t="shared" si="37"/>
        <v>15.902712815715622</v>
      </c>
      <c r="Q55" s="723">
        <f t="shared" si="38"/>
        <v>12.093023255813954</v>
      </c>
      <c r="R55" s="855">
        <f t="shared" si="39"/>
        <v>6.7829457364341081</v>
      </c>
      <c r="S55" s="857">
        <f t="shared" si="40"/>
        <v>9.8039215686274517</v>
      </c>
      <c r="T55" s="1010">
        <f t="shared" si="41"/>
        <v>5.9171597633136095</v>
      </c>
      <c r="U55" s="1641">
        <f t="shared" si="42"/>
        <v>7.9522862823061624</v>
      </c>
      <c r="V55" s="1975">
        <f t="shared" si="43"/>
        <v>4.9164208456243852</v>
      </c>
      <c r="W55" s="2033">
        <f t="shared" si="44"/>
        <v>5.9760956175298805</v>
      </c>
      <c r="X55" s="2035">
        <f t="shared" si="45"/>
        <v>6.7178502879078694</v>
      </c>
      <c r="Y55" s="2099">
        <f t="shared" si="21"/>
        <v>3.795066413662239</v>
      </c>
      <c r="Z55" s="2099"/>
      <c r="AA55" s="681">
        <v>17</v>
      </c>
      <c r="AB55" s="682">
        <v>18</v>
      </c>
      <c r="AC55" s="683">
        <v>30</v>
      </c>
      <c r="AD55" s="682">
        <v>11</v>
      </c>
      <c r="AE55" s="683">
        <v>18</v>
      </c>
      <c r="AF55" s="682">
        <v>15</v>
      </c>
      <c r="AG55" s="683">
        <v>17</v>
      </c>
      <c r="AH55" s="682">
        <v>12</v>
      </c>
      <c r="AI55" s="696">
        <v>10</v>
      </c>
      <c r="AJ55" s="696">
        <v>14</v>
      </c>
      <c r="AK55" s="696">
        <v>13</v>
      </c>
      <c r="AL55" s="696">
        <v>23</v>
      </c>
      <c r="AM55" s="697">
        <v>17</v>
      </c>
      <c r="AN55" s="697">
        <v>13</v>
      </c>
      <c r="AO55" s="848">
        <v>7</v>
      </c>
      <c r="AP55" s="849">
        <v>10</v>
      </c>
      <c r="AQ55" s="1005">
        <v>6</v>
      </c>
      <c r="AR55" s="1637">
        <v>8</v>
      </c>
      <c r="AS55" s="1971">
        <v>5</v>
      </c>
      <c r="AT55" s="1095">
        <v>6</v>
      </c>
      <c r="AU55" s="2020">
        <v>7</v>
      </c>
      <c r="AV55" s="1005">
        <v>4</v>
      </c>
      <c r="AW55" s="1005"/>
      <c r="AX55" s="704">
        <v>882</v>
      </c>
      <c r="AY55" s="705">
        <v>898</v>
      </c>
      <c r="AZ55" s="705">
        <v>895</v>
      </c>
      <c r="BA55" s="705">
        <v>914</v>
      </c>
      <c r="BB55" s="705">
        <v>934</v>
      </c>
      <c r="BC55" s="705">
        <v>944</v>
      </c>
      <c r="BD55" s="705">
        <v>943</v>
      </c>
      <c r="BE55" s="705">
        <v>961</v>
      </c>
      <c r="BF55" s="705">
        <v>962</v>
      </c>
      <c r="BG55" s="705">
        <v>981</v>
      </c>
      <c r="BH55" s="705">
        <v>974</v>
      </c>
      <c r="BI55" s="705">
        <v>1081</v>
      </c>
      <c r="BJ55" s="705">
        <v>1069</v>
      </c>
      <c r="BK55" s="705">
        <v>1075</v>
      </c>
      <c r="BL55" s="851">
        <v>1032</v>
      </c>
      <c r="BM55" s="852">
        <v>1020</v>
      </c>
      <c r="BN55" s="1116">
        <v>1014</v>
      </c>
      <c r="BO55" s="1634">
        <v>1006</v>
      </c>
      <c r="BP55" s="1969">
        <v>1017</v>
      </c>
      <c r="BQ55" s="1096">
        <v>1004</v>
      </c>
      <c r="BR55" s="2022">
        <v>1042</v>
      </c>
      <c r="BS55" s="1006">
        <v>1054</v>
      </c>
      <c r="BU55" s="49">
        <f t="shared" si="22"/>
        <v>30</v>
      </c>
      <c r="BV55" s="49">
        <f t="shared" si="23"/>
        <v>5123</v>
      </c>
      <c r="BW55" s="2174">
        <f t="shared" si="24"/>
        <v>5.8559437829396845</v>
      </c>
    </row>
    <row r="56" spans="1:75" s="49" customFormat="1" ht="15.75" customHeight="1" x14ac:dyDescent="0.3">
      <c r="A56" s="56" t="s">
        <v>127</v>
      </c>
      <c r="B56" s="84" t="s">
        <v>128</v>
      </c>
      <c r="C56" s="57" t="s">
        <v>253</v>
      </c>
      <c r="D56" s="722">
        <f t="shared" si="25"/>
        <v>33.794162826420894</v>
      </c>
      <c r="E56" s="723">
        <f t="shared" si="26"/>
        <v>28.963414634146343</v>
      </c>
      <c r="F56" s="723">
        <f t="shared" si="27"/>
        <v>35.993740219092331</v>
      </c>
      <c r="G56" s="723">
        <f t="shared" si="28"/>
        <v>38.402457757296467</v>
      </c>
      <c r="H56" s="723">
        <f t="shared" si="29"/>
        <v>31.347962382445139</v>
      </c>
      <c r="I56" s="723">
        <f t="shared" si="30"/>
        <v>19.138755980861244</v>
      </c>
      <c r="J56" s="723">
        <f t="shared" si="31"/>
        <v>26.755852842809364</v>
      </c>
      <c r="K56" s="723">
        <f t="shared" si="32"/>
        <v>23.339317773788149</v>
      </c>
      <c r="L56" s="723">
        <f t="shared" si="33"/>
        <v>20.676691729323306</v>
      </c>
      <c r="M56" s="723">
        <f t="shared" si="34"/>
        <v>22.598870056497177</v>
      </c>
      <c r="N56" s="723">
        <f t="shared" si="35"/>
        <v>17.578125</v>
      </c>
      <c r="O56" s="723">
        <f t="shared" si="36"/>
        <v>18.218623481781375</v>
      </c>
      <c r="P56" s="723">
        <f t="shared" si="37"/>
        <v>17.647058823529413</v>
      </c>
      <c r="Q56" s="723">
        <f t="shared" si="38"/>
        <v>23.762376237623762</v>
      </c>
      <c r="R56" s="855">
        <f t="shared" si="39"/>
        <v>8.3333333333333339</v>
      </c>
      <c r="S56" s="857">
        <f t="shared" si="40"/>
        <v>16.877637130801688</v>
      </c>
      <c r="T56" s="1010">
        <f t="shared" si="41"/>
        <v>10.615711252653927</v>
      </c>
      <c r="U56" s="1641">
        <f t="shared" si="42"/>
        <v>4.2735042735042743</v>
      </c>
      <c r="V56" s="1975">
        <f t="shared" si="43"/>
        <v>8.791208791208792</v>
      </c>
      <c r="W56" s="2033">
        <f t="shared" si="44"/>
        <v>13.605442176870747</v>
      </c>
      <c r="X56" s="2035">
        <f t="shared" si="45"/>
        <v>25.17162471395881</v>
      </c>
      <c r="Y56" s="2099">
        <f t="shared" si="21"/>
        <v>16.908212560386474</v>
      </c>
      <c r="Z56" s="2099"/>
      <c r="AA56" s="681">
        <v>22</v>
      </c>
      <c r="AB56" s="682">
        <v>19</v>
      </c>
      <c r="AC56" s="683">
        <v>23</v>
      </c>
      <c r="AD56" s="682">
        <v>25</v>
      </c>
      <c r="AE56" s="683">
        <v>20</v>
      </c>
      <c r="AF56" s="682">
        <v>12</v>
      </c>
      <c r="AG56" s="683">
        <v>16</v>
      </c>
      <c r="AH56" s="682">
        <v>13</v>
      </c>
      <c r="AI56" s="696">
        <v>11</v>
      </c>
      <c r="AJ56" s="696">
        <v>12</v>
      </c>
      <c r="AK56" s="696">
        <v>9</v>
      </c>
      <c r="AL56" s="696">
        <v>9</v>
      </c>
      <c r="AM56" s="697">
        <v>9</v>
      </c>
      <c r="AN56" s="697">
        <v>12</v>
      </c>
      <c r="AO56" s="848">
        <v>4</v>
      </c>
      <c r="AP56" s="849">
        <v>8</v>
      </c>
      <c r="AQ56" s="1005">
        <v>5</v>
      </c>
      <c r="AR56" s="1637">
        <v>2</v>
      </c>
      <c r="AS56" s="1971">
        <v>4</v>
      </c>
      <c r="AT56" s="1095">
        <v>6</v>
      </c>
      <c r="AU56" s="2020">
        <v>11</v>
      </c>
      <c r="AV56" s="1005">
        <v>7</v>
      </c>
      <c r="AW56" s="1005"/>
      <c r="AX56" s="704">
        <v>651</v>
      </c>
      <c r="AY56" s="705">
        <v>656</v>
      </c>
      <c r="AZ56" s="705">
        <v>639</v>
      </c>
      <c r="BA56" s="705">
        <v>651</v>
      </c>
      <c r="BB56" s="705">
        <v>638</v>
      </c>
      <c r="BC56" s="705">
        <v>627</v>
      </c>
      <c r="BD56" s="705">
        <v>598</v>
      </c>
      <c r="BE56" s="705">
        <v>557</v>
      </c>
      <c r="BF56" s="705">
        <v>532</v>
      </c>
      <c r="BG56" s="705">
        <v>531</v>
      </c>
      <c r="BH56" s="705">
        <v>512</v>
      </c>
      <c r="BI56" s="705">
        <v>494</v>
      </c>
      <c r="BJ56" s="705">
        <v>510</v>
      </c>
      <c r="BK56" s="705">
        <v>505</v>
      </c>
      <c r="BL56" s="851">
        <v>480</v>
      </c>
      <c r="BM56" s="852">
        <v>474</v>
      </c>
      <c r="BN56" s="1116">
        <v>471</v>
      </c>
      <c r="BO56" s="1634">
        <v>468</v>
      </c>
      <c r="BP56" s="1969">
        <v>455</v>
      </c>
      <c r="BQ56" s="1096">
        <v>441</v>
      </c>
      <c r="BR56" s="2022">
        <v>437</v>
      </c>
      <c r="BS56" s="1006">
        <v>414</v>
      </c>
      <c r="BU56" s="49">
        <f t="shared" si="22"/>
        <v>30</v>
      </c>
      <c r="BV56" s="49">
        <f t="shared" si="23"/>
        <v>2215</v>
      </c>
      <c r="BW56" s="2174">
        <f t="shared" si="24"/>
        <v>13.544018058690744</v>
      </c>
    </row>
    <row r="57" spans="1:75" s="49" customFormat="1" ht="15.75" customHeight="1" x14ac:dyDescent="0.3">
      <c r="A57" s="56" t="s">
        <v>129</v>
      </c>
      <c r="B57" s="84" t="s">
        <v>130</v>
      </c>
      <c r="C57" s="57" t="s">
        <v>255</v>
      </c>
      <c r="D57" s="722">
        <f t="shared" si="25"/>
        <v>31.726662599145818</v>
      </c>
      <c r="E57" s="723">
        <f t="shared" si="26"/>
        <v>25.673137132122733</v>
      </c>
      <c r="F57" s="723">
        <f t="shared" si="27"/>
        <v>24.135681669928243</v>
      </c>
      <c r="G57" s="723">
        <f t="shared" si="28"/>
        <v>18.604651162790699</v>
      </c>
      <c r="H57" s="723">
        <f t="shared" si="29"/>
        <v>20.72192513368984</v>
      </c>
      <c r="I57" s="723">
        <f t="shared" si="30"/>
        <v>21.985343104596936</v>
      </c>
      <c r="J57" s="723">
        <f t="shared" si="31"/>
        <v>25.435073627844712</v>
      </c>
      <c r="K57" s="723">
        <f t="shared" si="32"/>
        <v>24.882313382649631</v>
      </c>
      <c r="L57" s="723">
        <f t="shared" si="33"/>
        <v>28.030833917309039</v>
      </c>
      <c r="M57" s="723">
        <f t="shared" si="34"/>
        <v>36.179450072358897</v>
      </c>
      <c r="N57" s="723">
        <f t="shared" si="35"/>
        <v>27.570789865871834</v>
      </c>
      <c r="O57" s="723">
        <f t="shared" si="36"/>
        <v>28.030833917309039</v>
      </c>
      <c r="P57" s="723">
        <f t="shared" si="37"/>
        <v>28.925619834710744</v>
      </c>
      <c r="Q57" s="723">
        <f t="shared" si="38"/>
        <v>27.496382054992765</v>
      </c>
      <c r="R57" s="855">
        <f t="shared" si="39"/>
        <v>31.111111111111111</v>
      </c>
      <c r="S57" s="857">
        <f t="shared" si="40"/>
        <v>19.53125</v>
      </c>
      <c r="T57" s="1010">
        <f t="shared" si="41"/>
        <v>20.440251572327043</v>
      </c>
      <c r="U57" s="1641">
        <f t="shared" si="42"/>
        <v>30.278884462151396</v>
      </c>
      <c r="V57" s="1975">
        <f t="shared" si="43"/>
        <v>14.563106796116505</v>
      </c>
      <c r="W57" s="2033">
        <f t="shared" si="44"/>
        <v>18.760195758564436</v>
      </c>
      <c r="X57" s="2035">
        <f t="shared" si="45"/>
        <v>22.857142857142858</v>
      </c>
      <c r="Y57" s="2099">
        <f t="shared" si="21"/>
        <v>18.581081081081081</v>
      </c>
      <c r="Z57" s="2099"/>
      <c r="AA57" s="681">
        <v>52</v>
      </c>
      <c r="AB57" s="682">
        <v>41</v>
      </c>
      <c r="AC57" s="683">
        <v>37</v>
      </c>
      <c r="AD57" s="682">
        <v>28</v>
      </c>
      <c r="AE57" s="683">
        <v>31</v>
      </c>
      <c r="AF57" s="682">
        <v>33</v>
      </c>
      <c r="AG57" s="683">
        <v>38</v>
      </c>
      <c r="AH57" s="682">
        <v>37</v>
      </c>
      <c r="AI57" s="696">
        <v>40</v>
      </c>
      <c r="AJ57" s="696">
        <v>50</v>
      </c>
      <c r="AK57" s="696">
        <v>37</v>
      </c>
      <c r="AL57" s="696">
        <v>40</v>
      </c>
      <c r="AM57" s="697">
        <v>42</v>
      </c>
      <c r="AN57" s="697">
        <v>38</v>
      </c>
      <c r="AO57" s="848">
        <v>42</v>
      </c>
      <c r="AP57" s="849">
        <v>25</v>
      </c>
      <c r="AQ57" s="1005">
        <v>26</v>
      </c>
      <c r="AR57" s="1637">
        <v>38</v>
      </c>
      <c r="AS57" s="1971">
        <v>18</v>
      </c>
      <c r="AT57" s="1095">
        <v>23</v>
      </c>
      <c r="AU57" s="2020">
        <v>28</v>
      </c>
      <c r="AV57" s="1005">
        <v>22</v>
      </c>
      <c r="AW57" s="1005"/>
      <c r="AX57" s="704">
        <v>1639</v>
      </c>
      <c r="AY57" s="705">
        <v>1597</v>
      </c>
      <c r="AZ57" s="705">
        <v>1533</v>
      </c>
      <c r="BA57" s="705">
        <v>1505</v>
      </c>
      <c r="BB57" s="705">
        <v>1496</v>
      </c>
      <c r="BC57" s="705">
        <v>1501</v>
      </c>
      <c r="BD57" s="705">
        <v>1494</v>
      </c>
      <c r="BE57" s="705">
        <v>1487</v>
      </c>
      <c r="BF57" s="705">
        <v>1427</v>
      </c>
      <c r="BG57" s="705">
        <v>1382</v>
      </c>
      <c r="BH57" s="705">
        <v>1342</v>
      </c>
      <c r="BI57" s="705">
        <v>1427</v>
      </c>
      <c r="BJ57" s="705">
        <v>1452</v>
      </c>
      <c r="BK57" s="705">
        <v>1382</v>
      </c>
      <c r="BL57" s="851">
        <v>1350</v>
      </c>
      <c r="BM57" s="852">
        <v>1280</v>
      </c>
      <c r="BN57" s="1116">
        <v>1272</v>
      </c>
      <c r="BO57" s="1634">
        <v>1255</v>
      </c>
      <c r="BP57" s="1969">
        <v>1236</v>
      </c>
      <c r="BQ57" s="1096">
        <v>1226</v>
      </c>
      <c r="BR57" s="2022">
        <v>1225</v>
      </c>
      <c r="BS57" s="1006">
        <v>1184</v>
      </c>
      <c r="BU57" s="49">
        <f t="shared" si="22"/>
        <v>129</v>
      </c>
      <c r="BV57" s="49">
        <f t="shared" si="23"/>
        <v>6126</v>
      </c>
      <c r="BW57" s="2174">
        <f t="shared" si="24"/>
        <v>21.057786483839372</v>
      </c>
    </row>
    <row r="58" spans="1:75" s="49" customFormat="1" ht="15.75" customHeight="1" x14ac:dyDescent="0.3">
      <c r="A58" s="56" t="s">
        <v>131</v>
      </c>
      <c r="B58" s="84" t="s">
        <v>132</v>
      </c>
      <c r="C58" s="57" t="s">
        <v>254</v>
      </c>
      <c r="D58" s="722">
        <f t="shared" si="25"/>
        <v>12.896825396825395</v>
      </c>
      <c r="E58" s="723">
        <f t="shared" si="26"/>
        <v>14.752516200193023</v>
      </c>
      <c r="F58" s="723">
        <f t="shared" si="27"/>
        <v>10.003810975609756</v>
      </c>
      <c r="G58" s="723">
        <f t="shared" si="28"/>
        <v>7.5456389452332662</v>
      </c>
      <c r="H58" s="723">
        <f t="shared" si="29"/>
        <v>7.6301948292466104</v>
      </c>
      <c r="I58" s="723">
        <f t="shared" si="30"/>
        <v>5.9024750150915555</v>
      </c>
      <c r="J58" s="723">
        <f t="shared" si="31"/>
        <v>7.3809816705621847</v>
      </c>
      <c r="K58" s="723">
        <f t="shared" si="32"/>
        <v>6.8225552510350465</v>
      </c>
      <c r="L58" s="723">
        <f t="shared" si="33"/>
        <v>7.073736630637768</v>
      </c>
      <c r="M58" s="723">
        <f t="shared" si="34"/>
        <v>7.8914653261985839</v>
      </c>
      <c r="N58" s="723">
        <f t="shared" si="35"/>
        <v>5.6929924438463928</v>
      </c>
      <c r="O58" s="723">
        <f t="shared" si="36"/>
        <v>5.4393512337437571</v>
      </c>
      <c r="P58" s="723">
        <f t="shared" si="37"/>
        <v>4.3540033915394831</v>
      </c>
      <c r="Q58" s="723">
        <f t="shared" si="38"/>
        <v>3.5153905513161279</v>
      </c>
      <c r="R58" s="855">
        <f t="shared" si="39"/>
        <v>4.4653830397378131</v>
      </c>
      <c r="S58" s="857">
        <f t="shared" si="40"/>
        <v>3.2613283198403868</v>
      </c>
      <c r="T58" s="1010">
        <f t="shared" si="41"/>
        <v>3.052592865023906</v>
      </c>
      <c r="U58" s="1641">
        <f t="shared" si="42"/>
        <v>2.1562389536938849</v>
      </c>
      <c r="V58" s="1975">
        <f t="shared" si="43"/>
        <v>2.7440488440694244</v>
      </c>
      <c r="W58" s="2033">
        <f t="shared" si="44"/>
        <v>2.4003200426723561</v>
      </c>
      <c r="X58" s="2035">
        <f t="shared" si="45"/>
        <v>2.407704654895666</v>
      </c>
      <c r="Y58" s="2099">
        <f t="shared" si="21"/>
        <v>2.0300704180676266</v>
      </c>
      <c r="Z58" s="2099"/>
      <c r="AA58" s="681">
        <v>91</v>
      </c>
      <c r="AB58" s="682">
        <v>107</v>
      </c>
      <c r="AC58" s="683">
        <v>105</v>
      </c>
      <c r="AD58" s="682">
        <v>93</v>
      </c>
      <c r="AE58" s="683">
        <v>103</v>
      </c>
      <c r="AF58" s="682">
        <v>88</v>
      </c>
      <c r="AG58" s="683">
        <v>120</v>
      </c>
      <c r="AH58" s="682">
        <v>117</v>
      </c>
      <c r="AI58" s="696">
        <v>125</v>
      </c>
      <c r="AJ58" s="696">
        <v>146</v>
      </c>
      <c r="AK58" s="696">
        <v>110</v>
      </c>
      <c r="AL58" s="696">
        <v>110</v>
      </c>
      <c r="AM58" s="697">
        <v>95</v>
      </c>
      <c r="AN58" s="697">
        <v>82</v>
      </c>
      <c r="AO58" s="848">
        <v>109</v>
      </c>
      <c r="AP58" s="849">
        <v>85</v>
      </c>
      <c r="AQ58" s="1005">
        <v>83</v>
      </c>
      <c r="AR58" s="1637">
        <v>61</v>
      </c>
      <c r="AS58" s="1971">
        <v>80</v>
      </c>
      <c r="AT58" s="1095">
        <v>72</v>
      </c>
      <c r="AU58" s="2020">
        <v>75</v>
      </c>
      <c r="AV58" s="1005">
        <v>64</v>
      </c>
      <c r="AW58" s="1005"/>
      <c r="AX58" s="704">
        <v>7056</v>
      </c>
      <c r="AY58" s="705">
        <v>7253</v>
      </c>
      <c r="AZ58" s="705">
        <v>10496</v>
      </c>
      <c r="BA58" s="705">
        <v>12325</v>
      </c>
      <c r="BB58" s="705">
        <v>13499</v>
      </c>
      <c r="BC58" s="705">
        <v>14909</v>
      </c>
      <c r="BD58" s="705">
        <v>16258</v>
      </c>
      <c r="BE58" s="705">
        <v>17149</v>
      </c>
      <c r="BF58" s="705">
        <v>17671</v>
      </c>
      <c r="BG58" s="705">
        <v>18501</v>
      </c>
      <c r="BH58" s="705">
        <v>19322</v>
      </c>
      <c r="BI58" s="705">
        <v>20223</v>
      </c>
      <c r="BJ58" s="705">
        <v>21819</v>
      </c>
      <c r="BK58" s="705">
        <v>23326</v>
      </c>
      <c r="BL58" s="851">
        <v>24410</v>
      </c>
      <c r="BM58" s="852">
        <v>26063</v>
      </c>
      <c r="BN58" s="1116">
        <v>27190</v>
      </c>
      <c r="BO58" s="1634">
        <v>28290</v>
      </c>
      <c r="BP58" s="1969">
        <v>29154</v>
      </c>
      <c r="BQ58" s="1096">
        <v>29996</v>
      </c>
      <c r="BR58" s="2022">
        <v>31150</v>
      </c>
      <c r="BS58" s="1006">
        <v>31526</v>
      </c>
      <c r="BU58" s="49">
        <f t="shared" si="22"/>
        <v>352</v>
      </c>
      <c r="BV58" s="49">
        <f t="shared" si="23"/>
        <v>150116</v>
      </c>
      <c r="BW58" s="2174">
        <f t="shared" si="24"/>
        <v>2.3448533134376084</v>
      </c>
    </row>
    <row r="59" spans="1:75" s="49" customFormat="1" ht="15.75" customHeight="1" x14ac:dyDescent="0.3">
      <c r="A59" s="56" t="s">
        <v>133</v>
      </c>
      <c r="B59" s="84" t="s">
        <v>134</v>
      </c>
      <c r="C59" s="57" t="s">
        <v>254</v>
      </c>
      <c r="D59" s="722">
        <f t="shared" si="25"/>
        <v>35.594358629952985</v>
      </c>
      <c r="E59" s="723">
        <f t="shared" si="26"/>
        <v>27.851458885941646</v>
      </c>
      <c r="F59" s="723">
        <f t="shared" si="27"/>
        <v>27.46268656716418</v>
      </c>
      <c r="G59" s="723">
        <f t="shared" si="28"/>
        <v>25.996533795493935</v>
      </c>
      <c r="H59" s="723">
        <f t="shared" si="29"/>
        <v>22.333891680625349</v>
      </c>
      <c r="I59" s="723">
        <f t="shared" si="30"/>
        <v>19.978401727861769</v>
      </c>
      <c r="J59" s="723">
        <f t="shared" si="31"/>
        <v>19.128586609989373</v>
      </c>
      <c r="K59" s="723">
        <f t="shared" si="32"/>
        <v>19.341348667015161</v>
      </c>
      <c r="L59" s="723">
        <f t="shared" si="33"/>
        <v>24.312896405919663</v>
      </c>
      <c r="M59" s="723">
        <f t="shared" si="34"/>
        <v>21.656740660530588</v>
      </c>
      <c r="N59" s="723">
        <f t="shared" si="35"/>
        <v>21.26528442317916</v>
      </c>
      <c r="O59" s="723">
        <f t="shared" si="36"/>
        <v>17.206477732793523</v>
      </c>
      <c r="P59" s="723">
        <f t="shared" si="37"/>
        <v>20.5761316872428</v>
      </c>
      <c r="Q59" s="723">
        <f t="shared" si="38"/>
        <v>14.232999472851873</v>
      </c>
      <c r="R59" s="855">
        <f t="shared" si="39"/>
        <v>15.608180839612487</v>
      </c>
      <c r="S59" s="857">
        <f t="shared" si="40"/>
        <v>13.433637829124127</v>
      </c>
      <c r="T59" s="1010">
        <f t="shared" si="41"/>
        <v>13.192612137203167</v>
      </c>
      <c r="U59" s="1641">
        <f t="shared" si="42"/>
        <v>9.5389507154213025</v>
      </c>
      <c r="V59" s="1975">
        <f t="shared" si="43"/>
        <v>10.526315789473683</v>
      </c>
      <c r="W59" s="2033">
        <f t="shared" si="44"/>
        <v>5.6468172484599597</v>
      </c>
      <c r="X59" s="2035">
        <f t="shared" si="45"/>
        <v>8.9108910891089099</v>
      </c>
      <c r="Y59" s="2099">
        <f t="shared" si="21"/>
        <v>5.4187192118226601</v>
      </c>
      <c r="Z59" s="2099"/>
      <c r="AA59" s="681">
        <v>53</v>
      </c>
      <c r="AB59" s="682">
        <v>42</v>
      </c>
      <c r="AC59" s="683">
        <v>46</v>
      </c>
      <c r="AD59" s="682">
        <v>45</v>
      </c>
      <c r="AE59" s="683">
        <v>40</v>
      </c>
      <c r="AF59" s="682">
        <v>37</v>
      </c>
      <c r="AG59" s="683">
        <v>36</v>
      </c>
      <c r="AH59" s="682">
        <v>37</v>
      </c>
      <c r="AI59" s="696">
        <v>46</v>
      </c>
      <c r="AJ59" s="696">
        <v>40</v>
      </c>
      <c r="AK59" s="696">
        <v>40</v>
      </c>
      <c r="AL59" s="696">
        <v>34</v>
      </c>
      <c r="AM59" s="697">
        <v>40</v>
      </c>
      <c r="AN59" s="697">
        <v>27</v>
      </c>
      <c r="AO59" s="848">
        <v>29</v>
      </c>
      <c r="AP59" s="849">
        <v>25</v>
      </c>
      <c r="AQ59" s="1005">
        <v>25</v>
      </c>
      <c r="AR59" s="1637">
        <v>18</v>
      </c>
      <c r="AS59" s="1971">
        <v>20</v>
      </c>
      <c r="AT59" s="1095">
        <v>11</v>
      </c>
      <c r="AU59" s="2020">
        <v>18</v>
      </c>
      <c r="AV59" s="1005">
        <v>11</v>
      </c>
      <c r="AW59" s="1005"/>
      <c r="AX59" s="704">
        <v>1489</v>
      </c>
      <c r="AY59" s="705">
        <v>1508</v>
      </c>
      <c r="AZ59" s="705">
        <v>1675</v>
      </c>
      <c r="BA59" s="705">
        <v>1731</v>
      </c>
      <c r="BB59" s="705">
        <v>1791</v>
      </c>
      <c r="BC59" s="705">
        <v>1852</v>
      </c>
      <c r="BD59" s="705">
        <v>1882</v>
      </c>
      <c r="BE59" s="705">
        <v>1913</v>
      </c>
      <c r="BF59" s="705">
        <v>1892</v>
      </c>
      <c r="BG59" s="705">
        <v>1847</v>
      </c>
      <c r="BH59" s="705">
        <v>1881</v>
      </c>
      <c r="BI59" s="705">
        <v>1976</v>
      </c>
      <c r="BJ59" s="705">
        <v>1944</v>
      </c>
      <c r="BK59" s="705">
        <v>1897</v>
      </c>
      <c r="BL59" s="851">
        <v>1858</v>
      </c>
      <c r="BM59" s="852">
        <v>1861</v>
      </c>
      <c r="BN59" s="1116">
        <v>1895</v>
      </c>
      <c r="BO59" s="1634">
        <v>1887</v>
      </c>
      <c r="BP59" s="1969">
        <v>1900</v>
      </c>
      <c r="BQ59" s="1096">
        <v>1948</v>
      </c>
      <c r="BR59" s="2022">
        <v>2020</v>
      </c>
      <c r="BS59" s="1006">
        <v>2030</v>
      </c>
      <c r="BU59" s="49">
        <f t="shared" si="22"/>
        <v>78</v>
      </c>
      <c r="BV59" s="49">
        <f t="shared" si="23"/>
        <v>9785</v>
      </c>
      <c r="BW59" s="2174">
        <f t="shared" si="24"/>
        <v>7.97138477261114</v>
      </c>
    </row>
    <row r="60" spans="1:75" s="49" customFormat="1" ht="15.75" customHeight="1" x14ac:dyDescent="0.3">
      <c r="A60" s="56" t="s">
        <v>135</v>
      </c>
      <c r="B60" s="84" t="s">
        <v>136</v>
      </c>
      <c r="C60" s="57" t="s">
        <v>253</v>
      </c>
      <c r="D60" s="722">
        <f t="shared" si="25"/>
        <v>35.110533159947984</v>
      </c>
      <c r="E60" s="723">
        <f t="shared" si="26"/>
        <v>25.974025974025977</v>
      </c>
      <c r="F60" s="723">
        <f t="shared" si="27"/>
        <v>15.834348355663822</v>
      </c>
      <c r="G60" s="723">
        <f t="shared" si="28"/>
        <v>16.867469879518072</v>
      </c>
      <c r="H60" s="723">
        <f t="shared" si="29"/>
        <v>20.359281437125748</v>
      </c>
      <c r="I60" s="723">
        <f t="shared" si="30"/>
        <v>24.844720496894407</v>
      </c>
      <c r="J60" s="723">
        <f t="shared" si="31"/>
        <v>22.95918367346939</v>
      </c>
      <c r="K60" s="723">
        <f t="shared" si="32"/>
        <v>36.662452591656134</v>
      </c>
      <c r="L60" s="723">
        <f t="shared" si="33"/>
        <v>32.042723631508679</v>
      </c>
      <c r="M60" s="723">
        <f t="shared" si="34"/>
        <v>24.390243902439025</v>
      </c>
      <c r="N60" s="723">
        <f t="shared" si="35"/>
        <v>28.400597907324364</v>
      </c>
      <c r="O60" s="723">
        <f t="shared" si="36"/>
        <v>23.738872403560833</v>
      </c>
      <c r="P60" s="723">
        <f t="shared" si="37"/>
        <v>30.478955007256896</v>
      </c>
      <c r="Q60" s="723">
        <f t="shared" si="38"/>
        <v>24.169184290030213</v>
      </c>
      <c r="R60" s="855">
        <f t="shared" si="39"/>
        <v>33.742331288343557</v>
      </c>
      <c r="S60" s="857">
        <f t="shared" si="40"/>
        <v>11.164274322169058</v>
      </c>
      <c r="T60" s="1010">
        <f t="shared" si="41"/>
        <v>13.953488372093023</v>
      </c>
      <c r="U60" s="1641">
        <f t="shared" si="42"/>
        <v>15.948963317384369</v>
      </c>
      <c r="V60" s="1975">
        <f t="shared" si="43"/>
        <v>14.195583596214512</v>
      </c>
      <c r="W60" s="2033">
        <f t="shared" si="44"/>
        <v>20.472440944881889</v>
      </c>
      <c r="X60" s="2035">
        <f t="shared" si="45"/>
        <v>10.050251256281408</v>
      </c>
      <c r="Y60" s="2099">
        <f t="shared" si="21"/>
        <v>4.9261083743842367</v>
      </c>
      <c r="Z60" s="2099"/>
      <c r="AA60" s="681">
        <v>27</v>
      </c>
      <c r="AB60" s="682">
        <v>20</v>
      </c>
      <c r="AC60" s="683">
        <v>13</v>
      </c>
      <c r="AD60" s="682">
        <v>14</v>
      </c>
      <c r="AE60" s="683">
        <v>17</v>
      </c>
      <c r="AF60" s="682">
        <v>20</v>
      </c>
      <c r="AG60" s="683">
        <v>18</v>
      </c>
      <c r="AH60" s="682">
        <v>29</v>
      </c>
      <c r="AI60" s="696">
        <v>24</v>
      </c>
      <c r="AJ60" s="696">
        <v>17</v>
      </c>
      <c r="AK60" s="696">
        <v>19</v>
      </c>
      <c r="AL60" s="696">
        <v>16</v>
      </c>
      <c r="AM60" s="697">
        <v>21</v>
      </c>
      <c r="AN60" s="697">
        <v>16</v>
      </c>
      <c r="AO60" s="848">
        <v>22</v>
      </c>
      <c r="AP60" s="849">
        <v>7</v>
      </c>
      <c r="AQ60" s="1005">
        <v>9</v>
      </c>
      <c r="AR60" s="1637">
        <v>10</v>
      </c>
      <c r="AS60" s="1971">
        <v>9</v>
      </c>
      <c r="AT60" s="1095">
        <v>13</v>
      </c>
      <c r="AU60" s="2020">
        <v>6</v>
      </c>
      <c r="AV60" s="1005">
        <v>3</v>
      </c>
      <c r="AW60" s="1005"/>
      <c r="AX60" s="704">
        <v>769</v>
      </c>
      <c r="AY60" s="705">
        <v>770</v>
      </c>
      <c r="AZ60" s="705">
        <v>821</v>
      </c>
      <c r="BA60" s="705">
        <v>830</v>
      </c>
      <c r="BB60" s="705">
        <v>835</v>
      </c>
      <c r="BC60" s="705">
        <v>805</v>
      </c>
      <c r="BD60" s="705">
        <v>784</v>
      </c>
      <c r="BE60" s="705">
        <v>791</v>
      </c>
      <c r="BF60" s="705">
        <v>749</v>
      </c>
      <c r="BG60" s="705">
        <v>697</v>
      </c>
      <c r="BH60" s="705">
        <v>669</v>
      </c>
      <c r="BI60" s="705">
        <v>674</v>
      </c>
      <c r="BJ60" s="705">
        <v>689</v>
      </c>
      <c r="BK60" s="705">
        <v>662</v>
      </c>
      <c r="BL60" s="851">
        <v>652</v>
      </c>
      <c r="BM60" s="852">
        <v>627</v>
      </c>
      <c r="BN60" s="1116">
        <v>645</v>
      </c>
      <c r="BO60" s="1634">
        <v>627</v>
      </c>
      <c r="BP60" s="1969">
        <v>634</v>
      </c>
      <c r="BQ60" s="1096">
        <v>635</v>
      </c>
      <c r="BR60" s="2022">
        <v>597</v>
      </c>
      <c r="BS60" s="1006">
        <v>609</v>
      </c>
      <c r="BU60" s="49">
        <f t="shared" si="22"/>
        <v>41</v>
      </c>
      <c r="BV60" s="49">
        <f t="shared" si="23"/>
        <v>3102</v>
      </c>
      <c r="BW60" s="2174">
        <f t="shared" si="24"/>
        <v>13.217279174725984</v>
      </c>
    </row>
    <row r="61" spans="1:75" s="49" customFormat="1" ht="15.75" customHeight="1" x14ac:dyDescent="0.3">
      <c r="A61" s="56" t="s">
        <v>139</v>
      </c>
      <c r="B61" s="84" t="s">
        <v>140</v>
      </c>
      <c r="C61" s="57" t="s">
        <v>254</v>
      </c>
      <c r="D61" s="722">
        <f t="shared" si="25"/>
        <v>8.9988751406074243</v>
      </c>
      <c r="E61" s="723">
        <f t="shared" si="26"/>
        <v>16.62971175166297</v>
      </c>
      <c r="F61" s="723">
        <f t="shared" si="27"/>
        <v>17.221584385763489</v>
      </c>
      <c r="G61" s="723">
        <f t="shared" si="28"/>
        <v>25.69832402234637</v>
      </c>
      <c r="H61" s="723">
        <f t="shared" si="29"/>
        <v>8.791208791208792</v>
      </c>
      <c r="I61" s="723">
        <f t="shared" si="30"/>
        <v>13.071895424836601</v>
      </c>
      <c r="J61" s="723">
        <f t="shared" si="31"/>
        <v>17.621145374449341</v>
      </c>
      <c r="K61" s="723">
        <f t="shared" si="32"/>
        <v>22.172949002217297</v>
      </c>
      <c r="L61" s="723">
        <f t="shared" si="33"/>
        <v>22.624434389140269</v>
      </c>
      <c r="M61" s="723">
        <f t="shared" si="34"/>
        <v>16</v>
      </c>
      <c r="N61" s="723">
        <f t="shared" si="35"/>
        <v>16.222479721900346</v>
      </c>
      <c r="O61" s="723">
        <f t="shared" si="36"/>
        <v>14.590347923681257</v>
      </c>
      <c r="P61" s="723">
        <f t="shared" si="37"/>
        <v>10.791366906474821</v>
      </c>
      <c r="Q61" s="723">
        <f t="shared" si="38"/>
        <v>9.6735187424425622</v>
      </c>
      <c r="R61" s="855">
        <f t="shared" si="39"/>
        <v>13.126491646778042</v>
      </c>
      <c r="S61" s="857">
        <f t="shared" si="40"/>
        <v>4.8076923076923084</v>
      </c>
      <c r="T61" s="1010">
        <f t="shared" si="41"/>
        <v>1.1848341232227488</v>
      </c>
      <c r="U61" s="1641">
        <f t="shared" si="42"/>
        <v>6.0975609756097562</v>
      </c>
      <c r="V61" s="1975">
        <f t="shared" si="43"/>
        <v>14.652014652014651</v>
      </c>
      <c r="W61" s="2033">
        <f t="shared" si="44"/>
        <v>8.8607594936708871</v>
      </c>
      <c r="X61" s="2035">
        <f t="shared" si="45"/>
        <v>4.9443757725587139</v>
      </c>
      <c r="Y61" s="2099">
        <f t="shared" si="21"/>
        <v>10.32258064516129</v>
      </c>
      <c r="Z61" s="2099"/>
      <c r="AA61" s="681">
        <v>8</v>
      </c>
      <c r="AB61" s="682">
        <v>15</v>
      </c>
      <c r="AC61" s="683">
        <v>15</v>
      </c>
      <c r="AD61" s="682">
        <v>23</v>
      </c>
      <c r="AE61" s="683">
        <v>8</v>
      </c>
      <c r="AF61" s="682">
        <v>12</v>
      </c>
      <c r="AG61" s="683">
        <v>16</v>
      </c>
      <c r="AH61" s="682">
        <v>20</v>
      </c>
      <c r="AI61" s="696">
        <v>20</v>
      </c>
      <c r="AJ61" s="696">
        <v>14</v>
      </c>
      <c r="AK61" s="696">
        <v>14</v>
      </c>
      <c r="AL61" s="696">
        <v>13</v>
      </c>
      <c r="AM61" s="697">
        <v>9</v>
      </c>
      <c r="AN61" s="697">
        <v>8</v>
      </c>
      <c r="AO61" s="848">
        <v>11</v>
      </c>
      <c r="AP61" s="849">
        <v>4</v>
      </c>
      <c r="AQ61" s="1005">
        <v>1</v>
      </c>
      <c r="AR61" s="1637">
        <v>5</v>
      </c>
      <c r="AS61" s="1971">
        <v>12</v>
      </c>
      <c r="AT61" s="1095">
        <v>7</v>
      </c>
      <c r="AU61" s="2020">
        <v>4</v>
      </c>
      <c r="AV61" s="1005">
        <v>8</v>
      </c>
      <c r="AW61" s="1005"/>
      <c r="AX61" s="704">
        <v>889</v>
      </c>
      <c r="AY61" s="705">
        <v>902</v>
      </c>
      <c r="AZ61" s="705">
        <v>871</v>
      </c>
      <c r="BA61" s="705">
        <v>895</v>
      </c>
      <c r="BB61" s="705">
        <v>910</v>
      </c>
      <c r="BC61" s="705">
        <v>918</v>
      </c>
      <c r="BD61" s="705">
        <v>908</v>
      </c>
      <c r="BE61" s="705">
        <v>902</v>
      </c>
      <c r="BF61" s="705">
        <v>884</v>
      </c>
      <c r="BG61" s="705">
        <v>875</v>
      </c>
      <c r="BH61" s="705">
        <v>863</v>
      </c>
      <c r="BI61" s="705">
        <v>891</v>
      </c>
      <c r="BJ61" s="705">
        <v>834</v>
      </c>
      <c r="BK61" s="705">
        <v>827</v>
      </c>
      <c r="BL61" s="851">
        <v>838</v>
      </c>
      <c r="BM61" s="852">
        <v>832</v>
      </c>
      <c r="BN61" s="1116">
        <v>844</v>
      </c>
      <c r="BO61" s="1634">
        <v>820</v>
      </c>
      <c r="BP61" s="1969">
        <v>819</v>
      </c>
      <c r="BQ61" s="1096">
        <v>790</v>
      </c>
      <c r="BR61" s="2022">
        <v>809</v>
      </c>
      <c r="BS61" s="1006">
        <v>775</v>
      </c>
      <c r="BU61" s="49">
        <f t="shared" si="22"/>
        <v>36</v>
      </c>
      <c r="BV61" s="49">
        <f t="shared" si="23"/>
        <v>4013</v>
      </c>
      <c r="BW61" s="2174">
        <f t="shared" si="24"/>
        <v>8.9708447545477199</v>
      </c>
    </row>
    <row r="62" spans="1:75" s="49" customFormat="1" ht="15.75" customHeight="1" x14ac:dyDescent="0.3">
      <c r="A62" s="56" t="s">
        <v>145</v>
      </c>
      <c r="B62" s="84" t="s">
        <v>146</v>
      </c>
      <c r="C62" s="57" t="s">
        <v>251</v>
      </c>
      <c r="D62" s="722">
        <f t="shared" si="25"/>
        <v>19.801980198019802</v>
      </c>
      <c r="E62" s="723">
        <f t="shared" si="26"/>
        <v>9.7847358121330714</v>
      </c>
      <c r="F62" s="723">
        <f t="shared" si="27"/>
        <v>19.230769230769234</v>
      </c>
      <c r="G62" s="723">
        <f t="shared" si="28"/>
        <v>13.084112149532711</v>
      </c>
      <c r="H62" s="723">
        <f t="shared" si="29"/>
        <v>15.0093808630394</v>
      </c>
      <c r="I62" s="723">
        <f t="shared" si="30"/>
        <v>11.428571428571429</v>
      </c>
      <c r="J62" s="723">
        <f t="shared" si="31"/>
        <v>9.4696969696969706</v>
      </c>
      <c r="K62" s="723">
        <f t="shared" si="32"/>
        <v>11.76470588235294</v>
      </c>
      <c r="L62" s="723">
        <f t="shared" si="33"/>
        <v>17.475728155339805</v>
      </c>
      <c r="M62" s="723">
        <f t="shared" si="34"/>
        <v>10.351966873706004</v>
      </c>
      <c r="N62" s="723">
        <f t="shared" si="35"/>
        <v>18.556701030927837</v>
      </c>
      <c r="O62" s="723">
        <f t="shared" si="36"/>
        <v>9.8231827111984273</v>
      </c>
      <c r="P62" s="723">
        <f t="shared" si="37"/>
        <v>3.9840637450199203</v>
      </c>
      <c r="Q62" s="723">
        <f t="shared" si="38"/>
        <v>10.020040080160321</v>
      </c>
      <c r="R62" s="855">
        <f t="shared" si="39"/>
        <v>3.9840637450199203</v>
      </c>
      <c r="S62" s="857">
        <f t="shared" si="40"/>
        <v>5.8939096267190569</v>
      </c>
      <c r="T62" s="1010">
        <f t="shared" si="41"/>
        <v>17.094017094017097</v>
      </c>
      <c r="U62" s="1641">
        <f t="shared" si="42"/>
        <v>0</v>
      </c>
      <c r="V62" s="1975">
        <f t="shared" si="43"/>
        <v>0</v>
      </c>
      <c r="W62" s="2033">
        <f t="shared" si="44"/>
        <v>8.9887640449438209</v>
      </c>
      <c r="X62" s="2035">
        <f t="shared" si="45"/>
        <v>2.2624434389140275</v>
      </c>
      <c r="Y62" s="2099">
        <f t="shared" si="21"/>
        <v>7.2115384615384617</v>
      </c>
      <c r="Z62" s="2099"/>
      <c r="AA62" s="681">
        <v>10</v>
      </c>
      <c r="AB62" s="682">
        <v>5</v>
      </c>
      <c r="AC62" s="683">
        <v>10</v>
      </c>
      <c r="AD62" s="682">
        <v>7</v>
      </c>
      <c r="AE62" s="683">
        <v>8</v>
      </c>
      <c r="AF62" s="682">
        <v>6</v>
      </c>
      <c r="AG62" s="683">
        <v>5</v>
      </c>
      <c r="AH62" s="682">
        <v>6</v>
      </c>
      <c r="AI62" s="696">
        <v>9</v>
      </c>
      <c r="AJ62" s="696">
        <v>5</v>
      </c>
      <c r="AK62" s="696">
        <v>9</v>
      </c>
      <c r="AL62" s="696">
        <v>5</v>
      </c>
      <c r="AM62" s="697">
        <v>2</v>
      </c>
      <c r="AN62" s="697">
        <v>5</v>
      </c>
      <c r="AO62" s="848">
        <v>2</v>
      </c>
      <c r="AP62" s="849">
        <v>3</v>
      </c>
      <c r="AQ62" s="1005">
        <v>8</v>
      </c>
      <c r="AR62" s="1637">
        <v>0</v>
      </c>
      <c r="AS62" s="1971"/>
      <c r="AT62" s="1095">
        <v>4</v>
      </c>
      <c r="AU62" s="2020">
        <v>1</v>
      </c>
      <c r="AV62" s="1005">
        <v>3</v>
      </c>
      <c r="AW62" s="1005"/>
      <c r="AX62" s="704">
        <v>505</v>
      </c>
      <c r="AY62" s="705">
        <v>511</v>
      </c>
      <c r="AZ62" s="705">
        <v>520</v>
      </c>
      <c r="BA62" s="705">
        <v>535</v>
      </c>
      <c r="BB62" s="705">
        <v>533</v>
      </c>
      <c r="BC62" s="705">
        <v>525</v>
      </c>
      <c r="BD62" s="705">
        <v>528</v>
      </c>
      <c r="BE62" s="705">
        <v>510</v>
      </c>
      <c r="BF62" s="705">
        <v>515</v>
      </c>
      <c r="BG62" s="705">
        <v>483</v>
      </c>
      <c r="BH62" s="705">
        <v>485</v>
      </c>
      <c r="BI62" s="705">
        <v>509</v>
      </c>
      <c r="BJ62" s="705">
        <v>502</v>
      </c>
      <c r="BK62" s="705">
        <v>499</v>
      </c>
      <c r="BL62" s="851">
        <v>502</v>
      </c>
      <c r="BM62" s="852">
        <v>509</v>
      </c>
      <c r="BN62" s="1116">
        <v>468</v>
      </c>
      <c r="BO62" s="1634">
        <v>471</v>
      </c>
      <c r="BP62" s="1969">
        <v>452</v>
      </c>
      <c r="BQ62" s="1096">
        <v>445</v>
      </c>
      <c r="BR62" s="2022">
        <v>442</v>
      </c>
      <c r="BS62" s="1006">
        <v>416</v>
      </c>
      <c r="BU62" s="49">
        <f t="shared" si="22"/>
        <v>8</v>
      </c>
      <c r="BV62" s="49">
        <f t="shared" si="23"/>
        <v>2226</v>
      </c>
      <c r="BW62" s="2174">
        <f t="shared" si="24"/>
        <v>3.5938903863432166</v>
      </c>
    </row>
    <row r="63" spans="1:75" s="49" customFormat="1" ht="15.75" customHeight="1" x14ac:dyDescent="0.3">
      <c r="A63" s="56" t="s">
        <v>147</v>
      </c>
      <c r="B63" s="84" t="s">
        <v>148</v>
      </c>
      <c r="C63" s="57" t="s">
        <v>252</v>
      </c>
      <c r="D63" s="722">
        <f t="shared" si="25"/>
        <v>39.660056657223798</v>
      </c>
      <c r="E63" s="723">
        <f t="shared" si="26"/>
        <v>32.627361190612476</v>
      </c>
      <c r="F63" s="723">
        <f t="shared" si="27"/>
        <v>26.329113924050631</v>
      </c>
      <c r="G63" s="723">
        <f t="shared" si="28"/>
        <v>28.386454183266931</v>
      </c>
      <c r="H63" s="723">
        <f t="shared" si="29"/>
        <v>29.516539440203562</v>
      </c>
      <c r="I63" s="723">
        <f t="shared" si="30"/>
        <v>32.175689479060267</v>
      </c>
      <c r="J63" s="723">
        <f t="shared" si="31"/>
        <v>22.302904564315352</v>
      </c>
      <c r="K63" s="723">
        <f t="shared" si="32"/>
        <v>23.171987641606592</v>
      </c>
      <c r="L63" s="723">
        <f t="shared" si="33"/>
        <v>22.57217847769029</v>
      </c>
      <c r="M63" s="723">
        <f t="shared" si="34"/>
        <v>19.839142091152816</v>
      </c>
      <c r="N63" s="723">
        <f t="shared" si="35"/>
        <v>28.993435448577682</v>
      </c>
      <c r="O63" s="723">
        <f t="shared" si="36"/>
        <v>27.808676307007786</v>
      </c>
      <c r="P63" s="723">
        <f t="shared" si="37"/>
        <v>19.607843137254903</v>
      </c>
      <c r="Q63" s="723">
        <f t="shared" si="38"/>
        <v>18.141836173721828</v>
      </c>
      <c r="R63" s="855">
        <f t="shared" si="39"/>
        <v>19.673974142776839</v>
      </c>
      <c r="S63" s="857">
        <f t="shared" si="40"/>
        <v>13.009049773755656</v>
      </c>
      <c r="T63" s="1010">
        <f t="shared" si="41"/>
        <v>17.271157167530223</v>
      </c>
      <c r="U63" s="1641">
        <f t="shared" si="42"/>
        <v>13.264129181084199</v>
      </c>
      <c r="V63" s="1975">
        <f t="shared" si="43"/>
        <v>12.382075471698114</v>
      </c>
      <c r="W63" s="2033">
        <f t="shared" si="44"/>
        <v>11.599511599511599</v>
      </c>
      <c r="X63" s="2035">
        <f t="shared" si="45"/>
        <v>11.200995644057251</v>
      </c>
      <c r="Y63" s="2099">
        <f t="shared" si="21"/>
        <v>9.5057034220532319</v>
      </c>
      <c r="Z63" s="2099"/>
      <c r="AA63" s="681">
        <v>70</v>
      </c>
      <c r="AB63" s="682">
        <v>57</v>
      </c>
      <c r="AC63" s="683">
        <v>52</v>
      </c>
      <c r="AD63" s="682">
        <v>57</v>
      </c>
      <c r="AE63" s="683">
        <v>58</v>
      </c>
      <c r="AF63" s="682">
        <v>63</v>
      </c>
      <c r="AG63" s="683">
        <v>43</v>
      </c>
      <c r="AH63" s="682">
        <v>45</v>
      </c>
      <c r="AI63" s="696">
        <v>43</v>
      </c>
      <c r="AJ63" s="696">
        <v>37</v>
      </c>
      <c r="AK63" s="696">
        <v>53</v>
      </c>
      <c r="AL63" s="696">
        <v>50</v>
      </c>
      <c r="AM63" s="697">
        <v>36</v>
      </c>
      <c r="AN63" s="697">
        <v>33</v>
      </c>
      <c r="AO63" s="848">
        <v>35</v>
      </c>
      <c r="AP63" s="849">
        <v>23</v>
      </c>
      <c r="AQ63" s="1005">
        <v>30</v>
      </c>
      <c r="AR63" s="1637">
        <v>23</v>
      </c>
      <c r="AS63" s="1971">
        <v>21</v>
      </c>
      <c r="AT63" s="1095">
        <v>19</v>
      </c>
      <c r="AU63" s="2020">
        <v>18</v>
      </c>
      <c r="AV63" s="1005">
        <v>15</v>
      </c>
      <c r="AW63" s="1005"/>
      <c r="AX63" s="704">
        <v>1765</v>
      </c>
      <c r="AY63" s="705">
        <v>1747</v>
      </c>
      <c r="AZ63" s="705">
        <v>1975</v>
      </c>
      <c r="BA63" s="705">
        <v>2008</v>
      </c>
      <c r="BB63" s="705">
        <v>1965</v>
      </c>
      <c r="BC63" s="705">
        <v>1958</v>
      </c>
      <c r="BD63" s="705">
        <v>1928</v>
      </c>
      <c r="BE63" s="705">
        <v>1942</v>
      </c>
      <c r="BF63" s="705">
        <v>1905</v>
      </c>
      <c r="BG63" s="705">
        <v>1865</v>
      </c>
      <c r="BH63" s="705">
        <v>1828</v>
      </c>
      <c r="BI63" s="705">
        <v>1798</v>
      </c>
      <c r="BJ63" s="705">
        <v>1836</v>
      </c>
      <c r="BK63" s="705">
        <v>1819</v>
      </c>
      <c r="BL63" s="851">
        <v>1779</v>
      </c>
      <c r="BM63" s="852">
        <v>1768</v>
      </c>
      <c r="BN63" s="1116">
        <v>1737</v>
      </c>
      <c r="BO63" s="1634">
        <v>1734</v>
      </c>
      <c r="BP63" s="1969">
        <v>1696</v>
      </c>
      <c r="BQ63" s="1096">
        <v>1638</v>
      </c>
      <c r="BR63" s="2022">
        <v>1607</v>
      </c>
      <c r="BS63" s="1006">
        <v>1578</v>
      </c>
      <c r="BU63" s="49">
        <f t="shared" si="22"/>
        <v>96</v>
      </c>
      <c r="BV63" s="49">
        <f t="shared" si="23"/>
        <v>8253</v>
      </c>
      <c r="BW63" s="2174">
        <f t="shared" si="24"/>
        <v>11.632133769538349</v>
      </c>
    </row>
    <row r="64" spans="1:75" s="49" customFormat="1" ht="15.75" customHeight="1" x14ac:dyDescent="0.3">
      <c r="A64" s="56" t="s">
        <v>149</v>
      </c>
      <c r="B64" s="84" t="s">
        <v>150</v>
      </c>
      <c r="C64" s="57" t="s">
        <v>253</v>
      </c>
      <c r="D64" s="722">
        <f t="shared" si="25"/>
        <v>19.193857965451055</v>
      </c>
      <c r="E64" s="723">
        <f t="shared" si="26"/>
        <v>30.188679245283019</v>
      </c>
      <c r="F64" s="723">
        <f t="shared" si="27"/>
        <v>8.5763293310463133</v>
      </c>
      <c r="G64" s="723">
        <f t="shared" si="28"/>
        <v>19.900497512437809</v>
      </c>
      <c r="H64" s="723">
        <f t="shared" si="29"/>
        <v>17.79935275080906</v>
      </c>
      <c r="I64" s="723">
        <f t="shared" si="30"/>
        <v>20.967741935483872</v>
      </c>
      <c r="J64" s="723">
        <f t="shared" si="31"/>
        <v>11.363636363636363</v>
      </c>
      <c r="K64" s="723">
        <f t="shared" si="32"/>
        <v>14.900662251655628</v>
      </c>
      <c r="L64" s="723">
        <f t="shared" si="33"/>
        <v>11.804384485666104</v>
      </c>
      <c r="M64" s="723">
        <f t="shared" si="34"/>
        <v>30.249110320284696</v>
      </c>
      <c r="N64" s="723">
        <f t="shared" si="35"/>
        <v>14.652014652014651</v>
      </c>
      <c r="O64" s="723">
        <f t="shared" si="36"/>
        <v>17.274472168905952</v>
      </c>
      <c r="P64" s="723">
        <f t="shared" si="37"/>
        <v>11.976047904191617</v>
      </c>
      <c r="Q64" s="723">
        <f t="shared" si="38"/>
        <v>12.145748987854251</v>
      </c>
      <c r="R64" s="855">
        <f t="shared" si="39"/>
        <v>8.4745762711864412</v>
      </c>
      <c r="S64" s="857">
        <f t="shared" si="40"/>
        <v>21.786492374727668</v>
      </c>
      <c r="T64" s="1010">
        <f t="shared" si="41"/>
        <v>15.021459227467812</v>
      </c>
      <c r="U64" s="1641">
        <f t="shared" si="42"/>
        <v>23.605150214592275</v>
      </c>
      <c r="V64" s="1975">
        <f t="shared" si="43"/>
        <v>8.565310492505354</v>
      </c>
      <c r="W64" s="2033">
        <f t="shared" si="44"/>
        <v>8.6393088552915778</v>
      </c>
      <c r="X64" s="2035">
        <f t="shared" si="45"/>
        <v>2.0325203252032522</v>
      </c>
      <c r="Y64" s="2099">
        <f t="shared" si="21"/>
        <v>8.565310492505354</v>
      </c>
      <c r="Z64" s="2099"/>
      <c r="AA64" s="681">
        <v>10</v>
      </c>
      <c r="AB64" s="682">
        <v>16</v>
      </c>
      <c r="AC64" s="683">
        <v>5</v>
      </c>
      <c r="AD64" s="682">
        <v>12</v>
      </c>
      <c r="AE64" s="683">
        <v>11</v>
      </c>
      <c r="AF64" s="682">
        <v>13</v>
      </c>
      <c r="AG64" s="683">
        <v>7</v>
      </c>
      <c r="AH64" s="682">
        <v>9</v>
      </c>
      <c r="AI64" s="696">
        <v>7</v>
      </c>
      <c r="AJ64" s="696">
        <v>17</v>
      </c>
      <c r="AK64" s="696">
        <v>8</v>
      </c>
      <c r="AL64" s="696">
        <v>9</v>
      </c>
      <c r="AM64" s="697">
        <v>6</v>
      </c>
      <c r="AN64" s="697">
        <v>6</v>
      </c>
      <c r="AO64" s="848">
        <v>4</v>
      </c>
      <c r="AP64" s="849">
        <v>10</v>
      </c>
      <c r="AQ64" s="1005">
        <v>7</v>
      </c>
      <c r="AR64" s="1637">
        <v>11</v>
      </c>
      <c r="AS64" s="1971">
        <v>4</v>
      </c>
      <c r="AT64" s="1095">
        <v>4</v>
      </c>
      <c r="AU64" s="2020">
        <v>1</v>
      </c>
      <c r="AV64" s="1005">
        <v>4</v>
      </c>
      <c r="AW64" s="1005"/>
      <c r="AX64" s="704">
        <v>521</v>
      </c>
      <c r="AY64" s="705">
        <v>530</v>
      </c>
      <c r="AZ64" s="705">
        <v>583</v>
      </c>
      <c r="BA64" s="705">
        <v>603</v>
      </c>
      <c r="BB64" s="705">
        <v>618</v>
      </c>
      <c r="BC64" s="705">
        <v>620</v>
      </c>
      <c r="BD64" s="705">
        <v>616</v>
      </c>
      <c r="BE64" s="705">
        <v>604</v>
      </c>
      <c r="BF64" s="705">
        <v>593</v>
      </c>
      <c r="BG64" s="705">
        <v>562</v>
      </c>
      <c r="BH64" s="705">
        <v>546</v>
      </c>
      <c r="BI64" s="705">
        <v>521</v>
      </c>
      <c r="BJ64" s="705">
        <v>501</v>
      </c>
      <c r="BK64" s="705">
        <v>494</v>
      </c>
      <c r="BL64" s="851">
        <v>472</v>
      </c>
      <c r="BM64" s="852">
        <v>459</v>
      </c>
      <c r="BN64" s="1116">
        <v>466</v>
      </c>
      <c r="BO64" s="1634">
        <v>466</v>
      </c>
      <c r="BP64" s="1969">
        <v>467</v>
      </c>
      <c r="BQ64" s="1096">
        <v>463</v>
      </c>
      <c r="BR64" s="2022">
        <v>492</v>
      </c>
      <c r="BS64" s="1006">
        <v>467</v>
      </c>
      <c r="BU64" s="49">
        <f t="shared" si="22"/>
        <v>24</v>
      </c>
      <c r="BV64" s="49">
        <f t="shared" si="23"/>
        <v>2355</v>
      </c>
      <c r="BW64" s="2174">
        <f t="shared" si="24"/>
        <v>10.19108280254777</v>
      </c>
    </row>
    <row r="65" spans="1:75" s="49" customFormat="1" ht="15.75" customHeight="1" x14ac:dyDescent="0.3">
      <c r="A65" s="56" t="s">
        <v>151</v>
      </c>
      <c r="B65" s="84" t="s">
        <v>152</v>
      </c>
      <c r="C65" s="57" t="s">
        <v>255</v>
      </c>
      <c r="D65" s="722">
        <f t="shared" si="25"/>
        <v>9.0146098849860117</v>
      </c>
      <c r="E65" s="723">
        <f t="shared" si="26"/>
        <v>10.955099521678754</v>
      </c>
      <c r="F65" s="723">
        <f t="shared" si="27"/>
        <v>14.073963168138942</v>
      </c>
      <c r="G65" s="723">
        <f t="shared" si="28"/>
        <v>8.6164851243700209</v>
      </c>
      <c r="H65" s="723">
        <f t="shared" si="29"/>
        <v>9.0894335335172869</v>
      </c>
      <c r="I65" s="723">
        <f t="shared" si="30"/>
        <v>11.138819617622611</v>
      </c>
      <c r="J65" s="723">
        <f t="shared" si="31"/>
        <v>12.525050100200401</v>
      </c>
      <c r="K65" s="723">
        <f t="shared" si="32"/>
        <v>12.914540816326531</v>
      </c>
      <c r="L65" s="723">
        <f t="shared" si="33"/>
        <v>7.4774912253929502</v>
      </c>
      <c r="M65" s="723">
        <f t="shared" si="34"/>
        <v>11.619355787615826</v>
      </c>
      <c r="N65" s="723">
        <f t="shared" si="35"/>
        <v>15.393552134766193</v>
      </c>
      <c r="O65" s="723">
        <f t="shared" si="36"/>
        <v>9.2553639040807738</v>
      </c>
      <c r="P65" s="723">
        <f t="shared" si="37"/>
        <v>8.1978412351414125</v>
      </c>
      <c r="Q65" s="723">
        <f t="shared" si="38"/>
        <v>7.1871476888387829</v>
      </c>
      <c r="R65" s="855">
        <f t="shared" si="39"/>
        <v>7.9917122983572586</v>
      </c>
      <c r="S65" s="857">
        <f t="shared" si="40"/>
        <v>8.099508244142319</v>
      </c>
      <c r="T65" s="1010">
        <f t="shared" si="41"/>
        <v>7.9756380510440836</v>
      </c>
      <c r="U65" s="1641">
        <f t="shared" si="42"/>
        <v>4.7687861271676306</v>
      </c>
      <c r="V65" s="1975">
        <f t="shared" si="43"/>
        <v>4.553863668706418</v>
      </c>
      <c r="W65" s="2033">
        <f t="shared" si="44"/>
        <v>3.0377549544336753</v>
      </c>
      <c r="X65" s="2035">
        <f t="shared" si="45"/>
        <v>4.8131370328425822</v>
      </c>
      <c r="Y65" s="2099">
        <f t="shared" si="21"/>
        <v>2.8559188919034697</v>
      </c>
      <c r="Z65" s="2099"/>
      <c r="AA65" s="681">
        <v>58</v>
      </c>
      <c r="AB65" s="682">
        <v>71</v>
      </c>
      <c r="AC65" s="683">
        <v>94</v>
      </c>
      <c r="AD65" s="682">
        <v>53</v>
      </c>
      <c r="AE65" s="683">
        <v>56</v>
      </c>
      <c r="AF65" s="682">
        <v>67</v>
      </c>
      <c r="AG65" s="683">
        <v>75</v>
      </c>
      <c r="AH65" s="682">
        <v>81</v>
      </c>
      <c r="AI65" s="696">
        <v>49</v>
      </c>
      <c r="AJ65" s="696">
        <v>79</v>
      </c>
      <c r="AK65" s="696">
        <v>106</v>
      </c>
      <c r="AL65" s="696">
        <v>66</v>
      </c>
      <c r="AM65" s="697">
        <v>60</v>
      </c>
      <c r="AN65" s="697">
        <v>51</v>
      </c>
      <c r="AO65" s="848">
        <v>54</v>
      </c>
      <c r="AP65" s="849">
        <v>56</v>
      </c>
      <c r="AQ65" s="1005">
        <v>55</v>
      </c>
      <c r="AR65" s="1637">
        <v>33</v>
      </c>
      <c r="AS65" s="1971">
        <v>32</v>
      </c>
      <c r="AT65" s="1095">
        <v>21</v>
      </c>
      <c r="AU65" s="2020">
        <v>34</v>
      </c>
      <c r="AV65" s="1005">
        <v>20</v>
      </c>
      <c r="AW65" s="1005"/>
      <c r="AX65" s="704">
        <v>6434</v>
      </c>
      <c r="AY65" s="705">
        <v>6481</v>
      </c>
      <c r="AZ65" s="705">
        <v>6679</v>
      </c>
      <c r="BA65" s="705">
        <v>6151</v>
      </c>
      <c r="BB65" s="705">
        <v>6161</v>
      </c>
      <c r="BC65" s="705">
        <v>6015</v>
      </c>
      <c r="BD65" s="705">
        <v>5988</v>
      </c>
      <c r="BE65" s="705">
        <v>6272</v>
      </c>
      <c r="BF65" s="705">
        <v>6553</v>
      </c>
      <c r="BG65" s="705">
        <v>6799</v>
      </c>
      <c r="BH65" s="705">
        <v>6886</v>
      </c>
      <c r="BI65" s="705">
        <v>7131</v>
      </c>
      <c r="BJ65" s="705">
        <v>7319</v>
      </c>
      <c r="BK65" s="705">
        <v>7096</v>
      </c>
      <c r="BL65" s="851">
        <v>6757</v>
      </c>
      <c r="BM65" s="852">
        <v>6914</v>
      </c>
      <c r="BN65" s="1116">
        <v>6896</v>
      </c>
      <c r="BO65" s="1634">
        <v>6920</v>
      </c>
      <c r="BP65" s="1969">
        <v>7027</v>
      </c>
      <c r="BQ65" s="1096">
        <v>6913</v>
      </c>
      <c r="BR65" s="2022">
        <v>7064</v>
      </c>
      <c r="BS65" s="1006">
        <v>7003</v>
      </c>
      <c r="BU65" s="49">
        <f t="shared" si="22"/>
        <v>140</v>
      </c>
      <c r="BV65" s="49">
        <f t="shared" si="23"/>
        <v>34927</v>
      </c>
      <c r="BW65" s="2174">
        <f t="shared" si="24"/>
        <v>4.0083602943281704</v>
      </c>
    </row>
    <row r="66" spans="1:75" s="49" customFormat="1" ht="15.75" customHeight="1" x14ac:dyDescent="0.3">
      <c r="A66" s="56" t="s">
        <v>153</v>
      </c>
      <c r="B66" s="84" t="s">
        <v>154</v>
      </c>
      <c r="C66" s="57" t="s">
        <v>252</v>
      </c>
      <c r="D66" s="722">
        <f t="shared" si="25"/>
        <v>38.82352941176471</v>
      </c>
      <c r="E66" s="723">
        <f t="shared" si="26"/>
        <v>24.561403508771932</v>
      </c>
      <c r="F66" s="723">
        <f t="shared" si="27"/>
        <v>29.768467475192942</v>
      </c>
      <c r="G66" s="723">
        <f t="shared" si="28"/>
        <v>22.875816993464049</v>
      </c>
      <c r="H66" s="723">
        <f t="shared" si="29"/>
        <v>14.270032930845225</v>
      </c>
      <c r="I66" s="723">
        <f t="shared" si="30"/>
        <v>25.842696629213481</v>
      </c>
      <c r="J66" s="723">
        <f t="shared" si="31"/>
        <v>11.402508551881414</v>
      </c>
      <c r="K66" s="723">
        <f t="shared" si="32"/>
        <v>26.066350710900473</v>
      </c>
      <c r="L66" s="723">
        <f t="shared" si="33"/>
        <v>17.610062893081761</v>
      </c>
      <c r="M66" s="723">
        <f t="shared" si="34"/>
        <v>27.486910994764401</v>
      </c>
      <c r="N66" s="723">
        <f t="shared" si="35"/>
        <v>18.421052631578945</v>
      </c>
      <c r="O66" s="723">
        <f t="shared" si="36"/>
        <v>19.480519480519479</v>
      </c>
      <c r="P66" s="723">
        <f t="shared" si="37"/>
        <v>13.819095477386936</v>
      </c>
      <c r="Q66" s="723">
        <f t="shared" si="38"/>
        <v>9.9255583126550864</v>
      </c>
      <c r="R66" s="855">
        <f t="shared" si="39"/>
        <v>10.526315789473683</v>
      </c>
      <c r="S66" s="857">
        <f t="shared" si="40"/>
        <v>11.984021304926763</v>
      </c>
      <c r="T66" s="1010">
        <f t="shared" si="41"/>
        <v>9.3708165997322634</v>
      </c>
      <c r="U66" s="1641">
        <f t="shared" si="42"/>
        <v>8.1521739130434785</v>
      </c>
      <c r="V66" s="1975">
        <f t="shared" si="43"/>
        <v>5.2151238591916558</v>
      </c>
      <c r="W66" s="2033">
        <f t="shared" si="44"/>
        <v>6.4683053040103493</v>
      </c>
      <c r="X66" s="2035">
        <f t="shared" si="45"/>
        <v>11.688311688311689</v>
      </c>
      <c r="Y66" s="2099">
        <f t="shared" si="21"/>
        <v>14.511873350923484</v>
      </c>
      <c r="Z66" s="2099"/>
      <c r="AA66" s="681">
        <v>33</v>
      </c>
      <c r="AB66" s="682">
        <v>21</v>
      </c>
      <c r="AC66" s="683">
        <v>27</v>
      </c>
      <c r="AD66" s="682">
        <v>21</v>
      </c>
      <c r="AE66" s="683">
        <v>13</v>
      </c>
      <c r="AF66" s="682">
        <v>23</v>
      </c>
      <c r="AG66" s="683">
        <v>10</v>
      </c>
      <c r="AH66" s="682">
        <v>22</v>
      </c>
      <c r="AI66" s="696">
        <v>14</v>
      </c>
      <c r="AJ66" s="696">
        <v>21</v>
      </c>
      <c r="AK66" s="696">
        <v>14</v>
      </c>
      <c r="AL66" s="696">
        <v>15</v>
      </c>
      <c r="AM66" s="697">
        <v>11</v>
      </c>
      <c r="AN66" s="697">
        <v>8</v>
      </c>
      <c r="AO66" s="848">
        <v>8</v>
      </c>
      <c r="AP66" s="849">
        <v>9</v>
      </c>
      <c r="AQ66" s="1005">
        <v>7</v>
      </c>
      <c r="AR66" s="1637">
        <v>6</v>
      </c>
      <c r="AS66" s="1971">
        <v>4</v>
      </c>
      <c r="AT66" s="1095">
        <v>5</v>
      </c>
      <c r="AU66" s="2020">
        <v>9</v>
      </c>
      <c r="AV66" s="1005">
        <v>11</v>
      </c>
      <c r="AW66" s="1005"/>
      <c r="AX66" s="704">
        <v>850</v>
      </c>
      <c r="AY66" s="705">
        <v>855</v>
      </c>
      <c r="AZ66" s="705">
        <v>907</v>
      </c>
      <c r="BA66" s="705">
        <v>918</v>
      </c>
      <c r="BB66" s="705">
        <v>911</v>
      </c>
      <c r="BC66" s="705">
        <v>890</v>
      </c>
      <c r="BD66" s="705">
        <v>877</v>
      </c>
      <c r="BE66" s="705">
        <v>844</v>
      </c>
      <c r="BF66" s="705">
        <v>795</v>
      </c>
      <c r="BG66" s="705">
        <v>764</v>
      </c>
      <c r="BH66" s="705">
        <v>760</v>
      </c>
      <c r="BI66" s="705">
        <v>770</v>
      </c>
      <c r="BJ66" s="705">
        <v>796</v>
      </c>
      <c r="BK66" s="705">
        <v>806</v>
      </c>
      <c r="BL66" s="851">
        <v>760</v>
      </c>
      <c r="BM66" s="852">
        <v>751</v>
      </c>
      <c r="BN66" s="1116">
        <v>747</v>
      </c>
      <c r="BO66" s="1634">
        <v>736</v>
      </c>
      <c r="BP66" s="1969">
        <v>767</v>
      </c>
      <c r="BQ66" s="1096">
        <v>773</v>
      </c>
      <c r="BR66" s="2022">
        <v>770</v>
      </c>
      <c r="BS66" s="1006">
        <v>758</v>
      </c>
      <c r="BU66" s="49">
        <f t="shared" si="22"/>
        <v>35</v>
      </c>
      <c r="BV66" s="49">
        <f t="shared" si="23"/>
        <v>3804</v>
      </c>
      <c r="BW66" s="2174">
        <f t="shared" si="24"/>
        <v>9.2008412197686642</v>
      </c>
    </row>
    <row r="67" spans="1:75" s="49" customFormat="1" ht="15.75" customHeight="1" x14ac:dyDescent="0.3">
      <c r="A67" s="56" t="s">
        <v>155</v>
      </c>
      <c r="B67" s="84" t="s">
        <v>156</v>
      </c>
      <c r="C67" s="57" t="s">
        <v>253</v>
      </c>
      <c r="D67" s="722">
        <f t="shared" si="25"/>
        <v>9.3582887700534751</v>
      </c>
      <c r="E67" s="723">
        <f t="shared" si="26"/>
        <v>17.173051519154559</v>
      </c>
      <c r="F67" s="723">
        <f t="shared" si="27"/>
        <v>6.607929515418502</v>
      </c>
      <c r="G67" s="723">
        <f t="shared" si="28"/>
        <v>11.566771819137749</v>
      </c>
      <c r="H67" s="723">
        <f t="shared" si="29"/>
        <v>16.528925619834713</v>
      </c>
      <c r="I67" s="723">
        <f t="shared" si="30"/>
        <v>9.9009900990099009</v>
      </c>
      <c r="J67" s="723">
        <f t="shared" si="31"/>
        <v>13.320647002854425</v>
      </c>
      <c r="K67" s="723">
        <f t="shared" si="32"/>
        <v>9.6618357487922708</v>
      </c>
      <c r="L67" s="723">
        <f t="shared" si="33"/>
        <v>15.340364333652923</v>
      </c>
      <c r="M67" s="723">
        <f t="shared" si="34"/>
        <v>8.7293889427740066</v>
      </c>
      <c r="N67" s="723">
        <f t="shared" si="35"/>
        <v>10.638297872340425</v>
      </c>
      <c r="O67" s="723">
        <f t="shared" si="36"/>
        <v>9.8214285714285712</v>
      </c>
      <c r="P67" s="723">
        <f t="shared" si="37"/>
        <v>10.178117048346056</v>
      </c>
      <c r="Q67" s="723">
        <f t="shared" si="38"/>
        <v>10.989010989010989</v>
      </c>
      <c r="R67" s="855">
        <f t="shared" si="39"/>
        <v>10.353753235547885</v>
      </c>
      <c r="S67" s="857">
        <f t="shared" si="40"/>
        <v>8.4674005080440296</v>
      </c>
      <c r="T67" s="1010">
        <f t="shared" si="41"/>
        <v>9.1590341382181517</v>
      </c>
      <c r="U67" s="1641">
        <f t="shared" si="42"/>
        <v>2.5062656641604009</v>
      </c>
      <c r="V67" s="1975">
        <f t="shared" si="43"/>
        <v>4.1152263374485596</v>
      </c>
      <c r="W67" s="2033">
        <f t="shared" si="44"/>
        <v>4.1841004184100417</v>
      </c>
      <c r="X67" s="2035">
        <f t="shared" si="45"/>
        <v>4.1084634346754321</v>
      </c>
      <c r="Y67" s="2099">
        <f t="shared" si="21"/>
        <v>0</v>
      </c>
      <c r="Z67" s="2099"/>
      <c r="AA67" s="681">
        <v>7</v>
      </c>
      <c r="AB67" s="682">
        <v>13</v>
      </c>
      <c r="AC67" s="683">
        <v>6</v>
      </c>
      <c r="AD67" s="682">
        <v>11</v>
      </c>
      <c r="AE67" s="683">
        <v>16</v>
      </c>
      <c r="AF67" s="682">
        <v>10</v>
      </c>
      <c r="AG67" s="683">
        <v>14</v>
      </c>
      <c r="AH67" s="682">
        <v>10</v>
      </c>
      <c r="AI67" s="696">
        <v>16</v>
      </c>
      <c r="AJ67" s="696">
        <v>9</v>
      </c>
      <c r="AK67" s="696">
        <v>11</v>
      </c>
      <c r="AL67" s="696">
        <v>11</v>
      </c>
      <c r="AM67" s="697">
        <v>12</v>
      </c>
      <c r="AN67" s="697">
        <v>13</v>
      </c>
      <c r="AO67" s="848">
        <v>12</v>
      </c>
      <c r="AP67" s="849">
        <v>10</v>
      </c>
      <c r="AQ67" s="1005">
        <v>11</v>
      </c>
      <c r="AR67" s="1637">
        <v>3</v>
      </c>
      <c r="AS67" s="1971">
        <v>5</v>
      </c>
      <c r="AT67" s="1095">
        <v>5</v>
      </c>
      <c r="AU67" s="2020">
        <v>5</v>
      </c>
      <c r="AV67" s="1005">
        <v>0</v>
      </c>
      <c r="AW67" s="1005"/>
      <c r="AX67" s="704">
        <v>748</v>
      </c>
      <c r="AY67" s="705">
        <v>757</v>
      </c>
      <c r="AZ67" s="705">
        <v>908</v>
      </c>
      <c r="BA67" s="705">
        <v>951</v>
      </c>
      <c r="BB67" s="705">
        <v>968</v>
      </c>
      <c r="BC67" s="705">
        <v>1010</v>
      </c>
      <c r="BD67" s="705">
        <v>1051</v>
      </c>
      <c r="BE67" s="705">
        <v>1035</v>
      </c>
      <c r="BF67" s="705">
        <v>1043</v>
      </c>
      <c r="BG67" s="705">
        <v>1031</v>
      </c>
      <c r="BH67" s="705">
        <v>1034</v>
      </c>
      <c r="BI67" s="705">
        <v>1120</v>
      </c>
      <c r="BJ67" s="705">
        <v>1179</v>
      </c>
      <c r="BK67" s="705">
        <v>1183</v>
      </c>
      <c r="BL67" s="851">
        <v>1159</v>
      </c>
      <c r="BM67" s="852">
        <v>1181</v>
      </c>
      <c r="BN67" s="1116">
        <v>1201</v>
      </c>
      <c r="BO67" s="1634">
        <v>1197</v>
      </c>
      <c r="BP67" s="1969">
        <v>1215</v>
      </c>
      <c r="BQ67" s="1096">
        <v>1195</v>
      </c>
      <c r="BR67" s="2022">
        <v>1217</v>
      </c>
      <c r="BS67" s="1006">
        <v>1197</v>
      </c>
      <c r="BU67" s="49">
        <f t="shared" si="22"/>
        <v>18</v>
      </c>
      <c r="BV67" s="49">
        <f t="shared" si="23"/>
        <v>6021</v>
      </c>
      <c r="BW67" s="2174">
        <f t="shared" si="24"/>
        <v>2.9895366218236172</v>
      </c>
    </row>
    <row r="68" spans="1:75" s="49" customFormat="1" ht="15.75" customHeight="1" x14ac:dyDescent="0.3">
      <c r="A68" s="56" t="s">
        <v>161</v>
      </c>
      <c r="B68" s="84" t="s">
        <v>162</v>
      </c>
      <c r="C68" s="57" t="s">
        <v>251</v>
      </c>
      <c r="D68" s="722">
        <f t="shared" si="25"/>
        <v>26.845637583892618</v>
      </c>
      <c r="E68" s="723">
        <f t="shared" si="26"/>
        <v>33.482142857142854</v>
      </c>
      <c r="F68" s="723">
        <f t="shared" si="27"/>
        <v>38.505096262740658</v>
      </c>
      <c r="G68" s="723">
        <f t="shared" si="28"/>
        <v>45.045045045045043</v>
      </c>
      <c r="H68" s="723">
        <f t="shared" si="29"/>
        <v>32.805429864253398</v>
      </c>
      <c r="I68" s="723">
        <f t="shared" si="30"/>
        <v>25.274725274725274</v>
      </c>
      <c r="J68" s="723">
        <f t="shared" si="31"/>
        <v>30.269058295964125</v>
      </c>
      <c r="K68" s="723">
        <f t="shared" si="32"/>
        <v>28.697571743929359</v>
      </c>
      <c r="L68" s="723">
        <f t="shared" si="33"/>
        <v>26.018099547511312</v>
      </c>
      <c r="M68" s="723">
        <f t="shared" si="34"/>
        <v>22.673031026252982</v>
      </c>
      <c r="N68" s="723">
        <f t="shared" si="35"/>
        <v>38.694074969770249</v>
      </c>
      <c r="O68" s="723">
        <f t="shared" si="36"/>
        <v>19.950124688279303</v>
      </c>
      <c r="P68" s="723">
        <f t="shared" si="37"/>
        <v>32.061068702290079</v>
      </c>
      <c r="Q68" s="723">
        <f t="shared" si="38"/>
        <v>35.439137134052388</v>
      </c>
      <c r="R68" s="855">
        <f t="shared" si="39"/>
        <v>14.85148514851485</v>
      </c>
      <c r="S68" s="857">
        <f t="shared" si="40"/>
        <v>22.569444444444443</v>
      </c>
      <c r="T68" s="1010">
        <f t="shared" si="41"/>
        <v>16.920473773265652</v>
      </c>
      <c r="U68" s="1641">
        <f t="shared" si="42"/>
        <v>17.915309446254074</v>
      </c>
      <c r="V68" s="1975">
        <f t="shared" si="43"/>
        <v>11.570247933884296</v>
      </c>
      <c r="W68" s="2033">
        <f t="shared" si="44"/>
        <v>20.583190394511149</v>
      </c>
      <c r="X68" s="2035">
        <f t="shared" si="45"/>
        <v>14.925373134328359</v>
      </c>
      <c r="Y68" s="2099">
        <f t="shared" si="21"/>
        <v>8.3472454090150254</v>
      </c>
      <c r="Z68" s="2099"/>
      <c r="AA68" s="681">
        <v>24</v>
      </c>
      <c r="AB68" s="682">
        <v>30</v>
      </c>
      <c r="AC68" s="683">
        <v>34</v>
      </c>
      <c r="AD68" s="682">
        <v>40</v>
      </c>
      <c r="AE68" s="683">
        <v>29</v>
      </c>
      <c r="AF68" s="682">
        <v>23</v>
      </c>
      <c r="AG68" s="683">
        <v>27</v>
      </c>
      <c r="AH68" s="682">
        <v>26</v>
      </c>
      <c r="AI68" s="696">
        <v>23</v>
      </c>
      <c r="AJ68" s="696">
        <v>19</v>
      </c>
      <c r="AK68" s="696">
        <v>32</v>
      </c>
      <c r="AL68" s="696">
        <v>16</v>
      </c>
      <c r="AM68" s="697">
        <v>21</v>
      </c>
      <c r="AN68" s="697">
        <v>23</v>
      </c>
      <c r="AO68" s="848">
        <v>9</v>
      </c>
      <c r="AP68" s="849">
        <v>13</v>
      </c>
      <c r="AQ68" s="1005">
        <v>10</v>
      </c>
      <c r="AR68" s="1637">
        <v>11</v>
      </c>
      <c r="AS68" s="1971">
        <v>7</v>
      </c>
      <c r="AT68" s="1095">
        <v>12</v>
      </c>
      <c r="AU68" s="2020">
        <v>9</v>
      </c>
      <c r="AV68" s="1005">
        <v>5</v>
      </c>
      <c r="AW68" s="1005"/>
      <c r="AX68" s="704">
        <v>894</v>
      </c>
      <c r="AY68" s="705">
        <v>896</v>
      </c>
      <c r="AZ68" s="705">
        <v>883</v>
      </c>
      <c r="BA68" s="705">
        <v>888</v>
      </c>
      <c r="BB68" s="705">
        <v>884</v>
      </c>
      <c r="BC68" s="705">
        <v>910</v>
      </c>
      <c r="BD68" s="705">
        <v>892</v>
      </c>
      <c r="BE68" s="705">
        <v>906</v>
      </c>
      <c r="BF68" s="705">
        <v>884</v>
      </c>
      <c r="BG68" s="705">
        <v>838</v>
      </c>
      <c r="BH68" s="705">
        <v>827</v>
      </c>
      <c r="BI68" s="705">
        <v>802</v>
      </c>
      <c r="BJ68" s="705">
        <v>655</v>
      </c>
      <c r="BK68" s="705">
        <v>649</v>
      </c>
      <c r="BL68" s="851">
        <v>606</v>
      </c>
      <c r="BM68" s="852">
        <v>576</v>
      </c>
      <c r="BN68" s="1116">
        <v>591</v>
      </c>
      <c r="BO68" s="1634">
        <v>614</v>
      </c>
      <c r="BP68" s="1969">
        <v>605</v>
      </c>
      <c r="BQ68" s="1096">
        <v>583</v>
      </c>
      <c r="BR68" s="2022">
        <v>603</v>
      </c>
      <c r="BS68" s="1006">
        <v>599</v>
      </c>
      <c r="BU68" s="49">
        <f t="shared" si="22"/>
        <v>44</v>
      </c>
      <c r="BV68" s="49">
        <f t="shared" si="23"/>
        <v>3004</v>
      </c>
      <c r="BW68" s="2174">
        <f t="shared" si="24"/>
        <v>14.647137150466046</v>
      </c>
    </row>
    <row r="69" spans="1:75" s="49" customFormat="1" ht="15.75" customHeight="1" x14ac:dyDescent="0.3">
      <c r="A69" s="56" t="s">
        <v>163</v>
      </c>
      <c r="B69" s="84" t="s">
        <v>164</v>
      </c>
      <c r="C69" s="57" t="s">
        <v>253</v>
      </c>
      <c r="D69" s="722">
        <f t="shared" ref="D69:D100" si="46">IF(AX69=0,"NA",(AA69/AX69)*1000)</f>
        <v>22.047244094488189</v>
      </c>
      <c r="E69" s="723">
        <f t="shared" ref="E69:E100" si="47">IF(AY69=0,"NA",(AB69/AY69)*1000)</f>
        <v>27.906976744186046</v>
      </c>
      <c r="F69" s="723">
        <f t="shared" ref="F69:F100" si="48">IF(AZ69=0,"NA",(AC69/AZ69)*1000)</f>
        <v>16.819571865443425</v>
      </c>
      <c r="G69" s="723">
        <f t="shared" ref="G69:G100" si="49">IF(BA69=0,"NA",(AD69/BA69)*1000)</f>
        <v>41.158536585365859</v>
      </c>
      <c r="H69" s="723">
        <f t="shared" ref="H69:H100" si="50">IF(BB69=0,"NA",(AE69/BB69)*1000)</f>
        <v>35.661218424962854</v>
      </c>
      <c r="I69" s="723">
        <f t="shared" ref="I69:I100" si="51">IF(BC69=0,"NA",(AF69/BC69)*1000)</f>
        <v>30.487804878048781</v>
      </c>
      <c r="J69" s="723">
        <f t="shared" ref="J69:J100" si="52">IF(BD69=0,"NA",(AG69/BD69)*1000)</f>
        <v>21.212121212121215</v>
      </c>
      <c r="K69" s="723">
        <f t="shared" ref="K69:K100" si="53">IF(BE69=0,"NA",(AH69/BE69)*1000)</f>
        <v>34.313725490196084</v>
      </c>
      <c r="L69" s="723">
        <f t="shared" ref="L69:L100" si="54">IF(BF69=0,"NA",(AI69/BF69)*1000)</f>
        <v>33.444816053511701</v>
      </c>
      <c r="M69" s="723">
        <f t="shared" ref="M69:M100" si="55">IF(BG69=0,"NA",(AJ69/BG69)*1000)</f>
        <v>32.948929159802304</v>
      </c>
      <c r="N69" s="723">
        <f t="shared" ref="N69:N100" si="56">IF(BH69=0,"NA",(AK69/BH69)*1000)</f>
        <v>26.936026936026934</v>
      </c>
      <c r="O69" s="723">
        <f t="shared" ref="O69:O100" si="57">IF(BI69=0,"NA",(AL69/BI69)*1000)</f>
        <v>26.490066225165563</v>
      </c>
      <c r="P69" s="723">
        <f t="shared" ref="P69:P100" si="58">IF(BJ69=0,"NA",(AM69/BJ69)*1000)</f>
        <v>24.074074074074073</v>
      </c>
      <c r="Q69" s="723">
        <f t="shared" ref="Q69:Q100" si="59">IF(BK69=0,"NA",(AN69/BK69)*1000)</f>
        <v>12.773722627737227</v>
      </c>
      <c r="R69" s="855">
        <f t="shared" ref="R69:R100" si="60">IF(BL69=0,"NA",(AO69/BL69)*1000)</f>
        <v>7.7220077220077226</v>
      </c>
      <c r="S69" s="857">
        <f t="shared" ref="S69:S100" si="61">IF(BM69=0,"NA",(AP69/BM69)*1000)</f>
        <v>17.751479289940828</v>
      </c>
      <c r="T69" s="1010">
        <f t="shared" ref="T69:T100" si="62">IF(BN69=0,"NA",(AQ69/BN69)*1000)</f>
        <v>11.71875</v>
      </c>
      <c r="U69" s="1641">
        <f t="shared" ref="U69:U100" si="63">IF(BO69=0,"NA",(AR69/BO69)*1000)</f>
        <v>9.8039215686274517</v>
      </c>
      <c r="V69" s="1975">
        <f t="shared" ref="V69:V100" si="64">IF(BP69=0,"NA",(AS69/BP69)*1000)</f>
        <v>12.096774193548386</v>
      </c>
      <c r="W69" s="2033">
        <f t="shared" si="44"/>
        <v>18.75</v>
      </c>
      <c r="X69" s="2035">
        <f t="shared" si="45"/>
        <v>8.6021505376344081</v>
      </c>
      <c r="Y69" s="2099">
        <f t="shared" si="21"/>
        <v>16.460905349794238</v>
      </c>
      <c r="Z69" s="2099"/>
      <c r="AA69" s="681">
        <v>14</v>
      </c>
      <c r="AB69" s="682">
        <v>18</v>
      </c>
      <c r="AC69" s="683">
        <v>11</v>
      </c>
      <c r="AD69" s="682">
        <v>27</v>
      </c>
      <c r="AE69" s="683">
        <v>24</v>
      </c>
      <c r="AF69" s="682">
        <v>20</v>
      </c>
      <c r="AG69" s="683">
        <v>14</v>
      </c>
      <c r="AH69" s="682">
        <v>21</v>
      </c>
      <c r="AI69" s="696">
        <v>20</v>
      </c>
      <c r="AJ69" s="696">
        <v>20</v>
      </c>
      <c r="AK69" s="696">
        <v>16</v>
      </c>
      <c r="AL69" s="696">
        <v>16</v>
      </c>
      <c r="AM69" s="697">
        <v>13</v>
      </c>
      <c r="AN69" s="697">
        <v>7</v>
      </c>
      <c r="AO69" s="848">
        <v>4</v>
      </c>
      <c r="AP69" s="849">
        <v>9</v>
      </c>
      <c r="AQ69" s="1005">
        <v>6</v>
      </c>
      <c r="AR69" s="1637">
        <v>5</v>
      </c>
      <c r="AS69" s="1971">
        <v>6</v>
      </c>
      <c r="AT69" s="1095">
        <v>9</v>
      </c>
      <c r="AU69" s="2020">
        <v>4</v>
      </c>
      <c r="AV69" s="1005">
        <v>8</v>
      </c>
      <c r="AW69" s="1005"/>
      <c r="AX69" s="704">
        <v>635</v>
      </c>
      <c r="AY69" s="705">
        <v>645</v>
      </c>
      <c r="AZ69" s="705">
        <v>654</v>
      </c>
      <c r="BA69" s="705">
        <v>656</v>
      </c>
      <c r="BB69" s="705">
        <v>673</v>
      </c>
      <c r="BC69" s="705">
        <v>656</v>
      </c>
      <c r="BD69" s="705">
        <v>660</v>
      </c>
      <c r="BE69" s="705">
        <v>612</v>
      </c>
      <c r="BF69" s="705">
        <v>598</v>
      </c>
      <c r="BG69" s="705">
        <v>607</v>
      </c>
      <c r="BH69" s="705">
        <v>594</v>
      </c>
      <c r="BI69" s="705">
        <v>604</v>
      </c>
      <c r="BJ69" s="705">
        <v>540</v>
      </c>
      <c r="BK69" s="705">
        <v>548</v>
      </c>
      <c r="BL69" s="851">
        <v>518</v>
      </c>
      <c r="BM69" s="852">
        <v>507</v>
      </c>
      <c r="BN69" s="1116">
        <v>512</v>
      </c>
      <c r="BO69" s="1634">
        <v>510</v>
      </c>
      <c r="BP69" s="1969">
        <v>496</v>
      </c>
      <c r="BQ69" s="1096">
        <v>480</v>
      </c>
      <c r="BR69" s="2022">
        <v>465</v>
      </c>
      <c r="BS69" s="1006">
        <v>486</v>
      </c>
      <c r="BU69" s="49">
        <f t="shared" si="22"/>
        <v>32</v>
      </c>
      <c r="BV69" s="49">
        <f t="shared" si="23"/>
        <v>2437</v>
      </c>
      <c r="BW69" s="2174">
        <f t="shared" si="24"/>
        <v>13.130898645876076</v>
      </c>
    </row>
    <row r="70" spans="1:75" s="49" customFormat="1" ht="15.75" customHeight="1" x14ac:dyDescent="0.3">
      <c r="A70" s="56" t="s">
        <v>167</v>
      </c>
      <c r="B70" s="84" t="s">
        <v>168</v>
      </c>
      <c r="C70" s="57" t="s">
        <v>253</v>
      </c>
      <c r="D70" s="722">
        <f t="shared" si="46"/>
        <v>27.624309392265193</v>
      </c>
      <c r="E70" s="723">
        <f t="shared" si="47"/>
        <v>45.504994450610432</v>
      </c>
      <c r="F70" s="723">
        <f t="shared" si="48"/>
        <v>21.406727828746178</v>
      </c>
      <c r="G70" s="723">
        <f t="shared" si="49"/>
        <v>26.13065326633166</v>
      </c>
      <c r="H70" s="723">
        <f t="shared" si="50"/>
        <v>27.66798418972332</v>
      </c>
      <c r="I70" s="723">
        <f t="shared" si="51"/>
        <v>33</v>
      </c>
      <c r="J70" s="723">
        <f t="shared" si="52"/>
        <v>21.560574948665298</v>
      </c>
      <c r="K70" s="723">
        <f t="shared" si="53"/>
        <v>28.047464940668824</v>
      </c>
      <c r="L70" s="723">
        <f t="shared" si="54"/>
        <v>24.663677130044842</v>
      </c>
      <c r="M70" s="723">
        <f t="shared" si="55"/>
        <v>21.566401816118049</v>
      </c>
      <c r="N70" s="723">
        <f t="shared" si="56"/>
        <v>35.550458715596335</v>
      </c>
      <c r="O70" s="723">
        <f t="shared" si="57"/>
        <v>38.834951456310677</v>
      </c>
      <c r="P70" s="723">
        <f t="shared" si="58"/>
        <v>17.997750281214849</v>
      </c>
      <c r="Q70" s="723">
        <f t="shared" si="59"/>
        <v>18.475750577367204</v>
      </c>
      <c r="R70" s="855">
        <f t="shared" si="60"/>
        <v>31.431897555296857</v>
      </c>
      <c r="S70" s="857">
        <f t="shared" si="61"/>
        <v>16.746411483253588</v>
      </c>
      <c r="T70" s="1010">
        <f t="shared" si="62"/>
        <v>30.193236714975843</v>
      </c>
      <c r="U70" s="1641">
        <f t="shared" si="63"/>
        <v>11.508951406649617</v>
      </c>
      <c r="V70" s="1975">
        <f t="shared" si="64"/>
        <v>12.468827930174564</v>
      </c>
      <c r="W70" s="2033">
        <f t="shared" ref="W70:W101" si="65">(AT70/BQ70)*1000</f>
        <v>13.767209011264081</v>
      </c>
      <c r="X70" s="2035">
        <f t="shared" ref="X70:X101" si="66">(AU70/BR70)*1000</f>
        <v>13.698630136986301</v>
      </c>
      <c r="Y70" s="2099">
        <f t="shared" ref="Y70:Y125" si="67">(AV70/BS70)*1000</f>
        <v>7.3891625615763541</v>
      </c>
      <c r="Z70" s="2099"/>
      <c r="AA70" s="681">
        <v>25</v>
      </c>
      <c r="AB70" s="682">
        <v>41</v>
      </c>
      <c r="AC70" s="683">
        <v>21</v>
      </c>
      <c r="AD70" s="682">
        <v>26</v>
      </c>
      <c r="AE70" s="683">
        <v>28</v>
      </c>
      <c r="AF70" s="682">
        <v>33</v>
      </c>
      <c r="AG70" s="683">
        <v>21</v>
      </c>
      <c r="AH70" s="682">
        <v>26</v>
      </c>
      <c r="AI70" s="696">
        <v>22</v>
      </c>
      <c r="AJ70" s="696">
        <v>19</v>
      </c>
      <c r="AK70" s="696">
        <v>31</v>
      </c>
      <c r="AL70" s="696">
        <v>36</v>
      </c>
      <c r="AM70" s="697">
        <v>16</v>
      </c>
      <c r="AN70" s="697">
        <v>16</v>
      </c>
      <c r="AO70" s="848">
        <v>27</v>
      </c>
      <c r="AP70" s="849">
        <v>14</v>
      </c>
      <c r="AQ70" s="1005">
        <v>25</v>
      </c>
      <c r="AR70" s="1637">
        <v>9</v>
      </c>
      <c r="AS70" s="1971">
        <v>10</v>
      </c>
      <c r="AT70" s="1095">
        <v>11</v>
      </c>
      <c r="AU70" s="2020">
        <v>11</v>
      </c>
      <c r="AV70" s="1005">
        <v>6</v>
      </c>
      <c r="AW70" s="1005"/>
      <c r="AX70" s="704">
        <v>905</v>
      </c>
      <c r="AY70" s="705">
        <v>901</v>
      </c>
      <c r="AZ70" s="705">
        <v>981</v>
      </c>
      <c r="BA70" s="705">
        <v>995</v>
      </c>
      <c r="BB70" s="705">
        <v>1012</v>
      </c>
      <c r="BC70" s="705">
        <v>1000</v>
      </c>
      <c r="BD70" s="705">
        <v>974</v>
      </c>
      <c r="BE70" s="705">
        <v>927</v>
      </c>
      <c r="BF70" s="705">
        <v>892</v>
      </c>
      <c r="BG70" s="705">
        <v>881</v>
      </c>
      <c r="BH70" s="705">
        <v>872</v>
      </c>
      <c r="BI70" s="705">
        <v>927</v>
      </c>
      <c r="BJ70" s="705">
        <v>889</v>
      </c>
      <c r="BK70" s="705">
        <v>866</v>
      </c>
      <c r="BL70" s="851">
        <v>859</v>
      </c>
      <c r="BM70" s="852">
        <v>836</v>
      </c>
      <c r="BN70" s="1116">
        <v>828</v>
      </c>
      <c r="BO70" s="1634">
        <v>782</v>
      </c>
      <c r="BP70" s="1969">
        <v>802</v>
      </c>
      <c r="BQ70" s="1096">
        <v>799</v>
      </c>
      <c r="BR70" s="2022">
        <v>803</v>
      </c>
      <c r="BS70" s="1006">
        <v>812</v>
      </c>
      <c r="BU70" s="49">
        <f t="shared" ref="BU70:BU125" si="68">SUM(AR70:AV70)</f>
        <v>47</v>
      </c>
      <c r="BV70" s="49">
        <f t="shared" ref="BV70:BV125" si="69">SUM(BO70:BS70)</f>
        <v>3998</v>
      </c>
      <c r="BW70" s="2174">
        <f t="shared" ref="BW70:BW125" si="70">(BU70/BV70)*1000</f>
        <v>11.755877938969485</v>
      </c>
    </row>
    <row r="71" spans="1:75" s="49" customFormat="1" ht="15.75" customHeight="1" x14ac:dyDescent="0.3">
      <c r="A71" s="56" t="s">
        <v>169</v>
      </c>
      <c r="B71" s="84" t="s">
        <v>170</v>
      </c>
      <c r="C71" s="57" t="s">
        <v>254</v>
      </c>
      <c r="D71" s="722">
        <f t="shared" si="46"/>
        <v>26.402640264026402</v>
      </c>
      <c r="E71" s="723">
        <f t="shared" si="47"/>
        <v>29.373368146214101</v>
      </c>
      <c r="F71" s="723">
        <f t="shared" si="48"/>
        <v>21.276595744680851</v>
      </c>
      <c r="G71" s="723">
        <f t="shared" si="49"/>
        <v>18.629807692307693</v>
      </c>
      <c r="H71" s="723">
        <f t="shared" si="50"/>
        <v>21.726365237815617</v>
      </c>
      <c r="I71" s="723">
        <f t="shared" si="51"/>
        <v>24.376088218224027</v>
      </c>
      <c r="J71" s="723">
        <f t="shared" si="52"/>
        <v>18.803418803418804</v>
      </c>
      <c r="K71" s="723">
        <f t="shared" si="53"/>
        <v>17.947279865395402</v>
      </c>
      <c r="L71" s="723">
        <f t="shared" si="54"/>
        <v>19.326339039204861</v>
      </c>
      <c r="M71" s="723">
        <f t="shared" si="55"/>
        <v>19.498607242339833</v>
      </c>
      <c r="N71" s="723">
        <f t="shared" si="56"/>
        <v>22.197558268590456</v>
      </c>
      <c r="O71" s="723">
        <f t="shared" si="57"/>
        <v>13.493975903614457</v>
      </c>
      <c r="P71" s="723">
        <f t="shared" si="58"/>
        <v>16.393442622950822</v>
      </c>
      <c r="Q71" s="723">
        <f t="shared" si="59"/>
        <v>17.207472959685351</v>
      </c>
      <c r="R71" s="855">
        <f t="shared" si="60"/>
        <v>10.768477728830151</v>
      </c>
      <c r="S71" s="857">
        <f t="shared" si="61"/>
        <v>12.627489072365226</v>
      </c>
      <c r="T71" s="1010">
        <f t="shared" si="62"/>
        <v>9.7370983446932815</v>
      </c>
      <c r="U71" s="1641">
        <f t="shared" si="63"/>
        <v>6.3538611925708706</v>
      </c>
      <c r="V71" s="1975">
        <f t="shared" si="64"/>
        <v>10.552763819095476</v>
      </c>
      <c r="W71" s="2033">
        <f t="shared" si="65"/>
        <v>12.212994626282365</v>
      </c>
      <c r="X71" s="2035">
        <f t="shared" si="66"/>
        <v>8.7976539589442826</v>
      </c>
      <c r="Y71" s="2099">
        <f t="shared" si="67"/>
        <v>7.6775431861804222</v>
      </c>
      <c r="Z71" s="2099"/>
      <c r="AA71" s="681">
        <v>40</v>
      </c>
      <c r="AB71" s="682">
        <v>45</v>
      </c>
      <c r="AC71" s="683">
        <v>35</v>
      </c>
      <c r="AD71" s="682">
        <v>31</v>
      </c>
      <c r="AE71" s="683">
        <v>37</v>
      </c>
      <c r="AF71" s="682">
        <v>42</v>
      </c>
      <c r="AG71" s="683">
        <v>33</v>
      </c>
      <c r="AH71" s="682">
        <v>32</v>
      </c>
      <c r="AI71" s="696">
        <v>35</v>
      </c>
      <c r="AJ71" s="696">
        <v>35</v>
      </c>
      <c r="AK71" s="696">
        <v>40</v>
      </c>
      <c r="AL71" s="696">
        <v>28</v>
      </c>
      <c r="AM71" s="697">
        <v>34</v>
      </c>
      <c r="AN71" s="697">
        <v>35</v>
      </c>
      <c r="AO71" s="848">
        <v>22</v>
      </c>
      <c r="AP71" s="849">
        <v>26</v>
      </c>
      <c r="AQ71" s="1005">
        <v>20</v>
      </c>
      <c r="AR71" s="1637">
        <v>13</v>
      </c>
      <c r="AS71" s="1971">
        <v>21</v>
      </c>
      <c r="AT71" s="1095">
        <v>25</v>
      </c>
      <c r="AU71" s="2020">
        <v>18</v>
      </c>
      <c r="AV71" s="1005">
        <v>16</v>
      </c>
      <c r="AW71" s="1005"/>
      <c r="AX71" s="704">
        <v>1515</v>
      </c>
      <c r="AY71" s="705">
        <v>1532</v>
      </c>
      <c r="AZ71" s="705">
        <v>1645</v>
      </c>
      <c r="BA71" s="705">
        <v>1664</v>
      </c>
      <c r="BB71" s="705">
        <v>1703</v>
      </c>
      <c r="BC71" s="705">
        <v>1723</v>
      </c>
      <c r="BD71" s="705">
        <v>1755</v>
      </c>
      <c r="BE71" s="705">
        <v>1783</v>
      </c>
      <c r="BF71" s="705">
        <v>1811</v>
      </c>
      <c r="BG71" s="705">
        <v>1795</v>
      </c>
      <c r="BH71" s="705">
        <v>1802</v>
      </c>
      <c r="BI71" s="705">
        <v>2075</v>
      </c>
      <c r="BJ71" s="705">
        <v>2074</v>
      </c>
      <c r="BK71" s="705">
        <v>2034</v>
      </c>
      <c r="BL71" s="851">
        <v>2043</v>
      </c>
      <c r="BM71" s="852">
        <v>2059</v>
      </c>
      <c r="BN71" s="1116">
        <v>2054</v>
      </c>
      <c r="BO71" s="1634">
        <v>2046</v>
      </c>
      <c r="BP71" s="1969">
        <v>1990</v>
      </c>
      <c r="BQ71" s="1096">
        <v>2047</v>
      </c>
      <c r="BR71" s="2022">
        <v>2046</v>
      </c>
      <c r="BS71" s="1006">
        <v>2084</v>
      </c>
      <c r="BU71" s="49">
        <f t="shared" si="68"/>
        <v>93</v>
      </c>
      <c r="BV71" s="49">
        <f t="shared" si="69"/>
        <v>10213</v>
      </c>
      <c r="BW71" s="2174">
        <f t="shared" si="70"/>
        <v>9.1060413198864207</v>
      </c>
    </row>
    <row r="72" spans="1:75" s="49" customFormat="1" ht="15.75" customHeight="1" x14ac:dyDescent="0.3">
      <c r="A72" s="56" t="s">
        <v>171</v>
      </c>
      <c r="B72" s="84" t="s">
        <v>172</v>
      </c>
      <c r="C72" s="57" t="s">
        <v>254</v>
      </c>
      <c r="D72" s="722">
        <f t="shared" si="46"/>
        <v>28.762541806020067</v>
      </c>
      <c r="E72" s="723">
        <f t="shared" si="47"/>
        <v>28.533510285335105</v>
      </c>
      <c r="F72" s="723">
        <f t="shared" si="48"/>
        <v>34.782608695652172</v>
      </c>
      <c r="G72" s="723">
        <f t="shared" si="49"/>
        <v>30.758714969241282</v>
      </c>
      <c r="H72" s="723">
        <f t="shared" si="50"/>
        <v>33.310673011556759</v>
      </c>
      <c r="I72" s="723">
        <f t="shared" si="51"/>
        <v>27.853260869565215</v>
      </c>
      <c r="J72" s="723">
        <f t="shared" si="52"/>
        <v>30.549898167006109</v>
      </c>
      <c r="K72" s="723">
        <f t="shared" si="53"/>
        <v>21.680216802168022</v>
      </c>
      <c r="L72" s="723">
        <f t="shared" si="54"/>
        <v>21.572720946416144</v>
      </c>
      <c r="M72" s="723">
        <f t="shared" si="55"/>
        <v>22.346368715083798</v>
      </c>
      <c r="N72" s="723">
        <f t="shared" si="56"/>
        <v>19.217081850533805</v>
      </c>
      <c r="O72" s="723">
        <f t="shared" si="57"/>
        <v>24.147727272727273</v>
      </c>
      <c r="P72" s="723">
        <f t="shared" si="58"/>
        <v>17.931034482758619</v>
      </c>
      <c r="Q72" s="723">
        <f t="shared" si="59"/>
        <v>23.206751054852322</v>
      </c>
      <c r="R72" s="855">
        <f t="shared" si="60"/>
        <v>18.571428571428573</v>
      </c>
      <c r="S72" s="857">
        <f t="shared" si="61"/>
        <v>16.862170087976537</v>
      </c>
      <c r="T72" s="1010">
        <f t="shared" si="62"/>
        <v>15.173410404624278</v>
      </c>
      <c r="U72" s="1641">
        <f t="shared" si="63"/>
        <v>8.8888888888888893</v>
      </c>
      <c r="V72" s="1975">
        <f t="shared" si="64"/>
        <v>11.346444780635402</v>
      </c>
      <c r="W72" s="2033">
        <f t="shared" si="65"/>
        <v>13.657056145675266</v>
      </c>
      <c r="X72" s="2035">
        <f t="shared" si="66"/>
        <v>13.66742596810934</v>
      </c>
      <c r="Y72" s="2099">
        <f t="shared" si="67"/>
        <v>11.45912910618793</v>
      </c>
      <c r="Z72" s="2099"/>
      <c r="AA72" s="681">
        <v>43</v>
      </c>
      <c r="AB72" s="682">
        <v>43</v>
      </c>
      <c r="AC72" s="683">
        <v>52</v>
      </c>
      <c r="AD72" s="682">
        <v>45</v>
      </c>
      <c r="AE72" s="683">
        <v>49</v>
      </c>
      <c r="AF72" s="682">
        <v>41</v>
      </c>
      <c r="AG72" s="683">
        <v>45</v>
      </c>
      <c r="AH72" s="682">
        <v>32</v>
      </c>
      <c r="AI72" s="696">
        <v>31</v>
      </c>
      <c r="AJ72" s="696">
        <v>32</v>
      </c>
      <c r="AK72" s="696">
        <v>27</v>
      </c>
      <c r="AL72" s="696">
        <v>34</v>
      </c>
      <c r="AM72" s="697">
        <v>26</v>
      </c>
      <c r="AN72" s="697">
        <v>33</v>
      </c>
      <c r="AO72" s="848">
        <v>26</v>
      </c>
      <c r="AP72" s="849">
        <v>23</v>
      </c>
      <c r="AQ72" s="1005">
        <v>21</v>
      </c>
      <c r="AR72" s="1637">
        <v>12</v>
      </c>
      <c r="AS72" s="1971">
        <v>15</v>
      </c>
      <c r="AT72" s="1095">
        <v>18</v>
      </c>
      <c r="AU72" s="2020">
        <v>18</v>
      </c>
      <c r="AV72" s="1005">
        <v>15</v>
      </c>
      <c r="AW72" s="1005"/>
      <c r="AX72" s="704">
        <v>1495</v>
      </c>
      <c r="AY72" s="705">
        <v>1507</v>
      </c>
      <c r="AZ72" s="705">
        <v>1495</v>
      </c>
      <c r="BA72" s="705">
        <v>1463</v>
      </c>
      <c r="BB72" s="705">
        <v>1471</v>
      </c>
      <c r="BC72" s="705">
        <v>1472</v>
      </c>
      <c r="BD72" s="705">
        <v>1473</v>
      </c>
      <c r="BE72" s="705">
        <v>1476</v>
      </c>
      <c r="BF72" s="705">
        <v>1437</v>
      </c>
      <c r="BG72" s="705">
        <v>1432</v>
      </c>
      <c r="BH72" s="705">
        <v>1405</v>
      </c>
      <c r="BI72" s="705">
        <v>1408</v>
      </c>
      <c r="BJ72" s="705">
        <v>1450</v>
      </c>
      <c r="BK72" s="705">
        <v>1422</v>
      </c>
      <c r="BL72" s="851">
        <v>1400</v>
      </c>
      <c r="BM72" s="852">
        <v>1364</v>
      </c>
      <c r="BN72" s="1116">
        <v>1384</v>
      </c>
      <c r="BO72" s="1634">
        <v>1350</v>
      </c>
      <c r="BP72" s="1969">
        <v>1322</v>
      </c>
      <c r="BQ72" s="1096">
        <v>1318</v>
      </c>
      <c r="BR72" s="2022">
        <v>1317</v>
      </c>
      <c r="BS72" s="1006">
        <v>1309</v>
      </c>
      <c r="BU72" s="49">
        <f t="shared" si="68"/>
        <v>78</v>
      </c>
      <c r="BV72" s="49">
        <f t="shared" si="69"/>
        <v>6616</v>
      </c>
      <c r="BW72" s="2174">
        <f t="shared" si="70"/>
        <v>11.789600967351875</v>
      </c>
    </row>
    <row r="73" spans="1:75" s="49" customFormat="1" ht="15.75" customHeight="1" x14ac:dyDescent="0.3">
      <c r="A73" s="56" t="s">
        <v>173</v>
      </c>
      <c r="B73" s="84" t="s">
        <v>174</v>
      </c>
      <c r="C73" s="57" t="s">
        <v>255</v>
      </c>
      <c r="D73" s="722">
        <f t="shared" si="46"/>
        <v>22.772277227722771</v>
      </c>
      <c r="E73" s="723">
        <f t="shared" si="47"/>
        <v>29.175050301810867</v>
      </c>
      <c r="F73" s="723">
        <f t="shared" si="48"/>
        <v>19.677996422182471</v>
      </c>
      <c r="G73" s="723">
        <f t="shared" si="49"/>
        <v>18.884892086330936</v>
      </c>
      <c r="H73" s="723">
        <f t="shared" si="50"/>
        <v>21.641118124436431</v>
      </c>
      <c r="I73" s="723">
        <f t="shared" si="51"/>
        <v>19.26605504587156</v>
      </c>
      <c r="J73" s="723">
        <f t="shared" si="52"/>
        <v>13.636363636363635</v>
      </c>
      <c r="K73" s="723">
        <f t="shared" si="53"/>
        <v>25.806451612903224</v>
      </c>
      <c r="L73" s="723">
        <f t="shared" si="54"/>
        <v>12.183692596063731</v>
      </c>
      <c r="M73" s="723">
        <f t="shared" si="55"/>
        <v>14.367816091954023</v>
      </c>
      <c r="N73" s="723">
        <f t="shared" si="56"/>
        <v>20.547945205479451</v>
      </c>
      <c r="O73" s="723">
        <f t="shared" si="57"/>
        <v>14.150943396226415</v>
      </c>
      <c r="P73" s="723">
        <f t="shared" si="58"/>
        <v>19.065776930409914</v>
      </c>
      <c r="Q73" s="723">
        <f t="shared" si="59"/>
        <v>10.060362173038229</v>
      </c>
      <c r="R73" s="855">
        <f t="shared" si="60"/>
        <v>14.910536779324055</v>
      </c>
      <c r="S73" s="857">
        <f t="shared" si="61"/>
        <v>13.21138211382114</v>
      </c>
      <c r="T73" s="1010">
        <f t="shared" si="62"/>
        <v>15.212981744421906</v>
      </c>
      <c r="U73" s="1641">
        <f t="shared" si="63"/>
        <v>13.655462184873949</v>
      </c>
      <c r="V73" s="1975">
        <f t="shared" si="64"/>
        <v>13.259668508287293</v>
      </c>
      <c r="W73" s="2033">
        <f t="shared" si="65"/>
        <v>13.651877133105803</v>
      </c>
      <c r="X73" s="2035">
        <f t="shared" si="66"/>
        <v>6.8886337543053955</v>
      </c>
      <c r="Y73" s="2099">
        <f t="shared" si="67"/>
        <v>10.392609699769052</v>
      </c>
      <c r="Z73" s="2099"/>
      <c r="AA73" s="681">
        <v>23</v>
      </c>
      <c r="AB73" s="682">
        <v>29</v>
      </c>
      <c r="AC73" s="683">
        <v>22</v>
      </c>
      <c r="AD73" s="682">
        <v>21</v>
      </c>
      <c r="AE73" s="683">
        <v>24</v>
      </c>
      <c r="AF73" s="682">
        <v>21</v>
      </c>
      <c r="AG73" s="683">
        <v>15</v>
      </c>
      <c r="AH73" s="682">
        <v>28</v>
      </c>
      <c r="AI73" s="696">
        <v>13</v>
      </c>
      <c r="AJ73" s="696">
        <v>15</v>
      </c>
      <c r="AK73" s="696">
        <v>21</v>
      </c>
      <c r="AL73" s="696">
        <v>15</v>
      </c>
      <c r="AM73" s="697">
        <v>20</v>
      </c>
      <c r="AN73" s="697">
        <v>10</v>
      </c>
      <c r="AO73" s="848">
        <v>15</v>
      </c>
      <c r="AP73" s="849">
        <v>13</v>
      </c>
      <c r="AQ73" s="1005">
        <v>15</v>
      </c>
      <c r="AR73" s="1637">
        <v>13</v>
      </c>
      <c r="AS73" s="1971">
        <v>12</v>
      </c>
      <c r="AT73" s="1095">
        <v>12</v>
      </c>
      <c r="AU73" s="2020">
        <v>6</v>
      </c>
      <c r="AV73" s="1005">
        <v>9</v>
      </c>
      <c r="AW73" s="1005"/>
      <c r="AX73" s="704">
        <v>1010</v>
      </c>
      <c r="AY73" s="705">
        <v>994</v>
      </c>
      <c r="AZ73" s="705">
        <v>1118</v>
      </c>
      <c r="BA73" s="705">
        <v>1112</v>
      </c>
      <c r="BB73" s="705">
        <v>1109</v>
      </c>
      <c r="BC73" s="705">
        <v>1090</v>
      </c>
      <c r="BD73" s="705">
        <v>1100</v>
      </c>
      <c r="BE73" s="705">
        <v>1085</v>
      </c>
      <c r="BF73" s="705">
        <v>1067</v>
      </c>
      <c r="BG73" s="705">
        <v>1044</v>
      </c>
      <c r="BH73" s="705">
        <v>1022</v>
      </c>
      <c r="BI73" s="705">
        <v>1060</v>
      </c>
      <c r="BJ73" s="705">
        <v>1049</v>
      </c>
      <c r="BK73" s="705">
        <v>994</v>
      </c>
      <c r="BL73" s="851">
        <v>1006</v>
      </c>
      <c r="BM73" s="852">
        <v>984</v>
      </c>
      <c r="BN73" s="1116">
        <v>986</v>
      </c>
      <c r="BO73" s="1634">
        <v>952</v>
      </c>
      <c r="BP73" s="1969">
        <v>905</v>
      </c>
      <c r="BQ73" s="1096">
        <v>879</v>
      </c>
      <c r="BR73" s="2022">
        <v>871</v>
      </c>
      <c r="BS73" s="1006">
        <v>866</v>
      </c>
      <c r="BU73" s="49">
        <f t="shared" si="68"/>
        <v>52</v>
      </c>
      <c r="BV73" s="49">
        <f t="shared" si="69"/>
        <v>4473</v>
      </c>
      <c r="BW73" s="2174">
        <f t="shared" si="70"/>
        <v>11.625307399955288</v>
      </c>
    </row>
    <row r="74" spans="1:75" s="49" customFormat="1" ht="15.75" customHeight="1" x14ac:dyDescent="0.3">
      <c r="A74" s="56" t="s">
        <v>177</v>
      </c>
      <c r="B74" s="84" t="s">
        <v>178</v>
      </c>
      <c r="C74" s="57" t="s">
        <v>252</v>
      </c>
      <c r="D74" s="722">
        <f t="shared" si="46"/>
        <v>29.061721561029614</v>
      </c>
      <c r="E74" s="723">
        <f t="shared" si="47"/>
        <v>34.15717856151069</v>
      </c>
      <c r="F74" s="723">
        <f t="shared" si="48"/>
        <v>28.269419862340218</v>
      </c>
      <c r="G74" s="723">
        <f t="shared" si="49"/>
        <v>22.133797562795323</v>
      </c>
      <c r="H74" s="723">
        <f t="shared" si="50"/>
        <v>17.548257708698923</v>
      </c>
      <c r="I74" s="723">
        <f t="shared" si="51"/>
        <v>23.535431056536197</v>
      </c>
      <c r="J74" s="723">
        <f t="shared" si="52"/>
        <v>18.073844564936742</v>
      </c>
      <c r="K74" s="723">
        <f t="shared" si="53"/>
        <v>23.834745762711865</v>
      </c>
      <c r="L74" s="723">
        <f t="shared" si="54"/>
        <v>18.428184281842821</v>
      </c>
      <c r="M74" s="723">
        <f t="shared" si="55"/>
        <v>20.011117287381879</v>
      </c>
      <c r="N74" s="723">
        <f t="shared" si="56"/>
        <v>19.513574660633484</v>
      </c>
      <c r="O74" s="723">
        <f t="shared" si="57"/>
        <v>17.166212534059945</v>
      </c>
      <c r="P74" s="723">
        <f t="shared" si="58"/>
        <v>14.8975791433892</v>
      </c>
      <c r="Q74" s="723">
        <f t="shared" si="59"/>
        <v>11.241970021413277</v>
      </c>
      <c r="R74" s="855">
        <f t="shared" si="60"/>
        <v>13.086150490730644</v>
      </c>
      <c r="S74" s="857">
        <f t="shared" si="61"/>
        <v>9.8119378577269014</v>
      </c>
      <c r="T74" s="1010">
        <f t="shared" si="62"/>
        <v>10.190030294684659</v>
      </c>
      <c r="U74" s="1641">
        <f t="shared" si="63"/>
        <v>10.030649205906938</v>
      </c>
      <c r="V74" s="1975">
        <f t="shared" si="64"/>
        <v>10.033444816053512</v>
      </c>
      <c r="W74" s="2033">
        <f t="shared" si="65"/>
        <v>10.081209745169421</v>
      </c>
      <c r="X74" s="2035">
        <f t="shared" si="66"/>
        <v>9.4151212553495007</v>
      </c>
      <c r="Y74" s="2099">
        <f t="shared" si="67"/>
        <v>9.6604215456674485</v>
      </c>
      <c r="Z74" s="2099"/>
      <c r="AA74" s="681">
        <v>105</v>
      </c>
      <c r="AB74" s="682">
        <v>123</v>
      </c>
      <c r="AC74" s="683">
        <v>115</v>
      </c>
      <c r="AD74" s="682">
        <v>89</v>
      </c>
      <c r="AE74" s="683">
        <v>70</v>
      </c>
      <c r="AF74" s="682">
        <v>92</v>
      </c>
      <c r="AG74" s="683">
        <v>70</v>
      </c>
      <c r="AH74" s="682">
        <v>90</v>
      </c>
      <c r="AI74" s="696">
        <v>68</v>
      </c>
      <c r="AJ74" s="696">
        <v>72</v>
      </c>
      <c r="AK74" s="696">
        <v>69</v>
      </c>
      <c r="AL74" s="696">
        <v>63</v>
      </c>
      <c r="AM74" s="697">
        <v>56</v>
      </c>
      <c r="AN74" s="697">
        <v>42</v>
      </c>
      <c r="AO74" s="848">
        <v>48</v>
      </c>
      <c r="AP74" s="849">
        <v>36</v>
      </c>
      <c r="AQ74" s="1005">
        <v>37</v>
      </c>
      <c r="AR74" s="1637">
        <v>36</v>
      </c>
      <c r="AS74" s="1971">
        <v>36</v>
      </c>
      <c r="AT74" s="1095">
        <v>36</v>
      </c>
      <c r="AU74" s="2020">
        <v>33</v>
      </c>
      <c r="AV74" s="1005">
        <v>33</v>
      </c>
      <c r="AW74" s="1005"/>
      <c r="AX74" s="704">
        <v>3613</v>
      </c>
      <c r="AY74" s="705">
        <v>3601</v>
      </c>
      <c r="AZ74" s="705">
        <v>4068</v>
      </c>
      <c r="BA74" s="705">
        <v>4021</v>
      </c>
      <c r="BB74" s="705">
        <v>3989</v>
      </c>
      <c r="BC74" s="705">
        <v>3909</v>
      </c>
      <c r="BD74" s="705">
        <v>3873</v>
      </c>
      <c r="BE74" s="705">
        <v>3776</v>
      </c>
      <c r="BF74" s="705">
        <v>3690</v>
      </c>
      <c r="BG74" s="705">
        <v>3598</v>
      </c>
      <c r="BH74" s="705">
        <v>3536</v>
      </c>
      <c r="BI74" s="705">
        <v>3670</v>
      </c>
      <c r="BJ74" s="705">
        <v>3759</v>
      </c>
      <c r="BK74" s="705">
        <v>3736</v>
      </c>
      <c r="BL74" s="851">
        <v>3668</v>
      </c>
      <c r="BM74" s="852">
        <v>3669</v>
      </c>
      <c r="BN74" s="1116">
        <v>3631</v>
      </c>
      <c r="BO74" s="1634">
        <v>3589</v>
      </c>
      <c r="BP74" s="1969">
        <v>3588</v>
      </c>
      <c r="BQ74" s="1096">
        <v>3571</v>
      </c>
      <c r="BR74" s="2022">
        <v>3505</v>
      </c>
      <c r="BS74" s="1006">
        <v>3416</v>
      </c>
      <c r="BU74" s="49">
        <f t="shared" si="68"/>
        <v>174</v>
      </c>
      <c r="BV74" s="49">
        <f t="shared" si="69"/>
        <v>17669</v>
      </c>
      <c r="BW74" s="2174">
        <f t="shared" si="70"/>
        <v>9.8477559567604267</v>
      </c>
    </row>
    <row r="75" spans="1:75" s="49" customFormat="1" ht="15.75" customHeight="1" x14ac:dyDescent="0.3">
      <c r="A75" s="56" t="s">
        <v>181</v>
      </c>
      <c r="B75" s="84" t="s">
        <v>182</v>
      </c>
      <c r="C75" s="57" t="s">
        <v>253</v>
      </c>
      <c r="D75" s="722">
        <f t="shared" si="46"/>
        <v>6.9033530571992108</v>
      </c>
      <c r="E75" s="723">
        <f t="shared" si="47"/>
        <v>16.536964980544749</v>
      </c>
      <c r="F75" s="723">
        <f t="shared" si="48"/>
        <v>14.598540145985401</v>
      </c>
      <c r="G75" s="723">
        <f t="shared" si="49"/>
        <v>11.896431070678798</v>
      </c>
      <c r="H75" s="723">
        <f t="shared" si="50"/>
        <v>8.0160320641282556</v>
      </c>
      <c r="I75" s="723">
        <f t="shared" si="51"/>
        <v>7.766990291262136</v>
      </c>
      <c r="J75" s="723">
        <f t="shared" si="52"/>
        <v>8.6419753086419746</v>
      </c>
      <c r="K75" s="723">
        <f t="shared" si="53"/>
        <v>8.0246913580246915</v>
      </c>
      <c r="L75" s="723">
        <f t="shared" si="54"/>
        <v>6.756756756756757</v>
      </c>
      <c r="M75" s="723">
        <f t="shared" si="55"/>
        <v>6.2932662051604789</v>
      </c>
      <c r="N75" s="723">
        <f t="shared" si="56"/>
        <v>6.8922305764411025</v>
      </c>
      <c r="O75" s="723">
        <f t="shared" si="57"/>
        <v>3.9548022598870056</v>
      </c>
      <c r="P75" s="723">
        <f t="shared" si="58"/>
        <v>7.8081427774679311</v>
      </c>
      <c r="Q75" s="723">
        <f t="shared" si="59"/>
        <v>4.4642857142857144</v>
      </c>
      <c r="R75" s="855">
        <f t="shared" si="60"/>
        <v>8.7260034904013963</v>
      </c>
      <c r="S75" s="857">
        <f t="shared" si="61"/>
        <v>6.1842918985776132</v>
      </c>
      <c r="T75" s="1010">
        <f t="shared" si="62"/>
        <v>4.4331855604813173</v>
      </c>
      <c r="U75" s="1641">
        <f t="shared" si="63"/>
        <v>5.836575875486381</v>
      </c>
      <c r="V75" s="1975">
        <f t="shared" si="64"/>
        <v>6.7888662593346911</v>
      </c>
      <c r="W75" s="2033">
        <f t="shared" si="65"/>
        <v>2.0449897750511248</v>
      </c>
      <c r="X75" s="2035">
        <f t="shared" si="66"/>
        <v>2.7137042062415193</v>
      </c>
      <c r="Y75" s="2099">
        <f t="shared" si="67"/>
        <v>3.4293552812071328</v>
      </c>
      <c r="Z75" s="2099"/>
      <c r="AA75" s="681">
        <v>7</v>
      </c>
      <c r="AB75" s="682">
        <v>17</v>
      </c>
      <c r="AC75" s="683">
        <v>20</v>
      </c>
      <c r="AD75" s="682">
        <v>17</v>
      </c>
      <c r="AE75" s="683">
        <v>12</v>
      </c>
      <c r="AF75" s="682">
        <v>12</v>
      </c>
      <c r="AG75" s="683">
        <v>14</v>
      </c>
      <c r="AH75" s="682">
        <v>13</v>
      </c>
      <c r="AI75" s="696">
        <v>11</v>
      </c>
      <c r="AJ75" s="696">
        <v>10</v>
      </c>
      <c r="AK75" s="696">
        <v>11</v>
      </c>
      <c r="AL75" s="696">
        <v>7</v>
      </c>
      <c r="AM75" s="697">
        <v>14</v>
      </c>
      <c r="AN75" s="697">
        <v>8</v>
      </c>
      <c r="AO75" s="848">
        <v>15</v>
      </c>
      <c r="AP75" s="849">
        <v>10</v>
      </c>
      <c r="AQ75" s="1005">
        <v>7</v>
      </c>
      <c r="AR75" s="1637">
        <v>9</v>
      </c>
      <c r="AS75" s="1971">
        <v>10</v>
      </c>
      <c r="AT75" s="1095">
        <v>3</v>
      </c>
      <c r="AU75" s="2020">
        <v>4</v>
      </c>
      <c r="AV75" s="1005">
        <v>5</v>
      </c>
      <c r="AW75" s="1005"/>
      <c r="AX75" s="704">
        <v>1014</v>
      </c>
      <c r="AY75" s="705">
        <v>1028</v>
      </c>
      <c r="AZ75" s="705">
        <v>1370</v>
      </c>
      <c r="BA75" s="705">
        <v>1429</v>
      </c>
      <c r="BB75" s="705">
        <v>1497</v>
      </c>
      <c r="BC75" s="705">
        <v>1545</v>
      </c>
      <c r="BD75" s="705">
        <v>1620</v>
      </c>
      <c r="BE75" s="705">
        <v>1620</v>
      </c>
      <c r="BF75" s="705">
        <v>1628</v>
      </c>
      <c r="BG75" s="705">
        <v>1589</v>
      </c>
      <c r="BH75" s="705">
        <v>1596</v>
      </c>
      <c r="BI75" s="705">
        <v>1770</v>
      </c>
      <c r="BJ75" s="705">
        <v>1793</v>
      </c>
      <c r="BK75" s="705">
        <v>1792</v>
      </c>
      <c r="BL75" s="851">
        <v>1719</v>
      </c>
      <c r="BM75" s="852">
        <v>1617</v>
      </c>
      <c r="BN75" s="1116">
        <v>1579</v>
      </c>
      <c r="BO75" s="1634">
        <v>1542</v>
      </c>
      <c r="BP75" s="1969">
        <v>1473</v>
      </c>
      <c r="BQ75" s="1096">
        <v>1467</v>
      </c>
      <c r="BR75" s="2022">
        <v>1474</v>
      </c>
      <c r="BS75" s="1006">
        <v>1458</v>
      </c>
      <c r="BU75" s="49">
        <f t="shared" si="68"/>
        <v>31</v>
      </c>
      <c r="BV75" s="49">
        <f t="shared" si="69"/>
        <v>7414</v>
      </c>
      <c r="BW75" s="2174">
        <f t="shared" si="70"/>
        <v>4.1812786619908282</v>
      </c>
    </row>
    <row r="76" spans="1:75" s="49" customFormat="1" ht="15.75" customHeight="1" x14ac:dyDescent="0.3">
      <c r="A76" s="56" t="s">
        <v>183</v>
      </c>
      <c r="B76" s="84" t="s">
        <v>184</v>
      </c>
      <c r="C76" s="57" t="s">
        <v>253</v>
      </c>
      <c r="D76" s="722">
        <f t="shared" si="46"/>
        <v>22.754491017964074</v>
      </c>
      <c r="E76" s="723">
        <f t="shared" si="47"/>
        <v>22.195560887822438</v>
      </c>
      <c r="F76" s="723">
        <f t="shared" si="48"/>
        <v>23.732470334412085</v>
      </c>
      <c r="G76" s="723">
        <f t="shared" si="49"/>
        <v>17.13979646491698</v>
      </c>
      <c r="H76" s="723">
        <f t="shared" si="50"/>
        <v>13.089005235602095</v>
      </c>
      <c r="I76" s="723">
        <f t="shared" si="51"/>
        <v>10.863942058975685</v>
      </c>
      <c r="J76" s="723">
        <f t="shared" si="52"/>
        <v>11.954261954261955</v>
      </c>
      <c r="K76" s="723">
        <f t="shared" si="53"/>
        <v>13.756613756613756</v>
      </c>
      <c r="L76" s="723">
        <f t="shared" si="54"/>
        <v>13.333333333333334</v>
      </c>
      <c r="M76" s="723">
        <f t="shared" si="55"/>
        <v>12.913223140495868</v>
      </c>
      <c r="N76" s="723">
        <f t="shared" si="56"/>
        <v>17.189079878665318</v>
      </c>
      <c r="O76" s="723">
        <f t="shared" si="57"/>
        <v>13.177159590043924</v>
      </c>
      <c r="P76" s="723">
        <f t="shared" si="58"/>
        <v>12.315270935960593</v>
      </c>
      <c r="Q76" s="723">
        <f t="shared" si="59"/>
        <v>11.534603811434303</v>
      </c>
      <c r="R76" s="855">
        <f t="shared" si="60"/>
        <v>8.1259522600304717</v>
      </c>
      <c r="S76" s="857">
        <f t="shared" si="61"/>
        <v>5.9435364041604748</v>
      </c>
      <c r="T76" s="1010">
        <f t="shared" si="62"/>
        <v>9.27734375</v>
      </c>
      <c r="U76" s="1641">
        <f t="shared" si="63"/>
        <v>2.9397354238118569</v>
      </c>
      <c r="V76" s="1975">
        <f t="shared" si="64"/>
        <v>7.5376884422110546</v>
      </c>
      <c r="W76" s="2033">
        <f t="shared" si="65"/>
        <v>5.2854122621564485</v>
      </c>
      <c r="X76" s="2035">
        <f t="shared" si="66"/>
        <v>3.6784025223331582</v>
      </c>
      <c r="Y76" s="2099">
        <f t="shared" si="67"/>
        <v>7.8781512605042012</v>
      </c>
      <c r="Z76" s="2099"/>
      <c r="AA76" s="681">
        <v>38</v>
      </c>
      <c r="AB76" s="682">
        <v>37</v>
      </c>
      <c r="AC76" s="683">
        <v>44</v>
      </c>
      <c r="AD76" s="682">
        <v>32</v>
      </c>
      <c r="AE76" s="683">
        <v>25</v>
      </c>
      <c r="AF76" s="682">
        <v>21</v>
      </c>
      <c r="AG76" s="683">
        <v>23</v>
      </c>
      <c r="AH76" s="682">
        <v>26</v>
      </c>
      <c r="AI76" s="696">
        <v>25</v>
      </c>
      <c r="AJ76" s="696">
        <v>25</v>
      </c>
      <c r="AK76" s="696">
        <v>34</v>
      </c>
      <c r="AL76" s="696">
        <v>27</v>
      </c>
      <c r="AM76" s="697">
        <v>25</v>
      </c>
      <c r="AN76" s="697">
        <v>23</v>
      </c>
      <c r="AO76" s="848">
        <v>16</v>
      </c>
      <c r="AP76" s="849">
        <v>12</v>
      </c>
      <c r="AQ76" s="1005">
        <v>19</v>
      </c>
      <c r="AR76" s="1637">
        <v>6</v>
      </c>
      <c r="AS76" s="1971">
        <v>15</v>
      </c>
      <c r="AT76" s="1095">
        <v>10</v>
      </c>
      <c r="AU76" s="2020">
        <v>7</v>
      </c>
      <c r="AV76" s="1005">
        <v>15</v>
      </c>
      <c r="AW76" s="1005"/>
      <c r="AX76" s="704">
        <v>1670</v>
      </c>
      <c r="AY76" s="705">
        <v>1667</v>
      </c>
      <c r="AZ76" s="705">
        <v>1854</v>
      </c>
      <c r="BA76" s="705">
        <v>1867</v>
      </c>
      <c r="BB76" s="705">
        <v>1910</v>
      </c>
      <c r="BC76" s="705">
        <v>1933</v>
      </c>
      <c r="BD76" s="705">
        <v>1924</v>
      </c>
      <c r="BE76" s="705">
        <v>1890</v>
      </c>
      <c r="BF76" s="705">
        <v>1875</v>
      </c>
      <c r="BG76" s="705">
        <v>1936</v>
      </c>
      <c r="BH76" s="705">
        <v>1978</v>
      </c>
      <c r="BI76" s="705">
        <v>2049</v>
      </c>
      <c r="BJ76" s="705">
        <v>2030</v>
      </c>
      <c r="BK76" s="705">
        <v>1994</v>
      </c>
      <c r="BL76" s="851">
        <v>1969</v>
      </c>
      <c r="BM76" s="852">
        <v>2019</v>
      </c>
      <c r="BN76" s="1116">
        <v>2048</v>
      </c>
      <c r="BO76" s="1634">
        <v>2041</v>
      </c>
      <c r="BP76" s="1969">
        <v>1990</v>
      </c>
      <c r="BQ76" s="1096">
        <v>1892</v>
      </c>
      <c r="BR76" s="2022">
        <v>1903</v>
      </c>
      <c r="BS76" s="1006">
        <v>1904</v>
      </c>
      <c r="BU76" s="49">
        <f t="shared" si="68"/>
        <v>53</v>
      </c>
      <c r="BV76" s="49">
        <f t="shared" si="69"/>
        <v>9730</v>
      </c>
      <c r="BW76" s="2174">
        <f t="shared" si="70"/>
        <v>5.4470709146968144</v>
      </c>
    </row>
    <row r="77" spans="1:75" s="49" customFormat="1" ht="15.75" customHeight="1" x14ac:dyDescent="0.3">
      <c r="A77" s="56" t="s">
        <v>185</v>
      </c>
      <c r="B77" s="84" t="s">
        <v>186</v>
      </c>
      <c r="C77" s="57" t="s">
        <v>251</v>
      </c>
      <c r="D77" s="722">
        <f t="shared" si="46"/>
        <v>14.118792599805257</v>
      </c>
      <c r="E77" s="723">
        <f t="shared" si="47"/>
        <v>18.410852713178297</v>
      </c>
      <c r="F77" s="723">
        <f t="shared" si="48"/>
        <v>13.364779874213838</v>
      </c>
      <c r="G77" s="723">
        <f t="shared" si="49"/>
        <v>10.95579901775595</v>
      </c>
      <c r="H77" s="723">
        <f t="shared" si="50"/>
        <v>10.760667903525047</v>
      </c>
      <c r="I77" s="723">
        <f t="shared" si="51"/>
        <v>15.401540154015402</v>
      </c>
      <c r="J77" s="723">
        <f t="shared" si="52"/>
        <v>13.64306784660767</v>
      </c>
      <c r="K77" s="723">
        <f t="shared" si="53"/>
        <v>11.303692539562924</v>
      </c>
      <c r="L77" s="723">
        <f t="shared" si="54"/>
        <v>8.1616789739603579</v>
      </c>
      <c r="M77" s="723">
        <f t="shared" si="55"/>
        <v>12.529365700861394</v>
      </c>
      <c r="N77" s="723">
        <f t="shared" si="56"/>
        <v>9.2592592592592595</v>
      </c>
      <c r="O77" s="723">
        <f t="shared" si="57"/>
        <v>13.991163475699558</v>
      </c>
      <c r="P77" s="723">
        <f t="shared" si="58"/>
        <v>12.975778546712801</v>
      </c>
      <c r="Q77" s="723">
        <f t="shared" si="59"/>
        <v>11.523687580025609</v>
      </c>
      <c r="R77" s="855">
        <f t="shared" si="60"/>
        <v>10.535557506584723</v>
      </c>
      <c r="S77" s="857">
        <f t="shared" si="61"/>
        <v>8.4935181046043802</v>
      </c>
      <c r="T77" s="1010">
        <f t="shared" si="62"/>
        <v>5.8983666061705993</v>
      </c>
      <c r="U77" s="1641">
        <f t="shared" si="63"/>
        <v>4.8034934497816595</v>
      </c>
      <c r="V77" s="1975">
        <f t="shared" si="64"/>
        <v>10.729613733905579</v>
      </c>
      <c r="W77" s="2033">
        <f t="shared" si="65"/>
        <v>5.6082830025884389</v>
      </c>
      <c r="X77" s="2035">
        <f t="shared" si="66"/>
        <v>7.3848827106863597</v>
      </c>
      <c r="Y77" s="2099">
        <f t="shared" si="67"/>
        <v>4.78885502829778</v>
      </c>
      <c r="Z77" s="2099"/>
      <c r="AA77" s="681">
        <v>29</v>
      </c>
      <c r="AB77" s="682">
        <v>38</v>
      </c>
      <c r="AC77" s="683">
        <v>34</v>
      </c>
      <c r="AD77" s="682">
        <v>29</v>
      </c>
      <c r="AE77" s="683">
        <v>29</v>
      </c>
      <c r="AF77" s="682">
        <v>42</v>
      </c>
      <c r="AG77" s="683">
        <v>37</v>
      </c>
      <c r="AH77" s="682">
        <v>30</v>
      </c>
      <c r="AI77" s="696">
        <v>21</v>
      </c>
      <c r="AJ77" s="696">
        <v>32</v>
      </c>
      <c r="AK77" s="696">
        <v>23</v>
      </c>
      <c r="AL77" s="696">
        <v>38</v>
      </c>
      <c r="AM77" s="697">
        <v>30</v>
      </c>
      <c r="AN77" s="697">
        <v>27</v>
      </c>
      <c r="AO77" s="848">
        <v>24</v>
      </c>
      <c r="AP77" s="849">
        <v>19</v>
      </c>
      <c r="AQ77" s="1005">
        <v>13</v>
      </c>
      <c r="AR77" s="1637">
        <v>11</v>
      </c>
      <c r="AS77" s="1971">
        <v>25</v>
      </c>
      <c r="AT77" s="1095">
        <v>13</v>
      </c>
      <c r="AU77" s="2020">
        <v>17</v>
      </c>
      <c r="AV77" s="1005">
        <v>11</v>
      </c>
      <c r="AW77" s="1005"/>
      <c r="AX77" s="704">
        <v>2054</v>
      </c>
      <c r="AY77" s="705">
        <v>2064</v>
      </c>
      <c r="AZ77" s="705">
        <v>2544</v>
      </c>
      <c r="BA77" s="705">
        <v>2647</v>
      </c>
      <c r="BB77" s="705">
        <v>2695</v>
      </c>
      <c r="BC77" s="705">
        <v>2727</v>
      </c>
      <c r="BD77" s="705">
        <v>2712</v>
      </c>
      <c r="BE77" s="705">
        <v>2654</v>
      </c>
      <c r="BF77" s="705">
        <v>2573</v>
      </c>
      <c r="BG77" s="705">
        <v>2554</v>
      </c>
      <c r="BH77" s="705">
        <v>2484</v>
      </c>
      <c r="BI77" s="705">
        <v>2716</v>
      </c>
      <c r="BJ77" s="705">
        <v>2312</v>
      </c>
      <c r="BK77" s="705">
        <v>2343</v>
      </c>
      <c r="BL77" s="851">
        <v>2278</v>
      </c>
      <c r="BM77" s="852">
        <v>2237</v>
      </c>
      <c r="BN77" s="1116">
        <v>2204</v>
      </c>
      <c r="BO77" s="1634">
        <v>2290</v>
      </c>
      <c r="BP77" s="1969">
        <v>2330</v>
      </c>
      <c r="BQ77" s="1096">
        <v>2318</v>
      </c>
      <c r="BR77" s="2022">
        <v>2302</v>
      </c>
      <c r="BS77" s="1006">
        <v>2297</v>
      </c>
      <c r="BU77" s="49">
        <f t="shared" si="68"/>
        <v>77</v>
      </c>
      <c r="BV77" s="49">
        <f t="shared" si="69"/>
        <v>11537</v>
      </c>
      <c r="BW77" s="2174">
        <f t="shared" si="70"/>
        <v>6.6741787293057122</v>
      </c>
    </row>
    <row r="78" spans="1:75" s="49" customFormat="1" ht="15.75" customHeight="1" x14ac:dyDescent="0.3">
      <c r="A78" s="56" t="s">
        <v>187</v>
      </c>
      <c r="B78" s="84" t="s">
        <v>188</v>
      </c>
      <c r="C78" s="57" t="s">
        <v>254</v>
      </c>
      <c r="D78" s="722">
        <f t="shared" si="46"/>
        <v>20.961647947828787</v>
      </c>
      <c r="E78" s="723">
        <f t="shared" si="47"/>
        <v>21.567436208991491</v>
      </c>
      <c r="F78" s="723">
        <f t="shared" si="48"/>
        <v>18.953788411916491</v>
      </c>
      <c r="G78" s="723">
        <f t="shared" si="49"/>
        <v>19.784172661870503</v>
      </c>
      <c r="H78" s="723">
        <f t="shared" si="50"/>
        <v>17.69538655993259</v>
      </c>
      <c r="I78" s="723">
        <f t="shared" si="51"/>
        <v>15.696161353285619</v>
      </c>
      <c r="J78" s="723">
        <f t="shared" si="52"/>
        <v>17.464990451941439</v>
      </c>
      <c r="K78" s="723">
        <f t="shared" si="53"/>
        <v>17.389612915775142</v>
      </c>
      <c r="L78" s="723">
        <f t="shared" si="54"/>
        <v>18.713861540865761</v>
      </c>
      <c r="M78" s="723">
        <f t="shared" si="55"/>
        <v>18.450759050214092</v>
      </c>
      <c r="N78" s="723">
        <f t="shared" si="56"/>
        <v>15.83052031195437</v>
      </c>
      <c r="O78" s="723">
        <f t="shared" si="57"/>
        <v>14.942486222583867</v>
      </c>
      <c r="P78" s="723">
        <f t="shared" si="58"/>
        <v>13.055727341441626</v>
      </c>
      <c r="Q78" s="723">
        <f t="shared" si="59"/>
        <v>10.900553412711723</v>
      </c>
      <c r="R78" s="855">
        <f t="shared" si="60"/>
        <v>10.620220900594733</v>
      </c>
      <c r="S78" s="857">
        <f t="shared" si="61"/>
        <v>8.7932467864679928</v>
      </c>
      <c r="T78" s="1010">
        <f t="shared" si="62"/>
        <v>7.7399867853884148</v>
      </c>
      <c r="U78" s="1641">
        <f t="shared" si="63"/>
        <v>7.2663492858932592</v>
      </c>
      <c r="V78" s="1975">
        <f t="shared" si="64"/>
        <v>7.4167151920071106</v>
      </c>
      <c r="W78" s="2033">
        <f t="shared" si="65"/>
        <v>7.9162875341219285</v>
      </c>
      <c r="X78" s="2035">
        <f t="shared" si="66"/>
        <v>6.8701834040265251</v>
      </c>
      <c r="Y78" s="2099">
        <f t="shared" si="67"/>
        <v>5.1983747609942634</v>
      </c>
      <c r="Z78" s="2099"/>
      <c r="AA78" s="681">
        <v>405</v>
      </c>
      <c r="AB78" s="682">
        <v>426</v>
      </c>
      <c r="AC78" s="683">
        <v>404</v>
      </c>
      <c r="AD78" s="682">
        <v>451</v>
      </c>
      <c r="AE78" s="683">
        <v>420</v>
      </c>
      <c r="AF78" s="682">
        <v>386</v>
      </c>
      <c r="AG78" s="683">
        <v>439</v>
      </c>
      <c r="AH78" s="682">
        <v>447</v>
      </c>
      <c r="AI78" s="696">
        <v>479</v>
      </c>
      <c r="AJ78" s="696">
        <v>474</v>
      </c>
      <c r="AK78" s="696">
        <v>408</v>
      </c>
      <c r="AL78" s="696">
        <v>404</v>
      </c>
      <c r="AM78" s="697">
        <v>380</v>
      </c>
      <c r="AN78" s="697">
        <v>325</v>
      </c>
      <c r="AO78" s="848">
        <v>325</v>
      </c>
      <c r="AP78" s="849">
        <v>275</v>
      </c>
      <c r="AQ78" s="1005">
        <v>246</v>
      </c>
      <c r="AR78" s="1637">
        <v>232</v>
      </c>
      <c r="AS78" s="1971">
        <v>242</v>
      </c>
      <c r="AT78" s="1095">
        <v>261</v>
      </c>
      <c r="AU78" s="2020">
        <v>230</v>
      </c>
      <c r="AV78" s="1005">
        <v>174</v>
      </c>
      <c r="AW78" s="1005"/>
      <c r="AX78" s="704">
        <v>19321</v>
      </c>
      <c r="AY78" s="705">
        <v>19752</v>
      </c>
      <c r="AZ78" s="705">
        <v>21315</v>
      </c>
      <c r="BA78" s="705">
        <v>22796</v>
      </c>
      <c r="BB78" s="705">
        <v>23735</v>
      </c>
      <c r="BC78" s="705">
        <v>24592</v>
      </c>
      <c r="BD78" s="705">
        <v>25136</v>
      </c>
      <c r="BE78" s="705">
        <v>25705</v>
      </c>
      <c r="BF78" s="705">
        <v>25596</v>
      </c>
      <c r="BG78" s="705">
        <v>25690</v>
      </c>
      <c r="BH78" s="705">
        <v>25773</v>
      </c>
      <c r="BI78" s="705">
        <v>27037</v>
      </c>
      <c r="BJ78" s="705">
        <v>29106</v>
      </c>
      <c r="BK78" s="705">
        <v>29815</v>
      </c>
      <c r="BL78" s="851">
        <v>30602</v>
      </c>
      <c r="BM78" s="852">
        <v>31274</v>
      </c>
      <c r="BN78" s="1116">
        <v>31783</v>
      </c>
      <c r="BO78" s="1634">
        <v>31928</v>
      </c>
      <c r="BP78" s="1969">
        <v>32629</v>
      </c>
      <c r="BQ78" s="1096">
        <v>32970</v>
      </c>
      <c r="BR78" s="2022">
        <v>33478</v>
      </c>
      <c r="BS78" s="1006">
        <v>33472</v>
      </c>
      <c r="BU78" s="49">
        <f t="shared" si="68"/>
        <v>1139</v>
      </c>
      <c r="BV78" s="49">
        <f t="shared" si="69"/>
        <v>164477</v>
      </c>
      <c r="BW78" s="2174">
        <f t="shared" si="70"/>
        <v>6.9249803923952893</v>
      </c>
    </row>
    <row r="79" spans="1:75" s="49" customFormat="1" ht="15.75" customHeight="1" x14ac:dyDescent="0.3">
      <c r="A79" s="56" t="s">
        <v>189</v>
      </c>
      <c r="B79" s="84" t="s">
        <v>190</v>
      </c>
      <c r="C79" s="57" t="s">
        <v>255</v>
      </c>
      <c r="D79" s="722">
        <f t="shared" si="46"/>
        <v>36.008230452674901</v>
      </c>
      <c r="E79" s="723">
        <f t="shared" si="47"/>
        <v>30.623020063357973</v>
      </c>
      <c r="F79" s="723">
        <f t="shared" si="48"/>
        <v>26.123301985370951</v>
      </c>
      <c r="G79" s="723">
        <f t="shared" si="49"/>
        <v>33.801352054082159</v>
      </c>
      <c r="H79" s="723">
        <f t="shared" si="50"/>
        <v>24.646040901940221</v>
      </c>
      <c r="I79" s="723">
        <f t="shared" si="51"/>
        <v>18.75</v>
      </c>
      <c r="J79" s="723">
        <f t="shared" si="52"/>
        <v>23.157894736842106</v>
      </c>
      <c r="K79" s="723">
        <f t="shared" si="53"/>
        <v>25.460455037919829</v>
      </c>
      <c r="L79" s="723">
        <f t="shared" si="54"/>
        <v>24.043715846994537</v>
      </c>
      <c r="M79" s="723">
        <f t="shared" si="55"/>
        <v>23.756906077348066</v>
      </c>
      <c r="N79" s="723">
        <f t="shared" si="56"/>
        <v>28.130170987313846</v>
      </c>
      <c r="O79" s="723">
        <f t="shared" si="57"/>
        <v>35.694673256452504</v>
      </c>
      <c r="P79" s="723">
        <f t="shared" si="58"/>
        <v>22.012578616352201</v>
      </c>
      <c r="Q79" s="723">
        <f t="shared" si="59"/>
        <v>19.715224534501644</v>
      </c>
      <c r="R79" s="855">
        <f t="shared" si="60"/>
        <v>26.592797783933516</v>
      </c>
      <c r="S79" s="857">
        <f t="shared" si="61"/>
        <v>23.014959723820485</v>
      </c>
      <c r="T79" s="1010">
        <f t="shared" si="62"/>
        <v>19.161676646706585</v>
      </c>
      <c r="U79" s="1641">
        <f t="shared" si="63"/>
        <v>22.313564298297123</v>
      </c>
      <c r="V79" s="1975">
        <f t="shared" si="64"/>
        <v>18.75732708089097</v>
      </c>
      <c r="W79" s="2033">
        <f t="shared" si="65"/>
        <v>13.553329404832056</v>
      </c>
      <c r="X79" s="2035">
        <f t="shared" si="66"/>
        <v>14.209591474245116</v>
      </c>
      <c r="Y79" s="2099">
        <f t="shared" si="67"/>
        <v>17.575757575757574</v>
      </c>
      <c r="Z79" s="2099"/>
      <c r="AA79" s="681">
        <v>70</v>
      </c>
      <c r="AB79" s="682">
        <v>58</v>
      </c>
      <c r="AC79" s="683">
        <v>50</v>
      </c>
      <c r="AD79" s="682">
        <v>65</v>
      </c>
      <c r="AE79" s="683">
        <v>47</v>
      </c>
      <c r="AF79" s="682">
        <v>36</v>
      </c>
      <c r="AG79" s="683">
        <v>44</v>
      </c>
      <c r="AH79" s="682">
        <v>47</v>
      </c>
      <c r="AI79" s="696">
        <v>44</v>
      </c>
      <c r="AJ79" s="696">
        <v>43</v>
      </c>
      <c r="AK79" s="696">
        <v>51</v>
      </c>
      <c r="AL79" s="696">
        <v>65</v>
      </c>
      <c r="AM79" s="697">
        <v>42</v>
      </c>
      <c r="AN79" s="697">
        <v>36</v>
      </c>
      <c r="AO79" s="848">
        <v>48</v>
      </c>
      <c r="AP79" s="849">
        <v>40</v>
      </c>
      <c r="AQ79" s="1005">
        <v>32</v>
      </c>
      <c r="AR79" s="1637">
        <v>38</v>
      </c>
      <c r="AS79" s="1971">
        <v>32</v>
      </c>
      <c r="AT79" s="1095">
        <v>23</v>
      </c>
      <c r="AU79" s="2020">
        <v>24</v>
      </c>
      <c r="AV79" s="1005">
        <v>29</v>
      </c>
      <c r="AW79" s="1005"/>
      <c r="AX79" s="704">
        <v>1944</v>
      </c>
      <c r="AY79" s="705">
        <v>1894</v>
      </c>
      <c r="AZ79" s="705">
        <v>1914</v>
      </c>
      <c r="BA79" s="705">
        <v>1923</v>
      </c>
      <c r="BB79" s="705">
        <v>1907</v>
      </c>
      <c r="BC79" s="705">
        <v>1920</v>
      </c>
      <c r="BD79" s="705">
        <v>1900</v>
      </c>
      <c r="BE79" s="705">
        <v>1846</v>
      </c>
      <c r="BF79" s="705">
        <v>1830</v>
      </c>
      <c r="BG79" s="705">
        <v>1810</v>
      </c>
      <c r="BH79" s="705">
        <v>1813</v>
      </c>
      <c r="BI79" s="705">
        <v>1821</v>
      </c>
      <c r="BJ79" s="705">
        <v>1908</v>
      </c>
      <c r="BK79" s="705">
        <v>1826</v>
      </c>
      <c r="BL79" s="851">
        <v>1805</v>
      </c>
      <c r="BM79" s="852">
        <v>1738</v>
      </c>
      <c r="BN79" s="1116">
        <v>1670</v>
      </c>
      <c r="BO79" s="1634">
        <v>1703</v>
      </c>
      <c r="BP79" s="1969">
        <v>1706</v>
      </c>
      <c r="BQ79" s="1096">
        <v>1697</v>
      </c>
      <c r="BR79" s="2022">
        <v>1689</v>
      </c>
      <c r="BS79" s="1006">
        <v>1650</v>
      </c>
      <c r="BU79" s="49">
        <f t="shared" si="68"/>
        <v>146</v>
      </c>
      <c r="BV79" s="49">
        <f t="shared" si="69"/>
        <v>8445</v>
      </c>
      <c r="BW79" s="2174">
        <f t="shared" si="70"/>
        <v>17.288336293664887</v>
      </c>
    </row>
    <row r="80" spans="1:75" s="49" customFormat="1" ht="15.75" customHeight="1" x14ac:dyDescent="0.3">
      <c r="A80" s="56" t="s">
        <v>193</v>
      </c>
      <c r="B80" s="84" t="s">
        <v>194</v>
      </c>
      <c r="C80" s="57" t="s">
        <v>254</v>
      </c>
      <c r="D80" s="722">
        <f t="shared" si="46"/>
        <v>17.204301075268816</v>
      </c>
      <c r="E80" s="723">
        <f t="shared" si="47"/>
        <v>19.027484143763214</v>
      </c>
      <c r="F80" s="723">
        <f t="shared" si="48"/>
        <v>10.822510822510822</v>
      </c>
      <c r="G80" s="723">
        <f t="shared" si="49"/>
        <v>23.454157782515992</v>
      </c>
      <c r="H80" s="723">
        <f t="shared" si="50"/>
        <v>13.071895424836601</v>
      </c>
      <c r="I80" s="723">
        <f t="shared" si="51"/>
        <v>4.2462845010615711</v>
      </c>
      <c r="J80" s="723">
        <f t="shared" si="52"/>
        <v>8.4033613445378155</v>
      </c>
      <c r="K80" s="723">
        <f t="shared" si="53"/>
        <v>17.582417582417584</v>
      </c>
      <c r="L80" s="723">
        <f t="shared" si="54"/>
        <v>11.467889908256881</v>
      </c>
      <c r="M80" s="723">
        <f t="shared" si="55"/>
        <v>14.457831325301205</v>
      </c>
      <c r="N80" s="723">
        <f t="shared" si="56"/>
        <v>14.85148514851485</v>
      </c>
      <c r="O80" s="723">
        <f t="shared" si="57"/>
        <v>9.8280098280098276</v>
      </c>
      <c r="P80" s="723">
        <f t="shared" si="58"/>
        <v>6.8493150684931505</v>
      </c>
      <c r="Q80" s="723">
        <f t="shared" si="59"/>
        <v>13.66742596810934</v>
      </c>
      <c r="R80" s="855">
        <f t="shared" si="60"/>
        <v>9.5238095238095255</v>
      </c>
      <c r="S80" s="857">
        <f t="shared" si="61"/>
        <v>2.3752969121140142</v>
      </c>
      <c r="T80" s="1010">
        <f t="shared" si="62"/>
        <v>7.5566750629722916</v>
      </c>
      <c r="U80" s="1641">
        <f t="shared" si="63"/>
        <v>7.5757575757575761</v>
      </c>
      <c r="V80" s="1975">
        <f t="shared" si="64"/>
        <v>0</v>
      </c>
      <c r="W80" s="2033">
        <f t="shared" si="65"/>
        <v>7.9575596816976129</v>
      </c>
      <c r="X80" s="2035">
        <f t="shared" si="66"/>
        <v>5.3763440860215059</v>
      </c>
      <c r="Y80" s="2099">
        <f t="shared" si="67"/>
        <v>2.7932960893854748</v>
      </c>
      <c r="Z80" s="2099"/>
      <c r="AA80" s="681">
        <v>8</v>
      </c>
      <c r="AB80" s="682">
        <v>9</v>
      </c>
      <c r="AC80" s="683">
        <v>5</v>
      </c>
      <c r="AD80" s="682">
        <v>11</v>
      </c>
      <c r="AE80" s="683">
        <v>6</v>
      </c>
      <c r="AF80" s="682">
        <v>2</v>
      </c>
      <c r="AG80" s="683">
        <v>4</v>
      </c>
      <c r="AH80" s="682">
        <v>8</v>
      </c>
      <c r="AI80" s="696">
        <v>5</v>
      </c>
      <c r="AJ80" s="696">
        <v>6</v>
      </c>
      <c r="AK80" s="696">
        <v>6</v>
      </c>
      <c r="AL80" s="696">
        <v>4</v>
      </c>
      <c r="AM80" s="697">
        <v>3</v>
      </c>
      <c r="AN80" s="697">
        <v>6</v>
      </c>
      <c r="AO80" s="848">
        <v>4</v>
      </c>
      <c r="AP80" s="849">
        <v>1</v>
      </c>
      <c r="AQ80" s="1005">
        <v>3</v>
      </c>
      <c r="AR80" s="1637">
        <v>3</v>
      </c>
      <c r="AS80" s="1971">
        <v>0</v>
      </c>
      <c r="AT80" s="1095">
        <v>3</v>
      </c>
      <c r="AU80" s="2020">
        <v>2</v>
      </c>
      <c r="AV80" s="1005">
        <v>1</v>
      </c>
      <c r="AW80" s="1005"/>
      <c r="AX80" s="704">
        <v>465</v>
      </c>
      <c r="AY80" s="705">
        <v>473</v>
      </c>
      <c r="AZ80" s="705">
        <v>462</v>
      </c>
      <c r="BA80" s="705">
        <v>469</v>
      </c>
      <c r="BB80" s="705">
        <v>459</v>
      </c>
      <c r="BC80" s="705">
        <v>471</v>
      </c>
      <c r="BD80" s="705">
        <v>476</v>
      </c>
      <c r="BE80" s="705">
        <v>455</v>
      </c>
      <c r="BF80" s="705">
        <v>436</v>
      </c>
      <c r="BG80" s="705">
        <v>415</v>
      </c>
      <c r="BH80" s="705">
        <v>404</v>
      </c>
      <c r="BI80" s="705">
        <v>407</v>
      </c>
      <c r="BJ80" s="705">
        <v>438</v>
      </c>
      <c r="BK80" s="705">
        <v>439</v>
      </c>
      <c r="BL80" s="851">
        <v>420</v>
      </c>
      <c r="BM80" s="852">
        <v>421</v>
      </c>
      <c r="BN80" s="1116">
        <v>397</v>
      </c>
      <c r="BO80" s="1634">
        <v>396</v>
      </c>
      <c r="BP80" s="1969">
        <v>382</v>
      </c>
      <c r="BQ80" s="1096">
        <v>377</v>
      </c>
      <c r="BR80" s="2022">
        <v>372</v>
      </c>
      <c r="BS80" s="1006">
        <v>358</v>
      </c>
      <c r="BU80" s="49">
        <f t="shared" si="68"/>
        <v>9</v>
      </c>
      <c r="BV80" s="49">
        <f t="shared" si="69"/>
        <v>1885</v>
      </c>
      <c r="BW80" s="2174">
        <f t="shared" si="70"/>
        <v>4.774535809018567</v>
      </c>
    </row>
    <row r="81" spans="1:75" s="49" customFormat="1" ht="15.75" customHeight="1" x14ac:dyDescent="0.3">
      <c r="A81" s="56" t="s">
        <v>197</v>
      </c>
      <c r="B81" s="84" t="s">
        <v>259</v>
      </c>
      <c r="C81" s="57" t="s">
        <v>253</v>
      </c>
      <c r="D81" s="722">
        <f t="shared" si="46"/>
        <v>21.598272138228939</v>
      </c>
      <c r="E81" s="723">
        <f t="shared" si="47"/>
        <v>14.957264957264957</v>
      </c>
      <c r="F81" s="723">
        <f t="shared" si="48"/>
        <v>25.751072961373392</v>
      </c>
      <c r="G81" s="723">
        <f t="shared" si="49"/>
        <v>21.551724137931036</v>
      </c>
      <c r="H81" s="723">
        <f t="shared" si="50"/>
        <v>21.645021645021643</v>
      </c>
      <c r="I81" s="723">
        <f t="shared" si="51"/>
        <v>17.621145374449341</v>
      </c>
      <c r="J81" s="723">
        <f t="shared" si="52"/>
        <v>18.140589569160998</v>
      </c>
      <c r="K81" s="723">
        <f t="shared" si="53"/>
        <v>25.380710659898476</v>
      </c>
      <c r="L81" s="723">
        <f t="shared" si="54"/>
        <v>28.795811518324605</v>
      </c>
      <c r="M81" s="723">
        <f t="shared" si="55"/>
        <v>37.940379403794033</v>
      </c>
      <c r="N81" s="723">
        <f t="shared" si="56"/>
        <v>16.393442622950822</v>
      </c>
      <c r="O81" s="723">
        <f t="shared" si="57"/>
        <v>31.746031746031743</v>
      </c>
      <c r="P81" s="723">
        <f t="shared" si="58"/>
        <v>24.229074889867842</v>
      </c>
      <c r="Q81" s="723">
        <f t="shared" si="59"/>
        <v>13.793103448275861</v>
      </c>
      <c r="R81" s="855">
        <f t="shared" si="60"/>
        <v>2.2522522522522523</v>
      </c>
      <c r="S81" s="857">
        <f t="shared" si="61"/>
        <v>11.933174224343675</v>
      </c>
      <c r="T81" s="1010">
        <f t="shared" si="62"/>
        <v>14.598540145985401</v>
      </c>
      <c r="U81" s="1641">
        <f t="shared" si="63"/>
        <v>2.3148148148148149</v>
      </c>
      <c r="V81" s="1975">
        <f t="shared" si="64"/>
        <v>9.6385542168674707</v>
      </c>
      <c r="W81" s="2033">
        <f t="shared" si="65"/>
        <v>7.0257611241217797</v>
      </c>
      <c r="X81" s="2035">
        <f t="shared" si="66"/>
        <v>8.8300220750551883</v>
      </c>
      <c r="Y81" s="2099">
        <f t="shared" si="67"/>
        <v>13.422818791946309</v>
      </c>
      <c r="Z81" s="2099"/>
      <c r="AA81" s="681">
        <v>10</v>
      </c>
      <c r="AB81" s="682">
        <v>7</v>
      </c>
      <c r="AC81" s="683">
        <v>12</v>
      </c>
      <c r="AD81" s="682">
        <v>10</v>
      </c>
      <c r="AE81" s="683">
        <v>10</v>
      </c>
      <c r="AF81" s="682">
        <v>8</v>
      </c>
      <c r="AG81" s="683">
        <v>8</v>
      </c>
      <c r="AH81" s="682">
        <v>10</v>
      </c>
      <c r="AI81" s="696">
        <v>11</v>
      </c>
      <c r="AJ81" s="696">
        <v>14</v>
      </c>
      <c r="AK81" s="696">
        <v>6</v>
      </c>
      <c r="AL81" s="696">
        <v>12</v>
      </c>
      <c r="AM81" s="697">
        <v>11</v>
      </c>
      <c r="AN81" s="697">
        <v>6</v>
      </c>
      <c r="AO81" s="848">
        <v>1</v>
      </c>
      <c r="AP81" s="849">
        <v>5</v>
      </c>
      <c r="AQ81" s="1005">
        <v>6</v>
      </c>
      <c r="AR81" s="1637">
        <v>1</v>
      </c>
      <c r="AS81" s="1971">
        <v>4</v>
      </c>
      <c r="AT81" s="1095">
        <v>3</v>
      </c>
      <c r="AU81" s="2020">
        <v>4</v>
      </c>
      <c r="AV81" s="1005">
        <v>6</v>
      </c>
      <c r="AW81" s="1005"/>
      <c r="AX81" s="704">
        <v>463</v>
      </c>
      <c r="AY81" s="705">
        <v>468</v>
      </c>
      <c r="AZ81" s="705">
        <v>466</v>
      </c>
      <c r="BA81" s="705">
        <v>464</v>
      </c>
      <c r="BB81" s="705">
        <v>462</v>
      </c>
      <c r="BC81" s="705">
        <v>454</v>
      </c>
      <c r="BD81" s="705">
        <v>441</v>
      </c>
      <c r="BE81" s="705">
        <v>394</v>
      </c>
      <c r="BF81" s="705">
        <v>382</v>
      </c>
      <c r="BG81" s="705">
        <v>369</v>
      </c>
      <c r="BH81" s="705">
        <v>366</v>
      </c>
      <c r="BI81" s="705">
        <v>378</v>
      </c>
      <c r="BJ81" s="705">
        <v>454</v>
      </c>
      <c r="BK81" s="705">
        <v>435</v>
      </c>
      <c r="BL81" s="851">
        <v>444</v>
      </c>
      <c r="BM81" s="852">
        <v>419</v>
      </c>
      <c r="BN81" s="1116">
        <v>411</v>
      </c>
      <c r="BO81" s="1634">
        <v>432</v>
      </c>
      <c r="BP81" s="1969">
        <v>415</v>
      </c>
      <c r="BQ81" s="1096">
        <v>427</v>
      </c>
      <c r="BR81" s="2022">
        <v>453</v>
      </c>
      <c r="BS81" s="1006">
        <v>447</v>
      </c>
      <c r="BU81" s="49">
        <f t="shared" si="68"/>
        <v>18</v>
      </c>
      <c r="BV81" s="49">
        <f t="shared" si="69"/>
        <v>2174</v>
      </c>
      <c r="BW81" s="2174">
        <f t="shared" si="70"/>
        <v>8.2796688132474703</v>
      </c>
    </row>
    <row r="82" spans="1:75" s="49" customFormat="1" ht="15.75" customHeight="1" x14ac:dyDescent="0.3">
      <c r="A82" s="56" t="s">
        <v>201</v>
      </c>
      <c r="B82" s="84" t="s">
        <v>276</v>
      </c>
      <c r="C82" s="57" t="s">
        <v>252</v>
      </c>
      <c r="D82" s="722">
        <f t="shared" si="46"/>
        <v>11.587323747033366</v>
      </c>
      <c r="E82" s="723">
        <f t="shared" si="47"/>
        <v>12.97071129707113</v>
      </c>
      <c r="F82" s="723">
        <f t="shared" si="48"/>
        <v>13.268998793727382</v>
      </c>
      <c r="G82" s="723">
        <f t="shared" si="49"/>
        <v>16.271993649953696</v>
      </c>
      <c r="H82" s="723">
        <f t="shared" si="50"/>
        <v>14.041994750656167</v>
      </c>
      <c r="I82" s="723">
        <f t="shared" si="51"/>
        <v>15.157454592970076</v>
      </c>
      <c r="J82" s="723">
        <f t="shared" si="52"/>
        <v>19.67471143756558</v>
      </c>
      <c r="K82" s="723">
        <f t="shared" si="53"/>
        <v>14.733209450491106</v>
      </c>
      <c r="L82" s="723">
        <f t="shared" si="54"/>
        <v>14.322045241600856</v>
      </c>
      <c r="M82" s="723">
        <f t="shared" si="55"/>
        <v>10.547667342799189</v>
      </c>
      <c r="N82" s="723">
        <f t="shared" si="56"/>
        <v>13.513513513513514</v>
      </c>
      <c r="O82" s="723">
        <f t="shared" si="57"/>
        <v>13.485477178423237</v>
      </c>
      <c r="P82" s="723">
        <f t="shared" si="58"/>
        <v>10.825267447784004</v>
      </c>
      <c r="Q82" s="723">
        <f t="shared" si="59"/>
        <v>9.321595028482653</v>
      </c>
      <c r="R82" s="855">
        <f t="shared" si="60"/>
        <v>8.5470085470085486</v>
      </c>
      <c r="S82" s="857">
        <f t="shared" si="61"/>
        <v>8.8784436610523567</v>
      </c>
      <c r="T82" s="1010">
        <f t="shared" si="62"/>
        <v>6.9865541787503291</v>
      </c>
      <c r="U82" s="1641">
        <f t="shared" si="63"/>
        <v>4.3524136111843834</v>
      </c>
      <c r="V82" s="1975">
        <f t="shared" si="64"/>
        <v>6.6755674232309747</v>
      </c>
      <c r="W82" s="2033">
        <f t="shared" si="65"/>
        <v>4.7080979284369109</v>
      </c>
      <c r="X82" s="2035">
        <f t="shared" si="66"/>
        <v>5.1386071670047331</v>
      </c>
      <c r="Y82" s="2099">
        <f t="shared" si="67"/>
        <v>3.5763411279229711</v>
      </c>
      <c r="Z82" s="2099"/>
      <c r="AA82" s="681">
        <v>83</v>
      </c>
      <c r="AB82" s="682">
        <v>93</v>
      </c>
      <c r="AC82" s="683">
        <v>99</v>
      </c>
      <c r="AD82" s="682">
        <v>123</v>
      </c>
      <c r="AE82" s="683">
        <v>107</v>
      </c>
      <c r="AF82" s="682">
        <v>116</v>
      </c>
      <c r="AG82" s="683">
        <v>150</v>
      </c>
      <c r="AH82" s="682">
        <v>111</v>
      </c>
      <c r="AI82" s="696">
        <v>107</v>
      </c>
      <c r="AJ82" s="696">
        <v>78</v>
      </c>
      <c r="AK82" s="696">
        <v>98</v>
      </c>
      <c r="AL82" s="696">
        <v>104</v>
      </c>
      <c r="AM82" s="697">
        <v>85</v>
      </c>
      <c r="AN82" s="697">
        <v>72</v>
      </c>
      <c r="AO82" s="848">
        <v>65</v>
      </c>
      <c r="AP82" s="849">
        <v>68</v>
      </c>
      <c r="AQ82" s="1005">
        <v>53</v>
      </c>
      <c r="AR82" s="1637">
        <v>33</v>
      </c>
      <c r="AS82" s="1971">
        <v>50</v>
      </c>
      <c r="AT82" s="1095">
        <v>35</v>
      </c>
      <c r="AU82" s="2020">
        <v>38</v>
      </c>
      <c r="AV82" s="1005">
        <v>26</v>
      </c>
      <c r="AW82" s="1005"/>
      <c r="AX82" s="704">
        <v>7163</v>
      </c>
      <c r="AY82" s="705">
        <v>7170</v>
      </c>
      <c r="AZ82" s="705">
        <v>7461</v>
      </c>
      <c r="BA82" s="705">
        <v>7559</v>
      </c>
      <c r="BB82" s="705">
        <v>7620</v>
      </c>
      <c r="BC82" s="705">
        <v>7653</v>
      </c>
      <c r="BD82" s="705">
        <v>7624</v>
      </c>
      <c r="BE82" s="705">
        <v>7534</v>
      </c>
      <c r="BF82" s="705">
        <v>7471</v>
      </c>
      <c r="BG82" s="705">
        <v>7395</v>
      </c>
      <c r="BH82" s="705">
        <v>7252</v>
      </c>
      <c r="BI82" s="705">
        <v>7712</v>
      </c>
      <c r="BJ82" s="705">
        <v>7852</v>
      </c>
      <c r="BK82" s="705">
        <v>7724</v>
      </c>
      <c r="BL82" s="851">
        <v>7605</v>
      </c>
      <c r="BM82" s="852">
        <v>7659</v>
      </c>
      <c r="BN82" s="1116">
        <v>7586</v>
      </c>
      <c r="BO82" s="1634">
        <v>7582</v>
      </c>
      <c r="BP82" s="1969">
        <v>7490</v>
      </c>
      <c r="BQ82" s="1096">
        <v>7434</v>
      </c>
      <c r="BR82" s="2022">
        <v>7395</v>
      </c>
      <c r="BS82" s="1006">
        <v>7270</v>
      </c>
      <c r="BU82" s="49">
        <f t="shared" si="68"/>
        <v>182</v>
      </c>
      <c r="BV82" s="49">
        <f t="shared" si="69"/>
        <v>37171</v>
      </c>
      <c r="BW82" s="2174">
        <f t="shared" si="70"/>
        <v>4.8962901186408763</v>
      </c>
    </row>
    <row r="83" spans="1:75" s="49" customFormat="1" ht="15.75" customHeight="1" x14ac:dyDescent="0.3">
      <c r="A83" s="56" t="s">
        <v>203</v>
      </c>
      <c r="B83" s="84" t="s">
        <v>269</v>
      </c>
      <c r="C83" s="57" t="s">
        <v>252</v>
      </c>
      <c r="D83" s="722">
        <f t="shared" si="46"/>
        <v>22.020105313547152</v>
      </c>
      <c r="E83" s="723">
        <f t="shared" si="47"/>
        <v>13.915547024952014</v>
      </c>
      <c r="F83" s="723">
        <f t="shared" si="48"/>
        <v>13.419913419913421</v>
      </c>
      <c r="G83" s="723">
        <f t="shared" si="49"/>
        <v>15.796401930671347</v>
      </c>
      <c r="H83" s="723">
        <f t="shared" si="50"/>
        <v>15.555555555555555</v>
      </c>
      <c r="I83" s="723">
        <f t="shared" si="51"/>
        <v>14.241210502892745</v>
      </c>
      <c r="J83" s="723">
        <f t="shared" si="52"/>
        <v>19.882512426570266</v>
      </c>
      <c r="K83" s="723">
        <f t="shared" si="53"/>
        <v>17.048003589053387</v>
      </c>
      <c r="L83" s="723">
        <f t="shared" si="54"/>
        <v>12.663952962460424</v>
      </c>
      <c r="M83" s="723">
        <f t="shared" si="55"/>
        <v>18.526886579304112</v>
      </c>
      <c r="N83" s="723">
        <f t="shared" si="56"/>
        <v>20.009095043201455</v>
      </c>
      <c r="O83" s="723">
        <f t="shared" si="57"/>
        <v>20.608899297423889</v>
      </c>
      <c r="P83" s="723">
        <f t="shared" si="58"/>
        <v>15.824175824175825</v>
      </c>
      <c r="Q83" s="723">
        <f t="shared" si="59"/>
        <v>14.705882352941176</v>
      </c>
      <c r="R83" s="855">
        <f t="shared" si="60"/>
        <v>11.022927689594356</v>
      </c>
      <c r="S83" s="857">
        <f t="shared" si="61"/>
        <v>7.9400088222320235</v>
      </c>
      <c r="T83" s="1010">
        <f t="shared" si="62"/>
        <v>13.543031891655744</v>
      </c>
      <c r="U83" s="1641">
        <f t="shared" si="63"/>
        <v>8.3078268473983385</v>
      </c>
      <c r="V83" s="1975">
        <f t="shared" si="64"/>
        <v>8.9605734767025087</v>
      </c>
      <c r="W83" s="2033">
        <f t="shared" si="65"/>
        <v>5.5698371893744643</v>
      </c>
      <c r="X83" s="2035">
        <f t="shared" si="66"/>
        <v>3.4042553191489362</v>
      </c>
      <c r="Y83" s="2099">
        <f t="shared" si="67"/>
        <v>5.6325823223570195</v>
      </c>
      <c r="Z83" s="2099"/>
      <c r="AA83" s="681">
        <v>46</v>
      </c>
      <c r="AB83" s="682">
        <v>29</v>
      </c>
      <c r="AC83" s="683">
        <v>31</v>
      </c>
      <c r="AD83" s="682">
        <v>36</v>
      </c>
      <c r="AE83" s="683">
        <v>35</v>
      </c>
      <c r="AF83" s="682">
        <v>32</v>
      </c>
      <c r="AG83" s="683">
        <v>44</v>
      </c>
      <c r="AH83" s="682">
        <v>38</v>
      </c>
      <c r="AI83" s="696">
        <v>28</v>
      </c>
      <c r="AJ83" s="696">
        <v>41</v>
      </c>
      <c r="AK83" s="696">
        <v>44</v>
      </c>
      <c r="AL83" s="696">
        <v>44</v>
      </c>
      <c r="AM83" s="697">
        <v>36</v>
      </c>
      <c r="AN83" s="697">
        <v>33</v>
      </c>
      <c r="AO83" s="848">
        <v>25</v>
      </c>
      <c r="AP83" s="849">
        <v>18</v>
      </c>
      <c r="AQ83" s="1005">
        <v>31</v>
      </c>
      <c r="AR83" s="1637">
        <v>19</v>
      </c>
      <c r="AS83" s="1971">
        <v>20</v>
      </c>
      <c r="AT83" s="1095">
        <v>13</v>
      </c>
      <c r="AU83" s="2020">
        <v>8</v>
      </c>
      <c r="AV83" s="1005">
        <v>13</v>
      </c>
      <c r="AW83" s="1005"/>
      <c r="AX83" s="704">
        <v>2089</v>
      </c>
      <c r="AY83" s="705">
        <v>2084</v>
      </c>
      <c r="AZ83" s="705">
        <v>2310</v>
      </c>
      <c r="BA83" s="705">
        <v>2279</v>
      </c>
      <c r="BB83" s="705">
        <v>2250</v>
      </c>
      <c r="BC83" s="705">
        <v>2247</v>
      </c>
      <c r="BD83" s="705">
        <v>2213</v>
      </c>
      <c r="BE83" s="705">
        <v>2229</v>
      </c>
      <c r="BF83" s="705">
        <v>2211</v>
      </c>
      <c r="BG83" s="705">
        <v>2213</v>
      </c>
      <c r="BH83" s="705">
        <v>2199</v>
      </c>
      <c r="BI83" s="705">
        <v>2135</v>
      </c>
      <c r="BJ83" s="705">
        <v>2275</v>
      </c>
      <c r="BK83" s="705">
        <v>2244</v>
      </c>
      <c r="BL83" s="851">
        <v>2268</v>
      </c>
      <c r="BM83" s="852">
        <v>2267</v>
      </c>
      <c r="BN83" s="1116">
        <v>2289</v>
      </c>
      <c r="BO83" s="1634">
        <v>2287</v>
      </c>
      <c r="BP83" s="1969">
        <v>2232</v>
      </c>
      <c r="BQ83" s="1096">
        <v>2334</v>
      </c>
      <c r="BR83" s="2022">
        <v>2350</v>
      </c>
      <c r="BS83" s="1006">
        <v>2308</v>
      </c>
      <c r="BU83" s="49">
        <f t="shared" si="68"/>
        <v>73</v>
      </c>
      <c r="BV83" s="49">
        <f t="shared" si="69"/>
        <v>11511</v>
      </c>
      <c r="BW83" s="2174">
        <f t="shared" si="70"/>
        <v>6.3417600555989928</v>
      </c>
    </row>
    <row r="84" spans="1:75" s="49" customFormat="1" ht="15.75" customHeight="1" x14ac:dyDescent="0.3">
      <c r="A84" s="56" t="s">
        <v>205</v>
      </c>
      <c r="B84" s="84" t="s">
        <v>270</v>
      </c>
      <c r="C84" s="57" t="s">
        <v>254</v>
      </c>
      <c r="D84" s="722">
        <f t="shared" si="46"/>
        <v>21.969295923769188</v>
      </c>
      <c r="E84" s="723">
        <f t="shared" si="47"/>
        <v>23.46310132389566</v>
      </c>
      <c r="F84" s="723">
        <f t="shared" si="48"/>
        <v>16.223231667748216</v>
      </c>
      <c r="G84" s="723">
        <f t="shared" si="49"/>
        <v>18.493611297915265</v>
      </c>
      <c r="H84" s="723">
        <f t="shared" si="50"/>
        <v>15.523059617547807</v>
      </c>
      <c r="I84" s="723">
        <f t="shared" si="51"/>
        <v>17.845192951148785</v>
      </c>
      <c r="J84" s="723">
        <f t="shared" si="52"/>
        <v>17.702070808283231</v>
      </c>
      <c r="K84" s="723">
        <f t="shared" si="53"/>
        <v>15.717311336528816</v>
      </c>
      <c r="L84" s="723">
        <f t="shared" si="54"/>
        <v>17.070484581497798</v>
      </c>
      <c r="M84" s="723">
        <f t="shared" si="55"/>
        <v>14.64968152866242</v>
      </c>
      <c r="N84" s="723">
        <f t="shared" si="56"/>
        <v>15.628368182798017</v>
      </c>
      <c r="O84" s="723">
        <f t="shared" si="57"/>
        <v>12.483095807760325</v>
      </c>
      <c r="P84" s="723">
        <f t="shared" si="58"/>
        <v>12.365191521011528</v>
      </c>
      <c r="Q84" s="723">
        <f t="shared" si="59"/>
        <v>11.670588235294119</v>
      </c>
      <c r="R84" s="855">
        <f t="shared" si="60"/>
        <v>8.4214466173856088</v>
      </c>
      <c r="S84" s="857">
        <f t="shared" si="61"/>
        <v>10.224948875255624</v>
      </c>
      <c r="T84" s="1010">
        <f t="shared" si="62"/>
        <v>8.9004264787687735</v>
      </c>
      <c r="U84" s="1641">
        <f t="shared" si="63"/>
        <v>9.6870342771982116</v>
      </c>
      <c r="V84" s="1975">
        <f t="shared" si="64"/>
        <v>7.5430043234293072</v>
      </c>
      <c r="W84" s="2033">
        <f t="shared" si="65"/>
        <v>6.5747420326910788</v>
      </c>
      <c r="X84" s="2035">
        <f t="shared" si="66"/>
        <v>8.2214305289120304</v>
      </c>
      <c r="Y84" s="2099">
        <f t="shared" si="67"/>
        <v>7.7497924162745644</v>
      </c>
      <c r="Z84" s="2099"/>
      <c r="AA84" s="681">
        <v>166</v>
      </c>
      <c r="AB84" s="682">
        <v>179</v>
      </c>
      <c r="AC84" s="683">
        <v>150</v>
      </c>
      <c r="AD84" s="682">
        <v>165</v>
      </c>
      <c r="AE84" s="683">
        <v>138</v>
      </c>
      <c r="AF84" s="682">
        <v>160</v>
      </c>
      <c r="AG84" s="683">
        <v>159</v>
      </c>
      <c r="AH84" s="682">
        <v>141</v>
      </c>
      <c r="AI84" s="696">
        <v>155</v>
      </c>
      <c r="AJ84" s="696">
        <v>138</v>
      </c>
      <c r="AK84" s="696">
        <v>145</v>
      </c>
      <c r="AL84" s="696">
        <v>120</v>
      </c>
      <c r="AM84" s="697">
        <v>133</v>
      </c>
      <c r="AN84" s="697">
        <v>124</v>
      </c>
      <c r="AO84" s="848">
        <v>90</v>
      </c>
      <c r="AP84" s="849">
        <v>110</v>
      </c>
      <c r="AQ84" s="1005">
        <v>96</v>
      </c>
      <c r="AR84" s="1637">
        <v>104</v>
      </c>
      <c r="AS84" s="1971">
        <v>82</v>
      </c>
      <c r="AT84" s="1095">
        <v>72</v>
      </c>
      <c r="AU84" s="2020">
        <v>90</v>
      </c>
      <c r="AV84" s="1005">
        <v>84</v>
      </c>
      <c r="AW84" s="1005"/>
      <c r="AX84" s="704">
        <v>7556</v>
      </c>
      <c r="AY84" s="705">
        <v>7629</v>
      </c>
      <c r="AZ84" s="705">
        <v>9246</v>
      </c>
      <c r="BA84" s="705">
        <v>8922</v>
      </c>
      <c r="BB84" s="705">
        <v>8890</v>
      </c>
      <c r="BC84" s="705">
        <v>8966</v>
      </c>
      <c r="BD84" s="705">
        <v>8982</v>
      </c>
      <c r="BE84" s="705">
        <v>8971</v>
      </c>
      <c r="BF84" s="705">
        <v>9080</v>
      </c>
      <c r="BG84" s="705">
        <v>9420</v>
      </c>
      <c r="BH84" s="705">
        <v>9278</v>
      </c>
      <c r="BI84" s="705">
        <v>9613</v>
      </c>
      <c r="BJ84" s="705">
        <v>10756</v>
      </c>
      <c r="BK84" s="705">
        <v>10625</v>
      </c>
      <c r="BL84" s="851">
        <v>10687</v>
      </c>
      <c r="BM84" s="852">
        <v>10758</v>
      </c>
      <c r="BN84" s="1116">
        <v>10786</v>
      </c>
      <c r="BO84" s="1634">
        <v>10736</v>
      </c>
      <c r="BP84" s="1969">
        <v>10871</v>
      </c>
      <c r="BQ84" s="1096">
        <v>10951</v>
      </c>
      <c r="BR84" s="2022">
        <v>10947</v>
      </c>
      <c r="BS84" s="1006">
        <v>10839</v>
      </c>
      <c r="BU84" s="49">
        <f t="shared" si="68"/>
        <v>432</v>
      </c>
      <c r="BV84" s="49">
        <f t="shared" si="69"/>
        <v>54344</v>
      </c>
      <c r="BW84" s="2174">
        <f t="shared" si="70"/>
        <v>7.9493596349182978</v>
      </c>
    </row>
    <row r="85" spans="1:75" s="49" customFormat="1" ht="15.75" customHeight="1" x14ac:dyDescent="0.3">
      <c r="A85" s="56" t="s">
        <v>207</v>
      </c>
      <c r="B85" s="84" t="s">
        <v>208</v>
      </c>
      <c r="C85" s="57" t="s">
        <v>255</v>
      </c>
      <c r="D85" s="722">
        <f t="shared" si="46"/>
        <v>31.337437045327363</v>
      </c>
      <c r="E85" s="723">
        <f t="shared" si="47"/>
        <v>29.327199539965498</v>
      </c>
      <c r="F85" s="723">
        <f t="shared" si="48"/>
        <v>23.026315789473681</v>
      </c>
      <c r="G85" s="723">
        <f t="shared" si="49"/>
        <v>26.628895184135978</v>
      </c>
      <c r="H85" s="723">
        <f t="shared" si="50"/>
        <v>19.551466359976999</v>
      </c>
      <c r="I85" s="723">
        <f t="shared" si="51"/>
        <v>23.754345307068366</v>
      </c>
      <c r="J85" s="723">
        <f t="shared" si="52"/>
        <v>19.721577726218097</v>
      </c>
      <c r="K85" s="723">
        <f t="shared" si="53"/>
        <v>14.611338398597312</v>
      </c>
      <c r="L85" s="723">
        <f t="shared" si="54"/>
        <v>24.131842260153032</v>
      </c>
      <c r="M85" s="723">
        <f t="shared" si="55"/>
        <v>16.071428571428569</v>
      </c>
      <c r="N85" s="723">
        <f t="shared" si="56"/>
        <v>28.673835125448029</v>
      </c>
      <c r="O85" s="723">
        <f t="shared" si="57"/>
        <v>23.172905525846705</v>
      </c>
      <c r="P85" s="723">
        <f t="shared" si="58"/>
        <v>26.517383618149676</v>
      </c>
      <c r="Q85" s="723">
        <f t="shared" si="59"/>
        <v>19.656019656019655</v>
      </c>
      <c r="R85" s="855">
        <f t="shared" si="60"/>
        <v>23.106546854942234</v>
      </c>
      <c r="S85" s="857">
        <f t="shared" si="61"/>
        <v>30.638852672750978</v>
      </c>
      <c r="T85" s="1010">
        <f t="shared" si="62"/>
        <v>20.077720207253883</v>
      </c>
      <c r="U85" s="1641">
        <f t="shared" si="63"/>
        <v>16.709511568123393</v>
      </c>
      <c r="V85" s="1975">
        <f t="shared" si="64"/>
        <v>13.852242744063323</v>
      </c>
      <c r="W85" s="2033">
        <f t="shared" si="65"/>
        <v>17.699115044247787</v>
      </c>
      <c r="X85" s="2035">
        <f t="shared" si="66"/>
        <v>17.82042494859493</v>
      </c>
      <c r="Y85" s="2099">
        <f t="shared" si="67"/>
        <v>11.307420494699645</v>
      </c>
      <c r="Z85" s="2099"/>
      <c r="AA85" s="681">
        <v>56</v>
      </c>
      <c r="AB85" s="682">
        <v>51</v>
      </c>
      <c r="AC85" s="683">
        <v>42</v>
      </c>
      <c r="AD85" s="682">
        <v>47</v>
      </c>
      <c r="AE85" s="683">
        <v>34</v>
      </c>
      <c r="AF85" s="682">
        <v>41</v>
      </c>
      <c r="AG85" s="683">
        <v>34</v>
      </c>
      <c r="AH85" s="682">
        <v>25</v>
      </c>
      <c r="AI85" s="696">
        <v>41</v>
      </c>
      <c r="AJ85" s="696">
        <v>27</v>
      </c>
      <c r="AK85" s="696">
        <v>48</v>
      </c>
      <c r="AL85" s="696">
        <v>39</v>
      </c>
      <c r="AM85" s="697">
        <v>45</v>
      </c>
      <c r="AN85" s="697">
        <v>32</v>
      </c>
      <c r="AO85" s="848">
        <v>36</v>
      </c>
      <c r="AP85" s="849">
        <v>47</v>
      </c>
      <c r="AQ85" s="1005">
        <v>31</v>
      </c>
      <c r="AR85" s="1637">
        <v>26</v>
      </c>
      <c r="AS85" s="1971">
        <v>21</v>
      </c>
      <c r="AT85" s="1095">
        <v>26</v>
      </c>
      <c r="AU85" s="2020">
        <v>26</v>
      </c>
      <c r="AV85" s="1005">
        <v>16</v>
      </c>
      <c r="AW85" s="1005"/>
      <c r="AX85" s="704">
        <v>1787</v>
      </c>
      <c r="AY85" s="705">
        <v>1739</v>
      </c>
      <c r="AZ85" s="705">
        <v>1824</v>
      </c>
      <c r="BA85" s="705">
        <v>1765</v>
      </c>
      <c r="BB85" s="705">
        <v>1739</v>
      </c>
      <c r="BC85" s="705">
        <v>1726</v>
      </c>
      <c r="BD85" s="705">
        <v>1724</v>
      </c>
      <c r="BE85" s="705">
        <v>1711</v>
      </c>
      <c r="BF85" s="705">
        <v>1699</v>
      </c>
      <c r="BG85" s="705">
        <v>1680</v>
      </c>
      <c r="BH85" s="705">
        <v>1674</v>
      </c>
      <c r="BI85" s="705">
        <v>1683</v>
      </c>
      <c r="BJ85" s="705">
        <v>1697</v>
      </c>
      <c r="BK85" s="705">
        <v>1628</v>
      </c>
      <c r="BL85" s="851">
        <v>1558</v>
      </c>
      <c r="BM85" s="852">
        <v>1534</v>
      </c>
      <c r="BN85" s="1116">
        <v>1544</v>
      </c>
      <c r="BO85" s="1634">
        <v>1556</v>
      </c>
      <c r="BP85" s="1969">
        <v>1516</v>
      </c>
      <c r="BQ85" s="1096">
        <v>1469</v>
      </c>
      <c r="BR85" s="2022">
        <v>1459</v>
      </c>
      <c r="BS85" s="1006">
        <v>1415</v>
      </c>
      <c r="BU85" s="49">
        <f t="shared" si="68"/>
        <v>115</v>
      </c>
      <c r="BV85" s="49">
        <f t="shared" si="69"/>
        <v>7415</v>
      </c>
      <c r="BW85" s="2174">
        <f t="shared" si="70"/>
        <v>15.509103169251517</v>
      </c>
    </row>
    <row r="86" spans="1:75" s="49" customFormat="1" ht="15.75" customHeight="1" x14ac:dyDescent="0.3">
      <c r="A86" s="56" t="s">
        <v>209</v>
      </c>
      <c r="B86" s="84" t="s">
        <v>210</v>
      </c>
      <c r="C86" s="57" t="s">
        <v>255</v>
      </c>
      <c r="D86" s="722">
        <f t="shared" si="46"/>
        <v>29.082774049217001</v>
      </c>
      <c r="E86" s="723">
        <f t="shared" si="47"/>
        <v>25.835866261398177</v>
      </c>
      <c r="F86" s="723">
        <f t="shared" si="48"/>
        <v>24.442846872753414</v>
      </c>
      <c r="G86" s="723">
        <f t="shared" si="49"/>
        <v>30.814380044020542</v>
      </c>
      <c r="H86" s="723">
        <f t="shared" si="50"/>
        <v>20.485584218512901</v>
      </c>
      <c r="I86" s="723">
        <f t="shared" si="51"/>
        <v>20.17067494181536</v>
      </c>
      <c r="J86" s="723">
        <f t="shared" si="52"/>
        <v>24.786986831913246</v>
      </c>
      <c r="K86" s="723">
        <f t="shared" si="53"/>
        <v>22.762951334379906</v>
      </c>
      <c r="L86" s="723">
        <f t="shared" si="54"/>
        <v>24.390243902439025</v>
      </c>
      <c r="M86" s="723">
        <f t="shared" si="55"/>
        <v>21.64862614487927</v>
      </c>
      <c r="N86" s="723">
        <f t="shared" si="56"/>
        <v>24.390243902439025</v>
      </c>
      <c r="O86" s="723">
        <f t="shared" si="57"/>
        <v>27.615062761506277</v>
      </c>
      <c r="P86" s="723">
        <f t="shared" si="58"/>
        <v>22.745098039215684</v>
      </c>
      <c r="Q86" s="723">
        <f t="shared" si="59"/>
        <v>27.353177795655672</v>
      </c>
      <c r="R86" s="855">
        <f t="shared" si="60"/>
        <v>15.285599356395815</v>
      </c>
      <c r="S86" s="857">
        <f t="shared" si="61"/>
        <v>15.472312703583063</v>
      </c>
      <c r="T86" s="1010">
        <f t="shared" si="62"/>
        <v>12.355848434925866</v>
      </c>
      <c r="U86" s="1641">
        <f t="shared" si="63"/>
        <v>11.04502973661852</v>
      </c>
      <c r="V86" s="1975">
        <f t="shared" si="64"/>
        <v>10.238907849829351</v>
      </c>
      <c r="W86" s="2033">
        <f t="shared" si="65"/>
        <v>19.064124783362217</v>
      </c>
      <c r="X86" s="2035">
        <f t="shared" si="66"/>
        <v>12.400354295837024</v>
      </c>
      <c r="Y86" s="2099">
        <f t="shared" si="67"/>
        <v>7.2202166064981954</v>
      </c>
      <c r="Z86" s="2099"/>
      <c r="AA86" s="681">
        <v>39</v>
      </c>
      <c r="AB86" s="682">
        <v>34</v>
      </c>
      <c r="AC86" s="683">
        <v>34</v>
      </c>
      <c r="AD86" s="682">
        <v>42</v>
      </c>
      <c r="AE86" s="683">
        <v>27</v>
      </c>
      <c r="AF86" s="682">
        <v>26</v>
      </c>
      <c r="AG86" s="683">
        <v>32</v>
      </c>
      <c r="AH86" s="682">
        <v>29</v>
      </c>
      <c r="AI86" s="696">
        <v>30</v>
      </c>
      <c r="AJ86" s="696">
        <v>26</v>
      </c>
      <c r="AK86" s="696">
        <v>29</v>
      </c>
      <c r="AL86" s="696">
        <v>33</v>
      </c>
      <c r="AM86" s="697">
        <v>29</v>
      </c>
      <c r="AN86" s="697">
        <v>34</v>
      </c>
      <c r="AO86" s="848">
        <v>19</v>
      </c>
      <c r="AP86" s="849">
        <v>19</v>
      </c>
      <c r="AQ86" s="1005">
        <v>15</v>
      </c>
      <c r="AR86" s="1637">
        <v>13</v>
      </c>
      <c r="AS86" s="1971">
        <v>12</v>
      </c>
      <c r="AT86" s="1095">
        <v>22</v>
      </c>
      <c r="AU86" s="2020">
        <v>14</v>
      </c>
      <c r="AV86" s="1005">
        <v>8</v>
      </c>
      <c r="AW86" s="1005"/>
      <c r="AX86" s="704">
        <v>1341</v>
      </c>
      <c r="AY86" s="705">
        <v>1316</v>
      </c>
      <c r="AZ86" s="705">
        <v>1391</v>
      </c>
      <c r="BA86" s="705">
        <v>1363</v>
      </c>
      <c r="BB86" s="705">
        <v>1318</v>
      </c>
      <c r="BC86" s="705">
        <v>1289</v>
      </c>
      <c r="BD86" s="705">
        <v>1291</v>
      </c>
      <c r="BE86" s="705">
        <v>1274</v>
      </c>
      <c r="BF86" s="705">
        <v>1230</v>
      </c>
      <c r="BG86" s="705">
        <v>1201</v>
      </c>
      <c r="BH86" s="705">
        <v>1189</v>
      </c>
      <c r="BI86" s="705">
        <v>1195</v>
      </c>
      <c r="BJ86" s="705">
        <v>1275</v>
      </c>
      <c r="BK86" s="705">
        <v>1243</v>
      </c>
      <c r="BL86" s="851">
        <v>1243</v>
      </c>
      <c r="BM86" s="852">
        <v>1228</v>
      </c>
      <c r="BN86" s="1116">
        <v>1214</v>
      </c>
      <c r="BO86" s="1634">
        <v>1177</v>
      </c>
      <c r="BP86" s="1969">
        <v>1172</v>
      </c>
      <c r="BQ86" s="1096">
        <v>1154</v>
      </c>
      <c r="BR86" s="2022">
        <v>1129</v>
      </c>
      <c r="BS86" s="1006">
        <v>1108</v>
      </c>
      <c r="BU86" s="49">
        <f t="shared" si="68"/>
        <v>69</v>
      </c>
      <c r="BV86" s="49">
        <f t="shared" si="69"/>
        <v>5740</v>
      </c>
      <c r="BW86" s="2174">
        <f t="shared" si="70"/>
        <v>12.020905923344948</v>
      </c>
    </row>
    <row r="87" spans="1:75" s="49" customFormat="1" ht="15.75" customHeight="1" x14ac:dyDescent="0.3">
      <c r="A87" s="56" t="s">
        <v>211</v>
      </c>
      <c r="B87" s="84" t="s">
        <v>212</v>
      </c>
      <c r="C87" s="57" t="s">
        <v>254</v>
      </c>
      <c r="D87" s="722">
        <f t="shared" si="46"/>
        <v>24.213075060532688</v>
      </c>
      <c r="E87" s="723">
        <f t="shared" si="47"/>
        <v>20.593869731800766</v>
      </c>
      <c r="F87" s="723">
        <f t="shared" si="48"/>
        <v>24.88479262672811</v>
      </c>
      <c r="G87" s="723">
        <f t="shared" si="49"/>
        <v>23.255813953488371</v>
      </c>
      <c r="H87" s="723">
        <f t="shared" si="50"/>
        <v>25.112107623318384</v>
      </c>
      <c r="I87" s="723">
        <f t="shared" si="51"/>
        <v>23.946784922394681</v>
      </c>
      <c r="J87" s="723">
        <f t="shared" si="52"/>
        <v>21.175453759723425</v>
      </c>
      <c r="K87" s="723">
        <f t="shared" si="53"/>
        <v>25.521054870267971</v>
      </c>
      <c r="L87" s="723">
        <f t="shared" si="54"/>
        <v>25.608194622279129</v>
      </c>
      <c r="M87" s="723">
        <f t="shared" si="55"/>
        <v>27.718550106609808</v>
      </c>
      <c r="N87" s="723">
        <f t="shared" si="56"/>
        <v>22.26980728051392</v>
      </c>
      <c r="O87" s="723">
        <f t="shared" si="57"/>
        <v>19.925280199252803</v>
      </c>
      <c r="P87" s="723">
        <f t="shared" si="58"/>
        <v>21.437078205637157</v>
      </c>
      <c r="Q87" s="723">
        <f t="shared" si="59"/>
        <v>10.321556173084558</v>
      </c>
      <c r="R87" s="855">
        <f t="shared" si="60"/>
        <v>16.739736946990835</v>
      </c>
      <c r="S87" s="857">
        <f t="shared" si="61"/>
        <v>17.111022682053324</v>
      </c>
      <c r="T87" s="1010">
        <f t="shared" si="62"/>
        <v>16.122689736531655</v>
      </c>
      <c r="U87" s="1641">
        <f t="shared" si="63"/>
        <v>9.2485549132947984</v>
      </c>
      <c r="V87" s="1975">
        <f t="shared" si="64"/>
        <v>10.479645304312777</v>
      </c>
      <c r="W87" s="2033">
        <f t="shared" si="65"/>
        <v>10.45016077170418</v>
      </c>
      <c r="X87" s="2035">
        <f t="shared" si="66"/>
        <v>7.5939248601119109</v>
      </c>
      <c r="Y87" s="2099">
        <f t="shared" si="67"/>
        <v>11.409942950285249</v>
      </c>
      <c r="Z87" s="2099"/>
      <c r="AA87" s="681">
        <v>50</v>
      </c>
      <c r="AB87" s="682">
        <v>43</v>
      </c>
      <c r="AC87" s="683">
        <v>54</v>
      </c>
      <c r="AD87" s="682">
        <v>52</v>
      </c>
      <c r="AE87" s="683">
        <v>56</v>
      </c>
      <c r="AF87" s="682">
        <v>54</v>
      </c>
      <c r="AG87" s="683">
        <v>49</v>
      </c>
      <c r="AH87" s="682">
        <v>60</v>
      </c>
      <c r="AI87" s="696">
        <v>60</v>
      </c>
      <c r="AJ87" s="696">
        <v>65</v>
      </c>
      <c r="AK87" s="696">
        <v>52</v>
      </c>
      <c r="AL87" s="696">
        <v>48</v>
      </c>
      <c r="AM87" s="697">
        <v>54</v>
      </c>
      <c r="AN87" s="697">
        <v>26</v>
      </c>
      <c r="AO87" s="848">
        <v>42</v>
      </c>
      <c r="AP87" s="849">
        <v>43</v>
      </c>
      <c r="AQ87" s="1005">
        <v>41</v>
      </c>
      <c r="AR87" s="1637">
        <v>24</v>
      </c>
      <c r="AS87" s="1971">
        <v>26</v>
      </c>
      <c r="AT87" s="1095">
        <v>26</v>
      </c>
      <c r="AU87" s="2020">
        <v>19</v>
      </c>
      <c r="AV87" s="1005">
        <v>28</v>
      </c>
      <c r="AW87" s="1005"/>
      <c r="AX87" s="704">
        <v>2065</v>
      </c>
      <c r="AY87" s="705">
        <v>2088</v>
      </c>
      <c r="AZ87" s="705">
        <v>2170</v>
      </c>
      <c r="BA87" s="705">
        <v>2236</v>
      </c>
      <c r="BB87" s="705">
        <v>2230</v>
      </c>
      <c r="BC87" s="705">
        <v>2255</v>
      </c>
      <c r="BD87" s="705">
        <v>2314</v>
      </c>
      <c r="BE87" s="705">
        <v>2351</v>
      </c>
      <c r="BF87" s="705">
        <v>2343</v>
      </c>
      <c r="BG87" s="705">
        <v>2345</v>
      </c>
      <c r="BH87" s="705">
        <v>2335</v>
      </c>
      <c r="BI87" s="705">
        <v>2409</v>
      </c>
      <c r="BJ87" s="705">
        <v>2519</v>
      </c>
      <c r="BK87" s="705">
        <v>2519</v>
      </c>
      <c r="BL87" s="851">
        <v>2509</v>
      </c>
      <c r="BM87" s="852">
        <v>2513</v>
      </c>
      <c r="BN87" s="1116">
        <v>2543</v>
      </c>
      <c r="BO87" s="1634">
        <v>2595</v>
      </c>
      <c r="BP87" s="1969">
        <v>2481</v>
      </c>
      <c r="BQ87" s="1096">
        <v>2488</v>
      </c>
      <c r="BR87" s="2022">
        <v>2502</v>
      </c>
      <c r="BS87" s="1006">
        <v>2454</v>
      </c>
      <c r="BU87" s="49">
        <f t="shared" si="68"/>
        <v>123</v>
      </c>
      <c r="BV87" s="49">
        <f t="shared" si="69"/>
        <v>12520</v>
      </c>
      <c r="BW87" s="2174">
        <f t="shared" si="70"/>
        <v>9.8242811501597451</v>
      </c>
    </row>
    <row r="88" spans="1:75" s="49" customFormat="1" ht="15.75" customHeight="1" x14ac:dyDescent="0.3">
      <c r="A88" s="56" t="s">
        <v>213</v>
      </c>
      <c r="B88" s="84" t="s">
        <v>214</v>
      </c>
      <c r="C88" s="57" t="s">
        <v>255</v>
      </c>
      <c r="D88" s="722">
        <f t="shared" si="46"/>
        <v>30.645921735030647</v>
      </c>
      <c r="E88" s="723">
        <f t="shared" si="47"/>
        <v>25.689819219790675</v>
      </c>
      <c r="F88" s="723">
        <f t="shared" si="48"/>
        <v>27.916251246261215</v>
      </c>
      <c r="G88" s="723">
        <f t="shared" si="49"/>
        <v>28.58601327207759</v>
      </c>
      <c r="H88" s="723">
        <f t="shared" si="50"/>
        <v>29.037187977585329</v>
      </c>
      <c r="I88" s="723">
        <f t="shared" si="51"/>
        <v>36.518259129564782</v>
      </c>
      <c r="J88" s="723">
        <f t="shared" si="52"/>
        <v>19.441674975074775</v>
      </c>
      <c r="K88" s="723">
        <f t="shared" si="53"/>
        <v>27.207637231503579</v>
      </c>
      <c r="L88" s="723">
        <f t="shared" si="54"/>
        <v>28.251339503166101</v>
      </c>
      <c r="M88" s="723">
        <f t="shared" si="55"/>
        <v>35.017508754377189</v>
      </c>
      <c r="N88" s="723">
        <f t="shared" si="56"/>
        <v>35.420944558521555</v>
      </c>
      <c r="O88" s="723">
        <f t="shared" si="57"/>
        <v>25.432900432900432</v>
      </c>
      <c r="P88" s="723">
        <f t="shared" si="58"/>
        <v>33.811475409836071</v>
      </c>
      <c r="Q88" s="723">
        <f t="shared" si="59"/>
        <v>34.946236559139784</v>
      </c>
      <c r="R88" s="855">
        <f t="shared" si="60"/>
        <v>27.823240589198036</v>
      </c>
      <c r="S88" s="857">
        <f t="shared" si="61"/>
        <v>19.154929577464788</v>
      </c>
      <c r="T88" s="1010">
        <f t="shared" si="62"/>
        <v>21.070615034168565</v>
      </c>
      <c r="U88" s="1641">
        <f t="shared" si="63"/>
        <v>18.065268065268064</v>
      </c>
      <c r="V88" s="1975">
        <f t="shared" si="64"/>
        <v>16.269610691458453</v>
      </c>
      <c r="W88" s="2033">
        <f t="shared" si="65"/>
        <v>12.775842044134729</v>
      </c>
      <c r="X88" s="2035">
        <f t="shared" si="66"/>
        <v>15.276145710928319</v>
      </c>
      <c r="Y88" s="2099">
        <f t="shared" si="67"/>
        <v>10.179640718562874</v>
      </c>
      <c r="Z88" s="2099"/>
      <c r="AA88" s="681">
        <v>65</v>
      </c>
      <c r="AB88" s="682">
        <v>54</v>
      </c>
      <c r="AC88" s="683">
        <v>56</v>
      </c>
      <c r="AD88" s="682">
        <v>56</v>
      </c>
      <c r="AE88" s="683">
        <v>57</v>
      </c>
      <c r="AF88" s="682">
        <v>73</v>
      </c>
      <c r="AG88" s="683">
        <v>39</v>
      </c>
      <c r="AH88" s="682">
        <v>57</v>
      </c>
      <c r="AI88" s="696">
        <v>58</v>
      </c>
      <c r="AJ88" s="696">
        <v>70</v>
      </c>
      <c r="AK88" s="696">
        <v>69</v>
      </c>
      <c r="AL88" s="696">
        <v>47</v>
      </c>
      <c r="AM88" s="697">
        <v>66</v>
      </c>
      <c r="AN88" s="697">
        <v>65</v>
      </c>
      <c r="AO88" s="848">
        <v>51</v>
      </c>
      <c r="AP88" s="849">
        <v>34</v>
      </c>
      <c r="AQ88" s="1005">
        <v>37</v>
      </c>
      <c r="AR88" s="1637">
        <v>31</v>
      </c>
      <c r="AS88" s="1971">
        <v>28</v>
      </c>
      <c r="AT88" s="1095">
        <v>22</v>
      </c>
      <c r="AU88" s="2020">
        <v>26</v>
      </c>
      <c r="AV88" s="1005">
        <v>17</v>
      </c>
      <c r="AW88" s="1005"/>
      <c r="AX88" s="704">
        <v>2121</v>
      </c>
      <c r="AY88" s="705">
        <v>2102</v>
      </c>
      <c r="AZ88" s="705">
        <v>2006</v>
      </c>
      <c r="BA88" s="705">
        <v>1959</v>
      </c>
      <c r="BB88" s="705">
        <v>1963</v>
      </c>
      <c r="BC88" s="705">
        <v>1999</v>
      </c>
      <c r="BD88" s="705">
        <v>2006</v>
      </c>
      <c r="BE88" s="705">
        <v>2095</v>
      </c>
      <c r="BF88" s="705">
        <v>2053</v>
      </c>
      <c r="BG88" s="705">
        <v>1999</v>
      </c>
      <c r="BH88" s="705">
        <v>1948</v>
      </c>
      <c r="BI88" s="705">
        <v>1848</v>
      </c>
      <c r="BJ88" s="705">
        <v>1952</v>
      </c>
      <c r="BK88" s="705">
        <v>1860</v>
      </c>
      <c r="BL88" s="851">
        <v>1833</v>
      </c>
      <c r="BM88" s="852">
        <v>1775</v>
      </c>
      <c r="BN88" s="1116">
        <v>1756</v>
      </c>
      <c r="BO88" s="1634">
        <v>1716</v>
      </c>
      <c r="BP88" s="1969">
        <v>1721</v>
      </c>
      <c r="BQ88" s="1096">
        <v>1722</v>
      </c>
      <c r="BR88" s="2022">
        <v>1702</v>
      </c>
      <c r="BS88" s="1006">
        <v>1670</v>
      </c>
      <c r="BU88" s="49">
        <f t="shared" si="68"/>
        <v>124</v>
      </c>
      <c r="BV88" s="49">
        <f t="shared" si="69"/>
        <v>8531</v>
      </c>
      <c r="BW88" s="2174">
        <f t="shared" si="70"/>
        <v>14.535224475442504</v>
      </c>
    </row>
    <row r="89" spans="1:75" s="49" customFormat="1" ht="15.75" customHeight="1" x14ac:dyDescent="0.3">
      <c r="A89" s="56" t="s">
        <v>215</v>
      </c>
      <c r="B89" s="84" t="s">
        <v>216</v>
      </c>
      <c r="C89" s="57" t="s">
        <v>251</v>
      </c>
      <c r="D89" s="722">
        <f t="shared" si="46"/>
        <v>27.888446215139442</v>
      </c>
      <c r="E89" s="723">
        <f t="shared" si="47"/>
        <v>24.096385542168676</v>
      </c>
      <c r="F89" s="723">
        <f t="shared" si="48"/>
        <v>26.00896860986547</v>
      </c>
      <c r="G89" s="723">
        <f t="shared" si="49"/>
        <v>27.604630454140697</v>
      </c>
      <c r="H89" s="723">
        <f t="shared" si="50"/>
        <v>20.928116469517743</v>
      </c>
      <c r="I89" s="723">
        <f t="shared" si="51"/>
        <v>17.527675276752767</v>
      </c>
      <c r="J89" s="723">
        <f t="shared" si="52"/>
        <v>18.365472910927455</v>
      </c>
      <c r="K89" s="723">
        <f t="shared" si="53"/>
        <v>17.257039055404178</v>
      </c>
      <c r="L89" s="723">
        <f t="shared" si="54"/>
        <v>21.178637200736649</v>
      </c>
      <c r="M89" s="723">
        <f t="shared" si="55"/>
        <v>24.574669187145556</v>
      </c>
      <c r="N89" s="723">
        <f t="shared" si="56"/>
        <v>24.366471734892787</v>
      </c>
      <c r="O89" s="723">
        <f t="shared" si="57"/>
        <v>19.774011299435031</v>
      </c>
      <c r="P89" s="723">
        <f t="shared" si="58"/>
        <v>12.544802867383513</v>
      </c>
      <c r="Q89" s="723">
        <f t="shared" si="59"/>
        <v>7.1813285457809695</v>
      </c>
      <c r="R89" s="855">
        <f t="shared" si="60"/>
        <v>6.369426751592357</v>
      </c>
      <c r="S89" s="857">
        <f t="shared" si="61"/>
        <v>3.6968576709796674</v>
      </c>
      <c r="T89" s="1010">
        <f t="shared" si="62"/>
        <v>3.9331366764995086</v>
      </c>
      <c r="U89" s="1641">
        <f t="shared" si="63"/>
        <v>4.9309664694280082</v>
      </c>
      <c r="V89" s="1975">
        <f t="shared" si="64"/>
        <v>7.7745383867832842</v>
      </c>
      <c r="W89" s="2033">
        <f t="shared" si="65"/>
        <v>7.0635721493440968</v>
      </c>
      <c r="X89" s="2035">
        <f t="shared" si="66"/>
        <v>8.1716036772216558</v>
      </c>
      <c r="Y89" s="2099">
        <f t="shared" si="67"/>
        <v>5.1813471502590671</v>
      </c>
      <c r="Z89" s="2099"/>
      <c r="AA89" s="681">
        <v>28</v>
      </c>
      <c r="AB89" s="682">
        <v>24</v>
      </c>
      <c r="AC89" s="683">
        <v>29</v>
      </c>
      <c r="AD89" s="682">
        <v>31</v>
      </c>
      <c r="AE89" s="683">
        <v>23</v>
      </c>
      <c r="AF89" s="682">
        <v>19</v>
      </c>
      <c r="AG89" s="683">
        <v>20</v>
      </c>
      <c r="AH89" s="682">
        <v>19</v>
      </c>
      <c r="AI89" s="696">
        <v>23</v>
      </c>
      <c r="AJ89" s="696">
        <v>26</v>
      </c>
      <c r="AK89" s="696">
        <v>25</v>
      </c>
      <c r="AL89" s="696">
        <v>21</v>
      </c>
      <c r="AM89" s="697">
        <v>14</v>
      </c>
      <c r="AN89" s="697">
        <v>8</v>
      </c>
      <c r="AO89" s="848">
        <v>7</v>
      </c>
      <c r="AP89" s="849">
        <v>4</v>
      </c>
      <c r="AQ89" s="1005">
        <v>4</v>
      </c>
      <c r="AR89" s="1637">
        <v>5</v>
      </c>
      <c r="AS89" s="1971">
        <v>8</v>
      </c>
      <c r="AT89" s="1095">
        <v>7</v>
      </c>
      <c r="AU89" s="2020">
        <v>8</v>
      </c>
      <c r="AV89" s="1005">
        <v>5</v>
      </c>
      <c r="AW89" s="1005"/>
      <c r="AX89" s="704">
        <v>1004</v>
      </c>
      <c r="AY89" s="705">
        <v>996</v>
      </c>
      <c r="AZ89" s="705">
        <v>1115</v>
      </c>
      <c r="BA89" s="705">
        <v>1123</v>
      </c>
      <c r="BB89" s="705">
        <v>1099</v>
      </c>
      <c r="BC89" s="705">
        <v>1084</v>
      </c>
      <c r="BD89" s="705">
        <v>1089</v>
      </c>
      <c r="BE89" s="705">
        <v>1101</v>
      </c>
      <c r="BF89" s="705">
        <v>1086</v>
      </c>
      <c r="BG89" s="705">
        <v>1058</v>
      </c>
      <c r="BH89" s="705">
        <v>1026</v>
      </c>
      <c r="BI89" s="705">
        <v>1062</v>
      </c>
      <c r="BJ89" s="705">
        <v>1116</v>
      </c>
      <c r="BK89" s="705">
        <v>1114</v>
      </c>
      <c r="BL89" s="851">
        <v>1099</v>
      </c>
      <c r="BM89" s="852">
        <v>1082</v>
      </c>
      <c r="BN89" s="1116">
        <v>1017</v>
      </c>
      <c r="BO89" s="1634">
        <v>1014</v>
      </c>
      <c r="BP89" s="1969">
        <v>1029</v>
      </c>
      <c r="BQ89" s="1096">
        <v>991</v>
      </c>
      <c r="BR89" s="2022">
        <v>979</v>
      </c>
      <c r="BS89" s="1006">
        <v>965</v>
      </c>
      <c r="BU89" s="49">
        <f t="shared" si="68"/>
        <v>33</v>
      </c>
      <c r="BV89" s="49">
        <f t="shared" si="69"/>
        <v>4978</v>
      </c>
      <c r="BW89" s="2174">
        <f t="shared" si="70"/>
        <v>6.629168340699076</v>
      </c>
    </row>
    <row r="90" spans="1:75" s="49" customFormat="1" ht="15.75" customHeight="1" x14ac:dyDescent="0.3">
      <c r="A90" s="56" t="s">
        <v>217</v>
      </c>
      <c r="B90" s="84" t="s">
        <v>218</v>
      </c>
      <c r="C90" s="57" t="s">
        <v>254</v>
      </c>
      <c r="D90" s="722">
        <f t="shared" si="46"/>
        <v>19.101327997089321</v>
      </c>
      <c r="E90" s="723">
        <f t="shared" si="47"/>
        <v>20.063920454545457</v>
      </c>
      <c r="F90" s="723">
        <f t="shared" si="48"/>
        <v>17.949454336588168</v>
      </c>
      <c r="G90" s="723">
        <f t="shared" si="49"/>
        <v>18.447246184472462</v>
      </c>
      <c r="H90" s="723">
        <f t="shared" si="50"/>
        <v>16.966320587490504</v>
      </c>
      <c r="I90" s="723">
        <f t="shared" si="51"/>
        <v>16.95736434108527</v>
      </c>
      <c r="J90" s="723">
        <f t="shared" si="52"/>
        <v>18.583862620559866</v>
      </c>
      <c r="K90" s="723">
        <f t="shared" si="53"/>
        <v>14.933946008041357</v>
      </c>
      <c r="L90" s="723">
        <f t="shared" si="54"/>
        <v>16.099142923326383</v>
      </c>
      <c r="M90" s="723">
        <f t="shared" si="55"/>
        <v>19.962643007237919</v>
      </c>
      <c r="N90" s="723">
        <f t="shared" si="56"/>
        <v>17.632537909956508</v>
      </c>
      <c r="O90" s="723">
        <f t="shared" si="57"/>
        <v>14.056224899598392</v>
      </c>
      <c r="P90" s="723">
        <f t="shared" si="58"/>
        <v>13.284518828451882</v>
      </c>
      <c r="Q90" s="723">
        <f t="shared" si="59"/>
        <v>11.351580734139613</v>
      </c>
      <c r="R90" s="855">
        <f t="shared" si="60"/>
        <v>10.72271070126528</v>
      </c>
      <c r="S90" s="857">
        <f t="shared" si="61"/>
        <v>9.9777093726780599</v>
      </c>
      <c r="T90" s="1010">
        <f t="shared" si="62"/>
        <v>7.9991467576791804</v>
      </c>
      <c r="U90" s="1641">
        <f t="shared" si="63"/>
        <v>6.8361461226233713</v>
      </c>
      <c r="V90" s="1975">
        <f t="shared" si="64"/>
        <v>8.1212777476989721</v>
      </c>
      <c r="W90" s="2033">
        <f t="shared" si="65"/>
        <v>6.3291139240506329</v>
      </c>
      <c r="X90" s="2035">
        <f t="shared" si="66"/>
        <v>6.0612505316886436</v>
      </c>
      <c r="Y90" s="2099">
        <f t="shared" si="67"/>
        <v>5.8691708462277239</v>
      </c>
      <c r="Z90" s="2099"/>
      <c r="AA90" s="681">
        <v>105</v>
      </c>
      <c r="AB90" s="682">
        <v>113</v>
      </c>
      <c r="AC90" s="683">
        <v>125</v>
      </c>
      <c r="AD90" s="682">
        <v>139</v>
      </c>
      <c r="AE90" s="683">
        <v>134</v>
      </c>
      <c r="AF90" s="682">
        <v>140</v>
      </c>
      <c r="AG90" s="683">
        <v>158</v>
      </c>
      <c r="AH90" s="682">
        <v>130</v>
      </c>
      <c r="AI90" s="696">
        <v>139</v>
      </c>
      <c r="AJ90" s="696">
        <v>171</v>
      </c>
      <c r="AK90" s="696">
        <v>150</v>
      </c>
      <c r="AL90" s="696">
        <v>133</v>
      </c>
      <c r="AM90" s="697">
        <v>127</v>
      </c>
      <c r="AN90" s="697">
        <v>107</v>
      </c>
      <c r="AO90" s="848">
        <v>100</v>
      </c>
      <c r="AP90" s="849">
        <v>94</v>
      </c>
      <c r="AQ90" s="1005">
        <v>75</v>
      </c>
      <c r="AR90" s="1637">
        <v>64</v>
      </c>
      <c r="AS90" s="1971">
        <v>75</v>
      </c>
      <c r="AT90" s="1095">
        <v>59</v>
      </c>
      <c r="AU90" s="2020">
        <v>57</v>
      </c>
      <c r="AV90" s="1005">
        <v>55</v>
      </c>
      <c r="AW90" s="1005"/>
      <c r="AX90" s="704">
        <v>5497</v>
      </c>
      <c r="AY90" s="705">
        <v>5632</v>
      </c>
      <c r="AZ90" s="705">
        <v>6964</v>
      </c>
      <c r="BA90" s="705">
        <v>7535</v>
      </c>
      <c r="BB90" s="705">
        <v>7898</v>
      </c>
      <c r="BC90" s="705">
        <v>8256</v>
      </c>
      <c r="BD90" s="705">
        <v>8502</v>
      </c>
      <c r="BE90" s="705">
        <v>8705</v>
      </c>
      <c r="BF90" s="705">
        <v>8634</v>
      </c>
      <c r="BG90" s="705">
        <v>8566</v>
      </c>
      <c r="BH90" s="705">
        <v>8507</v>
      </c>
      <c r="BI90" s="705">
        <v>9462</v>
      </c>
      <c r="BJ90" s="705">
        <v>9560</v>
      </c>
      <c r="BK90" s="705">
        <v>9426</v>
      </c>
      <c r="BL90" s="851">
        <v>9326</v>
      </c>
      <c r="BM90" s="852">
        <v>9421</v>
      </c>
      <c r="BN90" s="1116">
        <v>9376</v>
      </c>
      <c r="BO90" s="1634">
        <v>9362</v>
      </c>
      <c r="BP90" s="1969">
        <v>9235</v>
      </c>
      <c r="BQ90" s="1096">
        <v>9322</v>
      </c>
      <c r="BR90" s="2022">
        <v>9404</v>
      </c>
      <c r="BS90" s="1006">
        <v>9371</v>
      </c>
      <c r="BU90" s="49">
        <f t="shared" si="68"/>
        <v>310</v>
      </c>
      <c r="BV90" s="49">
        <f t="shared" si="69"/>
        <v>46694</v>
      </c>
      <c r="BW90" s="2174">
        <f t="shared" si="70"/>
        <v>6.6389686041033107</v>
      </c>
    </row>
    <row r="91" spans="1:75" s="49" customFormat="1" ht="15.75" customHeight="1" x14ac:dyDescent="0.3">
      <c r="A91" s="56" t="s">
        <v>219</v>
      </c>
      <c r="B91" s="84" t="s">
        <v>220</v>
      </c>
      <c r="C91" s="57" t="s">
        <v>254</v>
      </c>
      <c r="D91" s="722">
        <f t="shared" si="46"/>
        <v>22.248641304347828</v>
      </c>
      <c r="E91" s="723">
        <f t="shared" si="47"/>
        <v>20.333939494131261</v>
      </c>
      <c r="F91" s="723">
        <f t="shared" si="48"/>
        <v>13.088313061872025</v>
      </c>
      <c r="G91" s="723">
        <f t="shared" si="49"/>
        <v>13.678553981436249</v>
      </c>
      <c r="H91" s="723">
        <f t="shared" si="50"/>
        <v>13.68274582560297</v>
      </c>
      <c r="I91" s="723">
        <f t="shared" si="51"/>
        <v>14.749587231700605</v>
      </c>
      <c r="J91" s="723">
        <f t="shared" si="52"/>
        <v>12.777837431547299</v>
      </c>
      <c r="K91" s="723">
        <f t="shared" si="53"/>
        <v>13.135593220338983</v>
      </c>
      <c r="L91" s="723">
        <f t="shared" si="54"/>
        <v>14.291808873720136</v>
      </c>
      <c r="M91" s="723">
        <f t="shared" si="55"/>
        <v>14.15948046417545</v>
      </c>
      <c r="N91" s="723">
        <f t="shared" si="56"/>
        <v>12.839717526214423</v>
      </c>
      <c r="O91" s="723">
        <f t="shared" si="57"/>
        <v>10.450993315130402</v>
      </c>
      <c r="P91" s="723">
        <f t="shared" si="58"/>
        <v>7.6807793180966657</v>
      </c>
      <c r="Q91" s="723">
        <f t="shared" si="59"/>
        <v>8.184660658451353</v>
      </c>
      <c r="R91" s="855">
        <f t="shared" si="60"/>
        <v>9.3926682473098673</v>
      </c>
      <c r="S91" s="857">
        <f t="shared" si="61"/>
        <v>5.3514739229024944</v>
      </c>
      <c r="T91" s="1010">
        <f t="shared" si="62"/>
        <v>6.8345323741007187</v>
      </c>
      <c r="U91" s="1641">
        <f t="shared" si="63"/>
        <v>5.3282759866341554</v>
      </c>
      <c r="V91" s="1975">
        <f t="shared" si="64"/>
        <v>5.5922258892555918</v>
      </c>
      <c r="W91" s="2033">
        <f t="shared" si="65"/>
        <v>5.2881108679795767</v>
      </c>
      <c r="X91" s="2035">
        <f t="shared" si="66"/>
        <v>4.4124268347591178</v>
      </c>
      <c r="Y91" s="2099">
        <f t="shared" si="67"/>
        <v>4.0164227061763649</v>
      </c>
      <c r="Z91" s="2099"/>
      <c r="AA91" s="681">
        <v>131</v>
      </c>
      <c r="AB91" s="682">
        <v>123</v>
      </c>
      <c r="AC91" s="683">
        <v>99</v>
      </c>
      <c r="AD91" s="682">
        <v>112</v>
      </c>
      <c r="AE91" s="683">
        <v>118</v>
      </c>
      <c r="AF91" s="682">
        <v>134</v>
      </c>
      <c r="AG91" s="683">
        <v>119</v>
      </c>
      <c r="AH91" s="682">
        <v>124</v>
      </c>
      <c r="AI91" s="696">
        <v>134</v>
      </c>
      <c r="AJ91" s="696">
        <v>133</v>
      </c>
      <c r="AK91" s="696">
        <v>120</v>
      </c>
      <c r="AL91" s="696">
        <v>111</v>
      </c>
      <c r="AM91" s="697">
        <v>82</v>
      </c>
      <c r="AN91" s="697">
        <v>89</v>
      </c>
      <c r="AO91" s="848">
        <v>103</v>
      </c>
      <c r="AP91" s="849">
        <v>59</v>
      </c>
      <c r="AQ91" s="1005">
        <v>76</v>
      </c>
      <c r="AR91" s="1637">
        <v>59</v>
      </c>
      <c r="AS91" s="1971">
        <v>61</v>
      </c>
      <c r="AT91" s="1095">
        <v>58</v>
      </c>
      <c r="AU91" s="2020">
        <v>49</v>
      </c>
      <c r="AV91" s="1005">
        <v>45</v>
      </c>
      <c r="AW91" s="1005"/>
      <c r="AX91" s="704">
        <v>5888</v>
      </c>
      <c r="AY91" s="705">
        <v>6049</v>
      </c>
      <c r="AZ91" s="705">
        <v>7564</v>
      </c>
      <c r="BA91" s="705">
        <v>8188</v>
      </c>
      <c r="BB91" s="705">
        <v>8624</v>
      </c>
      <c r="BC91" s="705">
        <v>9085</v>
      </c>
      <c r="BD91" s="705">
        <v>9313</v>
      </c>
      <c r="BE91" s="705">
        <v>9440</v>
      </c>
      <c r="BF91" s="705">
        <v>9376</v>
      </c>
      <c r="BG91" s="705">
        <v>9393</v>
      </c>
      <c r="BH91" s="705">
        <v>9346</v>
      </c>
      <c r="BI91" s="705">
        <v>10621</v>
      </c>
      <c r="BJ91" s="705">
        <v>10676</v>
      </c>
      <c r="BK91" s="705">
        <v>10874</v>
      </c>
      <c r="BL91" s="851">
        <v>10966</v>
      </c>
      <c r="BM91" s="852">
        <v>11025</v>
      </c>
      <c r="BN91" s="1116">
        <v>11120</v>
      </c>
      <c r="BO91" s="1634">
        <v>11073</v>
      </c>
      <c r="BP91" s="1969">
        <v>10908</v>
      </c>
      <c r="BQ91" s="1096">
        <v>10968</v>
      </c>
      <c r="BR91" s="2022">
        <v>11105</v>
      </c>
      <c r="BS91" s="1006">
        <v>11204</v>
      </c>
      <c r="BU91" s="49">
        <f t="shared" si="68"/>
        <v>272</v>
      </c>
      <c r="BV91" s="49">
        <f t="shared" si="69"/>
        <v>55258</v>
      </c>
      <c r="BW91" s="2174">
        <f t="shared" si="70"/>
        <v>4.9223641825618012</v>
      </c>
    </row>
    <row r="92" spans="1:75" s="49" customFormat="1" ht="15.75" customHeight="1" x14ac:dyDescent="0.3">
      <c r="A92" s="56" t="s">
        <v>223</v>
      </c>
      <c r="B92" s="84" t="s">
        <v>224</v>
      </c>
      <c r="C92" s="57" t="s">
        <v>251</v>
      </c>
      <c r="D92" s="722">
        <f t="shared" si="46"/>
        <v>25.806451612903224</v>
      </c>
      <c r="E92" s="723">
        <f t="shared" si="47"/>
        <v>23.605150214592275</v>
      </c>
      <c r="F92" s="723">
        <f t="shared" si="48"/>
        <v>24.714828897338403</v>
      </c>
      <c r="G92" s="723">
        <f t="shared" si="49"/>
        <v>28.30188679245283</v>
      </c>
      <c r="H92" s="723">
        <f t="shared" si="50"/>
        <v>17.30769230769231</v>
      </c>
      <c r="I92" s="723">
        <f t="shared" si="51"/>
        <v>11.494252873563218</v>
      </c>
      <c r="J92" s="723">
        <f t="shared" si="52"/>
        <v>7.7071290944123314</v>
      </c>
      <c r="K92" s="723">
        <f t="shared" si="53"/>
        <v>18.595041322314049</v>
      </c>
      <c r="L92" s="723">
        <f t="shared" si="54"/>
        <v>27.196652719665273</v>
      </c>
      <c r="M92" s="723">
        <f t="shared" si="55"/>
        <v>6.5359477124183005</v>
      </c>
      <c r="N92" s="723">
        <f t="shared" si="56"/>
        <v>26.845637583892618</v>
      </c>
      <c r="O92" s="723">
        <f t="shared" si="57"/>
        <v>14.563106796116505</v>
      </c>
      <c r="P92" s="723">
        <f t="shared" si="58"/>
        <v>9.2807424593967518</v>
      </c>
      <c r="Q92" s="723">
        <f t="shared" si="59"/>
        <v>11.79245283018868</v>
      </c>
      <c r="R92" s="855">
        <f t="shared" si="60"/>
        <v>2.4390243902439024</v>
      </c>
      <c r="S92" s="857">
        <f t="shared" si="61"/>
        <v>5.1679586563307494</v>
      </c>
      <c r="T92" s="1010">
        <f t="shared" si="62"/>
        <v>7.9155672823219003</v>
      </c>
      <c r="U92" s="1641">
        <f t="shared" si="63"/>
        <v>13.774104683195592</v>
      </c>
      <c r="V92" s="1975">
        <f t="shared" si="64"/>
        <v>8.3798882681564244</v>
      </c>
      <c r="W92" s="2033">
        <f t="shared" si="65"/>
        <v>5.9701492537313436</v>
      </c>
      <c r="X92" s="2035">
        <f t="shared" si="66"/>
        <v>6.430868167202572</v>
      </c>
      <c r="Y92" s="2099">
        <f t="shared" si="67"/>
        <v>14.234875444839856</v>
      </c>
      <c r="Z92" s="2099"/>
      <c r="AA92" s="681">
        <v>12</v>
      </c>
      <c r="AB92" s="682">
        <v>11</v>
      </c>
      <c r="AC92" s="683">
        <v>13</v>
      </c>
      <c r="AD92" s="682">
        <v>15</v>
      </c>
      <c r="AE92" s="683">
        <v>9</v>
      </c>
      <c r="AF92" s="682">
        <v>6</v>
      </c>
      <c r="AG92" s="683">
        <v>4</v>
      </c>
      <c r="AH92" s="682">
        <v>9</v>
      </c>
      <c r="AI92" s="696">
        <v>13</v>
      </c>
      <c r="AJ92" s="696">
        <v>3</v>
      </c>
      <c r="AK92" s="696">
        <v>12</v>
      </c>
      <c r="AL92" s="696">
        <v>6</v>
      </c>
      <c r="AM92" s="697">
        <v>4</v>
      </c>
      <c r="AN92" s="697">
        <v>5</v>
      </c>
      <c r="AO92" s="848">
        <v>1</v>
      </c>
      <c r="AP92" s="849">
        <v>2</v>
      </c>
      <c r="AQ92" s="1005">
        <v>3</v>
      </c>
      <c r="AR92" s="1637">
        <v>5</v>
      </c>
      <c r="AS92" s="1971">
        <v>3</v>
      </c>
      <c r="AT92" s="1095">
        <v>2</v>
      </c>
      <c r="AU92" s="2020">
        <v>2</v>
      </c>
      <c r="AV92" s="1005">
        <v>4</v>
      </c>
      <c r="AW92" s="1005"/>
      <c r="AX92" s="704">
        <v>465</v>
      </c>
      <c r="AY92" s="705">
        <v>466</v>
      </c>
      <c r="AZ92" s="705">
        <v>526</v>
      </c>
      <c r="BA92" s="705">
        <v>530</v>
      </c>
      <c r="BB92" s="705">
        <v>520</v>
      </c>
      <c r="BC92" s="705">
        <v>522</v>
      </c>
      <c r="BD92" s="705">
        <v>519</v>
      </c>
      <c r="BE92" s="705">
        <v>484</v>
      </c>
      <c r="BF92" s="705">
        <v>478</v>
      </c>
      <c r="BG92" s="705">
        <v>459</v>
      </c>
      <c r="BH92" s="705">
        <v>447</v>
      </c>
      <c r="BI92" s="705">
        <v>412</v>
      </c>
      <c r="BJ92" s="705">
        <v>431</v>
      </c>
      <c r="BK92" s="705">
        <v>424</v>
      </c>
      <c r="BL92" s="851">
        <v>410</v>
      </c>
      <c r="BM92" s="852">
        <v>387</v>
      </c>
      <c r="BN92" s="1116">
        <v>379</v>
      </c>
      <c r="BO92" s="1634">
        <v>363</v>
      </c>
      <c r="BP92" s="1969">
        <v>358</v>
      </c>
      <c r="BQ92" s="1096">
        <v>335</v>
      </c>
      <c r="BR92" s="2022">
        <v>311</v>
      </c>
      <c r="BS92" s="1006">
        <v>281</v>
      </c>
      <c r="BU92" s="49">
        <f t="shared" si="68"/>
        <v>16</v>
      </c>
      <c r="BV92" s="49">
        <f t="shared" si="69"/>
        <v>1648</v>
      </c>
      <c r="BW92" s="2174">
        <f t="shared" si="70"/>
        <v>9.7087378640776691</v>
      </c>
    </row>
    <row r="93" spans="1:75" s="49" customFormat="1" ht="15.75" customHeight="1" x14ac:dyDescent="0.3">
      <c r="A93" s="56" t="s">
        <v>225</v>
      </c>
      <c r="B93" s="84" t="s">
        <v>226</v>
      </c>
      <c r="C93" s="57" t="s">
        <v>251</v>
      </c>
      <c r="D93" s="722">
        <f t="shared" si="46"/>
        <v>30.172413793103448</v>
      </c>
      <c r="E93" s="723">
        <f t="shared" si="47"/>
        <v>43.103448275862071</v>
      </c>
      <c r="F93" s="723">
        <f t="shared" si="48"/>
        <v>45.813586097946285</v>
      </c>
      <c r="G93" s="723">
        <f t="shared" si="49"/>
        <v>29.6411856474259</v>
      </c>
      <c r="H93" s="723">
        <f t="shared" si="50"/>
        <v>27.649769585253459</v>
      </c>
      <c r="I93" s="723">
        <f t="shared" si="51"/>
        <v>29.45736434108527</v>
      </c>
      <c r="J93" s="723">
        <f t="shared" si="52"/>
        <v>33.070866141732282</v>
      </c>
      <c r="K93" s="723">
        <f t="shared" si="53"/>
        <v>41.666666666666664</v>
      </c>
      <c r="L93" s="723">
        <f t="shared" si="54"/>
        <v>30.050083472454091</v>
      </c>
      <c r="M93" s="723">
        <f t="shared" si="55"/>
        <v>32.085561497326204</v>
      </c>
      <c r="N93" s="723">
        <f t="shared" si="56"/>
        <v>34.862385321100916</v>
      </c>
      <c r="O93" s="723">
        <f t="shared" si="57"/>
        <v>33.395176252319111</v>
      </c>
      <c r="P93" s="723">
        <f t="shared" si="58"/>
        <v>26.929982046678635</v>
      </c>
      <c r="Q93" s="723">
        <f t="shared" si="59"/>
        <v>32.846715328467155</v>
      </c>
      <c r="R93" s="855">
        <f t="shared" si="60"/>
        <v>18.484288354898339</v>
      </c>
      <c r="S93" s="857">
        <f t="shared" si="61"/>
        <v>23.166023166023166</v>
      </c>
      <c r="T93" s="1010">
        <f t="shared" si="62"/>
        <v>11.450381679389313</v>
      </c>
      <c r="U93" s="1641">
        <f t="shared" si="63"/>
        <v>18.442622950819672</v>
      </c>
      <c r="V93" s="1975">
        <f t="shared" si="64"/>
        <v>12.605042016806722</v>
      </c>
      <c r="W93" s="2033">
        <f t="shared" si="65"/>
        <v>21.413276231263382</v>
      </c>
      <c r="X93" s="2035">
        <f t="shared" si="66"/>
        <v>8.4388185654008439</v>
      </c>
      <c r="Y93" s="2099">
        <f t="shared" si="67"/>
        <v>6.3559322033898313</v>
      </c>
      <c r="Z93" s="2099"/>
      <c r="AA93" s="681">
        <v>21</v>
      </c>
      <c r="AB93" s="682">
        <v>30</v>
      </c>
      <c r="AC93" s="683">
        <v>29</v>
      </c>
      <c r="AD93" s="682">
        <v>19</v>
      </c>
      <c r="AE93" s="683">
        <v>18</v>
      </c>
      <c r="AF93" s="682">
        <v>19</v>
      </c>
      <c r="AG93" s="683">
        <v>21</v>
      </c>
      <c r="AH93" s="682">
        <v>25</v>
      </c>
      <c r="AI93" s="696">
        <v>18</v>
      </c>
      <c r="AJ93" s="696">
        <v>18</v>
      </c>
      <c r="AK93" s="696">
        <v>19</v>
      </c>
      <c r="AL93" s="696">
        <v>18</v>
      </c>
      <c r="AM93" s="697">
        <v>15</v>
      </c>
      <c r="AN93" s="697">
        <v>18</v>
      </c>
      <c r="AO93" s="848">
        <v>10</v>
      </c>
      <c r="AP93" s="849">
        <v>12</v>
      </c>
      <c r="AQ93" s="1005">
        <v>6</v>
      </c>
      <c r="AR93" s="1637">
        <v>9</v>
      </c>
      <c r="AS93" s="1971">
        <v>6</v>
      </c>
      <c r="AT93" s="1095">
        <v>10</v>
      </c>
      <c r="AU93" s="2020">
        <v>4</v>
      </c>
      <c r="AV93" s="1005">
        <v>3</v>
      </c>
      <c r="AW93" s="1005"/>
      <c r="AX93" s="704">
        <v>696</v>
      </c>
      <c r="AY93" s="705">
        <v>696</v>
      </c>
      <c r="AZ93" s="705">
        <v>633</v>
      </c>
      <c r="BA93" s="705">
        <v>641</v>
      </c>
      <c r="BB93" s="705">
        <v>651</v>
      </c>
      <c r="BC93" s="705">
        <v>645</v>
      </c>
      <c r="BD93" s="705">
        <v>635</v>
      </c>
      <c r="BE93" s="705">
        <v>600</v>
      </c>
      <c r="BF93" s="705">
        <v>599</v>
      </c>
      <c r="BG93" s="705">
        <v>561</v>
      </c>
      <c r="BH93" s="705">
        <v>545</v>
      </c>
      <c r="BI93" s="705">
        <v>539</v>
      </c>
      <c r="BJ93" s="705">
        <v>557</v>
      </c>
      <c r="BK93" s="705">
        <v>548</v>
      </c>
      <c r="BL93" s="851">
        <v>541</v>
      </c>
      <c r="BM93" s="852">
        <v>518</v>
      </c>
      <c r="BN93" s="1116">
        <v>524</v>
      </c>
      <c r="BO93" s="1634">
        <v>488</v>
      </c>
      <c r="BP93" s="1969">
        <v>476</v>
      </c>
      <c r="BQ93" s="1096">
        <v>467</v>
      </c>
      <c r="BR93" s="2022">
        <v>474</v>
      </c>
      <c r="BS93" s="1006">
        <v>472</v>
      </c>
      <c r="BU93" s="49">
        <f t="shared" si="68"/>
        <v>32</v>
      </c>
      <c r="BV93" s="49">
        <f t="shared" si="69"/>
        <v>2377</v>
      </c>
      <c r="BW93" s="2174">
        <f t="shared" si="70"/>
        <v>13.462347496844762</v>
      </c>
    </row>
    <row r="94" spans="1:75" s="49" customFormat="1" ht="15.75" customHeight="1" x14ac:dyDescent="0.3">
      <c r="A94" s="56" t="s">
        <v>227</v>
      </c>
      <c r="B94" s="84" t="s">
        <v>228</v>
      </c>
      <c r="C94" s="57" t="s">
        <v>255</v>
      </c>
      <c r="D94" s="722">
        <f t="shared" si="46"/>
        <v>16.440314510364548</v>
      </c>
      <c r="E94" s="723">
        <f t="shared" si="47"/>
        <v>21.009952082565427</v>
      </c>
      <c r="F94" s="723">
        <f t="shared" si="48"/>
        <v>21.801286633309505</v>
      </c>
      <c r="G94" s="723">
        <f t="shared" si="49"/>
        <v>27.155963302752294</v>
      </c>
      <c r="H94" s="723">
        <f t="shared" si="50"/>
        <v>24.558710667689947</v>
      </c>
      <c r="I94" s="723">
        <f t="shared" si="51"/>
        <v>13.856812933025404</v>
      </c>
      <c r="J94" s="723">
        <f t="shared" si="52"/>
        <v>19.752130131680868</v>
      </c>
      <c r="K94" s="723">
        <f t="shared" si="53"/>
        <v>22.416413373860181</v>
      </c>
      <c r="L94" s="723">
        <f t="shared" si="54"/>
        <v>25.287356321839081</v>
      </c>
      <c r="M94" s="723">
        <f t="shared" si="55"/>
        <v>28.393621159082066</v>
      </c>
      <c r="N94" s="723">
        <f t="shared" si="56"/>
        <v>23.547880690737834</v>
      </c>
      <c r="O94" s="723">
        <f t="shared" si="57"/>
        <v>19.399011030810197</v>
      </c>
      <c r="P94" s="723">
        <f t="shared" si="58"/>
        <v>28.746646224607129</v>
      </c>
      <c r="Q94" s="723">
        <f t="shared" si="59"/>
        <v>16.8</v>
      </c>
      <c r="R94" s="855">
        <f t="shared" si="60"/>
        <v>21.791767554479417</v>
      </c>
      <c r="S94" s="857">
        <f t="shared" si="61"/>
        <v>22.348638764729785</v>
      </c>
      <c r="T94" s="1010">
        <f t="shared" si="62"/>
        <v>24.989587671803417</v>
      </c>
      <c r="U94" s="1641">
        <f t="shared" si="63"/>
        <v>23.099538009239815</v>
      </c>
      <c r="V94" s="1975">
        <f t="shared" si="64"/>
        <v>19.83252534156016</v>
      </c>
      <c r="W94" s="2033">
        <f t="shared" si="65"/>
        <v>16.150740242261104</v>
      </c>
      <c r="X94" s="2035">
        <f t="shared" si="66"/>
        <v>20.878642888212266</v>
      </c>
      <c r="Y94" s="2099">
        <f t="shared" si="67"/>
        <v>11.052166224580018</v>
      </c>
      <c r="Z94" s="2099"/>
      <c r="AA94" s="681">
        <v>46</v>
      </c>
      <c r="AB94" s="682">
        <v>57</v>
      </c>
      <c r="AC94" s="683">
        <v>61</v>
      </c>
      <c r="AD94" s="682">
        <v>74</v>
      </c>
      <c r="AE94" s="683">
        <v>64</v>
      </c>
      <c r="AF94" s="682">
        <v>36</v>
      </c>
      <c r="AG94" s="683">
        <v>51</v>
      </c>
      <c r="AH94" s="682">
        <v>59</v>
      </c>
      <c r="AI94" s="696">
        <v>66</v>
      </c>
      <c r="AJ94" s="696">
        <v>73</v>
      </c>
      <c r="AK94" s="696">
        <v>60</v>
      </c>
      <c r="AL94" s="696">
        <v>51</v>
      </c>
      <c r="AM94" s="697">
        <v>75</v>
      </c>
      <c r="AN94" s="697">
        <v>42</v>
      </c>
      <c r="AO94" s="848">
        <v>54</v>
      </c>
      <c r="AP94" s="849">
        <v>55</v>
      </c>
      <c r="AQ94" s="1005">
        <v>60</v>
      </c>
      <c r="AR94" s="1637">
        <v>55</v>
      </c>
      <c r="AS94" s="1971">
        <v>45</v>
      </c>
      <c r="AT94" s="1095">
        <v>36</v>
      </c>
      <c r="AU94" s="2020">
        <v>48</v>
      </c>
      <c r="AV94" s="1005">
        <v>25</v>
      </c>
      <c r="AW94" s="1005"/>
      <c r="AX94" s="704">
        <v>2798</v>
      </c>
      <c r="AY94" s="705">
        <v>2713</v>
      </c>
      <c r="AZ94" s="705">
        <v>2798</v>
      </c>
      <c r="BA94" s="705">
        <v>2725</v>
      </c>
      <c r="BB94" s="705">
        <v>2606</v>
      </c>
      <c r="BC94" s="705">
        <v>2598</v>
      </c>
      <c r="BD94" s="705">
        <v>2582</v>
      </c>
      <c r="BE94" s="705">
        <v>2632</v>
      </c>
      <c r="BF94" s="705">
        <v>2610</v>
      </c>
      <c r="BG94" s="705">
        <v>2571</v>
      </c>
      <c r="BH94" s="705">
        <v>2548</v>
      </c>
      <c r="BI94" s="705">
        <v>2629</v>
      </c>
      <c r="BJ94" s="705">
        <v>2609</v>
      </c>
      <c r="BK94" s="705">
        <v>2500</v>
      </c>
      <c r="BL94" s="851">
        <v>2478</v>
      </c>
      <c r="BM94" s="852">
        <v>2461</v>
      </c>
      <c r="BN94" s="1116">
        <v>2401</v>
      </c>
      <c r="BO94" s="1634">
        <v>2381</v>
      </c>
      <c r="BP94" s="1969">
        <v>2269</v>
      </c>
      <c r="BQ94" s="1096">
        <v>2229</v>
      </c>
      <c r="BR94" s="2022">
        <v>2299</v>
      </c>
      <c r="BS94" s="1006">
        <v>2262</v>
      </c>
      <c r="BU94" s="49">
        <f t="shared" si="68"/>
        <v>209</v>
      </c>
      <c r="BV94" s="49">
        <f t="shared" si="69"/>
        <v>11440</v>
      </c>
      <c r="BW94" s="2174">
        <f t="shared" si="70"/>
        <v>18.26923076923077</v>
      </c>
    </row>
    <row r="95" spans="1:75" s="49" customFormat="1" ht="15.75" customHeight="1" x14ac:dyDescent="0.3">
      <c r="A95" s="56" t="s">
        <v>231</v>
      </c>
      <c r="B95" s="84" t="s">
        <v>232</v>
      </c>
      <c r="C95" s="57" t="s">
        <v>254</v>
      </c>
      <c r="D95" s="722">
        <f t="shared" si="46"/>
        <v>25.185185185185187</v>
      </c>
      <c r="E95" s="723">
        <f t="shared" si="47"/>
        <v>24.531024531024531</v>
      </c>
      <c r="F95" s="723">
        <f t="shared" si="48"/>
        <v>21.678966789667896</v>
      </c>
      <c r="G95" s="723">
        <f t="shared" si="49"/>
        <v>26.455026455026452</v>
      </c>
      <c r="H95" s="723">
        <f t="shared" si="50"/>
        <v>22.20324508966695</v>
      </c>
      <c r="I95" s="723">
        <f t="shared" si="51"/>
        <v>18.937834499794153</v>
      </c>
      <c r="J95" s="723">
        <f t="shared" si="52"/>
        <v>19.417475728155338</v>
      </c>
      <c r="K95" s="723">
        <f t="shared" si="53"/>
        <v>18.578352180936992</v>
      </c>
      <c r="L95" s="723">
        <f t="shared" si="54"/>
        <v>23.064250411861615</v>
      </c>
      <c r="M95" s="723">
        <f t="shared" si="55"/>
        <v>19.409282700421944</v>
      </c>
      <c r="N95" s="723">
        <f t="shared" si="56"/>
        <v>17.372881355932204</v>
      </c>
      <c r="O95" s="723">
        <f t="shared" si="57"/>
        <v>15.839041095890412</v>
      </c>
      <c r="P95" s="723">
        <f t="shared" si="58"/>
        <v>14.2967542503864</v>
      </c>
      <c r="Q95" s="723">
        <f t="shared" si="59"/>
        <v>13.850415512465373</v>
      </c>
      <c r="R95" s="855">
        <f t="shared" si="60"/>
        <v>13.116057233704293</v>
      </c>
      <c r="S95" s="857">
        <f t="shared" si="61"/>
        <v>15.470051566838556</v>
      </c>
      <c r="T95" s="1010">
        <f t="shared" si="62"/>
        <v>18.852787805856398</v>
      </c>
      <c r="U95" s="1641">
        <f t="shared" si="63"/>
        <v>12.279983626688498</v>
      </c>
      <c r="V95" s="1975">
        <f t="shared" si="64"/>
        <v>10.66010660106601</v>
      </c>
      <c r="W95" s="2033">
        <f t="shared" si="65"/>
        <v>11.442582754393134</v>
      </c>
      <c r="X95" s="2035">
        <f t="shared" si="66"/>
        <v>6.4386317907444663</v>
      </c>
      <c r="Y95" s="2099">
        <f t="shared" si="67"/>
        <v>12.815212897891691</v>
      </c>
      <c r="Z95" s="2099"/>
      <c r="AA95" s="681">
        <v>51</v>
      </c>
      <c r="AB95" s="682">
        <v>51</v>
      </c>
      <c r="AC95" s="683">
        <v>47</v>
      </c>
      <c r="AD95" s="682">
        <v>60</v>
      </c>
      <c r="AE95" s="683">
        <v>52</v>
      </c>
      <c r="AF95" s="682">
        <v>46</v>
      </c>
      <c r="AG95" s="683">
        <v>48</v>
      </c>
      <c r="AH95" s="682">
        <v>46</v>
      </c>
      <c r="AI95" s="696">
        <v>56</v>
      </c>
      <c r="AJ95" s="696">
        <v>46</v>
      </c>
      <c r="AK95" s="696">
        <v>41</v>
      </c>
      <c r="AL95" s="696">
        <v>37</v>
      </c>
      <c r="AM95" s="697">
        <v>37</v>
      </c>
      <c r="AN95" s="697">
        <v>35</v>
      </c>
      <c r="AO95" s="848">
        <v>33</v>
      </c>
      <c r="AP95" s="849">
        <v>39</v>
      </c>
      <c r="AQ95" s="1005">
        <v>47</v>
      </c>
      <c r="AR95" s="1637">
        <v>30</v>
      </c>
      <c r="AS95" s="1971">
        <v>26</v>
      </c>
      <c r="AT95" s="1095">
        <v>28</v>
      </c>
      <c r="AU95" s="2020">
        <v>16</v>
      </c>
      <c r="AV95" s="1005">
        <v>31</v>
      </c>
      <c r="AW95" s="1005"/>
      <c r="AX95" s="704">
        <v>2025</v>
      </c>
      <c r="AY95" s="705">
        <v>2079</v>
      </c>
      <c r="AZ95" s="705">
        <v>2168</v>
      </c>
      <c r="BA95" s="705">
        <v>2268</v>
      </c>
      <c r="BB95" s="705">
        <v>2342</v>
      </c>
      <c r="BC95" s="705">
        <v>2429</v>
      </c>
      <c r="BD95" s="705">
        <v>2472</v>
      </c>
      <c r="BE95" s="705">
        <v>2476</v>
      </c>
      <c r="BF95" s="705">
        <v>2428</v>
      </c>
      <c r="BG95" s="705">
        <v>2370</v>
      </c>
      <c r="BH95" s="705">
        <v>2360</v>
      </c>
      <c r="BI95" s="705">
        <v>2336</v>
      </c>
      <c r="BJ95" s="705">
        <v>2588</v>
      </c>
      <c r="BK95" s="705">
        <v>2527</v>
      </c>
      <c r="BL95" s="851">
        <v>2516</v>
      </c>
      <c r="BM95" s="852">
        <v>2521</v>
      </c>
      <c r="BN95" s="1116">
        <v>2493</v>
      </c>
      <c r="BO95" s="1634">
        <v>2443</v>
      </c>
      <c r="BP95" s="1969">
        <v>2439</v>
      </c>
      <c r="BQ95" s="1096">
        <v>2447</v>
      </c>
      <c r="BR95" s="2022">
        <v>2485</v>
      </c>
      <c r="BS95" s="1006">
        <v>2419</v>
      </c>
      <c r="BU95" s="49">
        <f t="shared" si="68"/>
        <v>131</v>
      </c>
      <c r="BV95" s="49">
        <f t="shared" si="69"/>
        <v>12233</v>
      </c>
      <c r="BW95" s="2174">
        <f t="shared" si="70"/>
        <v>10.708738657729095</v>
      </c>
    </row>
    <row r="96" spans="1:75" s="49" customFormat="1" ht="15.75" customHeight="1" x14ac:dyDescent="0.3">
      <c r="A96" s="56" t="s">
        <v>233</v>
      </c>
      <c r="B96" s="84" t="s">
        <v>234</v>
      </c>
      <c r="C96" s="57" t="s">
        <v>255</v>
      </c>
      <c r="D96" s="722">
        <f t="shared" si="46"/>
        <v>28.360957642725598</v>
      </c>
      <c r="E96" s="723">
        <f t="shared" si="47"/>
        <v>26.711813393528971</v>
      </c>
      <c r="F96" s="723">
        <f t="shared" si="48"/>
        <v>21.390374331550802</v>
      </c>
      <c r="G96" s="723">
        <f t="shared" si="49"/>
        <v>20.539152759948649</v>
      </c>
      <c r="H96" s="723">
        <f t="shared" si="50"/>
        <v>20.195439739413683</v>
      </c>
      <c r="I96" s="723">
        <f t="shared" si="51"/>
        <v>16.677567037279267</v>
      </c>
      <c r="J96" s="723">
        <f t="shared" si="52"/>
        <v>18.488485241647744</v>
      </c>
      <c r="K96" s="723">
        <f t="shared" si="53"/>
        <v>21.22869089739466</v>
      </c>
      <c r="L96" s="723">
        <f t="shared" si="54"/>
        <v>17.625540405719988</v>
      </c>
      <c r="M96" s="723">
        <f t="shared" si="55"/>
        <v>22.887916526422082</v>
      </c>
      <c r="N96" s="723">
        <f t="shared" si="56"/>
        <v>22.471910112359549</v>
      </c>
      <c r="O96" s="723">
        <f t="shared" si="57"/>
        <v>22.727272727272727</v>
      </c>
      <c r="P96" s="723">
        <f t="shared" si="58"/>
        <v>24.975673045734673</v>
      </c>
      <c r="Q96" s="723">
        <f t="shared" si="59"/>
        <v>18.32460732984293</v>
      </c>
      <c r="R96" s="855">
        <f t="shared" si="60"/>
        <v>17.329910141206675</v>
      </c>
      <c r="S96" s="857">
        <f t="shared" si="61"/>
        <v>16.899577510562239</v>
      </c>
      <c r="T96" s="1010">
        <f t="shared" si="62"/>
        <v>11.516946363935505</v>
      </c>
      <c r="U96" s="1641">
        <f t="shared" si="63"/>
        <v>15.763546798029555</v>
      </c>
      <c r="V96" s="1975">
        <f t="shared" si="64"/>
        <v>13.576158940397352</v>
      </c>
      <c r="W96" s="2033">
        <f t="shared" si="65"/>
        <v>11.862776530939405</v>
      </c>
      <c r="X96" s="2035">
        <f t="shared" si="66"/>
        <v>12.720156555772993</v>
      </c>
      <c r="Y96" s="2099">
        <f t="shared" si="67"/>
        <v>11.325782811459028</v>
      </c>
      <c r="Z96" s="2099"/>
      <c r="AA96" s="681">
        <v>77</v>
      </c>
      <c r="AB96" s="682">
        <v>71</v>
      </c>
      <c r="AC96" s="683">
        <v>68</v>
      </c>
      <c r="AD96" s="682">
        <v>64</v>
      </c>
      <c r="AE96" s="683">
        <v>62</v>
      </c>
      <c r="AF96" s="682">
        <v>51</v>
      </c>
      <c r="AG96" s="683">
        <v>57</v>
      </c>
      <c r="AH96" s="682">
        <v>66</v>
      </c>
      <c r="AI96" s="696">
        <v>53</v>
      </c>
      <c r="AJ96" s="696">
        <v>68</v>
      </c>
      <c r="AK96" s="696">
        <v>66</v>
      </c>
      <c r="AL96" s="696">
        <v>67</v>
      </c>
      <c r="AM96" s="697">
        <v>77</v>
      </c>
      <c r="AN96" s="697">
        <v>56</v>
      </c>
      <c r="AO96" s="848">
        <v>54</v>
      </c>
      <c r="AP96" s="849">
        <v>52</v>
      </c>
      <c r="AQ96" s="1005">
        <v>35</v>
      </c>
      <c r="AR96" s="1637">
        <v>48</v>
      </c>
      <c r="AS96" s="1971">
        <v>41</v>
      </c>
      <c r="AT96" s="1095">
        <v>37</v>
      </c>
      <c r="AU96" s="2020">
        <v>39</v>
      </c>
      <c r="AV96" s="1005">
        <v>34</v>
      </c>
      <c r="AW96" s="1005"/>
      <c r="AX96" s="704">
        <v>2715</v>
      </c>
      <c r="AY96" s="705">
        <v>2658</v>
      </c>
      <c r="AZ96" s="705">
        <v>3179</v>
      </c>
      <c r="BA96" s="705">
        <v>3116</v>
      </c>
      <c r="BB96" s="705">
        <v>3070</v>
      </c>
      <c r="BC96" s="705">
        <v>3058</v>
      </c>
      <c r="BD96" s="705">
        <v>3083</v>
      </c>
      <c r="BE96" s="705">
        <v>3109</v>
      </c>
      <c r="BF96" s="705">
        <v>3007</v>
      </c>
      <c r="BG96" s="705">
        <v>2971</v>
      </c>
      <c r="BH96" s="705">
        <v>2937</v>
      </c>
      <c r="BI96" s="705">
        <v>2948</v>
      </c>
      <c r="BJ96" s="705">
        <v>3083</v>
      </c>
      <c r="BK96" s="705">
        <v>3056</v>
      </c>
      <c r="BL96" s="851">
        <v>3116</v>
      </c>
      <c r="BM96" s="852">
        <v>3077</v>
      </c>
      <c r="BN96" s="1116">
        <v>3039</v>
      </c>
      <c r="BO96" s="1634">
        <v>3045</v>
      </c>
      <c r="BP96" s="1969">
        <v>3020</v>
      </c>
      <c r="BQ96" s="1096">
        <v>3119</v>
      </c>
      <c r="BR96" s="2022">
        <v>3066</v>
      </c>
      <c r="BS96" s="1006">
        <v>3002</v>
      </c>
      <c r="BU96" s="49">
        <f t="shared" si="68"/>
        <v>199</v>
      </c>
      <c r="BV96" s="49">
        <f t="shared" si="69"/>
        <v>15252</v>
      </c>
      <c r="BW96" s="2174">
        <f t="shared" si="70"/>
        <v>13.047469184369264</v>
      </c>
    </row>
    <row r="97" spans="1:75" s="49" customFormat="1" ht="15.75" customHeight="1" x14ac:dyDescent="0.3">
      <c r="A97" s="56" t="s">
        <v>235</v>
      </c>
      <c r="B97" s="84" t="s">
        <v>236</v>
      </c>
      <c r="C97" s="57" t="s">
        <v>253</v>
      </c>
      <c r="D97" s="722">
        <f t="shared" si="46"/>
        <v>39.344262295081968</v>
      </c>
      <c r="E97" s="723">
        <f t="shared" si="47"/>
        <v>41.575492341356671</v>
      </c>
      <c r="F97" s="723">
        <f t="shared" si="48"/>
        <v>21.877848678213311</v>
      </c>
      <c r="G97" s="723">
        <f t="shared" si="49"/>
        <v>34.234234234234229</v>
      </c>
      <c r="H97" s="723">
        <f t="shared" si="50"/>
        <v>30.115146147032775</v>
      </c>
      <c r="I97" s="723">
        <f t="shared" si="51"/>
        <v>22.222222222222221</v>
      </c>
      <c r="J97" s="723">
        <f t="shared" si="52"/>
        <v>32.200357781753134</v>
      </c>
      <c r="K97" s="723">
        <f t="shared" si="53"/>
        <v>28.890959925442687</v>
      </c>
      <c r="L97" s="723">
        <f t="shared" si="54"/>
        <v>27.29044834307992</v>
      </c>
      <c r="M97" s="723">
        <f t="shared" si="55"/>
        <v>18.274111675126903</v>
      </c>
      <c r="N97" s="723">
        <f t="shared" si="56"/>
        <v>29.204431017119841</v>
      </c>
      <c r="O97" s="723">
        <f t="shared" si="57"/>
        <v>28.397565922920894</v>
      </c>
      <c r="P97" s="723">
        <f t="shared" si="58"/>
        <v>30.120481927710845</v>
      </c>
      <c r="Q97" s="723">
        <f t="shared" si="59"/>
        <v>23.206751054852322</v>
      </c>
      <c r="R97" s="855">
        <f t="shared" si="60"/>
        <v>15.053763440860216</v>
      </c>
      <c r="S97" s="857">
        <f t="shared" si="61"/>
        <v>22.172949002217297</v>
      </c>
      <c r="T97" s="1010">
        <f t="shared" si="62"/>
        <v>14.656144306651633</v>
      </c>
      <c r="U97" s="1641">
        <f t="shared" si="63"/>
        <v>18.244013683010262</v>
      </c>
      <c r="V97" s="1975">
        <f t="shared" si="64"/>
        <v>14.891179839633446</v>
      </c>
      <c r="W97" s="2033">
        <f t="shared" si="65"/>
        <v>9.2272202998846602</v>
      </c>
      <c r="X97" s="2035">
        <f t="shared" si="66"/>
        <v>11.337868480725623</v>
      </c>
      <c r="Y97" s="2099">
        <f t="shared" si="67"/>
        <v>12.64367816091954</v>
      </c>
      <c r="Z97" s="2099"/>
      <c r="AA97" s="681">
        <v>36</v>
      </c>
      <c r="AB97" s="682">
        <v>38</v>
      </c>
      <c r="AC97" s="683">
        <v>24</v>
      </c>
      <c r="AD97" s="682">
        <v>38</v>
      </c>
      <c r="AE97" s="683">
        <v>34</v>
      </c>
      <c r="AF97" s="682">
        <v>25</v>
      </c>
      <c r="AG97" s="683">
        <v>36</v>
      </c>
      <c r="AH97" s="682">
        <v>31</v>
      </c>
      <c r="AI97" s="696">
        <v>28</v>
      </c>
      <c r="AJ97" s="696">
        <v>18</v>
      </c>
      <c r="AK97" s="696">
        <v>29</v>
      </c>
      <c r="AL97" s="696">
        <v>28</v>
      </c>
      <c r="AM97" s="697">
        <v>30</v>
      </c>
      <c r="AN97" s="697">
        <v>22</v>
      </c>
      <c r="AO97" s="848">
        <v>14</v>
      </c>
      <c r="AP97" s="849">
        <v>20</v>
      </c>
      <c r="AQ97" s="1005">
        <v>13</v>
      </c>
      <c r="AR97" s="1637">
        <v>16</v>
      </c>
      <c r="AS97" s="1971">
        <v>13</v>
      </c>
      <c r="AT97" s="1095">
        <v>8</v>
      </c>
      <c r="AU97" s="2020">
        <v>10</v>
      </c>
      <c r="AV97" s="1005">
        <v>11</v>
      </c>
      <c r="AW97" s="1005"/>
      <c r="AX97" s="704">
        <v>915</v>
      </c>
      <c r="AY97" s="705">
        <v>914</v>
      </c>
      <c r="AZ97" s="705">
        <v>1097</v>
      </c>
      <c r="BA97" s="705">
        <v>1110</v>
      </c>
      <c r="BB97" s="705">
        <v>1129</v>
      </c>
      <c r="BC97" s="705">
        <v>1125</v>
      </c>
      <c r="BD97" s="705">
        <v>1118</v>
      </c>
      <c r="BE97" s="705">
        <v>1073</v>
      </c>
      <c r="BF97" s="705">
        <v>1026</v>
      </c>
      <c r="BG97" s="705">
        <v>985</v>
      </c>
      <c r="BH97" s="705">
        <v>993</v>
      </c>
      <c r="BI97" s="705">
        <v>986</v>
      </c>
      <c r="BJ97" s="705">
        <v>996</v>
      </c>
      <c r="BK97" s="705">
        <v>948</v>
      </c>
      <c r="BL97" s="851">
        <v>930</v>
      </c>
      <c r="BM97" s="852">
        <v>902</v>
      </c>
      <c r="BN97" s="1116">
        <v>887</v>
      </c>
      <c r="BO97" s="1634">
        <v>877</v>
      </c>
      <c r="BP97" s="1969">
        <v>873</v>
      </c>
      <c r="BQ97" s="1096">
        <v>867</v>
      </c>
      <c r="BR97" s="2022">
        <v>882</v>
      </c>
      <c r="BS97" s="1006">
        <v>870</v>
      </c>
      <c r="BU97" s="49">
        <f t="shared" si="68"/>
        <v>58</v>
      </c>
      <c r="BV97" s="49">
        <f t="shared" si="69"/>
        <v>4369</v>
      </c>
      <c r="BW97" s="2174">
        <f t="shared" si="70"/>
        <v>13.275349050125886</v>
      </c>
    </row>
    <row r="98" spans="1:75" s="49" customFormat="1" ht="15.75" customHeight="1" x14ac:dyDescent="0.3">
      <c r="A98" s="56" t="s">
        <v>241</v>
      </c>
      <c r="B98" s="84" t="s">
        <v>242</v>
      </c>
      <c r="C98" s="57" t="s">
        <v>255</v>
      </c>
      <c r="D98" s="722">
        <f t="shared" si="46"/>
        <v>40.104947526236884</v>
      </c>
      <c r="E98" s="723">
        <f t="shared" si="47"/>
        <v>30.745580322828591</v>
      </c>
      <c r="F98" s="723">
        <f t="shared" si="48"/>
        <v>34.370477568740952</v>
      </c>
      <c r="G98" s="723">
        <f t="shared" si="49"/>
        <v>29.40081875697804</v>
      </c>
      <c r="H98" s="723">
        <f t="shared" si="50"/>
        <v>31.788586748372275</v>
      </c>
      <c r="I98" s="723">
        <f t="shared" si="51"/>
        <v>25.272161741835145</v>
      </c>
      <c r="J98" s="723">
        <f t="shared" si="52"/>
        <v>31.140521603736865</v>
      </c>
      <c r="K98" s="723">
        <f t="shared" si="53"/>
        <v>25.056947608200456</v>
      </c>
      <c r="L98" s="723">
        <f t="shared" si="54"/>
        <v>30.939648586707413</v>
      </c>
      <c r="M98" s="723">
        <f t="shared" si="55"/>
        <v>30.256012412723042</v>
      </c>
      <c r="N98" s="723">
        <f t="shared" si="56"/>
        <v>32.715806070161605</v>
      </c>
      <c r="O98" s="723">
        <f t="shared" si="57"/>
        <v>39.772727272727273</v>
      </c>
      <c r="P98" s="723">
        <f t="shared" si="58"/>
        <v>37.5249500998004</v>
      </c>
      <c r="Q98" s="723">
        <f t="shared" si="59"/>
        <v>28.535980148883372</v>
      </c>
      <c r="R98" s="855">
        <f t="shared" si="60"/>
        <v>24.066390041493776</v>
      </c>
      <c r="S98" s="857">
        <f t="shared" si="61"/>
        <v>24.831649831649834</v>
      </c>
      <c r="T98" s="1010">
        <f t="shared" si="62"/>
        <v>26.140894993354006</v>
      </c>
      <c r="U98" s="1641">
        <f t="shared" si="63"/>
        <v>21.178637200736649</v>
      </c>
      <c r="V98" s="1975">
        <f t="shared" si="64"/>
        <v>21.178637200736649</v>
      </c>
      <c r="W98" s="2033">
        <f t="shared" si="65"/>
        <v>21.85030218503022</v>
      </c>
      <c r="X98" s="2035">
        <f t="shared" si="66"/>
        <v>19.820670127418595</v>
      </c>
      <c r="Y98" s="2099">
        <f t="shared" si="67"/>
        <v>14.768937589328253</v>
      </c>
      <c r="Z98" s="2099"/>
      <c r="AA98" s="681">
        <v>107</v>
      </c>
      <c r="AB98" s="682">
        <v>80</v>
      </c>
      <c r="AC98" s="683">
        <v>95</v>
      </c>
      <c r="AD98" s="682">
        <v>79</v>
      </c>
      <c r="AE98" s="683">
        <v>83</v>
      </c>
      <c r="AF98" s="682">
        <v>65</v>
      </c>
      <c r="AG98" s="683">
        <v>80</v>
      </c>
      <c r="AH98" s="682">
        <v>66</v>
      </c>
      <c r="AI98" s="696">
        <v>81</v>
      </c>
      <c r="AJ98" s="696">
        <v>78</v>
      </c>
      <c r="AK98" s="696">
        <v>83</v>
      </c>
      <c r="AL98" s="696">
        <v>98</v>
      </c>
      <c r="AM98" s="697">
        <v>94</v>
      </c>
      <c r="AN98" s="697">
        <v>69</v>
      </c>
      <c r="AO98" s="848">
        <v>58</v>
      </c>
      <c r="AP98" s="849">
        <v>59</v>
      </c>
      <c r="AQ98" s="1005">
        <v>59</v>
      </c>
      <c r="AR98" s="1637">
        <v>46</v>
      </c>
      <c r="AS98" s="1971">
        <v>46</v>
      </c>
      <c r="AT98" s="1095">
        <v>47</v>
      </c>
      <c r="AU98" s="2020">
        <v>42</v>
      </c>
      <c r="AV98" s="1005">
        <v>31</v>
      </c>
      <c r="AW98" s="1005"/>
      <c r="AX98" s="704">
        <v>2668</v>
      </c>
      <c r="AY98" s="705">
        <v>2602</v>
      </c>
      <c r="AZ98" s="705">
        <v>2764</v>
      </c>
      <c r="BA98" s="705">
        <v>2687</v>
      </c>
      <c r="BB98" s="705">
        <v>2611</v>
      </c>
      <c r="BC98" s="705">
        <v>2572</v>
      </c>
      <c r="BD98" s="705">
        <v>2569</v>
      </c>
      <c r="BE98" s="705">
        <v>2634</v>
      </c>
      <c r="BF98" s="705">
        <v>2618</v>
      </c>
      <c r="BG98" s="705">
        <v>2578</v>
      </c>
      <c r="BH98" s="705">
        <v>2537</v>
      </c>
      <c r="BI98" s="705">
        <v>2464</v>
      </c>
      <c r="BJ98" s="705">
        <v>2505</v>
      </c>
      <c r="BK98" s="705">
        <v>2418</v>
      </c>
      <c r="BL98" s="851">
        <v>2410</v>
      </c>
      <c r="BM98" s="852">
        <v>2376</v>
      </c>
      <c r="BN98" s="1116">
        <v>2257</v>
      </c>
      <c r="BO98" s="1634">
        <v>2172</v>
      </c>
      <c r="BP98" s="1969">
        <v>2172</v>
      </c>
      <c r="BQ98" s="1096">
        <v>2151</v>
      </c>
      <c r="BR98" s="2022">
        <v>2119</v>
      </c>
      <c r="BS98" s="1006">
        <v>2099</v>
      </c>
      <c r="BU98" s="49">
        <f t="shared" si="68"/>
        <v>212</v>
      </c>
      <c r="BV98" s="49">
        <f t="shared" si="69"/>
        <v>10713</v>
      </c>
      <c r="BW98" s="2174">
        <f t="shared" si="70"/>
        <v>19.78904135162886</v>
      </c>
    </row>
    <row r="99" spans="1:75" s="49" customFormat="1" ht="15.75" customHeight="1" x14ac:dyDescent="0.3">
      <c r="A99" s="56" t="s">
        <v>243</v>
      </c>
      <c r="B99" s="84" t="s">
        <v>244</v>
      </c>
      <c r="C99" s="57" t="s">
        <v>255</v>
      </c>
      <c r="D99" s="722">
        <f t="shared" si="46"/>
        <v>20.29520295202952</v>
      </c>
      <c r="E99" s="723">
        <f t="shared" si="47"/>
        <v>27.932960893854748</v>
      </c>
      <c r="F99" s="723">
        <f t="shared" si="48"/>
        <v>26.728646135967463</v>
      </c>
      <c r="G99" s="723">
        <f t="shared" si="49"/>
        <v>23.378141437755698</v>
      </c>
      <c r="H99" s="723">
        <f t="shared" si="50"/>
        <v>22.235225277940316</v>
      </c>
      <c r="I99" s="723">
        <f t="shared" si="51"/>
        <v>21.213906894519742</v>
      </c>
      <c r="J99" s="723">
        <f t="shared" si="52"/>
        <v>25.38370720188902</v>
      </c>
      <c r="K99" s="723">
        <f t="shared" si="53"/>
        <v>23.086269744835967</v>
      </c>
      <c r="L99" s="723">
        <f t="shared" si="54"/>
        <v>20.846493998736577</v>
      </c>
      <c r="M99" s="723">
        <f t="shared" si="55"/>
        <v>23.121387283236992</v>
      </c>
      <c r="N99" s="723">
        <f t="shared" si="56"/>
        <v>22.339027595269382</v>
      </c>
      <c r="O99" s="723">
        <f t="shared" si="57"/>
        <v>26.666666666666668</v>
      </c>
      <c r="P99" s="723">
        <f t="shared" si="58"/>
        <v>20.612117426608368</v>
      </c>
      <c r="Q99" s="723">
        <f t="shared" si="59"/>
        <v>29.559748427672957</v>
      </c>
      <c r="R99" s="855">
        <f t="shared" si="60"/>
        <v>24.691358024691358</v>
      </c>
      <c r="S99" s="857">
        <f t="shared" si="61"/>
        <v>23.402909550917141</v>
      </c>
      <c r="T99" s="1010">
        <f t="shared" si="62"/>
        <v>21.304067140090378</v>
      </c>
      <c r="U99" s="1641">
        <f t="shared" si="63"/>
        <v>14.7247119078105</v>
      </c>
      <c r="V99" s="1975">
        <f t="shared" si="64"/>
        <v>12.0942075111394</v>
      </c>
      <c r="W99" s="2033">
        <f t="shared" si="65"/>
        <v>15.576323987538942</v>
      </c>
      <c r="X99" s="2035">
        <f t="shared" si="66"/>
        <v>10.532837670384138</v>
      </c>
      <c r="Y99" s="2099">
        <f t="shared" si="67"/>
        <v>16.549968173138126</v>
      </c>
      <c r="Z99" s="2099"/>
      <c r="AA99" s="681">
        <v>33</v>
      </c>
      <c r="AB99" s="682">
        <v>45</v>
      </c>
      <c r="AC99" s="683">
        <v>46</v>
      </c>
      <c r="AD99" s="682">
        <v>40</v>
      </c>
      <c r="AE99" s="683">
        <v>38</v>
      </c>
      <c r="AF99" s="682">
        <v>36</v>
      </c>
      <c r="AG99" s="683">
        <v>43</v>
      </c>
      <c r="AH99" s="682">
        <v>38</v>
      </c>
      <c r="AI99" s="696">
        <v>33</v>
      </c>
      <c r="AJ99" s="696">
        <v>36</v>
      </c>
      <c r="AK99" s="696">
        <v>34</v>
      </c>
      <c r="AL99" s="696">
        <v>42</v>
      </c>
      <c r="AM99" s="697">
        <v>33</v>
      </c>
      <c r="AN99" s="697">
        <v>47</v>
      </c>
      <c r="AO99" s="848">
        <v>40</v>
      </c>
      <c r="AP99" s="849">
        <v>37</v>
      </c>
      <c r="AQ99" s="1005">
        <v>33</v>
      </c>
      <c r="AR99" s="1637">
        <v>23</v>
      </c>
      <c r="AS99" s="1971">
        <v>19</v>
      </c>
      <c r="AT99" s="1095">
        <v>25</v>
      </c>
      <c r="AU99" s="2020">
        <v>17</v>
      </c>
      <c r="AV99" s="1005">
        <v>26</v>
      </c>
      <c r="AW99" s="1005"/>
      <c r="AX99" s="704">
        <v>1626</v>
      </c>
      <c r="AY99" s="705">
        <v>1611</v>
      </c>
      <c r="AZ99" s="705">
        <v>1721</v>
      </c>
      <c r="BA99" s="705">
        <v>1711</v>
      </c>
      <c r="BB99" s="705">
        <v>1709</v>
      </c>
      <c r="BC99" s="705">
        <v>1697</v>
      </c>
      <c r="BD99" s="705">
        <v>1694</v>
      </c>
      <c r="BE99" s="705">
        <v>1646</v>
      </c>
      <c r="BF99" s="705">
        <v>1583</v>
      </c>
      <c r="BG99" s="705">
        <v>1557</v>
      </c>
      <c r="BH99" s="705">
        <v>1522</v>
      </c>
      <c r="BI99" s="705">
        <v>1575</v>
      </c>
      <c r="BJ99" s="705">
        <v>1601</v>
      </c>
      <c r="BK99" s="705">
        <v>1590</v>
      </c>
      <c r="BL99" s="851">
        <v>1620</v>
      </c>
      <c r="BM99" s="852">
        <v>1581</v>
      </c>
      <c r="BN99" s="1116">
        <v>1549</v>
      </c>
      <c r="BO99" s="1634">
        <v>1562</v>
      </c>
      <c r="BP99" s="1969">
        <v>1571</v>
      </c>
      <c r="BQ99" s="1096">
        <v>1605</v>
      </c>
      <c r="BR99" s="2022">
        <v>1614</v>
      </c>
      <c r="BS99" s="1006">
        <v>1571</v>
      </c>
      <c r="BU99" s="49">
        <f t="shared" si="68"/>
        <v>110</v>
      </c>
      <c r="BV99" s="49">
        <f t="shared" si="69"/>
        <v>7923</v>
      </c>
      <c r="BW99" s="2174">
        <f t="shared" si="70"/>
        <v>13.883629938154739</v>
      </c>
    </row>
    <row r="100" spans="1:75" s="49" customFormat="1" ht="15.75" customHeight="1" x14ac:dyDescent="0.3">
      <c r="A100" s="56" t="s">
        <v>245</v>
      </c>
      <c r="B100" s="84" t="s">
        <v>246</v>
      </c>
      <c r="C100" s="57" t="s">
        <v>251</v>
      </c>
      <c r="D100" s="722">
        <f t="shared" si="46"/>
        <v>9.4378334017234309</v>
      </c>
      <c r="E100" s="723">
        <f t="shared" si="47"/>
        <v>11.936071211814687</v>
      </c>
      <c r="F100" s="723">
        <f t="shared" si="48"/>
        <v>12.139047268714364</v>
      </c>
      <c r="G100" s="723">
        <f t="shared" si="49"/>
        <v>8.60252808988764</v>
      </c>
      <c r="H100" s="723">
        <f t="shared" si="50"/>
        <v>7.5692413555823155</v>
      </c>
      <c r="I100" s="723">
        <f t="shared" si="51"/>
        <v>8.1122190299138079</v>
      </c>
      <c r="J100" s="723">
        <f t="shared" si="52"/>
        <v>8.9485458612975393</v>
      </c>
      <c r="K100" s="723">
        <f t="shared" si="53"/>
        <v>5.9326470075030535</v>
      </c>
      <c r="L100" s="723">
        <f t="shared" si="54"/>
        <v>5.9224694903086865</v>
      </c>
      <c r="M100" s="723">
        <f t="shared" si="55"/>
        <v>7.5785582255083179</v>
      </c>
      <c r="N100" s="723">
        <f t="shared" si="56"/>
        <v>6.8991950939057105</v>
      </c>
      <c r="O100" s="723">
        <f t="shared" si="57"/>
        <v>6.4527380537146843</v>
      </c>
      <c r="P100" s="723">
        <f t="shared" si="58"/>
        <v>5.0513554470449566</v>
      </c>
      <c r="Q100" s="723">
        <f t="shared" si="59"/>
        <v>4.2165626581210995</v>
      </c>
      <c r="R100" s="855">
        <f t="shared" si="60"/>
        <v>3.4608063678837166</v>
      </c>
      <c r="S100" s="857">
        <f t="shared" si="61"/>
        <v>3.854915016646224</v>
      </c>
      <c r="T100" s="1010">
        <f t="shared" si="62"/>
        <v>3.7366548042704624</v>
      </c>
      <c r="U100" s="1641">
        <f t="shared" si="63"/>
        <v>3.3089515848136539</v>
      </c>
      <c r="V100" s="1975">
        <f t="shared" si="64"/>
        <v>3.7486611924312743</v>
      </c>
      <c r="W100" s="2033">
        <f t="shared" si="65"/>
        <v>3.7906137184115525</v>
      </c>
      <c r="X100" s="2035">
        <f t="shared" si="66"/>
        <v>2.885482416591524</v>
      </c>
      <c r="Y100" s="2099">
        <f t="shared" si="67"/>
        <v>2.3792093704245976</v>
      </c>
      <c r="Z100" s="2099"/>
      <c r="AA100" s="681">
        <v>46</v>
      </c>
      <c r="AB100" s="682">
        <v>59</v>
      </c>
      <c r="AC100" s="683">
        <v>66</v>
      </c>
      <c r="AD100" s="682">
        <v>49</v>
      </c>
      <c r="AE100" s="683">
        <v>44</v>
      </c>
      <c r="AF100" s="682">
        <v>48</v>
      </c>
      <c r="AG100" s="683">
        <v>52</v>
      </c>
      <c r="AH100" s="682">
        <v>34</v>
      </c>
      <c r="AI100" s="696">
        <v>33</v>
      </c>
      <c r="AJ100" s="696">
        <v>41</v>
      </c>
      <c r="AK100" s="696">
        <v>36</v>
      </c>
      <c r="AL100" s="696">
        <v>37</v>
      </c>
      <c r="AM100" s="697">
        <v>30</v>
      </c>
      <c r="AN100" s="697">
        <v>25</v>
      </c>
      <c r="AO100" s="848">
        <v>20</v>
      </c>
      <c r="AP100" s="849">
        <v>22</v>
      </c>
      <c r="AQ100" s="1005">
        <v>21</v>
      </c>
      <c r="AR100" s="1637">
        <v>19</v>
      </c>
      <c r="AS100" s="1971">
        <v>21</v>
      </c>
      <c r="AT100" s="1095">
        <v>21</v>
      </c>
      <c r="AU100" s="2020">
        <v>16</v>
      </c>
      <c r="AV100" s="1005">
        <v>13</v>
      </c>
      <c r="AW100" s="1005"/>
      <c r="AX100" s="704">
        <v>4874</v>
      </c>
      <c r="AY100" s="705">
        <v>4943</v>
      </c>
      <c r="AZ100" s="705">
        <v>5437</v>
      </c>
      <c r="BA100" s="705">
        <v>5696</v>
      </c>
      <c r="BB100" s="705">
        <v>5813</v>
      </c>
      <c r="BC100" s="705">
        <v>5917</v>
      </c>
      <c r="BD100" s="705">
        <v>5811</v>
      </c>
      <c r="BE100" s="705">
        <v>5731</v>
      </c>
      <c r="BF100" s="705">
        <v>5572</v>
      </c>
      <c r="BG100" s="705">
        <v>5410</v>
      </c>
      <c r="BH100" s="705">
        <v>5218</v>
      </c>
      <c r="BI100" s="705">
        <v>5734</v>
      </c>
      <c r="BJ100" s="705">
        <v>5939</v>
      </c>
      <c r="BK100" s="705">
        <v>5929</v>
      </c>
      <c r="BL100" s="851">
        <v>5779</v>
      </c>
      <c r="BM100" s="852">
        <v>5707</v>
      </c>
      <c r="BN100" s="1116">
        <v>5620</v>
      </c>
      <c r="BO100" s="1634">
        <v>5742</v>
      </c>
      <c r="BP100" s="1969">
        <v>5602</v>
      </c>
      <c r="BQ100" s="1096">
        <v>5540</v>
      </c>
      <c r="BR100" s="2022">
        <v>5545</v>
      </c>
      <c r="BS100" s="1006">
        <v>5464</v>
      </c>
      <c r="BU100" s="49">
        <f t="shared" si="68"/>
        <v>90</v>
      </c>
      <c r="BV100" s="49">
        <f t="shared" si="69"/>
        <v>27893</v>
      </c>
      <c r="BW100" s="2174">
        <f t="shared" si="70"/>
        <v>3.2266159968450863</v>
      </c>
    </row>
    <row r="101" spans="1:75" s="49" customFormat="1" ht="15.75" customHeight="1" x14ac:dyDescent="0.3">
      <c r="A101" s="56" t="s">
        <v>13</v>
      </c>
      <c r="B101" s="84" t="s">
        <v>14</v>
      </c>
      <c r="C101" s="57" t="s">
        <v>254</v>
      </c>
      <c r="D101" s="722">
        <f t="shared" ref="D101:D125" si="71">IF(AX101=0,"NA",(AA101/AX101)*1000)</f>
        <v>23.536895674300254</v>
      </c>
      <c r="E101" s="723">
        <f t="shared" ref="E101:E125" si="72">IF(AY101=0,"NA",(AB101/AY101)*1000)</f>
        <v>25.657071339173967</v>
      </c>
      <c r="F101" s="723">
        <f t="shared" ref="F101:F125" si="73">IF(AZ101=0,"NA",(AC101/AZ101)*1000)</f>
        <v>26.487190620929223</v>
      </c>
      <c r="G101" s="723">
        <f t="shared" ref="G101:G125" si="74">IF(BA101=0,"NA",(AD101/BA101)*1000)</f>
        <v>25.178253119429588</v>
      </c>
      <c r="H101" s="723">
        <f t="shared" ref="H101:H125" si="75">IF(BB101=0,"NA",(AE101/BB101)*1000)</f>
        <v>25.289529662018435</v>
      </c>
      <c r="I101" s="723">
        <f t="shared" ref="I101:I125" si="76">IF(BC101=0,"NA",(AF101/BC101)*1000)</f>
        <v>30.749682337992379</v>
      </c>
      <c r="J101" s="723">
        <f t="shared" ref="J101:J125" si="77">IF(BD101=0,"NA",(AG101/BD101)*1000)</f>
        <v>25.855700566362966</v>
      </c>
      <c r="K101" s="723">
        <f t="shared" ref="K101:K125" si="78">IF(BE101=0,"NA",(AH101/BE101)*1000)</f>
        <v>31.527323680523121</v>
      </c>
      <c r="L101" s="723">
        <f t="shared" ref="L101:L125" si="79">IF(BF101=0,"NA",(AI101/BF101)*1000)</f>
        <v>24.03393025447691</v>
      </c>
      <c r="M101" s="723">
        <f t="shared" ref="M101:M125" si="80">IF(BG101=0,"NA",(AJ101/BG101)*1000)</f>
        <v>23.761169780666123</v>
      </c>
      <c r="N101" s="723">
        <f t="shared" ref="N101:N125" si="81">IF(BH101=0,"NA",(AK101/BH101)*1000)</f>
        <v>19.293845263360986</v>
      </c>
      <c r="O101" s="723">
        <f t="shared" ref="O101:O125" si="82">IF(BI101=0,"NA",(AL101/BI101)*1000)</f>
        <v>19.73835207711728</v>
      </c>
      <c r="P101" s="723">
        <f t="shared" ref="P101:P125" si="83">IF(BJ101=0,"NA",(AM101/BJ101)*1000)</f>
        <v>22.615745679539149</v>
      </c>
      <c r="Q101" s="723">
        <f t="shared" ref="Q101:Q125" si="84">IF(BK101=0,"NA",(AN101/BK101)*1000)</f>
        <v>16.146165285744637</v>
      </c>
      <c r="R101" s="855">
        <f t="shared" ref="R101:R125" si="85">IF(BL101=0,"NA",(AO101/BL101)*1000)</f>
        <v>15.034453956984757</v>
      </c>
      <c r="S101" s="857">
        <f t="shared" ref="S101:S125" si="86">IF(BM101=0,"NA",(AP101/BM101)*1000)</f>
        <v>12.396694214876034</v>
      </c>
      <c r="T101" s="1010">
        <f t="shared" ref="T101:T125" si="87">IF(BN101=0,"NA",(AQ101/BN101)*1000)</f>
        <v>13.847080072245635</v>
      </c>
      <c r="U101" s="1641">
        <f t="shared" ref="U101:U125" si="88">IF(BO101=0,"NA",(AR101/BO101)*1000)</f>
        <v>10.854816824966077</v>
      </c>
      <c r="V101" s="1975">
        <f t="shared" ref="V101:V125" si="89">IF(BP101=0,"NA",(AS101/BP101)*1000)</f>
        <v>9.8713202890886649</v>
      </c>
      <c r="W101" s="2033">
        <f t="shared" si="65"/>
        <v>8.8726513569937371</v>
      </c>
      <c r="X101" s="2035">
        <f t="shared" si="66"/>
        <v>8.5570469798657722</v>
      </c>
      <c r="Y101" s="2099">
        <f t="shared" si="67"/>
        <v>8.064516129032258</v>
      </c>
      <c r="Z101" s="2099"/>
      <c r="AA101" s="681">
        <v>111</v>
      </c>
      <c r="AB101" s="682">
        <v>123</v>
      </c>
      <c r="AC101" s="683">
        <v>122</v>
      </c>
      <c r="AD101" s="682">
        <v>113</v>
      </c>
      <c r="AE101" s="683">
        <v>107</v>
      </c>
      <c r="AF101" s="682">
        <v>121</v>
      </c>
      <c r="AG101" s="683">
        <v>105</v>
      </c>
      <c r="AH101" s="682">
        <v>135</v>
      </c>
      <c r="AI101" s="696">
        <v>102</v>
      </c>
      <c r="AJ101" s="696">
        <v>117</v>
      </c>
      <c r="AK101" s="696">
        <v>100</v>
      </c>
      <c r="AL101" s="696">
        <v>86</v>
      </c>
      <c r="AM101" s="697">
        <v>106</v>
      </c>
      <c r="AN101" s="697">
        <v>76</v>
      </c>
      <c r="AO101" s="848">
        <v>72</v>
      </c>
      <c r="AP101" s="849">
        <v>60</v>
      </c>
      <c r="AQ101" s="1005">
        <v>69</v>
      </c>
      <c r="AR101" s="1637">
        <v>56</v>
      </c>
      <c r="AS101" s="1971">
        <v>56</v>
      </c>
      <c r="AT101" s="1095">
        <v>51</v>
      </c>
      <c r="AU101" s="2020">
        <v>51</v>
      </c>
      <c r="AV101" s="1005">
        <v>48</v>
      </c>
      <c r="AW101" s="1005"/>
      <c r="AX101" s="704">
        <v>4716</v>
      </c>
      <c r="AY101" s="705">
        <v>4794</v>
      </c>
      <c r="AZ101" s="705">
        <v>4606</v>
      </c>
      <c r="BA101" s="705">
        <v>4488</v>
      </c>
      <c r="BB101" s="705">
        <v>4231</v>
      </c>
      <c r="BC101" s="705">
        <v>3935</v>
      </c>
      <c r="BD101" s="705">
        <v>4061</v>
      </c>
      <c r="BE101" s="705">
        <v>4282</v>
      </c>
      <c r="BF101" s="705">
        <v>4244</v>
      </c>
      <c r="BG101" s="705">
        <v>4924</v>
      </c>
      <c r="BH101" s="705">
        <v>5183</v>
      </c>
      <c r="BI101" s="705">
        <v>4357</v>
      </c>
      <c r="BJ101" s="705">
        <v>4687</v>
      </c>
      <c r="BK101" s="705">
        <v>4707</v>
      </c>
      <c r="BL101" s="851">
        <v>4789</v>
      </c>
      <c r="BM101" s="852">
        <v>4840</v>
      </c>
      <c r="BN101" s="1116">
        <v>4983</v>
      </c>
      <c r="BO101" s="1634">
        <v>5159</v>
      </c>
      <c r="BP101" s="1969">
        <v>5673</v>
      </c>
      <c r="BQ101" s="1096">
        <v>5748</v>
      </c>
      <c r="BR101" s="2022">
        <v>5960</v>
      </c>
      <c r="BS101" s="1006">
        <v>5952</v>
      </c>
      <c r="BU101" s="49">
        <f t="shared" si="68"/>
        <v>262</v>
      </c>
      <c r="BV101" s="49">
        <f t="shared" si="69"/>
        <v>28492</v>
      </c>
      <c r="BW101" s="2174">
        <f t="shared" si="70"/>
        <v>9.1955636669942429</v>
      </c>
    </row>
    <row r="102" spans="1:75" s="49" customFormat="1" ht="15.75" customHeight="1" x14ac:dyDescent="0.3">
      <c r="A102" s="56" t="s">
        <v>33</v>
      </c>
      <c r="B102" s="84" t="s">
        <v>34</v>
      </c>
      <c r="C102" s="57" t="s">
        <v>255</v>
      </c>
      <c r="D102" s="722">
        <f t="shared" si="71"/>
        <v>24.291497975708502</v>
      </c>
      <c r="E102" s="723">
        <f t="shared" si="72"/>
        <v>34.902597402597401</v>
      </c>
      <c r="F102" s="723">
        <f t="shared" si="73"/>
        <v>24.679170779861796</v>
      </c>
      <c r="G102" s="723">
        <f t="shared" si="74"/>
        <v>29.652351738241308</v>
      </c>
      <c r="H102" s="723">
        <f t="shared" si="75"/>
        <v>27.720739219712527</v>
      </c>
      <c r="I102" s="723">
        <f t="shared" si="76"/>
        <v>22.335025380710658</v>
      </c>
      <c r="J102" s="723">
        <f t="shared" si="77"/>
        <v>24.439918533604889</v>
      </c>
      <c r="K102" s="723">
        <f t="shared" si="78"/>
        <v>20.533880903490758</v>
      </c>
      <c r="L102" s="723">
        <f t="shared" si="79"/>
        <v>20.491803278688522</v>
      </c>
      <c r="M102" s="723">
        <f t="shared" si="80"/>
        <v>38.988408851422555</v>
      </c>
      <c r="N102" s="723">
        <f t="shared" si="81"/>
        <v>33.296337402885683</v>
      </c>
      <c r="O102" s="723">
        <f t="shared" si="82"/>
        <v>42.34527687296417</v>
      </c>
      <c r="P102" s="723">
        <f t="shared" si="83"/>
        <v>33.797216699801197</v>
      </c>
      <c r="Q102" s="723">
        <f t="shared" si="84"/>
        <v>21.649484536082472</v>
      </c>
      <c r="R102" s="855">
        <f t="shared" si="85"/>
        <v>18.756169792694966</v>
      </c>
      <c r="S102" s="857">
        <f t="shared" si="86"/>
        <v>27.253668763102723</v>
      </c>
      <c r="T102" s="1010">
        <f t="shared" si="87"/>
        <v>18.660812294182215</v>
      </c>
      <c r="U102" s="1641">
        <f t="shared" si="88"/>
        <v>26.096033402922757</v>
      </c>
      <c r="V102" s="1975">
        <f t="shared" si="89"/>
        <v>17.241379310344826</v>
      </c>
      <c r="W102" s="2033">
        <f t="shared" ref="W102:W125" si="90">(AT102/BQ102)*1000</f>
        <v>16.286644951140065</v>
      </c>
      <c r="X102" s="2035">
        <f t="shared" ref="X102:X125" si="91">(AU102/BR102)*1000</f>
        <v>8.9988751406074243</v>
      </c>
      <c r="Y102" s="2099">
        <f t="shared" si="67"/>
        <v>13.303769401330378</v>
      </c>
      <c r="Z102" s="2099"/>
      <c r="AA102" s="681">
        <v>30</v>
      </c>
      <c r="AB102" s="682">
        <v>43</v>
      </c>
      <c r="AC102" s="683">
        <v>25</v>
      </c>
      <c r="AD102" s="682">
        <v>29</v>
      </c>
      <c r="AE102" s="683">
        <v>27</v>
      </c>
      <c r="AF102" s="682">
        <v>22</v>
      </c>
      <c r="AG102" s="683">
        <v>24</v>
      </c>
      <c r="AH102" s="682">
        <v>20</v>
      </c>
      <c r="AI102" s="696">
        <v>20</v>
      </c>
      <c r="AJ102" s="696">
        <v>37</v>
      </c>
      <c r="AK102" s="696">
        <v>30</v>
      </c>
      <c r="AL102" s="696">
        <v>39</v>
      </c>
      <c r="AM102" s="697">
        <v>34</v>
      </c>
      <c r="AN102" s="697">
        <v>21</v>
      </c>
      <c r="AO102" s="848">
        <v>19</v>
      </c>
      <c r="AP102" s="849">
        <v>26</v>
      </c>
      <c r="AQ102" s="1005">
        <v>17</v>
      </c>
      <c r="AR102" s="1637">
        <v>25</v>
      </c>
      <c r="AS102" s="1971">
        <v>16</v>
      </c>
      <c r="AT102" s="1095">
        <v>15</v>
      </c>
      <c r="AU102" s="2020">
        <v>8</v>
      </c>
      <c r="AV102" s="1005">
        <v>12</v>
      </c>
      <c r="AW102" s="1005"/>
      <c r="AX102" s="704">
        <v>1235</v>
      </c>
      <c r="AY102" s="705">
        <v>1232</v>
      </c>
      <c r="AZ102" s="705">
        <v>1013</v>
      </c>
      <c r="BA102" s="705">
        <v>978</v>
      </c>
      <c r="BB102" s="705">
        <v>974</v>
      </c>
      <c r="BC102" s="705">
        <v>985</v>
      </c>
      <c r="BD102" s="705">
        <v>982</v>
      </c>
      <c r="BE102" s="705">
        <v>974</v>
      </c>
      <c r="BF102" s="705">
        <v>976</v>
      </c>
      <c r="BG102" s="705">
        <v>949</v>
      </c>
      <c r="BH102" s="705">
        <v>901</v>
      </c>
      <c r="BI102" s="705">
        <v>921</v>
      </c>
      <c r="BJ102" s="705">
        <v>1006</v>
      </c>
      <c r="BK102" s="705">
        <v>970</v>
      </c>
      <c r="BL102" s="851">
        <v>1013</v>
      </c>
      <c r="BM102" s="852">
        <v>954</v>
      </c>
      <c r="BN102" s="1116">
        <v>911</v>
      </c>
      <c r="BO102" s="1634">
        <v>958</v>
      </c>
      <c r="BP102" s="1969">
        <v>928</v>
      </c>
      <c r="BQ102" s="1096">
        <v>921</v>
      </c>
      <c r="BR102" s="2022">
        <v>889</v>
      </c>
      <c r="BS102" s="1006">
        <v>902</v>
      </c>
      <c r="BU102" s="49">
        <f t="shared" si="68"/>
        <v>76</v>
      </c>
      <c r="BV102" s="49">
        <f t="shared" si="69"/>
        <v>4598</v>
      </c>
      <c r="BW102" s="2174">
        <f t="shared" si="70"/>
        <v>16.528925619834713</v>
      </c>
    </row>
    <row r="103" spans="1:75" s="49" customFormat="1" ht="15.75" customHeight="1" x14ac:dyDescent="0.3">
      <c r="A103" s="56" t="s">
        <v>51</v>
      </c>
      <c r="B103" s="84" t="s">
        <v>52</v>
      </c>
      <c r="C103" s="57" t="s">
        <v>252</v>
      </c>
      <c r="D103" s="722">
        <f t="shared" si="71"/>
        <v>25.691699604743082</v>
      </c>
      <c r="E103" s="723">
        <f t="shared" si="72"/>
        <v>20.280811232449299</v>
      </c>
      <c r="F103" s="723">
        <f t="shared" si="73"/>
        <v>14.259429622815087</v>
      </c>
      <c r="G103" s="723">
        <f t="shared" si="74"/>
        <v>12.080141426045964</v>
      </c>
      <c r="H103" s="723">
        <f t="shared" si="75"/>
        <v>14.631233203941475</v>
      </c>
      <c r="I103" s="723">
        <f t="shared" si="76"/>
        <v>27.41290691033695</v>
      </c>
      <c r="J103" s="723">
        <f t="shared" si="77"/>
        <v>32.946918852959122</v>
      </c>
      <c r="K103" s="723">
        <f t="shared" si="78"/>
        <v>23.603082851637765</v>
      </c>
      <c r="L103" s="723">
        <f t="shared" si="79"/>
        <v>21.248339973439574</v>
      </c>
      <c r="M103" s="723">
        <f t="shared" si="80"/>
        <v>21.276595744680851</v>
      </c>
      <c r="N103" s="723">
        <f t="shared" si="81"/>
        <v>22.011221406991798</v>
      </c>
      <c r="O103" s="723">
        <f t="shared" si="82"/>
        <v>14.944491887275833</v>
      </c>
      <c r="P103" s="723">
        <f t="shared" si="83"/>
        <v>11.034482758620689</v>
      </c>
      <c r="Q103" s="723">
        <f t="shared" si="84"/>
        <v>10.706638115631691</v>
      </c>
      <c r="R103" s="855">
        <f t="shared" si="85"/>
        <v>14.556040756914118</v>
      </c>
      <c r="S103" s="857">
        <f t="shared" si="86"/>
        <v>12.090680100755668</v>
      </c>
      <c r="T103" s="1010">
        <f t="shared" si="87"/>
        <v>7.9129574678536096</v>
      </c>
      <c r="U103" s="1641">
        <f t="shared" si="88"/>
        <v>5.0709939148073024</v>
      </c>
      <c r="V103" s="1975">
        <f t="shared" si="89"/>
        <v>7.1174377224199281</v>
      </c>
      <c r="W103" s="2033">
        <f t="shared" si="90"/>
        <v>8.3661417322834648</v>
      </c>
      <c r="X103" s="2035">
        <f t="shared" si="91"/>
        <v>7.2150072150072146</v>
      </c>
      <c r="Y103" s="2099">
        <f t="shared" si="67"/>
        <v>6.2893081761006293</v>
      </c>
      <c r="Z103" s="2099"/>
      <c r="AA103" s="681">
        <v>65</v>
      </c>
      <c r="AB103" s="682">
        <v>52</v>
      </c>
      <c r="AC103" s="683">
        <v>62</v>
      </c>
      <c r="AD103" s="682">
        <v>41</v>
      </c>
      <c r="AE103" s="683">
        <v>49</v>
      </c>
      <c r="AF103" s="682">
        <v>48</v>
      </c>
      <c r="AG103" s="683">
        <v>54</v>
      </c>
      <c r="AH103" s="682">
        <v>49</v>
      </c>
      <c r="AI103" s="696">
        <v>48</v>
      </c>
      <c r="AJ103" s="696">
        <v>49</v>
      </c>
      <c r="AK103" s="696">
        <v>51</v>
      </c>
      <c r="AL103" s="696">
        <v>35</v>
      </c>
      <c r="AM103" s="697">
        <v>24</v>
      </c>
      <c r="AN103" s="697">
        <v>25</v>
      </c>
      <c r="AO103" s="848">
        <v>30</v>
      </c>
      <c r="AP103" s="849">
        <v>24</v>
      </c>
      <c r="AQ103" s="1005">
        <v>16</v>
      </c>
      <c r="AR103" s="1637">
        <v>10</v>
      </c>
      <c r="AS103" s="1971">
        <v>14</v>
      </c>
      <c r="AT103" s="1095">
        <v>17</v>
      </c>
      <c r="AU103" s="2020">
        <v>15</v>
      </c>
      <c r="AV103" s="1005">
        <v>13</v>
      </c>
      <c r="AW103" s="1005"/>
      <c r="AX103" s="704">
        <v>2530</v>
      </c>
      <c r="AY103" s="705">
        <v>2564</v>
      </c>
      <c r="AZ103" s="705">
        <v>4348</v>
      </c>
      <c r="BA103" s="705">
        <v>3394</v>
      </c>
      <c r="BB103" s="705">
        <v>3349</v>
      </c>
      <c r="BC103" s="705">
        <v>1751</v>
      </c>
      <c r="BD103" s="705">
        <v>1639</v>
      </c>
      <c r="BE103" s="705">
        <v>2076</v>
      </c>
      <c r="BF103" s="705">
        <v>2259</v>
      </c>
      <c r="BG103" s="705">
        <v>2303</v>
      </c>
      <c r="BH103" s="705">
        <v>2317</v>
      </c>
      <c r="BI103" s="705">
        <v>2342</v>
      </c>
      <c r="BJ103" s="705">
        <v>2175</v>
      </c>
      <c r="BK103" s="705">
        <v>2335</v>
      </c>
      <c r="BL103" s="851">
        <v>2061</v>
      </c>
      <c r="BM103" s="852">
        <v>1985</v>
      </c>
      <c r="BN103" s="1116">
        <v>2022</v>
      </c>
      <c r="BO103" s="1634">
        <v>1972</v>
      </c>
      <c r="BP103" s="1969">
        <v>1967</v>
      </c>
      <c r="BQ103" s="1096">
        <v>2032</v>
      </c>
      <c r="BR103" s="2022">
        <v>2079</v>
      </c>
      <c r="BS103" s="1006">
        <v>2067</v>
      </c>
      <c r="BU103" s="49">
        <f t="shared" si="68"/>
        <v>69</v>
      </c>
      <c r="BV103" s="49">
        <f t="shared" si="69"/>
        <v>10117</v>
      </c>
      <c r="BW103" s="2174">
        <f t="shared" si="70"/>
        <v>6.8202036176732239</v>
      </c>
    </row>
    <row r="104" spans="1:75" s="49" customFormat="1" ht="15.75" customHeight="1" x14ac:dyDescent="0.3">
      <c r="A104" s="56" t="s">
        <v>53</v>
      </c>
      <c r="B104" s="84" t="s">
        <v>54</v>
      </c>
      <c r="C104" s="57" t="s">
        <v>251</v>
      </c>
      <c r="D104" s="722">
        <f t="shared" si="71"/>
        <v>23.47451543431443</v>
      </c>
      <c r="E104" s="723">
        <f t="shared" si="72"/>
        <v>24.4926522043387</v>
      </c>
      <c r="F104" s="723">
        <f t="shared" si="73"/>
        <v>20.793468554662585</v>
      </c>
      <c r="G104" s="723">
        <f t="shared" si="74"/>
        <v>20.297615341510493</v>
      </c>
      <c r="H104" s="723">
        <f t="shared" si="75"/>
        <v>17.2381949147325</v>
      </c>
      <c r="I104" s="723">
        <f t="shared" si="76"/>
        <v>16.579934648432772</v>
      </c>
      <c r="J104" s="723">
        <f t="shared" si="77"/>
        <v>17.317058505201132</v>
      </c>
      <c r="K104" s="723">
        <f t="shared" si="78"/>
        <v>16.608496810687207</v>
      </c>
      <c r="L104" s="723">
        <f t="shared" si="79"/>
        <v>17.399768814260508</v>
      </c>
      <c r="M104" s="723">
        <f t="shared" si="80"/>
        <v>19.35644488703554</v>
      </c>
      <c r="N104" s="723">
        <f t="shared" si="81"/>
        <v>17.60607979734009</v>
      </c>
      <c r="O104" s="723">
        <f t="shared" si="82"/>
        <v>14.803625377643504</v>
      </c>
      <c r="P104" s="723">
        <f t="shared" si="83"/>
        <v>13.236916288760877</v>
      </c>
      <c r="Q104" s="723">
        <f t="shared" si="84"/>
        <v>12.908405904514852</v>
      </c>
      <c r="R104" s="855">
        <f t="shared" si="85"/>
        <v>10.317658829414707</v>
      </c>
      <c r="S104" s="857">
        <f t="shared" si="86"/>
        <v>8.2265762371263502</v>
      </c>
      <c r="T104" s="1010">
        <f t="shared" si="87"/>
        <v>8.7647392647707925</v>
      </c>
      <c r="U104" s="1641">
        <f t="shared" si="88"/>
        <v>7.7205417035818247</v>
      </c>
      <c r="V104" s="1975">
        <f t="shared" si="89"/>
        <v>7.1320373643019437</v>
      </c>
      <c r="W104" s="2033">
        <f t="shared" si="90"/>
        <v>7.028237342953104</v>
      </c>
      <c r="X104" s="2035">
        <f t="shared" si="91"/>
        <v>6.321587281717469</v>
      </c>
      <c r="Y104" s="2099">
        <f t="shared" si="67"/>
        <v>6.5241704983223556</v>
      </c>
      <c r="Z104" s="2099"/>
      <c r="AA104" s="681">
        <v>327</v>
      </c>
      <c r="AB104" s="682">
        <v>350</v>
      </c>
      <c r="AC104" s="683">
        <v>326</v>
      </c>
      <c r="AD104" s="682">
        <v>326</v>
      </c>
      <c r="AE104" s="683">
        <v>280</v>
      </c>
      <c r="AF104" s="682">
        <v>274</v>
      </c>
      <c r="AG104" s="683">
        <v>288</v>
      </c>
      <c r="AH104" s="682">
        <v>276</v>
      </c>
      <c r="AI104" s="696">
        <v>286</v>
      </c>
      <c r="AJ104" s="696">
        <v>311</v>
      </c>
      <c r="AK104" s="696">
        <v>278</v>
      </c>
      <c r="AL104" s="696">
        <v>245</v>
      </c>
      <c r="AM104" s="697">
        <v>216</v>
      </c>
      <c r="AN104" s="697">
        <v>209</v>
      </c>
      <c r="AO104" s="848">
        <v>165</v>
      </c>
      <c r="AP104" s="849">
        <v>131</v>
      </c>
      <c r="AQ104" s="1005">
        <v>139</v>
      </c>
      <c r="AR104" s="1637">
        <v>122</v>
      </c>
      <c r="AS104" s="1971">
        <v>113</v>
      </c>
      <c r="AT104" s="1095">
        <v>113</v>
      </c>
      <c r="AU104" s="2020">
        <v>101</v>
      </c>
      <c r="AV104" s="1005">
        <v>105</v>
      </c>
      <c r="AW104" s="1005"/>
      <c r="AX104" s="704">
        <v>13930</v>
      </c>
      <c r="AY104" s="705">
        <v>14290</v>
      </c>
      <c r="AZ104" s="705">
        <v>15678</v>
      </c>
      <c r="BA104" s="705">
        <v>16061</v>
      </c>
      <c r="BB104" s="705">
        <v>16243</v>
      </c>
      <c r="BC104" s="705">
        <v>16526</v>
      </c>
      <c r="BD104" s="705">
        <v>16631</v>
      </c>
      <c r="BE104" s="705">
        <v>16618</v>
      </c>
      <c r="BF104" s="705">
        <v>16437</v>
      </c>
      <c r="BG104" s="705">
        <v>16067</v>
      </c>
      <c r="BH104" s="705">
        <v>15790</v>
      </c>
      <c r="BI104" s="705">
        <v>16550</v>
      </c>
      <c r="BJ104" s="705">
        <v>16318</v>
      </c>
      <c r="BK104" s="705">
        <v>16191</v>
      </c>
      <c r="BL104" s="851">
        <v>15992</v>
      </c>
      <c r="BM104" s="852">
        <v>15924</v>
      </c>
      <c r="BN104" s="1116">
        <v>15859</v>
      </c>
      <c r="BO104" s="1634">
        <v>15802</v>
      </c>
      <c r="BP104" s="1969">
        <v>15844</v>
      </c>
      <c r="BQ104" s="1096">
        <v>16078</v>
      </c>
      <c r="BR104" s="2022">
        <v>15977</v>
      </c>
      <c r="BS104" s="1006">
        <v>16094</v>
      </c>
      <c r="BU104" s="49">
        <f t="shared" si="68"/>
        <v>554</v>
      </c>
      <c r="BV104" s="49">
        <f t="shared" si="69"/>
        <v>79795</v>
      </c>
      <c r="BW104" s="2174">
        <f t="shared" si="70"/>
        <v>6.9427909016855693</v>
      </c>
    </row>
    <row r="105" spans="1:75" s="49" customFormat="1" ht="15.75" customHeight="1" x14ac:dyDescent="0.3">
      <c r="A105" s="56" t="s">
        <v>65</v>
      </c>
      <c r="B105" s="84" t="s">
        <v>66</v>
      </c>
      <c r="C105" s="57" t="s">
        <v>252</v>
      </c>
      <c r="D105" s="722">
        <f t="shared" si="71"/>
        <v>38.297872340425535</v>
      </c>
      <c r="E105" s="723">
        <f t="shared" si="72"/>
        <v>37.5</v>
      </c>
      <c r="F105" s="723">
        <f t="shared" si="73"/>
        <v>38.034865293185419</v>
      </c>
      <c r="G105" s="723">
        <f t="shared" si="74"/>
        <v>35.622593068035947</v>
      </c>
      <c r="H105" s="723">
        <f t="shared" si="75"/>
        <v>33.49593495934959</v>
      </c>
      <c r="I105" s="723">
        <f t="shared" si="76"/>
        <v>37.463029904699312</v>
      </c>
      <c r="J105" s="723">
        <f t="shared" si="77"/>
        <v>36.874154262516917</v>
      </c>
      <c r="K105" s="723">
        <f t="shared" si="78"/>
        <v>27.491408934707902</v>
      </c>
      <c r="L105" s="723">
        <f t="shared" si="79"/>
        <v>40.716040716040716</v>
      </c>
      <c r="M105" s="723">
        <f t="shared" si="80"/>
        <v>35.701535166012142</v>
      </c>
      <c r="N105" s="723">
        <f t="shared" si="81"/>
        <v>37.923416789396171</v>
      </c>
      <c r="O105" s="723">
        <f t="shared" si="82"/>
        <v>43.100039541320683</v>
      </c>
      <c r="P105" s="723">
        <f t="shared" si="83"/>
        <v>30.396306271642938</v>
      </c>
      <c r="Q105" s="723">
        <f t="shared" si="84"/>
        <v>23.894862604540027</v>
      </c>
      <c r="R105" s="855">
        <f t="shared" si="85"/>
        <v>19.710378117457761</v>
      </c>
      <c r="S105" s="857">
        <f t="shared" si="86"/>
        <v>26.501035196687372</v>
      </c>
      <c r="T105" s="1010">
        <f t="shared" si="87"/>
        <v>23.979806478754732</v>
      </c>
      <c r="U105" s="1641">
        <f t="shared" si="88"/>
        <v>20.11986301369863</v>
      </c>
      <c r="V105" s="1975">
        <f t="shared" si="89"/>
        <v>19.311502938706969</v>
      </c>
      <c r="W105" s="2033">
        <f t="shared" si="90"/>
        <v>19.368421052631579</v>
      </c>
      <c r="X105" s="2035">
        <f t="shared" si="91"/>
        <v>14.546965918536991</v>
      </c>
      <c r="Y105" s="2099">
        <f t="shared" si="67"/>
        <v>19.534497090606816</v>
      </c>
      <c r="Z105" s="2099"/>
      <c r="AA105" s="681">
        <v>126</v>
      </c>
      <c r="AB105" s="682">
        <v>123</v>
      </c>
      <c r="AC105" s="683">
        <v>120</v>
      </c>
      <c r="AD105" s="682">
        <v>111</v>
      </c>
      <c r="AE105" s="683">
        <v>103</v>
      </c>
      <c r="AF105" s="682">
        <v>114</v>
      </c>
      <c r="AG105" s="683">
        <v>109</v>
      </c>
      <c r="AH105" s="682">
        <v>80</v>
      </c>
      <c r="AI105" s="696">
        <v>116</v>
      </c>
      <c r="AJ105" s="696">
        <v>100</v>
      </c>
      <c r="AK105" s="696">
        <v>103</v>
      </c>
      <c r="AL105" s="696">
        <v>109</v>
      </c>
      <c r="AM105" s="697">
        <v>79</v>
      </c>
      <c r="AN105" s="697">
        <v>60</v>
      </c>
      <c r="AO105" s="848">
        <v>49</v>
      </c>
      <c r="AP105" s="849">
        <v>64</v>
      </c>
      <c r="AQ105" s="1005">
        <v>57</v>
      </c>
      <c r="AR105" s="1637">
        <v>47</v>
      </c>
      <c r="AS105" s="1971">
        <v>46</v>
      </c>
      <c r="AT105" s="1095">
        <v>46</v>
      </c>
      <c r="AU105" s="2020">
        <v>35</v>
      </c>
      <c r="AV105" s="1005">
        <v>47</v>
      </c>
      <c r="AW105" s="1005"/>
      <c r="AX105" s="704">
        <v>3290</v>
      </c>
      <c r="AY105" s="705">
        <v>3280</v>
      </c>
      <c r="AZ105" s="705">
        <v>3155</v>
      </c>
      <c r="BA105" s="705">
        <v>3116</v>
      </c>
      <c r="BB105" s="705">
        <v>3075</v>
      </c>
      <c r="BC105" s="705">
        <v>3043</v>
      </c>
      <c r="BD105" s="705">
        <v>2956</v>
      </c>
      <c r="BE105" s="705">
        <v>2910</v>
      </c>
      <c r="BF105" s="705">
        <v>2849</v>
      </c>
      <c r="BG105" s="705">
        <v>2801</v>
      </c>
      <c r="BH105" s="705">
        <v>2716</v>
      </c>
      <c r="BI105" s="705">
        <v>2529</v>
      </c>
      <c r="BJ105" s="705">
        <v>2599</v>
      </c>
      <c r="BK105" s="705">
        <v>2511</v>
      </c>
      <c r="BL105" s="851">
        <v>2486</v>
      </c>
      <c r="BM105" s="852">
        <v>2415</v>
      </c>
      <c r="BN105" s="1116">
        <v>2377</v>
      </c>
      <c r="BO105" s="1634">
        <v>2336</v>
      </c>
      <c r="BP105" s="1969">
        <v>2382</v>
      </c>
      <c r="BQ105" s="1096">
        <v>2375</v>
      </c>
      <c r="BR105" s="2022">
        <v>2406</v>
      </c>
      <c r="BS105" s="1006">
        <v>2406</v>
      </c>
      <c r="BU105" s="49">
        <f t="shared" si="68"/>
        <v>221</v>
      </c>
      <c r="BV105" s="49">
        <f t="shared" si="69"/>
        <v>11905</v>
      </c>
      <c r="BW105" s="2174">
        <f t="shared" si="70"/>
        <v>18.563628727425453</v>
      </c>
    </row>
    <row r="106" spans="1:75" s="49" customFormat="1" ht="15.75" customHeight="1" x14ac:dyDescent="0.3">
      <c r="A106" s="56" t="s">
        <v>81</v>
      </c>
      <c r="B106" s="84" t="s">
        <v>82</v>
      </c>
      <c r="C106" s="57" t="s">
        <v>251</v>
      </c>
      <c r="D106" s="722">
        <f t="shared" si="71"/>
        <v>34.071550255536629</v>
      </c>
      <c r="E106" s="723">
        <f t="shared" si="72"/>
        <v>25.252525252525253</v>
      </c>
      <c r="F106" s="723">
        <f t="shared" si="73"/>
        <v>33.950617283950614</v>
      </c>
      <c r="G106" s="723">
        <f t="shared" si="74"/>
        <v>22.796352583586625</v>
      </c>
      <c r="H106" s="723">
        <f t="shared" si="75"/>
        <v>34.755134281200633</v>
      </c>
      <c r="I106" s="723">
        <f t="shared" si="76"/>
        <v>38.095238095238102</v>
      </c>
      <c r="J106" s="723">
        <f t="shared" si="77"/>
        <v>47.468354430379748</v>
      </c>
      <c r="K106" s="723">
        <f t="shared" si="78"/>
        <v>33.6</v>
      </c>
      <c r="L106" s="723">
        <f t="shared" si="79"/>
        <v>43.478260869565219</v>
      </c>
      <c r="M106" s="723">
        <f t="shared" si="80"/>
        <v>42.124542124542124</v>
      </c>
      <c r="N106" s="723">
        <f t="shared" si="81"/>
        <v>39.761431411530815</v>
      </c>
      <c r="O106" s="723">
        <f t="shared" si="82"/>
        <v>23.300970873786408</v>
      </c>
      <c r="P106" s="723">
        <f t="shared" si="83"/>
        <v>20</v>
      </c>
      <c r="Q106" s="723">
        <f t="shared" si="84"/>
        <v>25.540275049115913</v>
      </c>
      <c r="R106" s="855">
        <f t="shared" si="85"/>
        <v>38.854805725971374</v>
      </c>
      <c r="S106" s="857">
        <f t="shared" si="86"/>
        <v>35.250463821892389</v>
      </c>
      <c r="T106" s="1010">
        <f t="shared" si="87"/>
        <v>16.791044776119403</v>
      </c>
      <c r="U106" s="1641">
        <f t="shared" si="88"/>
        <v>17.82178217821782</v>
      </c>
      <c r="V106" s="1975">
        <f t="shared" si="89"/>
        <v>12.096774193548386</v>
      </c>
      <c r="W106" s="2033">
        <f t="shared" si="90"/>
        <v>24.948024948024951</v>
      </c>
      <c r="X106" s="2035">
        <f t="shared" si="91"/>
        <v>14.736842105263158</v>
      </c>
      <c r="Y106" s="2099">
        <f t="shared" si="67"/>
        <v>14.613778705636742</v>
      </c>
      <c r="Z106" s="2099"/>
      <c r="AA106" s="681">
        <v>20</v>
      </c>
      <c r="AB106" s="682">
        <v>15</v>
      </c>
      <c r="AC106" s="683">
        <v>22</v>
      </c>
      <c r="AD106" s="682">
        <v>15</v>
      </c>
      <c r="AE106" s="683">
        <v>22</v>
      </c>
      <c r="AF106" s="682">
        <v>24</v>
      </c>
      <c r="AG106" s="683">
        <v>30</v>
      </c>
      <c r="AH106" s="682">
        <v>21</v>
      </c>
      <c r="AI106" s="696">
        <v>26</v>
      </c>
      <c r="AJ106" s="696">
        <v>23</v>
      </c>
      <c r="AK106" s="696">
        <v>20</v>
      </c>
      <c r="AL106" s="696">
        <v>12</v>
      </c>
      <c r="AM106" s="697">
        <v>11</v>
      </c>
      <c r="AN106" s="697">
        <v>13</v>
      </c>
      <c r="AO106" s="848">
        <v>19</v>
      </c>
      <c r="AP106" s="849">
        <v>19</v>
      </c>
      <c r="AQ106" s="1005">
        <v>9</v>
      </c>
      <c r="AR106" s="1637">
        <v>9</v>
      </c>
      <c r="AS106" s="1971">
        <v>6</v>
      </c>
      <c r="AT106" s="1095">
        <v>12</v>
      </c>
      <c r="AU106" s="2020">
        <v>7</v>
      </c>
      <c r="AV106" s="1005">
        <v>7</v>
      </c>
      <c r="AW106" s="1005"/>
      <c r="AX106" s="704">
        <v>587</v>
      </c>
      <c r="AY106" s="705">
        <v>594</v>
      </c>
      <c r="AZ106" s="705">
        <v>648</v>
      </c>
      <c r="BA106" s="705">
        <v>658</v>
      </c>
      <c r="BB106" s="705">
        <v>633</v>
      </c>
      <c r="BC106" s="705">
        <v>630</v>
      </c>
      <c r="BD106" s="705">
        <v>632</v>
      </c>
      <c r="BE106" s="705">
        <v>625</v>
      </c>
      <c r="BF106" s="705">
        <v>598</v>
      </c>
      <c r="BG106" s="705">
        <v>546</v>
      </c>
      <c r="BH106" s="705">
        <v>503</v>
      </c>
      <c r="BI106" s="705">
        <v>515</v>
      </c>
      <c r="BJ106" s="705">
        <v>550</v>
      </c>
      <c r="BK106" s="705">
        <v>509</v>
      </c>
      <c r="BL106" s="851">
        <v>489</v>
      </c>
      <c r="BM106" s="852">
        <v>539</v>
      </c>
      <c r="BN106" s="1116">
        <v>536</v>
      </c>
      <c r="BO106" s="1634">
        <v>505</v>
      </c>
      <c r="BP106" s="1969">
        <v>496</v>
      </c>
      <c r="BQ106" s="1096">
        <v>481</v>
      </c>
      <c r="BR106" s="2022">
        <v>475</v>
      </c>
      <c r="BS106" s="1006">
        <v>479</v>
      </c>
      <c r="BU106" s="49">
        <f t="shared" si="68"/>
        <v>41</v>
      </c>
      <c r="BV106" s="49">
        <f t="shared" si="69"/>
        <v>2436</v>
      </c>
      <c r="BW106" s="2174">
        <f t="shared" si="70"/>
        <v>16.83087027914614</v>
      </c>
    </row>
    <row r="107" spans="1:75" s="49" customFormat="1" ht="15.75" customHeight="1" x14ac:dyDescent="0.3">
      <c r="A107" s="56" t="s">
        <v>87</v>
      </c>
      <c r="B107" s="84" t="s">
        <v>88</v>
      </c>
      <c r="C107" s="57" t="s">
        <v>254</v>
      </c>
      <c r="D107" s="722">
        <f t="shared" si="71"/>
        <v>26.666666666666668</v>
      </c>
      <c r="E107" s="723">
        <f t="shared" si="72"/>
        <v>30.355097365406642</v>
      </c>
      <c r="F107" s="723">
        <f t="shared" si="73"/>
        <v>24.157303370786519</v>
      </c>
      <c r="G107" s="723">
        <f t="shared" si="74"/>
        <v>22.157434402332363</v>
      </c>
      <c r="H107" s="723">
        <f t="shared" si="75"/>
        <v>26.223776223776223</v>
      </c>
      <c r="I107" s="723">
        <f t="shared" si="76"/>
        <v>28.83506343713956</v>
      </c>
      <c r="J107" s="723">
        <f t="shared" si="77"/>
        <v>27.968036529680365</v>
      </c>
      <c r="K107" s="723">
        <f t="shared" si="78"/>
        <v>25.764895330112722</v>
      </c>
      <c r="L107" s="723">
        <f t="shared" si="79"/>
        <v>32.119914346895072</v>
      </c>
      <c r="M107" s="723">
        <f t="shared" si="80"/>
        <v>22.797927461139896</v>
      </c>
      <c r="N107" s="723">
        <f t="shared" si="81"/>
        <v>19.082001031459516</v>
      </c>
      <c r="O107" s="723">
        <f t="shared" si="82"/>
        <v>19.775521111704968</v>
      </c>
      <c r="P107" s="723">
        <f t="shared" si="83"/>
        <v>17.52577319587629</v>
      </c>
      <c r="Q107" s="723">
        <f t="shared" si="84"/>
        <v>15.720081135902637</v>
      </c>
      <c r="R107" s="855">
        <f t="shared" si="85"/>
        <v>14.058106841611997</v>
      </c>
      <c r="S107" s="857">
        <f t="shared" si="86"/>
        <v>11.77536231884058</v>
      </c>
      <c r="T107" s="1010">
        <f t="shared" si="87"/>
        <v>12.459621596677433</v>
      </c>
      <c r="U107" s="1641">
        <f t="shared" si="88"/>
        <v>7.9550772110435188</v>
      </c>
      <c r="V107" s="1975">
        <f t="shared" si="89"/>
        <v>8.1743869209809255</v>
      </c>
      <c r="W107" s="2033">
        <f t="shared" si="90"/>
        <v>8.8770528184642696</v>
      </c>
      <c r="X107" s="2035">
        <f t="shared" si="91"/>
        <v>6.5445026178010473</v>
      </c>
      <c r="Y107" s="2099">
        <f t="shared" si="67"/>
        <v>7.3465859982713919</v>
      </c>
      <c r="Z107" s="2099"/>
      <c r="AA107" s="681">
        <v>46</v>
      </c>
      <c r="AB107" s="682">
        <v>53</v>
      </c>
      <c r="AC107" s="683">
        <v>43</v>
      </c>
      <c r="AD107" s="682">
        <v>38</v>
      </c>
      <c r="AE107" s="683">
        <v>45</v>
      </c>
      <c r="AF107" s="682">
        <v>50</v>
      </c>
      <c r="AG107" s="683">
        <v>49</v>
      </c>
      <c r="AH107" s="682">
        <v>48</v>
      </c>
      <c r="AI107" s="696">
        <v>60</v>
      </c>
      <c r="AJ107" s="696">
        <v>44</v>
      </c>
      <c r="AK107" s="696">
        <v>37</v>
      </c>
      <c r="AL107" s="696">
        <v>37</v>
      </c>
      <c r="AM107" s="697">
        <v>34</v>
      </c>
      <c r="AN107" s="697">
        <v>31</v>
      </c>
      <c r="AO107" s="848">
        <v>30</v>
      </c>
      <c r="AP107" s="849">
        <v>26</v>
      </c>
      <c r="AQ107" s="1005">
        <v>27</v>
      </c>
      <c r="AR107" s="1637">
        <v>17</v>
      </c>
      <c r="AS107" s="1971">
        <v>18</v>
      </c>
      <c r="AT107" s="1095">
        <v>20</v>
      </c>
      <c r="AU107" s="2020">
        <v>15</v>
      </c>
      <c r="AV107" s="1005">
        <v>17</v>
      </c>
      <c r="AW107" s="1005"/>
      <c r="AX107" s="704">
        <v>1725</v>
      </c>
      <c r="AY107" s="705">
        <v>1746</v>
      </c>
      <c r="AZ107" s="705">
        <v>1780</v>
      </c>
      <c r="BA107" s="705">
        <v>1715</v>
      </c>
      <c r="BB107" s="705">
        <v>1716</v>
      </c>
      <c r="BC107" s="705">
        <v>1734</v>
      </c>
      <c r="BD107" s="705">
        <v>1752</v>
      </c>
      <c r="BE107" s="705">
        <v>1863</v>
      </c>
      <c r="BF107" s="705">
        <v>1868</v>
      </c>
      <c r="BG107" s="705">
        <v>1930</v>
      </c>
      <c r="BH107" s="705">
        <v>1939</v>
      </c>
      <c r="BI107" s="705">
        <v>1871</v>
      </c>
      <c r="BJ107" s="705">
        <v>1940</v>
      </c>
      <c r="BK107" s="705">
        <v>1972</v>
      </c>
      <c r="BL107" s="851">
        <v>2134</v>
      </c>
      <c r="BM107" s="852">
        <v>2208</v>
      </c>
      <c r="BN107" s="1116">
        <v>2167</v>
      </c>
      <c r="BO107" s="1634">
        <v>2137</v>
      </c>
      <c r="BP107" s="1969">
        <v>2202</v>
      </c>
      <c r="BQ107" s="1096">
        <v>2253</v>
      </c>
      <c r="BR107" s="2022">
        <v>2292</v>
      </c>
      <c r="BS107" s="1006">
        <v>2314</v>
      </c>
      <c r="BU107" s="49">
        <f t="shared" si="68"/>
        <v>87</v>
      </c>
      <c r="BV107" s="49">
        <f t="shared" si="69"/>
        <v>11198</v>
      </c>
      <c r="BW107" s="2174">
        <f t="shared" si="70"/>
        <v>7.7692445079478478</v>
      </c>
    </row>
    <row r="108" spans="1:75" s="49" customFormat="1" ht="15.75" customHeight="1" x14ac:dyDescent="0.3">
      <c r="A108" s="56" t="s">
        <v>89</v>
      </c>
      <c r="B108" s="84" t="s">
        <v>90</v>
      </c>
      <c r="C108" s="57" t="s">
        <v>255</v>
      </c>
      <c r="D108" s="722">
        <f t="shared" si="71"/>
        <v>49.763033175355453</v>
      </c>
      <c r="E108" s="723">
        <f t="shared" si="72"/>
        <v>60.747663551401871</v>
      </c>
      <c r="F108" s="723">
        <f t="shared" si="73"/>
        <v>46.798029556650242</v>
      </c>
      <c r="G108" s="723">
        <f t="shared" si="74"/>
        <v>62.015503875968989</v>
      </c>
      <c r="H108" s="723">
        <f t="shared" si="75"/>
        <v>56</v>
      </c>
      <c r="I108" s="723">
        <f t="shared" si="76"/>
        <v>25.069637883008355</v>
      </c>
      <c r="J108" s="723">
        <f t="shared" si="77"/>
        <v>45.945945945945951</v>
      </c>
      <c r="K108" s="723">
        <f t="shared" si="78"/>
        <v>50</v>
      </c>
      <c r="L108" s="723">
        <f t="shared" si="79"/>
        <v>35.422343324250683</v>
      </c>
      <c r="M108" s="723">
        <f t="shared" si="80"/>
        <v>52.197802197802197</v>
      </c>
      <c r="N108" s="723">
        <f t="shared" si="81"/>
        <v>50.420168067226889</v>
      </c>
      <c r="O108" s="723">
        <f t="shared" si="82"/>
        <v>69.767441860465112</v>
      </c>
      <c r="P108" s="723">
        <f t="shared" si="83"/>
        <v>41.871921182266007</v>
      </c>
      <c r="Q108" s="723">
        <f t="shared" si="84"/>
        <v>43.373493975903614</v>
      </c>
      <c r="R108" s="855">
        <f t="shared" si="85"/>
        <v>45.977011494252871</v>
      </c>
      <c r="S108" s="857">
        <f t="shared" si="86"/>
        <v>36.529680365296798</v>
      </c>
      <c r="T108" s="1010">
        <f t="shared" si="87"/>
        <v>25</v>
      </c>
      <c r="U108" s="1641">
        <f t="shared" si="88"/>
        <v>20.134228187919462</v>
      </c>
      <c r="V108" s="1975">
        <f t="shared" si="89"/>
        <v>28.368794326241133</v>
      </c>
      <c r="W108" s="2033">
        <f t="shared" si="90"/>
        <v>15.151515151515152</v>
      </c>
      <c r="X108" s="2035">
        <f t="shared" si="91"/>
        <v>20.253164556962027</v>
      </c>
      <c r="Y108" s="2099">
        <f t="shared" si="67"/>
        <v>25.062656641604008</v>
      </c>
      <c r="Z108" s="2099"/>
      <c r="AA108" s="681">
        <v>21</v>
      </c>
      <c r="AB108" s="682">
        <v>26</v>
      </c>
      <c r="AC108" s="683">
        <v>19</v>
      </c>
      <c r="AD108" s="682">
        <v>24</v>
      </c>
      <c r="AE108" s="683">
        <v>21</v>
      </c>
      <c r="AF108" s="682">
        <v>9</v>
      </c>
      <c r="AG108" s="683">
        <v>17</v>
      </c>
      <c r="AH108" s="682">
        <v>18</v>
      </c>
      <c r="AI108" s="696">
        <v>13</v>
      </c>
      <c r="AJ108" s="696">
        <v>19</v>
      </c>
      <c r="AK108" s="696">
        <v>18</v>
      </c>
      <c r="AL108" s="696">
        <v>24</v>
      </c>
      <c r="AM108" s="697">
        <v>17</v>
      </c>
      <c r="AN108" s="697">
        <v>18</v>
      </c>
      <c r="AO108" s="848">
        <v>20</v>
      </c>
      <c r="AP108" s="849">
        <v>16</v>
      </c>
      <c r="AQ108" s="1005">
        <v>11</v>
      </c>
      <c r="AR108" s="1637">
        <v>9</v>
      </c>
      <c r="AS108" s="1971">
        <v>12</v>
      </c>
      <c r="AT108" s="1095">
        <v>6</v>
      </c>
      <c r="AU108" s="2020">
        <v>8</v>
      </c>
      <c r="AV108" s="1005">
        <v>10</v>
      </c>
      <c r="AW108" s="1005"/>
      <c r="AX108" s="704">
        <v>422</v>
      </c>
      <c r="AY108" s="705">
        <v>428</v>
      </c>
      <c r="AZ108" s="705">
        <v>406</v>
      </c>
      <c r="BA108" s="705">
        <v>387</v>
      </c>
      <c r="BB108" s="705">
        <v>375</v>
      </c>
      <c r="BC108" s="705">
        <v>359</v>
      </c>
      <c r="BD108" s="705">
        <v>370</v>
      </c>
      <c r="BE108" s="705">
        <v>360</v>
      </c>
      <c r="BF108" s="705">
        <v>367</v>
      </c>
      <c r="BG108" s="705">
        <v>364</v>
      </c>
      <c r="BH108" s="705">
        <v>357</v>
      </c>
      <c r="BI108" s="705">
        <v>344</v>
      </c>
      <c r="BJ108" s="705">
        <v>406</v>
      </c>
      <c r="BK108" s="705">
        <v>415</v>
      </c>
      <c r="BL108" s="851">
        <v>435</v>
      </c>
      <c r="BM108" s="852">
        <v>438</v>
      </c>
      <c r="BN108" s="1116">
        <v>440</v>
      </c>
      <c r="BO108" s="1634">
        <v>447</v>
      </c>
      <c r="BP108" s="1969">
        <v>423</v>
      </c>
      <c r="BQ108" s="1096">
        <v>396</v>
      </c>
      <c r="BR108" s="2022">
        <v>395</v>
      </c>
      <c r="BS108" s="1006">
        <v>399</v>
      </c>
      <c r="BU108" s="49">
        <f t="shared" si="68"/>
        <v>45</v>
      </c>
      <c r="BV108" s="49">
        <f t="shared" si="69"/>
        <v>2060</v>
      </c>
      <c r="BW108" s="2174">
        <f t="shared" si="70"/>
        <v>21.844660194174757</v>
      </c>
    </row>
    <row r="109" spans="1:75" s="49" customFormat="1" ht="15.75" customHeight="1" x14ac:dyDescent="0.3">
      <c r="A109" s="56" t="s">
        <v>105</v>
      </c>
      <c r="B109" s="84" t="s">
        <v>106</v>
      </c>
      <c r="C109" s="57" t="s">
        <v>251</v>
      </c>
      <c r="D109" s="722">
        <f t="shared" si="71"/>
        <v>26.268202150946987</v>
      </c>
      <c r="E109" s="723">
        <f t="shared" si="72"/>
        <v>27.913533834586467</v>
      </c>
      <c r="F109" s="723">
        <f t="shared" si="73"/>
        <v>24.83564645726808</v>
      </c>
      <c r="G109" s="723">
        <f t="shared" si="74"/>
        <v>25.543022280227465</v>
      </c>
      <c r="H109" s="723">
        <f t="shared" si="75"/>
        <v>22.326454033771107</v>
      </c>
      <c r="I109" s="723">
        <f t="shared" si="76"/>
        <v>18.813716404077848</v>
      </c>
      <c r="J109" s="723">
        <f t="shared" si="77"/>
        <v>20.862833946946097</v>
      </c>
      <c r="K109" s="723">
        <f t="shared" si="78"/>
        <v>23.873960951092208</v>
      </c>
      <c r="L109" s="723">
        <f t="shared" si="79"/>
        <v>22.198212356350062</v>
      </c>
      <c r="M109" s="723">
        <f t="shared" si="80"/>
        <v>24.746254229096181</v>
      </c>
      <c r="N109" s="723">
        <f t="shared" si="81"/>
        <v>18.813458092773242</v>
      </c>
      <c r="O109" s="723">
        <f t="shared" si="82"/>
        <v>19.902604276942622</v>
      </c>
      <c r="P109" s="723">
        <f t="shared" si="83"/>
        <v>18.712337456390742</v>
      </c>
      <c r="Q109" s="723">
        <f t="shared" si="84"/>
        <v>15.631784628745114</v>
      </c>
      <c r="R109" s="855">
        <f t="shared" si="85"/>
        <v>16.261074352360659</v>
      </c>
      <c r="S109" s="857">
        <f t="shared" si="86"/>
        <v>14.073134156188718</v>
      </c>
      <c r="T109" s="1010">
        <f t="shared" si="87"/>
        <v>14.465482770786782</v>
      </c>
      <c r="U109" s="1641">
        <f t="shared" si="88"/>
        <v>11.241387646561101</v>
      </c>
      <c r="V109" s="1975">
        <f t="shared" si="89"/>
        <v>12.300572402874193</v>
      </c>
      <c r="W109" s="2033">
        <f t="shared" si="90"/>
        <v>8.1799591002044991</v>
      </c>
      <c r="X109" s="2035">
        <f t="shared" si="91"/>
        <v>10.047209780898196</v>
      </c>
      <c r="Y109" s="2099">
        <f t="shared" si="67"/>
        <v>9.9756690997566899</v>
      </c>
      <c r="Z109" s="2099"/>
      <c r="AA109" s="681">
        <v>276</v>
      </c>
      <c r="AB109" s="682">
        <v>297</v>
      </c>
      <c r="AC109" s="683">
        <v>272</v>
      </c>
      <c r="AD109" s="682">
        <v>274</v>
      </c>
      <c r="AE109" s="683">
        <v>238</v>
      </c>
      <c r="AF109" s="682">
        <v>203</v>
      </c>
      <c r="AG109" s="683">
        <v>221</v>
      </c>
      <c r="AH109" s="682">
        <v>247</v>
      </c>
      <c r="AI109" s="696">
        <v>226</v>
      </c>
      <c r="AJ109" s="696">
        <v>256</v>
      </c>
      <c r="AK109" s="696">
        <v>189</v>
      </c>
      <c r="AL109" s="696">
        <v>188</v>
      </c>
      <c r="AM109" s="697">
        <v>177</v>
      </c>
      <c r="AN109" s="697">
        <v>144</v>
      </c>
      <c r="AO109" s="848">
        <v>145</v>
      </c>
      <c r="AP109" s="849">
        <v>122</v>
      </c>
      <c r="AQ109" s="1005">
        <v>123</v>
      </c>
      <c r="AR109" s="1637">
        <v>93</v>
      </c>
      <c r="AS109" s="1971">
        <v>101</v>
      </c>
      <c r="AT109" s="1095">
        <v>68</v>
      </c>
      <c r="AU109" s="2020">
        <v>83</v>
      </c>
      <c r="AV109" s="1005">
        <v>82</v>
      </c>
      <c r="AW109" s="1005"/>
      <c r="AX109" s="704">
        <v>10507</v>
      </c>
      <c r="AY109" s="705">
        <v>10640</v>
      </c>
      <c r="AZ109" s="705">
        <v>10952</v>
      </c>
      <c r="BA109" s="705">
        <v>10727</v>
      </c>
      <c r="BB109" s="705">
        <v>10660</v>
      </c>
      <c r="BC109" s="705">
        <v>10790</v>
      </c>
      <c r="BD109" s="705">
        <v>10593</v>
      </c>
      <c r="BE109" s="705">
        <v>10346</v>
      </c>
      <c r="BF109" s="705">
        <v>10181</v>
      </c>
      <c r="BG109" s="705">
        <v>10345</v>
      </c>
      <c r="BH109" s="705">
        <v>10046</v>
      </c>
      <c r="BI109" s="705">
        <v>9446</v>
      </c>
      <c r="BJ109" s="705">
        <v>9459</v>
      </c>
      <c r="BK109" s="705">
        <v>9212</v>
      </c>
      <c r="BL109" s="851">
        <v>8917</v>
      </c>
      <c r="BM109" s="852">
        <v>8669</v>
      </c>
      <c r="BN109" s="1116">
        <v>8503</v>
      </c>
      <c r="BO109" s="1634">
        <v>8273</v>
      </c>
      <c r="BP109" s="1969">
        <v>8211</v>
      </c>
      <c r="BQ109" s="1096">
        <v>8313</v>
      </c>
      <c r="BR109" s="2022">
        <v>8261</v>
      </c>
      <c r="BS109" s="1006">
        <v>8220</v>
      </c>
      <c r="BU109" s="49">
        <f t="shared" si="68"/>
        <v>427</v>
      </c>
      <c r="BV109" s="49">
        <f t="shared" si="69"/>
        <v>41278</v>
      </c>
      <c r="BW109" s="2174">
        <f t="shared" si="70"/>
        <v>10.344493434759437</v>
      </c>
    </row>
    <row r="110" spans="1:75" s="49" customFormat="1" ht="15.75" customHeight="1" x14ac:dyDescent="0.3">
      <c r="A110" s="56" t="s">
        <v>115</v>
      </c>
      <c r="B110" s="84" t="s">
        <v>116</v>
      </c>
      <c r="C110" s="57" t="s">
        <v>253</v>
      </c>
      <c r="D110" s="722">
        <f t="shared" si="71"/>
        <v>37.10353081986834</v>
      </c>
      <c r="E110" s="723">
        <f t="shared" si="72"/>
        <v>42.111506524317917</v>
      </c>
      <c r="F110" s="723">
        <f t="shared" si="73"/>
        <v>45.242847638057221</v>
      </c>
      <c r="G110" s="723">
        <f t="shared" si="74"/>
        <v>51.689860834990057</v>
      </c>
      <c r="H110" s="723">
        <f t="shared" si="75"/>
        <v>46.618516086671043</v>
      </c>
      <c r="I110" s="723">
        <f t="shared" si="76"/>
        <v>44.069993519118597</v>
      </c>
      <c r="J110" s="723">
        <f t="shared" si="77"/>
        <v>32.133676092544988</v>
      </c>
      <c r="K110" s="723">
        <f t="shared" si="78"/>
        <v>34.591194968553459</v>
      </c>
      <c r="L110" s="723">
        <f t="shared" si="79"/>
        <v>42.431918936035466</v>
      </c>
      <c r="M110" s="723">
        <f t="shared" si="80"/>
        <v>43.345543345543341</v>
      </c>
      <c r="N110" s="723">
        <f t="shared" si="81"/>
        <v>39.287906691221608</v>
      </c>
      <c r="O110" s="723">
        <f t="shared" si="82"/>
        <v>49.224544841537423</v>
      </c>
      <c r="P110" s="723">
        <f t="shared" si="83"/>
        <v>39.623908663532575</v>
      </c>
      <c r="Q110" s="723">
        <f t="shared" si="84"/>
        <v>33.850493653032444</v>
      </c>
      <c r="R110" s="855">
        <f t="shared" si="85"/>
        <v>34.711964549483014</v>
      </c>
      <c r="S110" s="857">
        <f t="shared" si="86"/>
        <v>26.615969581749049</v>
      </c>
      <c r="T110" s="1010">
        <f t="shared" si="87"/>
        <v>29.27927927927928</v>
      </c>
      <c r="U110" s="1641">
        <f t="shared" si="88"/>
        <v>21.551724137931036</v>
      </c>
      <c r="V110" s="1975">
        <f t="shared" si="89"/>
        <v>16.842105263157894</v>
      </c>
      <c r="W110" s="2033">
        <f t="shared" si="90"/>
        <v>21.276595744680851</v>
      </c>
      <c r="X110" s="2035">
        <f t="shared" si="91"/>
        <v>17.918676774638183</v>
      </c>
      <c r="Y110" s="2099">
        <f t="shared" si="67"/>
        <v>19.539427773900908</v>
      </c>
      <c r="Z110" s="2099"/>
      <c r="AA110" s="681">
        <v>62</v>
      </c>
      <c r="AB110" s="682">
        <v>71</v>
      </c>
      <c r="AC110" s="683">
        <v>68</v>
      </c>
      <c r="AD110" s="682">
        <v>78</v>
      </c>
      <c r="AE110" s="683">
        <v>71</v>
      </c>
      <c r="AF110" s="682">
        <v>68</v>
      </c>
      <c r="AG110" s="683">
        <v>50</v>
      </c>
      <c r="AH110" s="682">
        <v>55</v>
      </c>
      <c r="AI110" s="696">
        <v>67</v>
      </c>
      <c r="AJ110" s="696">
        <v>71</v>
      </c>
      <c r="AK110" s="696">
        <v>64</v>
      </c>
      <c r="AL110" s="696">
        <v>73</v>
      </c>
      <c r="AM110" s="697">
        <v>59</v>
      </c>
      <c r="AN110" s="697">
        <v>48</v>
      </c>
      <c r="AO110" s="848">
        <v>47</v>
      </c>
      <c r="AP110" s="849">
        <v>35</v>
      </c>
      <c r="AQ110" s="1005">
        <v>39</v>
      </c>
      <c r="AR110" s="1637">
        <v>30</v>
      </c>
      <c r="AS110" s="1971">
        <v>24</v>
      </c>
      <c r="AT110" s="1095">
        <v>31</v>
      </c>
      <c r="AU110" s="2020">
        <v>26</v>
      </c>
      <c r="AV110" s="1005">
        <v>28</v>
      </c>
      <c r="AW110" s="1005"/>
      <c r="AX110" s="704">
        <v>1671</v>
      </c>
      <c r="AY110" s="705">
        <v>1686</v>
      </c>
      <c r="AZ110" s="705">
        <v>1503</v>
      </c>
      <c r="BA110" s="705">
        <v>1509</v>
      </c>
      <c r="BB110" s="705">
        <v>1523</v>
      </c>
      <c r="BC110" s="705">
        <v>1543</v>
      </c>
      <c r="BD110" s="705">
        <v>1556</v>
      </c>
      <c r="BE110" s="705">
        <v>1590</v>
      </c>
      <c r="BF110" s="705">
        <v>1579</v>
      </c>
      <c r="BG110" s="705">
        <v>1638</v>
      </c>
      <c r="BH110" s="705">
        <v>1629</v>
      </c>
      <c r="BI110" s="705">
        <v>1483</v>
      </c>
      <c r="BJ110" s="705">
        <v>1489</v>
      </c>
      <c r="BK110" s="705">
        <v>1418</v>
      </c>
      <c r="BL110" s="851">
        <v>1354</v>
      </c>
      <c r="BM110" s="852">
        <v>1315</v>
      </c>
      <c r="BN110" s="1116">
        <v>1332</v>
      </c>
      <c r="BO110" s="1634">
        <v>1392</v>
      </c>
      <c r="BP110" s="1969">
        <v>1425</v>
      </c>
      <c r="BQ110" s="1096">
        <v>1457</v>
      </c>
      <c r="BR110" s="2022">
        <v>1451</v>
      </c>
      <c r="BS110" s="1006">
        <v>1433</v>
      </c>
      <c r="BU110" s="49">
        <f t="shared" si="68"/>
        <v>139</v>
      </c>
      <c r="BV110" s="49">
        <f t="shared" si="69"/>
        <v>7158</v>
      </c>
      <c r="BW110" s="2174">
        <f t="shared" si="70"/>
        <v>19.418832075998882</v>
      </c>
    </row>
    <row r="111" spans="1:75" s="49" customFormat="1" ht="15.75" customHeight="1" x14ac:dyDescent="0.3">
      <c r="A111" s="56" t="s">
        <v>137</v>
      </c>
      <c r="B111" s="84" t="s">
        <v>138</v>
      </c>
      <c r="C111" s="57" t="s">
        <v>252</v>
      </c>
      <c r="D111" s="722">
        <f t="shared" si="71"/>
        <v>20.596590909090907</v>
      </c>
      <c r="E111" s="723">
        <f t="shared" si="72"/>
        <v>18.698183101076026</v>
      </c>
      <c r="F111" s="723">
        <f t="shared" si="73"/>
        <v>23.354564755838638</v>
      </c>
      <c r="G111" s="723">
        <f t="shared" si="74"/>
        <v>27.165354330708659</v>
      </c>
      <c r="H111" s="723">
        <f t="shared" si="75"/>
        <v>25.70694087403599</v>
      </c>
      <c r="I111" s="723">
        <f t="shared" si="76"/>
        <v>22.935779816513762</v>
      </c>
      <c r="J111" s="723">
        <f t="shared" si="77"/>
        <v>23.041474654377883</v>
      </c>
      <c r="K111" s="723">
        <f t="shared" si="78"/>
        <v>23.856502242152466</v>
      </c>
      <c r="L111" s="723">
        <f t="shared" si="79"/>
        <v>25.272727272727273</v>
      </c>
      <c r="M111" s="723">
        <f t="shared" si="80"/>
        <v>25.445292620865139</v>
      </c>
      <c r="N111" s="723">
        <f t="shared" si="81"/>
        <v>19.787163285666779</v>
      </c>
      <c r="O111" s="723">
        <f t="shared" si="82"/>
        <v>17.226819793953723</v>
      </c>
      <c r="P111" s="723">
        <f t="shared" si="83"/>
        <v>17.360552965761133</v>
      </c>
      <c r="Q111" s="723">
        <f t="shared" si="84"/>
        <v>12.797374897456931</v>
      </c>
      <c r="R111" s="855">
        <f t="shared" si="85"/>
        <v>9.9771017337258758</v>
      </c>
      <c r="S111" s="857">
        <f t="shared" si="86"/>
        <v>10.517928286852589</v>
      </c>
      <c r="T111" s="1010">
        <f t="shared" si="87"/>
        <v>11.825112805352418</v>
      </c>
      <c r="U111" s="1641">
        <f t="shared" si="88"/>
        <v>9.9923136049192927</v>
      </c>
      <c r="V111" s="1975">
        <f t="shared" si="89"/>
        <v>6.6276202219482121</v>
      </c>
      <c r="W111" s="2033">
        <f t="shared" si="90"/>
        <v>9.502262443438914</v>
      </c>
      <c r="X111" s="2035">
        <f t="shared" si="91"/>
        <v>10.226767452200978</v>
      </c>
      <c r="Y111" s="2099">
        <f t="shared" si="67"/>
        <v>6.5897858319604614</v>
      </c>
      <c r="Z111" s="2099"/>
      <c r="AA111" s="681">
        <v>116</v>
      </c>
      <c r="AB111" s="682">
        <v>106</v>
      </c>
      <c r="AC111" s="683">
        <v>121</v>
      </c>
      <c r="AD111" s="682">
        <v>138</v>
      </c>
      <c r="AE111" s="683">
        <v>130</v>
      </c>
      <c r="AF111" s="683">
        <v>120</v>
      </c>
      <c r="AG111" s="683">
        <v>120</v>
      </c>
      <c r="AH111" s="682">
        <v>133</v>
      </c>
      <c r="AI111" s="696">
        <v>139</v>
      </c>
      <c r="AJ111" s="696">
        <v>150</v>
      </c>
      <c r="AK111" s="696">
        <v>119</v>
      </c>
      <c r="AL111" s="696">
        <v>102</v>
      </c>
      <c r="AM111" s="697">
        <v>108</v>
      </c>
      <c r="AN111" s="697">
        <v>78</v>
      </c>
      <c r="AO111" s="848">
        <v>61</v>
      </c>
      <c r="AP111" s="849">
        <v>66</v>
      </c>
      <c r="AQ111" s="1005">
        <v>76</v>
      </c>
      <c r="AR111" s="1637">
        <v>65</v>
      </c>
      <c r="AS111" s="1971">
        <v>43</v>
      </c>
      <c r="AT111" s="1095">
        <v>63</v>
      </c>
      <c r="AU111" s="2020">
        <v>69</v>
      </c>
      <c r="AV111" s="1005">
        <v>44</v>
      </c>
      <c r="AW111" s="1005"/>
      <c r="AX111" s="704">
        <v>5632</v>
      </c>
      <c r="AY111" s="705">
        <v>5669</v>
      </c>
      <c r="AZ111" s="705">
        <v>5181</v>
      </c>
      <c r="BA111" s="705">
        <v>5080</v>
      </c>
      <c r="BB111" s="705">
        <v>5057</v>
      </c>
      <c r="BC111" s="705">
        <v>5232</v>
      </c>
      <c r="BD111" s="705">
        <v>5208</v>
      </c>
      <c r="BE111" s="705">
        <v>5575</v>
      </c>
      <c r="BF111" s="705">
        <v>5500</v>
      </c>
      <c r="BG111" s="705">
        <v>5895</v>
      </c>
      <c r="BH111" s="705">
        <v>6014</v>
      </c>
      <c r="BI111" s="705">
        <v>5921</v>
      </c>
      <c r="BJ111" s="705">
        <v>6221</v>
      </c>
      <c r="BK111" s="705">
        <v>6095</v>
      </c>
      <c r="BL111" s="851">
        <v>6114</v>
      </c>
      <c r="BM111" s="852">
        <v>6275</v>
      </c>
      <c r="BN111" s="1116">
        <v>6427</v>
      </c>
      <c r="BO111" s="1634">
        <v>6505</v>
      </c>
      <c r="BP111" s="1969">
        <v>6488</v>
      </c>
      <c r="BQ111" s="1096">
        <v>6630</v>
      </c>
      <c r="BR111" s="2022">
        <v>6747</v>
      </c>
      <c r="BS111" s="1006">
        <v>6677</v>
      </c>
      <c r="BU111" s="49">
        <f t="shared" si="68"/>
        <v>284</v>
      </c>
      <c r="BV111" s="49">
        <f t="shared" si="69"/>
        <v>33047</v>
      </c>
      <c r="BW111" s="2174">
        <f t="shared" si="70"/>
        <v>8.593820921717553</v>
      </c>
    </row>
    <row r="112" spans="1:75" s="49" customFormat="1" ht="15.75" customHeight="1" x14ac:dyDescent="0.3">
      <c r="A112" s="56" t="s">
        <v>141</v>
      </c>
      <c r="B112" s="84" t="s">
        <v>260</v>
      </c>
      <c r="C112" s="57" t="s">
        <v>254</v>
      </c>
      <c r="D112" s="722">
        <f t="shared" si="71"/>
        <v>26.257231864708501</v>
      </c>
      <c r="E112" s="723">
        <f t="shared" si="72"/>
        <v>26.030368763557483</v>
      </c>
      <c r="F112" s="723">
        <f t="shared" si="73"/>
        <v>26.471750296325563</v>
      </c>
      <c r="G112" s="723">
        <f t="shared" si="74"/>
        <v>28.374233128834355</v>
      </c>
      <c r="H112" s="723">
        <f t="shared" si="75"/>
        <v>22.289384208537967</v>
      </c>
      <c r="I112" s="723">
        <f t="shared" si="76"/>
        <v>22.769690182904068</v>
      </c>
      <c r="J112" s="723">
        <f t="shared" si="77"/>
        <v>24.479356960175373</v>
      </c>
      <c r="K112" s="723">
        <f t="shared" si="78"/>
        <v>21.029731689630168</v>
      </c>
      <c r="L112" s="723">
        <f t="shared" si="79"/>
        <v>31.546940326871916</v>
      </c>
      <c r="M112" s="723">
        <f t="shared" si="80"/>
        <v>25.730994152046787</v>
      </c>
      <c r="N112" s="723">
        <f t="shared" si="81"/>
        <v>19.984012789768183</v>
      </c>
      <c r="O112" s="723">
        <f t="shared" si="82"/>
        <v>20.996294771510911</v>
      </c>
      <c r="P112" s="723">
        <f t="shared" si="83"/>
        <v>18.761726078799253</v>
      </c>
      <c r="Q112" s="723">
        <f t="shared" si="84"/>
        <v>29.345372460496616</v>
      </c>
      <c r="R112" s="855">
        <f t="shared" si="85"/>
        <v>21.345875542691751</v>
      </c>
      <c r="S112" s="857">
        <f t="shared" si="86"/>
        <v>17.934002869440459</v>
      </c>
      <c r="T112" s="1010">
        <f t="shared" si="87"/>
        <v>18.409425625920473</v>
      </c>
      <c r="U112" s="1641">
        <f t="shared" si="88"/>
        <v>18.418201516793065</v>
      </c>
      <c r="V112" s="1975">
        <f t="shared" si="89"/>
        <v>18.861080885019948</v>
      </c>
      <c r="W112" s="2033">
        <f t="shared" si="90"/>
        <v>19.74933535890619</v>
      </c>
      <c r="X112" s="2035">
        <f t="shared" si="91"/>
        <v>18.290406868234417</v>
      </c>
      <c r="Y112" s="2099">
        <f t="shared" si="67"/>
        <v>20.618556701030929</v>
      </c>
      <c r="Z112" s="2099"/>
      <c r="AA112" s="681">
        <v>59</v>
      </c>
      <c r="AB112" s="682">
        <v>60</v>
      </c>
      <c r="AC112" s="683">
        <v>67</v>
      </c>
      <c r="AD112" s="682">
        <v>74</v>
      </c>
      <c r="AE112" s="683">
        <v>59</v>
      </c>
      <c r="AF112" s="682">
        <v>61</v>
      </c>
      <c r="AG112" s="683">
        <v>67</v>
      </c>
      <c r="AH112" s="682">
        <v>58</v>
      </c>
      <c r="AI112" s="696">
        <v>83</v>
      </c>
      <c r="AJ112" s="696">
        <v>66</v>
      </c>
      <c r="AK112" s="696">
        <v>50</v>
      </c>
      <c r="AL112" s="696">
        <v>51</v>
      </c>
      <c r="AM112" s="697">
        <v>50</v>
      </c>
      <c r="AN112" s="697">
        <v>78</v>
      </c>
      <c r="AO112" s="848">
        <v>59</v>
      </c>
      <c r="AP112" s="849">
        <v>50</v>
      </c>
      <c r="AQ112" s="1005">
        <v>50</v>
      </c>
      <c r="AR112" s="1637">
        <v>51</v>
      </c>
      <c r="AS112" s="1971">
        <v>52</v>
      </c>
      <c r="AT112" s="1095">
        <v>52</v>
      </c>
      <c r="AU112" s="2020">
        <v>49</v>
      </c>
      <c r="AV112" s="1005">
        <v>54</v>
      </c>
      <c r="AW112" s="1005"/>
      <c r="AX112" s="704">
        <v>2247</v>
      </c>
      <c r="AY112" s="705">
        <v>2305</v>
      </c>
      <c r="AZ112" s="705">
        <v>2531</v>
      </c>
      <c r="BA112" s="705">
        <v>2608</v>
      </c>
      <c r="BB112" s="705">
        <v>2647</v>
      </c>
      <c r="BC112" s="705">
        <v>2679</v>
      </c>
      <c r="BD112" s="705">
        <v>2737</v>
      </c>
      <c r="BE112" s="705">
        <v>2758</v>
      </c>
      <c r="BF112" s="705">
        <v>2631</v>
      </c>
      <c r="BG112" s="705">
        <v>2565</v>
      </c>
      <c r="BH112" s="705">
        <v>2502</v>
      </c>
      <c r="BI112" s="705">
        <v>2429</v>
      </c>
      <c r="BJ112" s="705">
        <v>2665</v>
      </c>
      <c r="BK112" s="705">
        <v>2658</v>
      </c>
      <c r="BL112" s="851">
        <v>2764</v>
      </c>
      <c r="BM112" s="852">
        <v>2788</v>
      </c>
      <c r="BN112" s="1116">
        <v>2716</v>
      </c>
      <c r="BO112" s="1634">
        <v>2769</v>
      </c>
      <c r="BP112" s="1969">
        <v>2757</v>
      </c>
      <c r="BQ112" s="1096">
        <v>2633</v>
      </c>
      <c r="BR112" s="2022">
        <v>2679</v>
      </c>
      <c r="BS112" s="1006">
        <v>2619</v>
      </c>
      <c r="BU112" s="49">
        <f t="shared" si="68"/>
        <v>258</v>
      </c>
      <c r="BV112" s="49">
        <f t="shared" si="69"/>
        <v>13457</v>
      </c>
      <c r="BW112" s="2174">
        <f t="shared" si="70"/>
        <v>19.172178048599239</v>
      </c>
    </row>
    <row r="113" spans="1:75" s="49" customFormat="1" ht="15.75" customHeight="1" x14ac:dyDescent="0.3">
      <c r="A113" s="56" t="s">
        <v>143</v>
      </c>
      <c r="B113" s="84" t="s">
        <v>144</v>
      </c>
      <c r="C113" s="57" t="s">
        <v>254</v>
      </c>
      <c r="D113" s="722">
        <f t="shared" si="71"/>
        <v>25.210084033613445</v>
      </c>
      <c r="E113" s="723">
        <f t="shared" si="72"/>
        <v>24.630541871921185</v>
      </c>
      <c r="F113" s="723">
        <f t="shared" si="73"/>
        <v>20.833333333333332</v>
      </c>
      <c r="G113" s="723">
        <f t="shared" si="74"/>
        <v>23.715415019762844</v>
      </c>
      <c r="H113" s="723">
        <f t="shared" si="75"/>
        <v>31.209362808842652</v>
      </c>
      <c r="I113" s="723">
        <f t="shared" si="76"/>
        <v>22.756005056890015</v>
      </c>
      <c r="J113" s="723">
        <f t="shared" si="77"/>
        <v>27.38095238095238</v>
      </c>
      <c r="K113" s="723">
        <f t="shared" si="78"/>
        <v>29.446407538280329</v>
      </c>
      <c r="L113" s="723">
        <f t="shared" si="79"/>
        <v>44.578313253012048</v>
      </c>
      <c r="M113" s="723">
        <f t="shared" si="80"/>
        <v>27.710843373493976</v>
      </c>
      <c r="N113" s="723">
        <f t="shared" si="81"/>
        <v>19.047619047619051</v>
      </c>
      <c r="O113" s="723">
        <f t="shared" si="82"/>
        <v>24.579560155239328</v>
      </c>
      <c r="P113" s="723">
        <f t="shared" si="83"/>
        <v>0</v>
      </c>
      <c r="Q113" s="723">
        <f t="shared" si="84"/>
        <v>0.95510983763132762</v>
      </c>
      <c r="R113" s="855">
        <f t="shared" si="85"/>
        <v>2.7958993476234855</v>
      </c>
      <c r="S113" s="857">
        <f t="shared" si="86"/>
        <v>0.95510983763132762</v>
      </c>
      <c r="T113" s="1010">
        <f t="shared" si="87"/>
        <v>0</v>
      </c>
      <c r="U113" s="1641">
        <f t="shared" si="88"/>
        <v>8.9847259658580416</v>
      </c>
      <c r="V113" s="1975">
        <f t="shared" si="89"/>
        <v>13.032145960034752</v>
      </c>
      <c r="W113" s="2033">
        <f t="shared" si="90"/>
        <v>0</v>
      </c>
      <c r="X113" s="2035">
        <f t="shared" si="91"/>
        <v>0</v>
      </c>
      <c r="Y113" s="2099">
        <f t="shared" si="67"/>
        <v>1.6849199663016006</v>
      </c>
      <c r="Z113" s="2099"/>
      <c r="AA113" s="681">
        <v>15</v>
      </c>
      <c r="AB113" s="682">
        <v>15</v>
      </c>
      <c r="AC113" s="683">
        <v>15</v>
      </c>
      <c r="AD113" s="682">
        <v>18</v>
      </c>
      <c r="AE113" s="683">
        <v>24</v>
      </c>
      <c r="AF113" s="682">
        <v>18</v>
      </c>
      <c r="AG113" s="683">
        <v>23</v>
      </c>
      <c r="AH113" s="682">
        <v>25</v>
      </c>
      <c r="AI113" s="696">
        <v>37</v>
      </c>
      <c r="AJ113" s="696">
        <v>23</v>
      </c>
      <c r="AK113" s="696">
        <v>16</v>
      </c>
      <c r="AL113" s="696">
        <v>19</v>
      </c>
      <c r="AM113" s="697">
        <v>0</v>
      </c>
      <c r="AN113" s="697">
        <v>1</v>
      </c>
      <c r="AO113" s="848">
        <v>3</v>
      </c>
      <c r="AP113" s="849">
        <v>1</v>
      </c>
      <c r="AQ113" s="1005">
        <v>0</v>
      </c>
      <c r="AR113" s="1637">
        <v>10</v>
      </c>
      <c r="AS113" s="1971">
        <v>15</v>
      </c>
      <c r="AT113" s="1095">
        <v>0</v>
      </c>
      <c r="AU113" s="2020">
        <v>0</v>
      </c>
      <c r="AV113" s="1005">
        <v>2</v>
      </c>
      <c r="AW113" s="1005"/>
      <c r="AX113" s="704">
        <v>595</v>
      </c>
      <c r="AY113" s="705">
        <v>609</v>
      </c>
      <c r="AZ113" s="705">
        <v>720</v>
      </c>
      <c r="BA113" s="705">
        <v>759</v>
      </c>
      <c r="BB113" s="705">
        <v>769</v>
      </c>
      <c r="BC113" s="705">
        <v>791</v>
      </c>
      <c r="BD113" s="705">
        <v>840</v>
      </c>
      <c r="BE113" s="705">
        <v>849</v>
      </c>
      <c r="BF113" s="705">
        <v>830</v>
      </c>
      <c r="BG113" s="705">
        <v>830</v>
      </c>
      <c r="BH113" s="705">
        <v>840</v>
      </c>
      <c r="BI113" s="705">
        <v>773</v>
      </c>
      <c r="BJ113" s="705">
        <v>947</v>
      </c>
      <c r="BK113" s="705">
        <v>1047</v>
      </c>
      <c r="BL113" s="851">
        <v>1073</v>
      </c>
      <c r="BM113" s="852">
        <v>1047</v>
      </c>
      <c r="BN113" s="1116">
        <v>1022</v>
      </c>
      <c r="BO113" s="1634">
        <v>1113</v>
      </c>
      <c r="BP113" s="1969">
        <v>1151</v>
      </c>
      <c r="BQ113" s="1096">
        <v>1179</v>
      </c>
      <c r="BR113" s="2022">
        <v>1155</v>
      </c>
      <c r="BS113" s="1006">
        <v>1187</v>
      </c>
      <c r="BU113" s="49">
        <f t="shared" si="68"/>
        <v>27</v>
      </c>
      <c r="BV113" s="49">
        <f t="shared" si="69"/>
        <v>5785</v>
      </c>
      <c r="BW113" s="2174">
        <f t="shared" si="70"/>
        <v>4.6672428694900603</v>
      </c>
    </row>
    <row r="114" spans="1:75" s="49" customFormat="1" ht="15.75" customHeight="1" x14ac:dyDescent="0.3">
      <c r="A114" s="56" t="s">
        <v>157</v>
      </c>
      <c r="B114" s="84" t="s">
        <v>158</v>
      </c>
      <c r="C114" s="57" t="s">
        <v>251</v>
      </c>
      <c r="D114" s="722">
        <f t="shared" si="71"/>
        <v>34.295764326542574</v>
      </c>
      <c r="E114" s="723">
        <f t="shared" si="72"/>
        <v>32.343470483005362</v>
      </c>
      <c r="F114" s="723">
        <f t="shared" si="73"/>
        <v>34.715750232991617</v>
      </c>
      <c r="G114" s="723">
        <f t="shared" si="74"/>
        <v>32.829070492825949</v>
      </c>
      <c r="H114" s="723">
        <f t="shared" si="75"/>
        <v>31.565069024352411</v>
      </c>
      <c r="I114" s="723">
        <f t="shared" si="76"/>
        <v>31.010690727121087</v>
      </c>
      <c r="J114" s="723">
        <f t="shared" si="77"/>
        <v>28.072552118612176</v>
      </c>
      <c r="K114" s="723">
        <f t="shared" si="78"/>
        <v>27.39829421088384</v>
      </c>
      <c r="L114" s="723">
        <f t="shared" si="79"/>
        <v>30.038314176245208</v>
      </c>
      <c r="M114" s="723">
        <f t="shared" si="80"/>
        <v>26.042849572261336</v>
      </c>
      <c r="N114" s="723">
        <f t="shared" si="81"/>
        <v>27.527563594436838</v>
      </c>
      <c r="O114" s="723">
        <f t="shared" si="82"/>
        <v>24.792759905696251</v>
      </c>
      <c r="P114" s="723">
        <f t="shared" si="83"/>
        <v>22.513467878105654</v>
      </c>
      <c r="Q114" s="723">
        <f t="shared" si="84"/>
        <v>22.50104558762024</v>
      </c>
      <c r="R114" s="855">
        <f t="shared" si="85"/>
        <v>21.050844580256346</v>
      </c>
      <c r="S114" s="857">
        <f t="shared" si="86"/>
        <v>17.78537836682343</v>
      </c>
      <c r="T114" s="1010">
        <f t="shared" si="87"/>
        <v>12.646167171935902</v>
      </c>
      <c r="U114" s="1641">
        <f t="shared" si="88"/>
        <v>13.014055179593962</v>
      </c>
      <c r="V114" s="1975">
        <f t="shared" si="89"/>
        <v>10.850388143966127</v>
      </c>
      <c r="W114" s="2033">
        <f t="shared" si="90"/>
        <v>13.596922801681725</v>
      </c>
      <c r="X114" s="2035">
        <f t="shared" si="91"/>
        <v>10.804536119296365</v>
      </c>
      <c r="Y114" s="2099">
        <f t="shared" si="67"/>
        <v>11.545293072824157</v>
      </c>
      <c r="Z114" s="2099"/>
      <c r="AA114" s="681">
        <v>468</v>
      </c>
      <c r="AB114" s="682">
        <v>452</v>
      </c>
      <c r="AC114" s="683">
        <v>447</v>
      </c>
      <c r="AD114" s="682">
        <v>421</v>
      </c>
      <c r="AE114" s="683">
        <v>407</v>
      </c>
      <c r="AF114" s="682">
        <v>409</v>
      </c>
      <c r="AG114" s="683">
        <v>373</v>
      </c>
      <c r="AH114" s="682">
        <v>363</v>
      </c>
      <c r="AI114" s="696">
        <v>392</v>
      </c>
      <c r="AJ114" s="696">
        <v>344</v>
      </c>
      <c r="AK114" s="696">
        <v>382</v>
      </c>
      <c r="AL114" s="696">
        <v>326</v>
      </c>
      <c r="AM114" s="697">
        <v>280</v>
      </c>
      <c r="AN114" s="697">
        <v>269</v>
      </c>
      <c r="AO114" s="848">
        <v>248</v>
      </c>
      <c r="AP114" s="849">
        <v>208</v>
      </c>
      <c r="AQ114" s="1005">
        <v>146</v>
      </c>
      <c r="AR114" s="1637">
        <v>150</v>
      </c>
      <c r="AS114" s="1971">
        <v>123</v>
      </c>
      <c r="AT114" s="1095">
        <v>152</v>
      </c>
      <c r="AU114" s="2020">
        <v>121</v>
      </c>
      <c r="AV114" s="1005">
        <v>130</v>
      </c>
      <c r="AW114" s="1005"/>
      <c r="AX114" s="704">
        <v>13646</v>
      </c>
      <c r="AY114" s="705">
        <v>13975</v>
      </c>
      <c r="AZ114" s="705">
        <v>12876</v>
      </c>
      <c r="BA114" s="705">
        <v>12824</v>
      </c>
      <c r="BB114" s="705">
        <v>12894</v>
      </c>
      <c r="BC114" s="705">
        <v>13189</v>
      </c>
      <c r="BD114" s="705">
        <v>13287</v>
      </c>
      <c r="BE114" s="705">
        <v>13249</v>
      </c>
      <c r="BF114" s="705">
        <v>13050</v>
      </c>
      <c r="BG114" s="705">
        <v>13209</v>
      </c>
      <c r="BH114" s="705">
        <v>13877</v>
      </c>
      <c r="BI114" s="705">
        <v>13149</v>
      </c>
      <c r="BJ114" s="705">
        <v>12437</v>
      </c>
      <c r="BK114" s="705">
        <v>11955</v>
      </c>
      <c r="BL114" s="851">
        <v>11781</v>
      </c>
      <c r="BM114" s="852">
        <v>11695</v>
      </c>
      <c r="BN114" s="1116">
        <v>11545</v>
      </c>
      <c r="BO114" s="1634">
        <v>11526</v>
      </c>
      <c r="BP114" s="1969">
        <v>11336</v>
      </c>
      <c r="BQ114" s="1096">
        <v>11179</v>
      </c>
      <c r="BR114" s="2022">
        <v>11199</v>
      </c>
      <c r="BS114" s="1006">
        <v>11260</v>
      </c>
      <c r="BU114" s="49">
        <f t="shared" si="68"/>
        <v>676</v>
      </c>
      <c r="BV114" s="49">
        <f t="shared" si="69"/>
        <v>56500</v>
      </c>
      <c r="BW114" s="2174">
        <f t="shared" si="70"/>
        <v>11.964601769911505</v>
      </c>
    </row>
    <row r="115" spans="1:75" s="49" customFormat="1" ht="15.75" customHeight="1" x14ac:dyDescent="0.3">
      <c r="A115" s="56" t="s">
        <v>159</v>
      </c>
      <c r="B115" s="84" t="s">
        <v>160</v>
      </c>
      <c r="C115" s="57" t="s">
        <v>251</v>
      </c>
      <c r="D115" s="722">
        <f t="shared" si="71"/>
        <v>41.08250976786946</v>
      </c>
      <c r="E115" s="723">
        <f t="shared" si="72"/>
        <v>39.487121298082378</v>
      </c>
      <c r="F115" s="723">
        <f t="shared" si="73"/>
        <v>38.548063476621877</v>
      </c>
      <c r="G115" s="723">
        <f t="shared" si="74"/>
        <v>38.955289951305886</v>
      </c>
      <c r="H115" s="723">
        <f t="shared" si="75"/>
        <v>39.405766083343828</v>
      </c>
      <c r="I115" s="723">
        <f t="shared" si="76"/>
        <v>33.975784531751913</v>
      </c>
      <c r="J115" s="723">
        <f t="shared" si="77"/>
        <v>33.990270674816017</v>
      </c>
      <c r="K115" s="723">
        <f t="shared" si="78"/>
        <v>33.427054045610745</v>
      </c>
      <c r="L115" s="723">
        <f t="shared" si="79"/>
        <v>30.87031986114555</v>
      </c>
      <c r="M115" s="723">
        <f t="shared" si="80"/>
        <v>31.38038432156079</v>
      </c>
      <c r="N115" s="723">
        <f t="shared" si="81"/>
        <v>29.394404438673121</v>
      </c>
      <c r="O115" s="723">
        <f t="shared" si="82"/>
        <v>31.21288108750165</v>
      </c>
      <c r="P115" s="723">
        <f t="shared" si="83"/>
        <v>28.269256352268194</v>
      </c>
      <c r="Q115" s="723">
        <f t="shared" si="84"/>
        <v>23.715140134918979</v>
      </c>
      <c r="R115" s="855">
        <f t="shared" si="85"/>
        <v>24.539007092198581</v>
      </c>
      <c r="S115" s="857">
        <f t="shared" si="86"/>
        <v>20.426222254995945</v>
      </c>
      <c r="T115" s="1010">
        <f t="shared" si="87"/>
        <v>17.116376410793034</v>
      </c>
      <c r="U115" s="1641">
        <f t="shared" si="88"/>
        <v>18.493150684931507</v>
      </c>
      <c r="V115" s="1975">
        <f t="shared" si="89"/>
        <v>14.41867561794324</v>
      </c>
      <c r="W115" s="2033">
        <f t="shared" si="90"/>
        <v>13.433063654403908</v>
      </c>
      <c r="X115" s="2035">
        <f t="shared" si="91"/>
        <v>13.000917711838483</v>
      </c>
      <c r="Y115" s="2099">
        <f t="shared" si="67"/>
        <v>14.46502372570029</v>
      </c>
      <c r="Z115" s="2099"/>
      <c r="AA115" s="681">
        <v>715</v>
      </c>
      <c r="AB115" s="682">
        <v>696</v>
      </c>
      <c r="AC115" s="683">
        <v>634</v>
      </c>
      <c r="AD115" s="682">
        <v>616</v>
      </c>
      <c r="AE115" s="683">
        <v>626</v>
      </c>
      <c r="AF115" s="682">
        <v>550</v>
      </c>
      <c r="AG115" s="683">
        <v>545</v>
      </c>
      <c r="AH115" s="682">
        <v>535</v>
      </c>
      <c r="AI115" s="696">
        <v>498</v>
      </c>
      <c r="AJ115" s="696">
        <v>534</v>
      </c>
      <c r="AK115" s="696">
        <v>498</v>
      </c>
      <c r="AL115" s="696">
        <v>473</v>
      </c>
      <c r="AM115" s="697">
        <v>425</v>
      </c>
      <c r="AN115" s="697">
        <v>341</v>
      </c>
      <c r="AO115" s="848">
        <v>346</v>
      </c>
      <c r="AP115" s="849">
        <v>277</v>
      </c>
      <c r="AQ115" s="1005">
        <v>229</v>
      </c>
      <c r="AR115" s="1637">
        <v>243</v>
      </c>
      <c r="AS115" s="1971">
        <v>189</v>
      </c>
      <c r="AT115" s="1095">
        <v>176</v>
      </c>
      <c r="AU115" s="2020">
        <v>170</v>
      </c>
      <c r="AV115" s="1005">
        <v>189</v>
      </c>
      <c r="AW115" s="1005"/>
      <c r="AX115" s="704">
        <v>17404</v>
      </c>
      <c r="AY115" s="705">
        <v>17626</v>
      </c>
      <c r="AZ115" s="705">
        <v>16447</v>
      </c>
      <c r="BA115" s="705">
        <v>15813</v>
      </c>
      <c r="BB115" s="705">
        <v>15886</v>
      </c>
      <c r="BC115" s="705">
        <v>16188</v>
      </c>
      <c r="BD115" s="705">
        <v>16034</v>
      </c>
      <c r="BE115" s="705">
        <v>16005</v>
      </c>
      <c r="BF115" s="705">
        <v>16132</v>
      </c>
      <c r="BG115" s="705">
        <v>17017</v>
      </c>
      <c r="BH115" s="705">
        <v>16942</v>
      </c>
      <c r="BI115" s="705">
        <v>15154</v>
      </c>
      <c r="BJ115" s="705">
        <v>15034</v>
      </c>
      <c r="BK115" s="705">
        <v>14379</v>
      </c>
      <c r="BL115" s="851">
        <v>14100</v>
      </c>
      <c r="BM115" s="852">
        <v>13561</v>
      </c>
      <c r="BN115" s="1116">
        <v>13379</v>
      </c>
      <c r="BO115" s="1634">
        <v>13140</v>
      </c>
      <c r="BP115" s="1969">
        <v>13108</v>
      </c>
      <c r="BQ115" s="1096">
        <v>13102</v>
      </c>
      <c r="BR115" s="2022">
        <v>13076</v>
      </c>
      <c r="BS115" s="1006">
        <v>13066</v>
      </c>
      <c r="BU115" s="49">
        <f t="shared" si="68"/>
        <v>967</v>
      </c>
      <c r="BV115" s="49">
        <f t="shared" si="69"/>
        <v>65492</v>
      </c>
      <c r="BW115" s="2174">
        <f t="shared" si="70"/>
        <v>14.765162157210041</v>
      </c>
    </row>
    <row r="116" spans="1:75" s="49" customFormat="1" ht="15.75" customHeight="1" x14ac:dyDescent="0.3">
      <c r="A116" s="56" t="s">
        <v>165</v>
      </c>
      <c r="B116" s="84" t="s">
        <v>166</v>
      </c>
      <c r="C116" s="57" t="s">
        <v>255</v>
      </c>
      <c r="D116" s="722">
        <f t="shared" si="71"/>
        <v>25.362318840579711</v>
      </c>
      <c r="E116" s="723">
        <f t="shared" si="72"/>
        <v>47.97047970479705</v>
      </c>
      <c r="F116" s="723">
        <f t="shared" si="73"/>
        <v>48.582995951417004</v>
      </c>
      <c r="G116" s="723">
        <f t="shared" si="74"/>
        <v>24.390243902439025</v>
      </c>
      <c r="H116" s="723">
        <f t="shared" si="75"/>
        <v>20.325203252032519</v>
      </c>
      <c r="I116" s="723">
        <f t="shared" si="76"/>
        <v>28</v>
      </c>
      <c r="J116" s="723">
        <f t="shared" si="77"/>
        <v>44.715447154471548</v>
      </c>
      <c r="K116" s="723">
        <f t="shared" si="78"/>
        <v>16.260162601626018</v>
      </c>
      <c r="L116" s="723">
        <f t="shared" si="79"/>
        <v>20.74688796680498</v>
      </c>
      <c r="M116" s="723">
        <f t="shared" si="80"/>
        <v>28.571428571428569</v>
      </c>
      <c r="N116" s="723">
        <f t="shared" si="81"/>
        <v>16.460905349794238</v>
      </c>
      <c r="O116" s="723">
        <f t="shared" si="82"/>
        <v>45.081967213114758</v>
      </c>
      <c r="P116" s="723">
        <f t="shared" si="83"/>
        <v>38.022813688212928</v>
      </c>
      <c r="Q116" s="723">
        <f t="shared" si="84"/>
        <v>40.293040293040299</v>
      </c>
      <c r="R116" s="855">
        <f t="shared" si="85"/>
        <v>63.291139240506332</v>
      </c>
      <c r="S116" s="857">
        <f t="shared" si="86"/>
        <v>12.396694214876034</v>
      </c>
      <c r="T116" s="1010">
        <f t="shared" si="87"/>
        <v>16.064257028112447</v>
      </c>
      <c r="U116" s="1641">
        <f t="shared" si="88"/>
        <v>38.297872340425535</v>
      </c>
      <c r="V116" s="1975">
        <f t="shared" si="89"/>
        <v>0</v>
      </c>
      <c r="W116" s="2033">
        <f t="shared" si="90"/>
        <v>14.563106796116505</v>
      </c>
      <c r="X116" s="2035">
        <f t="shared" si="91"/>
        <v>29.850746268656717</v>
      </c>
      <c r="Y116" s="2099">
        <f t="shared" si="67"/>
        <v>29.411764705882351</v>
      </c>
      <c r="Z116" s="2099"/>
      <c r="AA116" s="681">
        <v>7</v>
      </c>
      <c r="AB116" s="682">
        <v>13</v>
      </c>
      <c r="AC116" s="683">
        <v>12</v>
      </c>
      <c r="AD116" s="682">
        <v>6</v>
      </c>
      <c r="AE116" s="683">
        <v>5</v>
      </c>
      <c r="AF116" s="682">
        <v>7</v>
      </c>
      <c r="AG116" s="683">
        <v>11</v>
      </c>
      <c r="AH116" s="682">
        <v>4</v>
      </c>
      <c r="AI116" s="696">
        <v>5</v>
      </c>
      <c r="AJ116" s="696">
        <v>7</v>
      </c>
      <c r="AK116" s="696">
        <v>4</v>
      </c>
      <c r="AL116" s="696">
        <v>11</v>
      </c>
      <c r="AM116" s="697">
        <v>10</v>
      </c>
      <c r="AN116" s="697">
        <v>11</v>
      </c>
      <c r="AO116" s="848">
        <v>15</v>
      </c>
      <c r="AP116" s="849">
        <v>3</v>
      </c>
      <c r="AQ116" s="1005">
        <v>4</v>
      </c>
      <c r="AR116" s="1637">
        <v>9</v>
      </c>
      <c r="AS116" s="1971">
        <v>0</v>
      </c>
      <c r="AT116" s="1095">
        <v>3</v>
      </c>
      <c r="AU116" s="2020">
        <v>6</v>
      </c>
      <c r="AV116" s="1005">
        <v>7</v>
      </c>
      <c r="AW116" s="1005"/>
      <c r="AX116" s="704">
        <v>276</v>
      </c>
      <c r="AY116" s="705">
        <v>271</v>
      </c>
      <c r="AZ116" s="705">
        <v>247</v>
      </c>
      <c r="BA116" s="705">
        <v>246</v>
      </c>
      <c r="BB116" s="705">
        <v>246</v>
      </c>
      <c r="BC116" s="705">
        <v>250</v>
      </c>
      <c r="BD116" s="705">
        <v>246</v>
      </c>
      <c r="BE116" s="705">
        <v>246</v>
      </c>
      <c r="BF116" s="705">
        <v>241</v>
      </c>
      <c r="BG116" s="705">
        <v>245</v>
      </c>
      <c r="BH116" s="705">
        <v>243</v>
      </c>
      <c r="BI116" s="705">
        <v>244</v>
      </c>
      <c r="BJ116" s="705">
        <v>263</v>
      </c>
      <c r="BK116" s="705">
        <v>273</v>
      </c>
      <c r="BL116" s="851">
        <v>237</v>
      </c>
      <c r="BM116" s="852">
        <v>242</v>
      </c>
      <c r="BN116" s="1116">
        <v>249</v>
      </c>
      <c r="BO116" s="1634">
        <v>235</v>
      </c>
      <c r="BP116" s="1969">
        <v>212</v>
      </c>
      <c r="BQ116" s="1096">
        <v>206</v>
      </c>
      <c r="BR116" s="2022">
        <v>201</v>
      </c>
      <c r="BS116" s="1006">
        <v>238</v>
      </c>
      <c r="BU116" s="49">
        <f t="shared" si="68"/>
        <v>25</v>
      </c>
      <c r="BV116" s="49">
        <f t="shared" si="69"/>
        <v>1092</v>
      </c>
      <c r="BW116" s="2174">
        <f t="shared" si="70"/>
        <v>22.893772893772891</v>
      </c>
    </row>
    <row r="117" spans="1:75" s="49" customFormat="1" ht="15.75" customHeight="1" x14ac:dyDescent="0.3">
      <c r="A117" s="56" t="s">
        <v>175</v>
      </c>
      <c r="B117" s="84" t="s">
        <v>176</v>
      </c>
      <c r="C117" s="57" t="s">
        <v>253</v>
      </c>
      <c r="D117" s="722">
        <f t="shared" si="71"/>
        <v>54.64256368118324</v>
      </c>
      <c r="E117" s="723">
        <f t="shared" si="72"/>
        <v>47.619047619047613</v>
      </c>
      <c r="F117" s="723">
        <f t="shared" si="73"/>
        <v>50.083472454090149</v>
      </c>
      <c r="G117" s="723">
        <f t="shared" si="74"/>
        <v>62.882096069869</v>
      </c>
      <c r="H117" s="723">
        <f t="shared" si="75"/>
        <v>56.12019443216969</v>
      </c>
      <c r="I117" s="723">
        <f t="shared" si="76"/>
        <v>48.11443433029909</v>
      </c>
      <c r="J117" s="723">
        <f t="shared" si="77"/>
        <v>46.052631578947363</v>
      </c>
      <c r="K117" s="723">
        <f t="shared" si="78"/>
        <v>46.810463515374025</v>
      </c>
      <c r="L117" s="723">
        <f t="shared" si="79"/>
        <v>48.780487804878049</v>
      </c>
      <c r="M117" s="723">
        <f t="shared" si="80"/>
        <v>50.728041333959602</v>
      </c>
      <c r="N117" s="723">
        <f t="shared" si="81"/>
        <v>52.986512524084773</v>
      </c>
      <c r="O117" s="723">
        <f t="shared" si="82"/>
        <v>61.375661375661373</v>
      </c>
      <c r="P117" s="723">
        <f t="shared" si="83"/>
        <v>63.197026022304826</v>
      </c>
      <c r="Q117" s="723">
        <f t="shared" si="84"/>
        <v>46.670461013090495</v>
      </c>
      <c r="R117" s="855">
        <f t="shared" si="85"/>
        <v>48.594847775175644</v>
      </c>
      <c r="S117" s="857">
        <f t="shared" si="86"/>
        <v>48.549810844892811</v>
      </c>
      <c r="T117" s="1010">
        <f t="shared" si="87"/>
        <v>33.375314861460957</v>
      </c>
      <c r="U117" s="1641">
        <f t="shared" si="88"/>
        <v>33.887468030690535</v>
      </c>
      <c r="V117" s="1975">
        <f t="shared" si="89"/>
        <v>23.920265780730897</v>
      </c>
      <c r="W117" s="2033">
        <f t="shared" si="90"/>
        <v>30.243261012491782</v>
      </c>
      <c r="X117" s="2035">
        <f t="shared" si="91"/>
        <v>25.690430314707772</v>
      </c>
      <c r="Y117" s="2099">
        <f t="shared" si="67"/>
        <v>38.336582196231319</v>
      </c>
      <c r="Z117" s="2099"/>
      <c r="AA117" s="681">
        <v>133</v>
      </c>
      <c r="AB117" s="682">
        <v>117</v>
      </c>
      <c r="AC117" s="683">
        <v>120</v>
      </c>
      <c r="AD117" s="682">
        <v>144</v>
      </c>
      <c r="AE117" s="683">
        <v>127</v>
      </c>
      <c r="AF117" s="682">
        <v>111</v>
      </c>
      <c r="AG117" s="683">
        <v>105</v>
      </c>
      <c r="AH117" s="682">
        <v>102</v>
      </c>
      <c r="AI117" s="696">
        <v>104</v>
      </c>
      <c r="AJ117" s="696">
        <v>108</v>
      </c>
      <c r="AK117" s="696">
        <v>110</v>
      </c>
      <c r="AL117" s="696">
        <v>116</v>
      </c>
      <c r="AM117" s="697">
        <v>119</v>
      </c>
      <c r="AN117" s="697">
        <v>82</v>
      </c>
      <c r="AO117" s="848">
        <v>83</v>
      </c>
      <c r="AP117" s="849">
        <v>77</v>
      </c>
      <c r="AQ117" s="1005">
        <v>53</v>
      </c>
      <c r="AR117" s="1637">
        <v>53</v>
      </c>
      <c r="AS117" s="1971">
        <v>36</v>
      </c>
      <c r="AT117" s="1095">
        <v>46</v>
      </c>
      <c r="AU117" s="2020">
        <v>40</v>
      </c>
      <c r="AV117" s="1005">
        <v>59</v>
      </c>
      <c r="AW117" s="1005"/>
      <c r="AX117" s="704">
        <v>2434</v>
      </c>
      <c r="AY117" s="705">
        <v>2457</v>
      </c>
      <c r="AZ117" s="705">
        <v>2396</v>
      </c>
      <c r="BA117" s="705">
        <v>2290</v>
      </c>
      <c r="BB117" s="705">
        <v>2263</v>
      </c>
      <c r="BC117" s="705">
        <v>2307</v>
      </c>
      <c r="BD117" s="705">
        <v>2280</v>
      </c>
      <c r="BE117" s="705">
        <v>2179</v>
      </c>
      <c r="BF117" s="705">
        <v>2132</v>
      </c>
      <c r="BG117" s="705">
        <v>2129</v>
      </c>
      <c r="BH117" s="705">
        <v>2076</v>
      </c>
      <c r="BI117" s="705">
        <v>1890</v>
      </c>
      <c r="BJ117" s="705">
        <v>1883</v>
      </c>
      <c r="BK117" s="705">
        <v>1757</v>
      </c>
      <c r="BL117" s="851">
        <v>1708</v>
      </c>
      <c r="BM117" s="852">
        <v>1586</v>
      </c>
      <c r="BN117" s="1116">
        <v>1588</v>
      </c>
      <c r="BO117" s="1634">
        <v>1564</v>
      </c>
      <c r="BP117" s="1969">
        <v>1505</v>
      </c>
      <c r="BQ117" s="1096">
        <v>1521</v>
      </c>
      <c r="BR117" s="2022">
        <v>1557</v>
      </c>
      <c r="BS117" s="1006">
        <v>1539</v>
      </c>
      <c r="BU117" s="49">
        <f t="shared" si="68"/>
        <v>234</v>
      </c>
      <c r="BV117" s="49">
        <f t="shared" si="69"/>
        <v>7686</v>
      </c>
      <c r="BW117" s="2174">
        <f t="shared" si="70"/>
        <v>30.444964871194379</v>
      </c>
    </row>
    <row r="118" spans="1:75" s="49" customFormat="1" ht="15.75" customHeight="1" x14ac:dyDescent="0.3">
      <c r="A118" s="56" t="s">
        <v>179</v>
      </c>
      <c r="B118" s="84" t="s">
        <v>180</v>
      </c>
      <c r="C118" s="57" t="s">
        <v>251</v>
      </c>
      <c r="D118" s="722">
        <f t="shared" si="71"/>
        <v>43.79562043795621</v>
      </c>
      <c r="E118" s="723">
        <f t="shared" si="72"/>
        <v>45.255074053757539</v>
      </c>
      <c r="F118" s="723">
        <f t="shared" si="73"/>
        <v>41.943881978594156</v>
      </c>
      <c r="G118" s="723">
        <f t="shared" si="74"/>
        <v>42.089771891096397</v>
      </c>
      <c r="H118" s="723">
        <f t="shared" si="75"/>
        <v>36.60149933852712</v>
      </c>
      <c r="I118" s="723">
        <f t="shared" si="76"/>
        <v>36.116391285275625</v>
      </c>
      <c r="J118" s="723">
        <f t="shared" si="77"/>
        <v>36.940081442699245</v>
      </c>
      <c r="K118" s="723">
        <f t="shared" si="78"/>
        <v>33.444331837266539</v>
      </c>
      <c r="L118" s="723">
        <f t="shared" si="79"/>
        <v>33.238636363636367</v>
      </c>
      <c r="M118" s="723">
        <f t="shared" si="80"/>
        <v>31.902718168812591</v>
      </c>
      <c r="N118" s="723">
        <f t="shared" si="81"/>
        <v>30.403938033878674</v>
      </c>
      <c r="O118" s="723">
        <f t="shared" si="82"/>
        <v>39.933166248955722</v>
      </c>
      <c r="P118" s="723">
        <f t="shared" si="83"/>
        <v>35.776614310645719</v>
      </c>
      <c r="Q118" s="723">
        <f t="shared" si="84"/>
        <v>32.452142206016411</v>
      </c>
      <c r="R118" s="855">
        <f t="shared" si="85"/>
        <v>24.168635289841905</v>
      </c>
      <c r="S118" s="857">
        <f t="shared" si="86"/>
        <v>24.166354439865117</v>
      </c>
      <c r="T118" s="1010">
        <f t="shared" si="87"/>
        <v>20.48487126479985</v>
      </c>
      <c r="U118" s="1641">
        <f t="shared" si="88"/>
        <v>20.728291316526612</v>
      </c>
      <c r="V118" s="1975">
        <f t="shared" si="89"/>
        <v>16.043790109475275</v>
      </c>
      <c r="W118" s="2033">
        <f t="shared" si="90"/>
        <v>15.413891531874405</v>
      </c>
      <c r="X118" s="2035">
        <f t="shared" si="91"/>
        <v>14.462416745956231</v>
      </c>
      <c r="Y118" s="2099">
        <f t="shared" si="67"/>
        <v>13.823139556902102</v>
      </c>
      <c r="Z118" s="2099"/>
      <c r="AA118" s="681">
        <v>318</v>
      </c>
      <c r="AB118" s="682">
        <v>330</v>
      </c>
      <c r="AC118" s="683">
        <v>290</v>
      </c>
      <c r="AD118" s="682">
        <v>286</v>
      </c>
      <c r="AE118" s="683">
        <v>249</v>
      </c>
      <c r="AF118" s="682">
        <v>247</v>
      </c>
      <c r="AG118" s="683">
        <v>254</v>
      </c>
      <c r="AH118" s="682">
        <v>231</v>
      </c>
      <c r="AI118" s="696">
        <v>234</v>
      </c>
      <c r="AJ118" s="696">
        <v>223</v>
      </c>
      <c r="AK118" s="696">
        <v>210</v>
      </c>
      <c r="AL118" s="696">
        <v>239</v>
      </c>
      <c r="AM118" s="697">
        <v>205</v>
      </c>
      <c r="AN118" s="697">
        <v>178</v>
      </c>
      <c r="AO118" s="848">
        <v>133</v>
      </c>
      <c r="AP118" s="849">
        <v>129</v>
      </c>
      <c r="AQ118" s="1005">
        <v>109</v>
      </c>
      <c r="AR118" s="1637">
        <v>111</v>
      </c>
      <c r="AS118" s="1971">
        <v>85</v>
      </c>
      <c r="AT118" s="1095">
        <v>81</v>
      </c>
      <c r="AU118" s="2020">
        <v>76</v>
      </c>
      <c r="AV118" s="1005">
        <v>73</v>
      </c>
      <c r="AW118" s="1005"/>
      <c r="AX118" s="704">
        <v>7261</v>
      </c>
      <c r="AY118" s="705">
        <v>7292</v>
      </c>
      <c r="AZ118" s="705">
        <v>6914</v>
      </c>
      <c r="BA118" s="705">
        <v>6795</v>
      </c>
      <c r="BB118" s="705">
        <v>6803</v>
      </c>
      <c r="BC118" s="705">
        <v>6839</v>
      </c>
      <c r="BD118" s="705">
        <v>6876</v>
      </c>
      <c r="BE118" s="705">
        <v>6907</v>
      </c>
      <c r="BF118" s="705">
        <v>7040</v>
      </c>
      <c r="BG118" s="705">
        <v>6990</v>
      </c>
      <c r="BH118" s="705">
        <v>6907</v>
      </c>
      <c r="BI118" s="705">
        <v>5985</v>
      </c>
      <c r="BJ118" s="705">
        <v>5730</v>
      </c>
      <c r="BK118" s="705">
        <v>5485</v>
      </c>
      <c r="BL118" s="851">
        <v>5503</v>
      </c>
      <c r="BM118" s="852">
        <v>5338</v>
      </c>
      <c r="BN118" s="1116">
        <v>5321</v>
      </c>
      <c r="BO118" s="1634">
        <v>5355</v>
      </c>
      <c r="BP118" s="1969">
        <v>5298</v>
      </c>
      <c r="BQ118" s="1096">
        <v>5255</v>
      </c>
      <c r="BR118" s="2022">
        <v>5255</v>
      </c>
      <c r="BS118" s="1006">
        <v>5281</v>
      </c>
      <c r="BU118" s="49">
        <f t="shared" si="68"/>
        <v>426</v>
      </c>
      <c r="BV118" s="49">
        <f t="shared" si="69"/>
        <v>26444</v>
      </c>
      <c r="BW118" s="2174">
        <f t="shared" si="70"/>
        <v>16.109514445620935</v>
      </c>
    </row>
    <row r="119" spans="1:75" s="49" customFormat="1" ht="15.75" customHeight="1" x14ac:dyDescent="0.3">
      <c r="A119" s="56" t="s">
        <v>191</v>
      </c>
      <c r="B119" s="84" t="s">
        <v>192</v>
      </c>
      <c r="C119" s="57" t="s">
        <v>255</v>
      </c>
      <c r="D119" s="722">
        <f t="shared" si="71"/>
        <v>9.9681020733652321</v>
      </c>
      <c r="E119" s="723">
        <f t="shared" si="72"/>
        <v>5.537974683544304</v>
      </c>
      <c r="F119" s="723">
        <f t="shared" si="73"/>
        <v>7.9207920792079207</v>
      </c>
      <c r="G119" s="723">
        <f t="shared" si="74"/>
        <v>7.1389346512904996</v>
      </c>
      <c r="H119" s="723">
        <f t="shared" si="75"/>
        <v>6.7302299495232747</v>
      </c>
      <c r="I119" s="723">
        <f t="shared" si="76"/>
        <v>8.5784313725490211</v>
      </c>
      <c r="J119" s="723">
        <f t="shared" si="77"/>
        <v>7.3937153419593349</v>
      </c>
      <c r="K119" s="723">
        <f t="shared" si="78"/>
        <v>5.9701492537313436</v>
      </c>
      <c r="L119" s="723">
        <f t="shared" si="79"/>
        <v>6.2535531552018195</v>
      </c>
      <c r="M119" s="723">
        <f t="shared" si="80"/>
        <v>7.5309306078536844</v>
      </c>
      <c r="N119" s="723">
        <f t="shared" si="81"/>
        <v>8.6021505376344081</v>
      </c>
      <c r="O119" s="723">
        <f t="shared" si="82"/>
        <v>6.8965517241379306</v>
      </c>
      <c r="P119" s="723">
        <f t="shared" si="83"/>
        <v>10.140845070422534</v>
      </c>
      <c r="Q119" s="723">
        <f t="shared" si="84"/>
        <v>9.5613048368953883</v>
      </c>
      <c r="R119" s="855">
        <f t="shared" si="85"/>
        <v>10.579064587973273</v>
      </c>
      <c r="S119" s="857">
        <f t="shared" si="86"/>
        <v>7.5228371843095116</v>
      </c>
      <c r="T119" s="1010">
        <f t="shared" si="87"/>
        <v>6.7322630761263591</v>
      </c>
      <c r="U119" s="1641">
        <f t="shared" si="88"/>
        <v>3.186404673393521</v>
      </c>
      <c r="V119" s="1975">
        <f t="shared" si="89"/>
        <v>6.4724919093851137</v>
      </c>
      <c r="W119" s="2033">
        <f t="shared" si="90"/>
        <v>2.7578599007170435</v>
      </c>
      <c r="X119" s="2035">
        <f t="shared" si="91"/>
        <v>4.3881033642125793</v>
      </c>
      <c r="Y119" s="2099">
        <f t="shared" si="67"/>
        <v>4.8543689320388346</v>
      </c>
      <c r="Z119" s="2099"/>
      <c r="AA119" s="681">
        <v>25</v>
      </c>
      <c r="AB119" s="682">
        <v>14</v>
      </c>
      <c r="AC119" s="683">
        <v>16</v>
      </c>
      <c r="AD119" s="682">
        <v>13</v>
      </c>
      <c r="AE119" s="683">
        <v>12</v>
      </c>
      <c r="AF119" s="682">
        <v>14</v>
      </c>
      <c r="AG119" s="683">
        <v>12</v>
      </c>
      <c r="AH119" s="682">
        <v>10</v>
      </c>
      <c r="AI119" s="696">
        <v>11</v>
      </c>
      <c r="AJ119" s="696">
        <v>14</v>
      </c>
      <c r="AK119" s="696">
        <v>16</v>
      </c>
      <c r="AL119" s="696">
        <v>13</v>
      </c>
      <c r="AM119" s="697">
        <v>18</v>
      </c>
      <c r="AN119" s="697">
        <v>17</v>
      </c>
      <c r="AO119" s="848">
        <v>19</v>
      </c>
      <c r="AP119" s="849">
        <v>14</v>
      </c>
      <c r="AQ119" s="1005">
        <v>13</v>
      </c>
      <c r="AR119" s="1637">
        <v>6</v>
      </c>
      <c r="AS119" s="1971">
        <v>12</v>
      </c>
      <c r="AT119" s="1095">
        <v>5</v>
      </c>
      <c r="AU119" s="2020">
        <v>9</v>
      </c>
      <c r="AV119" s="1005">
        <v>10</v>
      </c>
      <c r="AW119" s="1005"/>
      <c r="AX119" s="704">
        <v>2508</v>
      </c>
      <c r="AY119" s="705">
        <v>2528</v>
      </c>
      <c r="AZ119" s="705">
        <v>2020</v>
      </c>
      <c r="BA119" s="705">
        <v>1821</v>
      </c>
      <c r="BB119" s="705">
        <v>1783</v>
      </c>
      <c r="BC119" s="705">
        <v>1632</v>
      </c>
      <c r="BD119" s="705">
        <v>1623</v>
      </c>
      <c r="BE119" s="705">
        <v>1675</v>
      </c>
      <c r="BF119" s="705">
        <v>1759</v>
      </c>
      <c r="BG119" s="705">
        <v>1859</v>
      </c>
      <c r="BH119" s="705">
        <v>1860</v>
      </c>
      <c r="BI119" s="705">
        <v>1885</v>
      </c>
      <c r="BJ119" s="705">
        <v>1775</v>
      </c>
      <c r="BK119" s="705">
        <v>1778</v>
      </c>
      <c r="BL119" s="851">
        <v>1796</v>
      </c>
      <c r="BM119" s="852">
        <v>1861</v>
      </c>
      <c r="BN119" s="1116">
        <v>1931</v>
      </c>
      <c r="BO119" s="1634">
        <v>1883</v>
      </c>
      <c r="BP119" s="1969">
        <v>1854</v>
      </c>
      <c r="BQ119" s="1096">
        <v>1813</v>
      </c>
      <c r="BR119" s="2022">
        <v>2051</v>
      </c>
      <c r="BS119" s="1006">
        <v>2060</v>
      </c>
      <c r="BU119" s="49">
        <f t="shared" si="68"/>
        <v>42</v>
      </c>
      <c r="BV119" s="49">
        <f t="shared" si="69"/>
        <v>9661</v>
      </c>
      <c r="BW119" s="2174">
        <f t="shared" si="70"/>
        <v>4.3473760480281545</v>
      </c>
    </row>
    <row r="120" spans="1:75" s="49" customFormat="1" ht="15.75" customHeight="1" x14ac:dyDescent="0.3">
      <c r="A120" s="56" t="s">
        <v>195</v>
      </c>
      <c r="B120" s="84" t="s">
        <v>196</v>
      </c>
      <c r="C120" s="57" t="s">
        <v>253</v>
      </c>
      <c r="D120" s="722">
        <f t="shared" si="71"/>
        <v>44.144073755762165</v>
      </c>
      <c r="E120" s="723">
        <f t="shared" si="72"/>
        <v>40.783160501470363</v>
      </c>
      <c r="F120" s="723">
        <f t="shared" si="73"/>
        <v>39.568618515986934</v>
      </c>
      <c r="G120" s="723">
        <f t="shared" si="74"/>
        <v>42.125678820791308</v>
      </c>
      <c r="H120" s="723">
        <f t="shared" si="75"/>
        <v>39.509643163894744</v>
      </c>
      <c r="I120" s="723">
        <f t="shared" si="76"/>
        <v>39.889850511408333</v>
      </c>
      <c r="J120" s="723">
        <f t="shared" si="77"/>
        <v>33.265177728845543</v>
      </c>
      <c r="K120" s="723">
        <f t="shared" si="78"/>
        <v>35.373731159643185</v>
      </c>
      <c r="L120" s="723">
        <f t="shared" si="79"/>
        <v>32.978971056103049</v>
      </c>
      <c r="M120" s="723">
        <f t="shared" si="80"/>
        <v>34.941640026763807</v>
      </c>
      <c r="N120" s="723">
        <f t="shared" si="81"/>
        <v>34.493034344036353</v>
      </c>
      <c r="O120" s="723">
        <f t="shared" si="82"/>
        <v>35.881701184692751</v>
      </c>
      <c r="P120" s="723">
        <f t="shared" si="83"/>
        <v>23.512292257026882</v>
      </c>
      <c r="Q120" s="723">
        <f t="shared" si="84"/>
        <v>23.339611825403324</v>
      </c>
      <c r="R120" s="855">
        <f t="shared" si="85"/>
        <v>21.635797410260611</v>
      </c>
      <c r="S120" s="857">
        <f t="shared" si="86"/>
        <v>23.453977895891335</v>
      </c>
      <c r="T120" s="1010">
        <f t="shared" si="87"/>
        <v>17.676560059195925</v>
      </c>
      <c r="U120" s="1641">
        <f t="shared" si="88"/>
        <v>19.031141868512112</v>
      </c>
      <c r="V120" s="1975">
        <f t="shared" si="89"/>
        <v>14.247055078000637</v>
      </c>
      <c r="W120" s="2033">
        <f t="shared" si="90"/>
        <v>15.878212473399902</v>
      </c>
      <c r="X120" s="2035">
        <f t="shared" si="91"/>
        <v>15.967078189300411</v>
      </c>
      <c r="Y120" s="2099">
        <f t="shared" si="67"/>
        <v>15.661252900232018</v>
      </c>
      <c r="Z120" s="2099"/>
      <c r="AA120" s="681">
        <v>565</v>
      </c>
      <c r="AB120" s="682">
        <v>527</v>
      </c>
      <c r="AC120" s="683">
        <v>521</v>
      </c>
      <c r="AD120" s="682">
        <v>543</v>
      </c>
      <c r="AE120" s="683">
        <v>506</v>
      </c>
      <c r="AF120" s="682">
        <v>507</v>
      </c>
      <c r="AG120" s="683">
        <v>423</v>
      </c>
      <c r="AH120" s="682">
        <v>460</v>
      </c>
      <c r="AI120" s="696">
        <v>425</v>
      </c>
      <c r="AJ120" s="696">
        <v>470</v>
      </c>
      <c r="AK120" s="696">
        <v>463</v>
      </c>
      <c r="AL120" s="696">
        <v>421</v>
      </c>
      <c r="AM120" s="697">
        <v>307</v>
      </c>
      <c r="AN120" s="697">
        <v>285</v>
      </c>
      <c r="AO120" s="848">
        <v>264</v>
      </c>
      <c r="AP120" s="849">
        <v>278</v>
      </c>
      <c r="AQ120" s="1005">
        <v>215</v>
      </c>
      <c r="AR120" s="1637">
        <v>231</v>
      </c>
      <c r="AS120" s="1971">
        <v>179</v>
      </c>
      <c r="AT120" s="1095">
        <v>194</v>
      </c>
      <c r="AU120" s="2020">
        <v>194</v>
      </c>
      <c r="AV120" s="1005">
        <v>189</v>
      </c>
      <c r="AW120" s="1005"/>
      <c r="AX120" s="704">
        <v>12799</v>
      </c>
      <c r="AY120" s="705">
        <v>12922</v>
      </c>
      <c r="AZ120" s="705">
        <v>13167</v>
      </c>
      <c r="BA120" s="705">
        <v>12890</v>
      </c>
      <c r="BB120" s="705">
        <v>12807</v>
      </c>
      <c r="BC120" s="705">
        <v>12710</v>
      </c>
      <c r="BD120" s="705">
        <v>12716</v>
      </c>
      <c r="BE120" s="705">
        <v>13004</v>
      </c>
      <c r="BF120" s="705">
        <v>12887</v>
      </c>
      <c r="BG120" s="705">
        <v>13451</v>
      </c>
      <c r="BH120" s="705">
        <v>13423</v>
      </c>
      <c r="BI120" s="705">
        <v>11733</v>
      </c>
      <c r="BJ120" s="705">
        <v>13057</v>
      </c>
      <c r="BK120" s="705">
        <v>12211</v>
      </c>
      <c r="BL120" s="851">
        <v>12202</v>
      </c>
      <c r="BM120" s="852">
        <v>11853</v>
      </c>
      <c r="BN120" s="1116">
        <v>12163</v>
      </c>
      <c r="BO120" s="1634">
        <v>12138</v>
      </c>
      <c r="BP120" s="1969">
        <v>12564</v>
      </c>
      <c r="BQ120" s="1096">
        <v>12218</v>
      </c>
      <c r="BR120" s="2022">
        <v>12150</v>
      </c>
      <c r="BS120" s="1006">
        <v>12068</v>
      </c>
      <c r="BU120" s="49">
        <f t="shared" si="68"/>
        <v>987</v>
      </c>
      <c r="BV120" s="49">
        <f t="shared" si="69"/>
        <v>61138</v>
      </c>
      <c r="BW120" s="2174">
        <f t="shared" si="70"/>
        <v>16.143805816349897</v>
      </c>
    </row>
    <row r="121" spans="1:75" s="49" customFormat="1" ht="15.75" customHeight="1" x14ac:dyDescent="0.3">
      <c r="A121" s="56" t="s">
        <v>199</v>
      </c>
      <c r="B121" s="84" t="s">
        <v>200</v>
      </c>
      <c r="C121" s="57" t="s">
        <v>252</v>
      </c>
      <c r="D121" s="722">
        <f t="shared" si="71"/>
        <v>42.194092827004219</v>
      </c>
      <c r="E121" s="723">
        <f t="shared" si="72"/>
        <v>38.221242190371186</v>
      </c>
      <c r="F121" s="723">
        <f t="shared" si="73"/>
        <v>39.397881434677565</v>
      </c>
      <c r="G121" s="723">
        <f t="shared" si="74"/>
        <v>36.29257398101619</v>
      </c>
      <c r="H121" s="723">
        <f t="shared" si="75"/>
        <v>38.325581395348834</v>
      </c>
      <c r="I121" s="723">
        <f t="shared" si="76"/>
        <v>36.296296296296298</v>
      </c>
      <c r="J121" s="723">
        <f t="shared" si="77"/>
        <v>23.826714801444041</v>
      </c>
      <c r="K121" s="723">
        <f t="shared" si="78"/>
        <v>33.181403828623516</v>
      </c>
      <c r="L121" s="723">
        <f t="shared" si="79"/>
        <v>39.131248829807156</v>
      </c>
      <c r="M121" s="723">
        <f t="shared" si="80"/>
        <v>44.550810014727539</v>
      </c>
      <c r="N121" s="723">
        <f t="shared" si="81"/>
        <v>42.639220731483185</v>
      </c>
      <c r="O121" s="723">
        <f t="shared" si="82"/>
        <v>43.669871794871796</v>
      </c>
      <c r="P121" s="723">
        <f t="shared" si="83"/>
        <v>33.237822349570202</v>
      </c>
      <c r="Q121" s="723">
        <f t="shared" si="84"/>
        <v>34.162717219589261</v>
      </c>
      <c r="R121" s="855">
        <f t="shared" si="85"/>
        <v>29.353431178103925</v>
      </c>
      <c r="S121" s="857">
        <f t="shared" si="86"/>
        <v>26.961281167646462</v>
      </c>
      <c r="T121" s="1010">
        <f t="shared" si="87"/>
        <v>23.421992854307266</v>
      </c>
      <c r="U121" s="1641">
        <f t="shared" si="88"/>
        <v>21.360759493670887</v>
      </c>
      <c r="V121" s="1975">
        <f t="shared" si="89"/>
        <v>21.906453522794553</v>
      </c>
      <c r="W121" s="2033">
        <f t="shared" si="90"/>
        <v>20.077220077220076</v>
      </c>
      <c r="X121" s="2035">
        <f t="shared" si="91"/>
        <v>19.321841257813983</v>
      </c>
      <c r="Y121" s="2099">
        <f t="shared" si="67"/>
        <v>19.811146084058507</v>
      </c>
      <c r="Z121" s="2099"/>
      <c r="AA121" s="681">
        <v>230</v>
      </c>
      <c r="AB121" s="682">
        <v>208</v>
      </c>
      <c r="AC121" s="683">
        <v>212</v>
      </c>
      <c r="AD121" s="682">
        <v>195</v>
      </c>
      <c r="AE121" s="683">
        <v>206</v>
      </c>
      <c r="AF121" s="682">
        <v>196</v>
      </c>
      <c r="AG121" s="683">
        <v>132</v>
      </c>
      <c r="AH121" s="682">
        <v>182</v>
      </c>
      <c r="AI121" s="696">
        <v>209</v>
      </c>
      <c r="AJ121" s="696">
        <v>242</v>
      </c>
      <c r="AK121" s="696">
        <v>232</v>
      </c>
      <c r="AL121" s="696">
        <v>218</v>
      </c>
      <c r="AM121" s="697">
        <v>174</v>
      </c>
      <c r="AN121" s="697">
        <v>173</v>
      </c>
      <c r="AO121" s="848">
        <v>148</v>
      </c>
      <c r="AP121" s="849">
        <v>133</v>
      </c>
      <c r="AQ121" s="1005">
        <v>118</v>
      </c>
      <c r="AR121" s="1637">
        <v>108</v>
      </c>
      <c r="AS121" s="1971">
        <v>111</v>
      </c>
      <c r="AT121" s="1095">
        <v>104</v>
      </c>
      <c r="AU121" s="2020">
        <v>102</v>
      </c>
      <c r="AV121" s="1005">
        <v>107</v>
      </c>
      <c r="AW121" s="1005"/>
      <c r="AX121" s="704">
        <v>5451</v>
      </c>
      <c r="AY121" s="705">
        <v>5442</v>
      </c>
      <c r="AZ121" s="705">
        <v>5381</v>
      </c>
      <c r="BA121" s="705">
        <v>5373</v>
      </c>
      <c r="BB121" s="705">
        <v>5375</v>
      </c>
      <c r="BC121" s="705">
        <v>5400</v>
      </c>
      <c r="BD121" s="705">
        <v>5540</v>
      </c>
      <c r="BE121" s="705">
        <v>5485</v>
      </c>
      <c r="BF121" s="705">
        <v>5341</v>
      </c>
      <c r="BG121" s="705">
        <v>5432</v>
      </c>
      <c r="BH121" s="705">
        <v>5441</v>
      </c>
      <c r="BI121" s="705">
        <v>4992</v>
      </c>
      <c r="BJ121" s="705">
        <v>5235</v>
      </c>
      <c r="BK121" s="705">
        <v>5064</v>
      </c>
      <c r="BL121" s="851">
        <v>5042</v>
      </c>
      <c r="BM121" s="852">
        <v>4933</v>
      </c>
      <c r="BN121" s="1116">
        <v>5038</v>
      </c>
      <c r="BO121" s="1634">
        <v>5056</v>
      </c>
      <c r="BP121" s="1969">
        <v>5067</v>
      </c>
      <c r="BQ121" s="1096">
        <v>5180</v>
      </c>
      <c r="BR121" s="2022">
        <v>5279</v>
      </c>
      <c r="BS121" s="1006">
        <v>5401</v>
      </c>
      <c r="BU121" s="49">
        <f t="shared" si="68"/>
        <v>532</v>
      </c>
      <c r="BV121" s="49">
        <f t="shared" si="69"/>
        <v>25983</v>
      </c>
      <c r="BW121" s="2174">
        <f t="shared" si="70"/>
        <v>20.474925913097028</v>
      </c>
    </row>
    <row r="122" spans="1:75" s="49" customFormat="1" ht="15.75" customHeight="1" x14ac:dyDescent="0.3">
      <c r="A122" s="56" t="s">
        <v>221</v>
      </c>
      <c r="B122" s="84" t="s">
        <v>222</v>
      </c>
      <c r="C122" s="57" t="s">
        <v>251</v>
      </c>
      <c r="D122" s="722">
        <f t="shared" si="71"/>
        <v>34.589694656488547</v>
      </c>
      <c r="E122" s="723">
        <f t="shared" si="72"/>
        <v>25.683317624882189</v>
      </c>
      <c r="F122" s="723">
        <f t="shared" si="73"/>
        <v>25.340715502555366</v>
      </c>
      <c r="G122" s="723">
        <f t="shared" si="74"/>
        <v>23.723361479694411</v>
      </c>
      <c r="H122" s="723">
        <f t="shared" si="75"/>
        <v>25.202000769526741</v>
      </c>
      <c r="I122" s="723">
        <f t="shared" si="76"/>
        <v>21.179477816322802</v>
      </c>
      <c r="J122" s="723">
        <f t="shared" si="77"/>
        <v>20.699500356887938</v>
      </c>
      <c r="K122" s="723">
        <f t="shared" si="78"/>
        <v>20.757020757020758</v>
      </c>
      <c r="L122" s="723">
        <f t="shared" si="79"/>
        <v>22.464143770520131</v>
      </c>
      <c r="M122" s="723">
        <f t="shared" si="80"/>
        <v>17.50700280112045</v>
      </c>
      <c r="N122" s="723">
        <f t="shared" si="81"/>
        <v>18.891026762287911</v>
      </c>
      <c r="O122" s="723">
        <f t="shared" si="82"/>
        <v>19.253910950661854</v>
      </c>
      <c r="P122" s="723">
        <f t="shared" si="83"/>
        <v>16.909029421711192</v>
      </c>
      <c r="Q122" s="723">
        <f t="shared" si="84"/>
        <v>13.164643528808343</v>
      </c>
      <c r="R122" s="855">
        <f t="shared" si="85"/>
        <v>12.220670391061452</v>
      </c>
      <c r="S122" s="857">
        <f t="shared" si="86"/>
        <v>10.393209769617183</v>
      </c>
      <c r="T122" s="1010">
        <f t="shared" si="87"/>
        <v>8.8296398891966774</v>
      </c>
      <c r="U122" s="1641">
        <f t="shared" si="88"/>
        <v>7.5549450549450547</v>
      </c>
      <c r="V122" s="1975">
        <f t="shared" si="89"/>
        <v>7.5692413555823155</v>
      </c>
      <c r="W122" s="2033">
        <f t="shared" si="90"/>
        <v>7.3196235622168002</v>
      </c>
      <c r="X122" s="2035">
        <f t="shared" si="91"/>
        <v>9.464808122526243</v>
      </c>
      <c r="Y122" s="2099">
        <f t="shared" si="67"/>
        <v>6.4674008040552353</v>
      </c>
      <c r="Z122" s="2099"/>
      <c r="AA122" s="681">
        <v>145</v>
      </c>
      <c r="AB122" s="682">
        <v>109</v>
      </c>
      <c r="AC122" s="683">
        <v>119</v>
      </c>
      <c r="AD122" s="682">
        <v>118</v>
      </c>
      <c r="AE122" s="683">
        <v>131</v>
      </c>
      <c r="AF122" s="682">
        <v>116</v>
      </c>
      <c r="AG122" s="683">
        <v>116</v>
      </c>
      <c r="AH122" s="682">
        <v>119</v>
      </c>
      <c r="AI122" s="696">
        <v>130</v>
      </c>
      <c r="AJ122" s="696">
        <v>100</v>
      </c>
      <c r="AK122" s="696">
        <v>108</v>
      </c>
      <c r="AL122" s="696">
        <v>112</v>
      </c>
      <c r="AM122" s="697">
        <v>100</v>
      </c>
      <c r="AN122" s="697">
        <v>77</v>
      </c>
      <c r="AO122" s="848">
        <v>70</v>
      </c>
      <c r="AP122" s="849">
        <v>60</v>
      </c>
      <c r="AQ122" s="1005">
        <v>51</v>
      </c>
      <c r="AR122" s="1637">
        <v>44</v>
      </c>
      <c r="AS122" s="1971">
        <v>44</v>
      </c>
      <c r="AT122" s="1095">
        <v>42</v>
      </c>
      <c r="AU122" s="2020">
        <v>55</v>
      </c>
      <c r="AV122" s="1005">
        <v>37</v>
      </c>
      <c r="AW122" s="1005"/>
      <c r="AX122" s="704">
        <v>4192</v>
      </c>
      <c r="AY122" s="705">
        <v>4244</v>
      </c>
      <c r="AZ122" s="705">
        <v>4696</v>
      </c>
      <c r="BA122" s="705">
        <v>4974</v>
      </c>
      <c r="BB122" s="705">
        <v>5198</v>
      </c>
      <c r="BC122" s="705">
        <v>5477</v>
      </c>
      <c r="BD122" s="705">
        <v>5604</v>
      </c>
      <c r="BE122" s="705">
        <v>5733</v>
      </c>
      <c r="BF122" s="705">
        <v>5787</v>
      </c>
      <c r="BG122" s="705">
        <v>5712</v>
      </c>
      <c r="BH122" s="705">
        <v>5717</v>
      </c>
      <c r="BI122" s="705">
        <v>5817</v>
      </c>
      <c r="BJ122" s="705">
        <v>5914</v>
      </c>
      <c r="BK122" s="705">
        <v>5849</v>
      </c>
      <c r="BL122" s="851">
        <v>5728</v>
      </c>
      <c r="BM122" s="852">
        <v>5773</v>
      </c>
      <c r="BN122" s="1116">
        <v>5776</v>
      </c>
      <c r="BO122" s="1634">
        <v>5824</v>
      </c>
      <c r="BP122" s="1969">
        <v>5813</v>
      </c>
      <c r="BQ122" s="1096">
        <v>5738</v>
      </c>
      <c r="BR122" s="2022">
        <v>5811</v>
      </c>
      <c r="BS122" s="1006">
        <v>5721</v>
      </c>
      <c r="BU122" s="49">
        <f t="shared" si="68"/>
        <v>222</v>
      </c>
      <c r="BV122" s="49">
        <f t="shared" si="69"/>
        <v>28907</v>
      </c>
      <c r="BW122" s="2174">
        <f t="shared" si="70"/>
        <v>7.6798007403051161</v>
      </c>
    </row>
    <row r="123" spans="1:75" s="49" customFormat="1" ht="15.75" customHeight="1" x14ac:dyDescent="0.3">
      <c r="A123" s="56" t="s">
        <v>229</v>
      </c>
      <c r="B123" s="84" t="s">
        <v>230</v>
      </c>
      <c r="C123" s="57" t="s">
        <v>251</v>
      </c>
      <c r="D123" s="722">
        <f t="shared" si="71"/>
        <v>17.090929301911963</v>
      </c>
      <c r="E123" s="723">
        <f t="shared" si="72"/>
        <v>15.627526000969985</v>
      </c>
      <c r="F123" s="723">
        <f t="shared" si="73"/>
        <v>16.880769479052354</v>
      </c>
      <c r="G123" s="723">
        <f t="shared" si="74"/>
        <v>17.578498184828991</v>
      </c>
      <c r="H123" s="723">
        <f t="shared" si="75"/>
        <v>16.881105174975499</v>
      </c>
      <c r="I123" s="723">
        <f t="shared" si="76"/>
        <v>15.350672757216991</v>
      </c>
      <c r="J123" s="723">
        <f t="shared" si="77"/>
        <v>16.077170418006428</v>
      </c>
      <c r="K123" s="723">
        <f t="shared" si="78"/>
        <v>14.593928672963326</v>
      </c>
      <c r="L123" s="723">
        <f t="shared" si="79"/>
        <v>15.752081525058667</v>
      </c>
      <c r="M123" s="723">
        <f t="shared" si="80"/>
        <v>16.249878369173885</v>
      </c>
      <c r="N123" s="723">
        <f t="shared" si="81"/>
        <v>14.165705814528085</v>
      </c>
      <c r="O123" s="723">
        <f t="shared" si="82"/>
        <v>14.344548373586488</v>
      </c>
      <c r="P123" s="723">
        <f t="shared" si="83"/>
        <v>12.891152926499636</v>
      </c>
      <c r="Q123" s="723">
        <f t="shared" si="84"/>
        <v>10.739643914796448</v>
      </c>
      <c r="R123" s="855">
        <f t="shared" si="85"/>
        <v>11.287007320327431</v>
      </c>
      <c r="S123" s="857">
        <f t="shared" si="86"/>
        <v>9.0175953079178885</v>
      </c>
      <c r="T123" s="1010">
        <f t="shared" si="87"/>
        <v>7.6689389448725542</v>
      </c>
      <c r="U123" s="1641">
        <f t="shared" si="88"/>
        <v>6.7104029990627936</v>
      </c>
      <c r="V123" s="1975">
        <f t="shared" si="89"/>
        <v>6.6955936260941122</v>
      </c>
      <c r="W123" s="2033">
        <f t="shared" si="90"/>
        <v>5.6096164854035484</v>
      </c>
      <c r="X123" s="2035">
        <f t="shared" si="91"/>
        <v>5.6267942583732058</v>
      </c>
      <c r="Y123" s="2099">
        <f t="shared" si="67"/>
        <v>5.7276850926424228</v>
      </c>
      <c r="Z123" s="2099"/>
      <c r="AA123" s="681">
        <v>615</v>
      </c>
      <c r="AB123" s="682">
        <v>580</v>
      </c>
      <c r="AC123" s="683">
        <v>523</v>
      </c>
      <c r="AD123" s="682">
        <v>552</v>
      </c>
      <c r="AE123" s="683">
        <v>534</v>
      </c>
      <c r="AF123" s="682">
        <v>494</v>
      </c>
      <c r="AG123" s="683">
        <v>515</v>
      </c>
      <c r="AH123" s="682">
        <v>462</v>
      </c>
      <c r="AI123" s="696">
        <v>490</v>
      </c>
      <c r="AJ123" s="696">
        <v>501</v>
      </c>
      <c r="AK123" s="696">
        <v>430</v>
      </c>
      <c r="AL123" s="696">
        <v>411</v>
      </c>
      <c r="AM123" s="697">
        <v>372</v>
      </c>
      <c r="AN123" s="697">
        <v>301</v>
      </c>
      <c r="AO123" s="848">
        <v>313</v>
      </c>
      <c r="AP123" s="849">
        <v>246</v>
      </c>
      <c r="AQ123" s="1005">
        <v>207</v>
      </c>
      <c r="AR123" s="1637">
        <v>179</v>
      </c>
      <c r="AS123" s="1971">
        <v>179</v>
      </c>
      <c r="AT123" s="1095">
        <v>147</v>
      </c>
      <c r="AU123" s="2020">
        <v>147</v>
      </c>
      <c r="AV123" s="1005">
        <v>149</v>
      </c>
      <c r="AW123" s="1005"/>
      <c r="AX123" s="704">
        <v>35984</v>
      </c>
      <c r="AY123" s="705">
        <v>37114</v>
      </c>
      <c r="AZ123" s="705">
        <v>30982</v>
      </c>
      <c r="BA123" s="705">
        <v>31402</v>
      </c>
      <c r="BB123" s="705">
        <v>31633</v>
      </c>
      <c r="BC123" s="705">
        <v>32181</v>
      </c>
      <c r="BD123" s="705">
        <v>32033</v>
      </c>
      <c r="BE123" s="705">
        <v>31657</v>
      </c>
      <c r="BF123" s="705">
        <v>31107</v>
      </c>
      <c r="BG123" s="705">
        <v>30831</v>
      </c>
      <c r="BH123" s="705">
        <v>30355</v>
      </c>
      <c r="BI123" s="705">
        <v>28652</v>
      </c>
      <c r="BJ123" s="705">
        <v>28857</v>
      </c>
      <c r="BK123" s="705">
        <v>28027</v>
      </c>
      <c r="BL123" s="851">
        <v>27731</v>
      </c>
      <c r="BM123" s="852">
        <v>27280</v>
      </c>
      <c r="BN123" s="1116">
        <v>26992</v>
      </c>
      <c r="BO123" s="1634">
        <v>26675</v>
      </c>
      <c r="BP123" s="1969">
        <v>26734</v>
      </c>
      <c r="BQ123" s="1096">
        <v>26205</v>
      </c>
      <c r="BR123" s="2022">
        <v>26125</v>
      </c>
      <c r="BS123" s="1006">
        <v>26014</v>
      </c>
      <c r="BU123" s="49">
        <f t="shared" si="68"/>
        <v>801</v>
      </c>
      <c r="BV123" s="49">
        <f t="shared" si="69"/>
        <v>131753</v>
      </c>
      <c r="BW123" s="2174">
        <f t="shared" si="70"/>
        <v>6.0795579607295469</v>
      </c>
    </row>
    <row r="124" spans="1:75" s="49" customFormat="1" ht="15.75" customHeight="1" x14ac:dyDescent="0.3">
      <c r="A124" s="56" t="s">
        <v>237</v>
      </c>
      <c r="B124" s="84" t="s">
        <v>238</v>
      </c>
      <c r="C124" s="57" t="s">
        <v>251</v>
      </c>
      <c r="D124" s="722">
        <f t="shared" si="71"/>
        <v>12.082444918265814</v>
      </c>
      <c r="E124" s="723">
        <f t="shared" si="72"/>
        <v>4.9435028248587578</v>
      </c>
      <c r="F124" s="723">
        <f t="shared" si="73"/>
        <v>2.0661157024793391</v>
      </c>
      <c r="G124" s="723">
        <f t="shared" si="74"/>
        <v>5.5865921787709496</v>
      </c>
      <c r="H124" s="723">
        <f t="shared" si="75"/>
        <v>5.5944055944055942</v>
      </c>
      <c r="I124" s="723">
        <f t="shared" si="76"/>
        <v>9.3592512598992084</v>
      </c>
      <c r="J124" s="723">
        <f t="shared" si="77"/>
        <v>12.463343108504398</v>
      </c>
      <c r="K124" s="723">
        <f t="shared" si="78"/>
        <v>15.107913669064748</v>
      </c>
      <c r="L124" s="723">
        <f t="shared" si="79"/>
        <v>12.720848056537102</v>
      </c>
      <c r="M124" s="723">
        <f t="shared" si="80"/>
        <v>8.1967213114754109</v>
      </c>
      <c r="N124" s="723">
        <f t="shared" si="81"/>
        <v>6.887052341597796</v>
      </c>
      <c r="O124" s="723">
        <f t="shared" si="82"/>
        <v>10.561056105610561</v>
      </c>
      <c r="P124" s="723">
        <f t="shared" si="83"/>
        <v>1.3568521031207597</v>
      </c>
      <c r="Q124" s="723">
        <f t="shared" si="84"/>
        <v>4.6113306982872198</v>
      </c>
      <c r="R124" s="855">
        <f t="shared" si="85"/>
        <v>3.986710963455149</v>
      </c>
      <c r="S124" s="857">
        <f t="shared" si="86"/>
        <v>4.0133779264214047</v>
      </c>
      <c r="T124" s="1010">
        <f t="shared" si="87"/>
        <v>2.5624599615631003</v>
      </c>
      <c r="U124" s="1641">
        <f t="shared" si="88"/>
        <v>6.8922305764411025</v>
      </c>
      <c r="V124" s="1975">
        <f t="shared" si="89"/>
        <v>5.0632911392405067</v>
      </c>
      <c r="W124" s="2033">
        <f t="shared" si="90"/>
        <v>2.6007802340702213</v>
      </c>
      <c r="X124" s="2035">
        <f t="shared" si="91"/>
        <v>2.574002574002574</v>
      </c>
      <c r="Y124" s="2099">
        <f t="shared" si="67"/>
        <v>2.6507620941020544</v>
      </c>
      <c r="Z124" s="2099"/>
      <c r="AA124" s="681">
        <v>17</v>
      </c>
      <c r="AB124" s="682">
        <v>7</v>
      </c>
      <c r="AC124" s="683">
        <v>3</v>
      </c>
      <c r="AD124" s="682">
        <v>8</v>
      </c>
      <c r="AE124" s="683">
        <v>8</v>
      </c>
      <c r="AF124" s="682">
        <v>13</v>
      </c>
      <c r="AG124" s="683">
        <v>17</v>
      </c>
      <c r="AH124" s="682">
        <v>21</v>
      </c>
      <c r="AI124" s="696">
        <v>18</v>
      </c>
      <c r="AJ124" s="696">
        <v>12</v>
      </c>
      <c r="AK124" s="696">
        <v>10</v>
      </c>
      <c r="AL124" s="696">
        <v>16</v>
      </c>
      <c r="AM124" s="697">
        <v>2</v>
      </c>
      <c r="AN124" s="697">
        <v>7</v>
      </c>
      <c r="AO124" s="848">
        <v>6</v>
      </c>
      <c r="AP124" s="849">
        <v>6</v>
      </c>
      <c r="AQ124" s="1005">
        <v>4</v>
      </c>
      <c r="AR124" s="1637">
        <v>11</v>
      </c>
      <c r="AS124" s="1971">
        <v>8</v>
      </c>
      <c r="AT124" s="1095">
        <v>4</v>
      </c>
      <c r="AU124" s="2020">
        <v>4</v>
      </c>
      <c r="AV124" s="1005">
        <v>4</v>
      </c>
      <c r="AW124" s="1005"/>
      <c r="AX124" s="704">
        <v>1407</v>
      </c>
      <c r="AY124" s="705">
        <v>1416</v>
      </c>
      <c r="AZ124" s="705">
        <v>1452</v>
      </c>
      <c r="BA124" s="705">
        <v>1432</v>
      </c>
      <c r="BB124" s="705">
        <v>1430</v>
      </c>
      <c r="BC124" s="705">
        <v>1389</v>
      </c>
      <c r="BD124" s="705">
        <v>1364</v>
      </c>
      <c r="BE124" s="705">
        <v>1390</v>
      </c>
      <c r="BF124" s="705">
        <v>1415</v>
      </c>
      <c r="BG124" s="705">
        <v>1464</v>
      </c>
      <c r="BH124" s="705">
        <v>1452</v>
      </c>
      <c r="BI124" s="705">
        <v>1515</v>
      </c>
      <c r="BJ124" s="705">
        <v>1474</v>
      </c>
      <c r="BK124" s="705">
        <v>1518</v>
      </c>
      <c r="BL124" s="851">
        <v>1505</v>
      </c>
      <c r="BM124" s="852">
        <v>1495</v>
      </c>
      <c r="BN124" s="1116">
        <v>1561</v>
      </c>
      <c r="BO124" s="1634">
        <v>1596</v>
      </c>
      <c r="BP124" s="1969">
        <v>1580</v>
      </c>
      <c r="BQ124" s="1096">
        <v>1538</v>
      </c>
      <c r="BR124" s="2022">
        <v>1554</v>
      </c>
      <c r="BS124" s="1006">
        <v>1509</v>
      </c>
      <c r="BU124" s="49">
        <f t="shared" si="68"/>
        <v>31</v>
      </c>
      <c r="BV124" s="49">
        <f t="shared" si="69"/>
        <v>7777</v>
      </c>
      <c r="BW124" s="2174">
        <f t="shared" si="70"/>
        <v>3.9861128970039856</v>
      </c>
    </row>
    <row r="125" spans="1:75" s="49" customFormat="1" ht="15.75" customHeight="1" x14ac:dyDescent="0.3">
      <c r="A125" s="62" t="s">
        <v>239</v>
      </c>
      <c r="B125" s="86" t="s">
        <v>240</v>
      </c>
      <c r="C125" s="63" t="s">
        <v>254</v>
      </c>
      <c r="D125" s="1119">
        <f t="shared" si="71"/>
        <v>28.495692511597085</v>
      </c>
      <c r="E125" s="1120">
        <f t="shared" si="72"/>
        <v>26.727509778357238</v>
      </c>
      <c r="F125" s="1120">
        <f t="shared" si="73"/>
        <v>29.578351164254247</v>
      </c>
      <c r="G125" s="1120">
        <f t="shared" si="74"/>
        <v>34.090909090909086</v>
      </c>
      <c r="H125" s="1120">
        <f t="shared" si="75"/>
        <v>36.36363636363636</v>
      </c>
      <c r="I125" s="1120">
        <f t="shared" si="76"/>
        <v>32.450331125827809</v>
      </c>
      <c r="J125" s="1120">
        <f t="shared" si="77"/>
        <v>37.012557832121615</v>
      </c>
      <c r="K125" s="1120">
        <f t="shared" si="78"/>
        <v>36.887994634473507</v>
      </c>
      <c r="L125" s="1120">
        <f t="shared" si="79"/>
        <v>43.918918918918919</v>
      </c>
      <c r="M125" s="1120">
        <f t="shared" si="80"/>
        <v>51.566579634464752</v>
      </c>
      <c r="N125" s="1120">
        <f t="shared" si="81"/>
        <v>42.21635883905013</v>
      </c>
      <c r="O125" s="1120">
        <f t="shared" si="82"/>
        <v>28.256374913852515</v>
      </c>
      <c r="P125" s="1120">
        <f t="shared" si="83"/>
        <v>25.519287833827892</v>
      </c>
      <c r="Q125" s="1120">
        <f t="shared" si="84"/>
        <v>22.700119474313023</v>
      </c>
      <c r="R125" s="1121">
        <f t="shared" si="85"/>
        <v>24.24942263279446</v>
      </c>
      <c r="S125" s="1122">
        <f t="shared" si="86"/>
        <v>14.577259475218659</v>
      </c>
      <c r="T125" s="1118">
        <f t="shared" si="87"/>
        <v>19.144144144144143</v>
      </c>
      <c r="U125" s="1642">
        <f t="shared" si="88"/>
        <v>14.836795252225519</v>
      </c>
      <c r="V125" s="1976">
        <f t="shared" si="89"/>
        <v>11.986301369863012</v>
      </c>
      <c r="W125" s="2034">
        <f t="shared" si="90"/>
        <v>10.303687635574839</v>
      </c>
      <c r="X125" s="2035">
        <f t="shared" si="91"/>
        <v>12.439156300703083</v>
      </c>
      <c r="Y125" s="2099">
        <f t="shared" si="67"/>
        <v>11.758417958311064</v>
      </c>
      <c r="Z125" s="2099"/>
      <c r="AA125" s="1123">
        <v>43</v>
      </c>
      <c r="AB125" s="1124">
        <v>41</v>
      </c>
      <c r="AC125" s="1125">
        <v>47</v>
      </c>
      <c r="AD125" s="1124">
        <v>54</v>
      </c>
      <c r="AE125" s="1125">
        <v>56</v>
      </c>
      <c r="AF125" s="1124">
        <v>49</v>
      </c>
      <c r="AG125" s="1125">
        <v>56</v>
      </c>
      <c r="AH125" s="1124">
        <v>55</v>
      </c>
      <c r="AI125" s="1126">
        <v>65</v>
      </c>
      <c r="AJ125" s="1126">
        <v>79</v>
      </c>
      <c r="AK125" s="1126">
        <v>64</v>
      </c>
      <c r="AL125" s="1126">
        <v>41</v>
      </c>
      <c r="AM125" s="1127">
        <v>43</v>
      </c>
      <c r="AN125" s="1127">
        <v>38</v>
      </c>
      <c r="AO125" s="1128">
        <v>42</v>
      </c>
      <c r="AP125" s="1129">
        <v>25</v>
      </c>
      <c r="AQ125" s="1130">
        <v>34</v>
      </c>
      <c r="AR125" s="1638">
        <v>25</v>
      </c>
      <c r="AS125" s="1128">
        <v>21</v>
      </c>
      <c r="AT125" s="2028">
        <v>19</v>
      </c>
      <c r="AU125" s="2020">
        <v>23</v>
      </c>
      <c r="AV125" s="1005">
        <v>22</v>
      </c>
      <c r="AW125" s="1005"/>
      <c r="AX125" s="1131">
        <v>1509</v>
      </c>
      <c r="AY125" s="1132">
        <v>1534</v>
      </c>
      <c r="AZ125" s="1132">
        <v>1589</v>
      </c>
      <c r="BA125" s="1132">
        <v>1584</v>
      </c>
      <c r="BB125" s="1132">
        <v>1540</v>
      </c>
      <c r="BC125" s="1132">
        <v>1510</v>
      </c>
      <c r="BD125" s="1132">
        <v>1513</v>
      </c>
      <c r="BE125" s="1132">
        <v>1491</v>
      </c>
      <c r="BF125" s="1132">
        <v>1480</v>
      </c>
      <c r="BG125" s="1132">
        <v>1532</v>
      </c>
      <c r="BH125" s="1132">
        <v>1516</v>
      </c>
      <c r="BI125" s="1132">
        <v>1451</v>
      </c>
      <c r="BJ125" s="1132">
        <v>1685</v>
      </c>
      <c r="BK125" s="1132">
        <v>1674</v>
      </c>
      <c r="BL125" s="1133">
        <v>1732</v>
      </c>
      <c r="BM125" s="1134">
        <v>1715</v>
      </c>
      <c r="BN125" s="1117">
        <v>1776</v>
      </c>
      <c r="BO125" s="1635">
        <v>1685</v>
      </c>
      <c r="BP125" s="1133">
        <v>1752</v>
      </c>
      <c r="BQ125" s="2029">
        <v>1844</v>
      </c>
      <c r="BR125" s="2022">
        <v>1849</v>
      </c>
      <c r="BS125" s="1006">
        <v>1871</v>
      </c>
      <c r="BU125" s="49">
        <f t="shared" si="68"/>
        <v>110</v>
      </c>
      <c r="BV125" s="49">
        <f t="shared" si="69"/>
        <v>9001</v>
      </c>
      <c r="BW125" s="2174">
        <f t="shared" si="70"/>
        <v>12.220864348405733</v>
      </c>
    </row>
    <row r="126" spans="1:75" s="49" customFormat="1" ht="15.75" customHeight="1" x14ac:dyDescent="0.3">
      <c r="A126" s="116"/>
      <c r="B126" s="90"/>
      <c r="C126" s="117"/>
      <c r="AA126" s="59"/>
      <c r="AB126" s="58"/>
      <c r="AC126" s="59"/>
      <c r="AD126" s="118"/>
      <c r="AE126" s="59"/>
      <c r="AF126" s="58"/>
      <c r="AG126" s="59"/>
      <c r="AH126" s="58"/>
      <c r="AI126" s="119"/>
      <c r="AJ126" s="119"/>
      <c r="AK126" s="119"/>
      <c r="AL126" s="119"/>
    </row>
    <row r="127" spans="1:75" s="49" customFormat="1" ht="15.75" customHeight="1" x14ac:dyDescent="0.3">
      <c r="A127" s="116" t="s">
        <v>253</v>
      </c>
      <c r="B127" s="90"/>
      <c r="C127" s="117"/>
      <c r="D127" s="722">
        <f t="shared" ref="D127:M131" si="92">IF(AX127=0,"NA",(AA127/AX127)*1000)</f>
        <v>24.147786107774508</v>
      </c>
      <c r="E127" s="723">
        <f t="shared" si="92"/>
        <v>23.722204801701455</v>
      </c>
      <c r="F127" s="723">
        <f t="shared" si="92"/>
        <v>21.410897338787052</v>
      </c>
      <c r="G127" s="723">
        <f t="shared" si="92"/>
        <v>20.871525541297132</v>
      </c>
      <c r="H127" s="723">
        <f t="shared" si="92"/>
        <v>19.635172143974959</v>
      </c>
      <c r="I127" s="723">
        <f t="shared" si="92"/>
        <v>19.224731312643399</v>
      </c>
      <c r="J127" s="723">
        <f t="shared" si="92"/>
        <v>17.676827958272661</v>
      </c>
      <c r="K127" s="723">
        <f t="shared" si="92"/>
        <v>18.562838602131333</v>
      </c>
      <c r="L127" s="723">
        <f t="shared" si="92"/>
        <v>19.071608492263405</v>
      </c>
      <c r="M127" s="723">
        <f t="shared" si="92"/>
        <v>18.706593092950243</v>
      </c>
      <c r="N127" s="723">
        <f t="shared" ref="N127:V131" si="93">IF(BH127=0,"NA",(AK127/BH127)*1000)</f>
        <v>18.80374637698517</v>
      </c>
      <c r="O127" s="723">
        <f t="shared" si="93"/>
        <v>18.520498473454744</v>
      </c>
      <c r="P127" s="723">
        <f t="shared" si="93"/>
        <v>15.004574565416284</v>
      </c>
      <c r="Q127" s="723">
        <f t="shared" si="93"/>
        <v>13.338277728205068</v>
      </c>
      <c r="R127" s="1011">
        <f t="shared" si="93"/>
        <v>12.499564373918194</v>
      </c>
      <c r="S127" s="1012">
        <f t="shared" si="93"/>
        <v>11.362966630126005</v>
      </c>
      <c r="T127" s="1643">
        <f t="shared" si="93"/>
        <v>9.9322746651487517</v>
      </c>
      <c r="U127" s="1643">
        <f t="shared" si="93"/>
        <v>9.50127113183453</v>
      </c>
      <c r="V127" s="2033">
        <f t="shared" si="93"/>
        <v>7.8784534278904301</v>
      </c>
      <c r="W127" s="2036">
        <f t="shared" ref="W127:X131" si="94">(AT127/BQ127)*1000</f>
        <v>7.9749124991191183</v>
      </c>
      <c r="X127" s="2035">
        <f t="shared" si="94"/>
        <v>7.5620120102543691</v>
      </c>
      <c r="Y127" s="2099">
        <f t="shared" ref="Y127:Y131" si="95">(AV127/BS127)*1000</f>
        <v>7.426005162841685</v>
      </c>
      <c r="Z127" s="2099"/>
      <c r="AA127" s="710">
        <v>1749</v>
      </c>
      <c r="AB127" s="711">
        <v>1740</v>
      </c>
      <c r="AC127" s="712">
        <v>1696</v>
      </c>
      <c r="AD127" s="711">
        <v>1685</v>
      </c>
      <c r="AE127" s="712">
        <v>1606</v>
      </c>
      <c r="AF127" s="711">
        <v>1592</v>
      </c>
      <c r="AG127" s="712">
        <v>1481</v>
      </c>
      <c r="AH127" s="711">
        <v>1559</v>
      </c>
      <c r="AI127" s="690">
        <v>1590</v>
      </c>
      <c r="AJ127" s="690">
        <v>1573</v>
      </c>
      <c r="AK127" s="690">
        <v>1570</v>
      </c>
      <c r="AL127" s="690">
        <v>1559</v>
      </c>
      <c r="AM127" s="705">
        <v>1312</v>
      </c>
      <c r="AN127" s="705">
        <v>1151</v>
      </c>
      <c r="AO127" s="851">
        <v>1076</v>
      </c>
      <c r="AP127" s="1972">
        <v>964</v>
      </c>
      <c r="AQ127" s="1972">
        <v>855</v>
      </c>
      <c r="AR127" s="1972">
        <v>811</v>
      </c>
      <c r="AS127" s="1972">
        <v>671</v>
      </c>
      <c r="AT127" s="1096">
        <v>679</v>
      </c>
      <c r="AU127" s="2022">
        <v>646</v>
      </c>
      <c r="AV127" s="1006">
        <v>630</v>
      </c>
      <c r="AW127" s="1006"/>
      <c r="AX127" s="704">
        <v>72429</v>
      </c>
      <c r="AY127" s="705">
        <v>73349</v>
      </c>
      <c r="AZ127" s="705">
        <v>79212</v>
      </c>
      <c r="BA127" s="705">
        <v>80732</v>
      </c>
      <c r="BB127" s="705">
        <v>81792</v>
      </c>
      <c r="BC127" s="705">
        <v>82810</v>
      </c>
      <c r="BD127" s="705">
        <v>83782</v>
      </c>
      <c r="BE127" s="705">
        <v>83985</v>
      </c>
      <c r="BF127" s="705">
        <v>83370</v>
      </c>
      <c r="BG127" s="705">
        <v>84088</v>
      </c>
      <c r="BH127" s="705">
        <v>83494</v>
      </c>
      <c r="BI127" s="705">
        <v>84177</v>
      </c>
      <c r="BJ127" s="705">
        <v>87440</v>
      </c>
      <c r="BK127" s="705">
        <v>86293</v>
      </c>
      <c r="BL127" s="851">
        <v>86083</v>
      </c>
      <c r="BM127" s="2030">
        <f>'Teen births'!H127</f>
        <v>84837</v>
      </c>
      <c r="BN127" s="2030">
        <v>86083</v>
      </c>
      <c r="BO127" s="2030">
        <v>85357</v>
      </c>
      <c r="BP127" s="2030">
        <v>85169</v>
      </c>
      <c r="BQ127" s="2030">
        <v>85142</v>
      </c>
      <c r="BR127" s="2022">
        <v>85427</v>
      </c>
      <c r="BS127" s="1006">
        <v>84837</v>
      </c>
    </row>
    <row r="128" spans="1:75" s="49" customFormat="1" ht="15.75" customHeight="1" x14ac:dyDescent="0.3">
      <c r="A128" s="116" t="s">
        <v>251</v>
      </c>
      <c r="B128" s="90"/>
      <c r="C128" s="117"/>
      <c r="D128" s="722">
        <f t="shared" si="92"/>
        <v>26.16430374830064</v>
      </c>
      <c r="E128" s="723">
        <f t="shared" si="92"/>
        <v>25.422437567612867</v>
      </c>
      <c r="F128" s="723">
        <f t="shared" si="92"/>
        <v>24.942933231881302</v>
      </c>
      <c r="G128" s="723">
        <f t="shared" si="92"/>
        <v>24.200348308497308</v>
      </c>
      <c r="H128" s="723">
        <f t="shared" si="92"/>
        <v>23.263812888902788</v>
      </c>
      <c r="I128" s="723">
        <f t="shared" si="92"/>
        <v>21.303566215447969</v>
      </c>
      <c r="J128" s="723">
        <f t="shared" si="92"/>
        <v>21.586554001015838</v>
      </c>
      <c r="K128" s="723">
        <f t="shared" si="92"/>
        <v>21.111042222084446</v>
      </c>
      <c r="L128" s="723">
        <f t="shared" si="92"/>
        <v>21.461512562932111</v>
      </c>
      <c r="M128" s="723">
        <f t="shared" si="92"/>
        <v>21.50318710748461</v>
      </c>
      <c r="N128" s="723">
        <f t="shared" si="93"/>
        <v>20.230346309403437</v>
      </c>
      <c r="O128" s="723">
        <f t="shared" si="93"/>
        <v>19.306958769150995</v>
      </c>
      <c r="P128" s="723">
        <f t="shared" si="93"/>
        <v>17.725513398910337</v>
      </c>
      <c r="Q128" s="723">
        <f t="shared" si="93"/>
        <v>15.679046633170904</v>
      </c>
      <c r="R128" s="1011">
        <f t="shared" si="93"/>
        <v>14.462774596119328</v>
      </c>
      <c r="S128" s="1012">
        <f t="shared" si="93"/>
        <v>12.707424753955959</v>
      </c>
      <c r="T128" s="1643">
        <f t="shared" si="93"/>
        <v>10.34276433883238</v>
      </c>
      <c r="U128" s="1643">
        <f t="shared" si="93"/>
        <v>10.234008261187393</v>
      </c>
      <c r="V128" s="2033">
        <f t="shared" si="93"/>
        <v>9.2260560823792961</v>
      </c>
      <c r="W128" s="2036">
        <f t="shared" si="94"/>
        <v>8.7405429461504216</v>
      </c>
      <c r="X128" s="2035">
        <f t="shared" si="94"/>
        <v>8.2672666238125849</v>
      </c>
      <c r="Y128" s="2099">
        <f t="shared" si="95"/>
        <v>8.3014677568126665</v>
      </c>
      <c r="Z128" s="2099"/>
      <c r="AA128" s="710">
        <v>3368</v>
      </c>
      <c r="AB128" s="711">
        <v>3337</v>
      </c>
      <c r="AC128" s="712">
        <v>3147</v>
      </c>
      <c r="AD128" s="711">
        <v>3071</v>
      </c>
      <c r="AE128" s="712">
        <v>2976</v>
      </c>
      <c r="AF128" s="711">
        <v>2773</v>
      </c>
      <c r="AG128" s="712">
        <v>2805</v>
      </c>
      <c r="AH128" s="711">
        <v>2724</v>
      </c>
      <c r="AI128" s="690">
        <v>2741</v>
      </c>
      <c r="AJ128" s="690">
        <v>2746</v>
      </c>
      <c r="AK128" s="690">
        <v>2561</v>
      </c>
      <c r="AL128" s="690">
        <v>2383</v>
      </c>
      <c r="AM128" s="705">
        <v>2157</v>
      </c>
      <c r="AN128" s="705">
        <v>1863</v>
      </c>
      <c r="AO128" s="851">
        <v>1692</v>
      </c>
      <c r="AP128" s="1972">
        <v>1419</v>
      </c>
      <c r="AQ128" s="1972">
        <v>1210</v>
      </c>
      <c r="AR128" s="1972">
        <v>1162</v>
      </c>
      <c r="AS128" s="1972">
        <v>1042</v>
      </c>
      <c r="AT128" s="1096">
        <v>982</v>
      </c>
      <c r="AU128" s="2022">
        <v>926</v>
      </c>
      <c r="AV128" s="1006">
        <v>927</v>
      </c>
      <c r="AW128" s="1006"/>
      <c r="AX128" s="704">
        <v>128725</v>
      </c>
      <c r="AY128" s="705">
        <v>131262</v>
      </c>
      <c r="AZ128" s="705">
        <v>126168</v>
      </c>
      <c r="BA128" s="705">
        <v>126899</v>
      </c>
      <c r="BB128" s="705">
        <v>127924</v>
      </c>
      <c r="BC128" s="705">
        <v>130166</v>
      </c>
      <c r="BD128" s="705">
        <v>129942</v>
      </c>
      <c r="BE128" s="705">
        <v>129032</v>
      </c>
      <c r="BF128" s="705">
        <v>127717</v>
      </c>
      <c r="BG128" s="705">
        <v>127702</v>
      </c>
      <c r="BH128" s="705">
        <v>126592</v>
      </c>
      <c r="BI128" s="705">
        <v>123427</v>
      </c>
      <c r="BJ128" s="705">
        <v>121689</v>
      </c>
      <c r="BK128" s="705">
        <v>118821</v>
      </c>
      <c r="BL128" s="851">
        <v>116990</v>
      </c>
      <c r="BM128" s="2030">
        <f>'Teen births'!H128</f>
        <v>111667</v>
      </c>
      <c r="BN128" s="2030">
        <v>116990</v>
      </c>
      <c r="BO128" s="2030">
        <v>113543</v>
      </c>
      <c r="BP128" s="2030">
        <v>112941</v>
      </c>
      <c r="BQ128" s="2030">
        <v>112350</v>
      </c>
      <c r="BR128" s="2022">
        <v>112008</v>
      </c>
      <c r="BS128" s="1006">
        <v>111667</v>
      </c>
    </row>
    <row r="129" spans="1:71" s="49" customFormat="1" ht="15.75" customHeight="1" x14ac:dyDescent="0.3">
      <c r="A129" s="116" t="s">
        <v>254</v>
      </c>
      <c r="B129" s="90"/>
      <c r="C129" s="117"/>
      <c r="D129" s="722">
        <f t="shared" si="92"/>
        <v>15.764738543298501</v>
      </c>
      <c r="E129" s="723">
        <f t="shared" si="92"/>
        <v>16.032985099744973</v>
      </c>
      <c r="F129" s="723">
        <f t="shared" si="92"/>
        <v>15.172797871352989</v>
      </c>
      <c r="G129" s="723">
        <f t="shared" si="92"/>
        <v>14.699544845418641</v>
      </c>
      <c r="H129" s="723">
        <f t="shared" si="92"/>
        <v>13.647807075659202</v>
      </c>
      <c r="I129" s="723">
        <f t="shared" si="92"/>
        <v>13.240064310495585</v>
      </c>
      <c r="J129" s="723">
        <f t="shared" si="92"/>
        <v>13.554200197031248</v>
      </c>
      <c r="K129" s="723">
        <f t="shared" si="92"/>
        <v>13.39652965051347</v>
      </c>
      <c r="L129" s="723">
        <f t="shared" si="92"/>
        <v>14.365256733201829</v>
      </c>
      <c r="M129" s="723">
        <f t="shared" si="92"/>
        <v>13.871300092296465</v>
      </c>
      <c r="N129" s="723">
        <f t="shared" si="93"/>
        <v>12.676071436228373</v>
      </c>
      <c r="O129" s="723">
        <f t="shared" si="93"/>
        <v>11.092728275427401</v>
      </c>
      <c r="P129" s="723">
        <f t="shared" si="93"/>
        <v>9.6919975669466698</v>
      </c>
      <c r="Q129" s="723">
        <f t="shared" si="93"/>
        <v>8.8385018321324047</v>
      </c>
      <c r="R129" s="1011">
        <f t="shared" si="93"/>
        <v>8.3233556061952019</v>
      </c>
      <c r="S129" s="1012">
        <f t="shared" si="93"/>
        <v>6.4314991815671982</v>
      </c>
      <c r="T129" s="1643">
        <f t="shared" si="93"/>
        <v>6.9377389826580664</v>
      </c>
      <c r="U129" s="1643">
        <f t="shared" si="93"/>
        <v>6.0749115427956646</v>
      </c>
      <c r="V129" s="2033">
        <f t="shared" si="93"/>
        <v>5.9216005711095452</v>
      </c>
      <c r="W129" s="2036">
        <f t="shared" si="94"/>
        <v>5.494306394774747</v>
      </c>
      <c r="X129" s="2035">
        <f t="shared" si="94"/>
        <v>5.3554692729950464</v>
      </c>
      <c r="Y129" s="2099">
        <f t="shared" si="95"/>
        <v>5.1202226494030123</v>
      </c>
      <c r="Z129" s="2099"/>
      <c r="AA129" s="710">
        <v>2385</v>
      </c>
      <c r="AB129" s="711">
        <v>2477</v>
      </c>
      <c r="AC129" s="712">
        <v>2452</v>
      </c>
      <c r="AD129" s="711">
        <v>2490</v>
      </c>
      <c r="AE129" s="712">
        <v>2369</v>
      </c>
      <c r="AF129" s="711">
        <v>2347</v>
      </c>
      <c r="AG129" s="712">
        <v>2449</v>
      </c>
      <c r="AH129" s="711">
        <v>2459</v>
      </c>
      <c r="AI129" s="690">
        <v>2629</v>
      </c>
      <c r="AJ129" s="690">
        <v>2585</v>
      </c>
      <c r="AK129" s="690">
        <v>2365</v>
      </c>
      <c r="AL129" s="690">
        <v>2112</v>
      </c>
      <c r="AM129" s="705">
        <v>1928</v>
      </c>
      <c r="AN129" s="705">
        <v>1797</v>
      </c>
      <c r="AO129" s="851">
        <v>1724</v>
      </c>
      <c r="AP129" s="1972">
        <v>1442</v>
      </c>
      <c r="AQ129" s="1972">
        <v>1437</v>
      </c>
      <c r="AR129" s="1972">
        <v>1310</v>
      </c>
      <c r="AS129" s="1972">
        <v>1294</v>
      </c>
      <c r="AT129" s="1096">
        <v>1213</v>
      </c>
      <c r="AU129" s="2022">
        <v>1200</v>
      </c>
      <c r="AV129" s="1006">
        <v>1148</v>
      </c>
      <c r="AW129" s="1006"/>
      <c r="AX129" s="704">
        <v>151287</v>
      </c>
      <c r="AY129" s="705">
        <v>154494</v>
      </c>
      <c r="AZ129" s="705">
        <v>161605</v>
      </c>
      <c r="BA129" s="705">
        <v>169393</v>
      </c>
      <c r="BB129" s="705">
        <v>173581</v>
      </c>
      <c r="BC129" s="705">
        <v>177265</v>
      </c>
      <c r="BD129" s="705">
        <v>180682</v>
      </c>
      <c r="BE129" s="705">
        <v>183555</v>
      </c>
      <c r="BF129" s="705">
        <v>183011</v>
      </c>
      <c r="BG129" s="705">
        <v>186356</v>
      </c>
      <c r="BH129" s="705">
        <v>186572</v>
      </c>
      <c r="BI129" s="705">
        <v>190395</v>
      </c>
      <c r="BJ129" s="705">
        <v>198927</v>
      </c>
      <c r="BK129" s="705">
        <v>203315</v>
      </c>
      <c r="BL129" s="851">
        <v>207128</v>
      </c>
      <c r="BM129" s="2030">
        <f>'Teen births'!H129</f>
        <v>224209</v>
      </c>
      <c r="BN129" s="2030">
        <v>207128</v>
      </c>
      <c r="BO129" s="2030">
        <v>215641</v>
      </c>
      <c r="BP129" s="2030">
        <v>218522</v>
      </c>
      <c r="BQ129" s="2030">
        <v>220774</v>
      </c>
      <c r="BR129" s="2022">
        <v>224070</v>
      </c>
      <c r="BS129" s="1006">
        <v>224209</v>
      </c>
    </row>
    <row r="130" spans="1:71" s="49" customFormat="1" ht="15.75" customHeight="1" x14ac:dyDescent="0.3">
      <c r="A130" s="116" t="s">
        <v>252</v>
      </c>
      <c r="B130" s="90"/>
      <c r="C130" s="117"/>
      <c r="D130" s="722">
        <f t="shared" si="92"/>
        <v>24.536223252030158</v>
      </c>
      <c r="E130" s="723">
        <f t="shared" si="92"/>
        <v>24.082934609250401</v>
      </c>
      <c r="F130" s="723">
        <f t="shared" si="92"/>
        <v>22.519005547565236</v>
      </c>
      <c r="G130" s="723">
        <f t="shared" si="92"/>
        <v>21.08491999889463</v>
      </c>
      <c r="H130" s="723">
        <f t="shared" si="92"/>
        <v>20.721961972995317</v>
      </c>
      <c r="I130" s="723">
        <f t="shared" si="92"/>
        <v>21.208472442668711</v>
      </c>
      <c r="J130" s="723">
        <f t="shared" si="92"/>
        <v>20.124114689644781</v>
      </c>
      <c r="K130" s="723">
        <f t="shared" si="92"/>
        <v>19.695234979827717</v>
      </c>
      <c r="L130" s="723">
        <f t="shared" si="92"/>
        <v>20.951404381504013</v>
      </c>
      <c r="M130" s="723">
        <f t="shared" si="92"/>
        <v>22.107754420158706</v>
      </c>
      <c r="N130" s="723">
        <f t="shared" si="93"/>
        <v>22.013906483123609</v>
      </c>
      <c r="O130" s="723">
        <f t="shared" si="93"/>
        <v>19.821798418148205</v>
      </c>
      <c r="P130" s="723">
        <f t="shared" si="93"/>
        <v>16.561215660826303</v>
      </c>
      <c r="Q130" s="723">
        <f t="shared" si="93"/>
        <v>14.832450775146068</v>
      </c>
      <c r="R130" s="1011">
        <f t="shared" si="93"/>
        <v>13.397619740360504</v>
      </c>
      <c r="S130" s="1012">
        <f t="shared" si="93"/>
        <v>12.633974876109253</v>
      </c>
      <c r="T130" s="1643">
        <f t="shared" si="93"/>
        <v>11.707330590077172</v>
      </c>
      <c r="U130" s="1643">
        <f t="shared" si="93"/>
        <v>10.428981590947476</v>
      </c>
      <c r="V130" s="2033">
        <f t="shared" si="93"/>
        <v>9.7310812154617636</v>
      </c>
      <c r="W130" s="2036">
        <f t="shared" si="94"/>
        <v>9.754567105432038</v>
      </c>
      <c r="X130" s="2035">
        <f t="shared" si="94"/>
        <v>9.3276386647049581</v>
      </c>
      <c r="Y130" s="2099">
        <f t="shared" si="95"/>
        <v>8.6003226921747142</v>
      </c>
      <c r="Z130" s="2099"/>
      <c r="AA130" s="710">
        <v>1689</v>
      </c>
      <c r="AB130" s="711">
        <v>1661</v>
      </c>
      <c r="AC130" s="712">
        <v>1644</v>
      </c>
      <c r="AD130" s="711">
        <v>1526</v>
      </c>
      <c r="AE130" s="712">
        <v>1504</v>
      </c>
      <c r="AF130" s="711">
        <v>1550</v>
      </c>
      <c r="AG130" s="712">
        <v>1469</v>
      </c>
      <c r="AH130" s="711">
        <v>1445</v>
      </c>
      <c r="AI130" s="690">
        <v>1512</v>
      </c>
      <c r="AJ130" s="690">
        <v>1588</v>
      </c>
      <c r="AK130" s="690">
        <v>1564</v>
      </c>
      <c r="AL130" s="690">
        <v>1426</v>
      </c>
      <c r="AM130" s="705">
        <v>1225</v>
      </c>
      <c r="AN130" s="705">
        <v>1084</v>
      </c>
      <c r="AO130" s="851">
        <v>967</v>
      </c>
      <c r="AP130" s="1972">
        <v>877</v>
      </c>
      <c r="AQ130" s="1972">
        <v>845</v>
      </c>
      <c r="AR130" s="1972">
        <v>741</v>
      </c>
      <c r="AS130" s="1972">
        <v>685</v>
      </c>
      <c r="AT130" s="1096">
        <v>684</v>
      </c>
      <c r="AU130" s="2022">
        <v>653</v>
      </c>
      <c r="AV130" s="1006">
        <v>597</v>
      </c>
      <c r="AW130" s="1006"/>
      <c r="AX130" s="704">
        <v>68837</v>
      </c>
      <c r="AY130" s="705">
        <v>68970</v>
      </c>
      <c r="AZ130" s="705">
        <v>73005</v>
      </c>
      <c r="BA130" s="705">
        <v>72374</v>
      </c>
      <c r="BB130" s="705">
        <v>72580</v>
      </c>
      <c r="BC130" s="705">
        <v>73084</v>
      </c>
      <c r="BD130" s="705">
        <v>72997</v>
      </c>
      <c r="BE130" s="705">
        <v>73368</v>
      </c>
      <c r="BF130" s="705">
        <v>72167</v>
      </c>
      <c r="BG130" s="705">
        <v>71830</v>
      </c>
      <c r="BH130" s="705">
        <v>71046</v>
      </c>
      <c r="BI130" s="705">
        <v>71941</v>
      </c>
      <c r="BJ130" s="705">
        <v>73968</v>
      </c>
      <c r="BK130" s="705">
        <v>73083</v>
      </c>
      <c r="BL130" s="851">
        <v>72177</v>
      </c>
      <c r="BM130" s="2030">
        <f>'Teen births'!H130</f>
        <v>69416</v>
      </c>
      <c r="BN130" s="2030">
        <v>72177</v>
      </c>
      <c r="BO130" s="2030">
        <v>71052</v>
      </c>
      <c r="BP130" s="2030">
        <v>70393</v>
      </c>
      <c r="BQ130" s="2030">
        <v>70121</v>
      </c>
      <c r="BR130" s="2022">
        <v>70007</v>
      </c>
      <c r="BS130" s="1006">
        <v>69416</v>
      </c>
    </row>
    <row r="131" spans="1:71" s="49" customFormat="1" ht="15.75" customHeight="1" x14ac:dyDescent="0.3">
      <c r="A131" s="116" t="s">
        <v>255</v>
      </c>
      <c r="B131" s="90"/>
      <c r="C131" s="117"/>
      <c r="D131" s="722">
        <f t="shared" si="92"/>
        <v>23.944069177596131</v>
      </c>
      <c r="E131" s="723">
        <f t="shared" si="92"/>
        <v>23.337067264095587</v>
      </c>
      <c r="F131" s="723">
        <f t="shared" si="92"/>
        <v>22.588235294117649</v>
      </c>
      <c r="G131" s="723">
        <f t="shared" si="92"/>
        <v>21.740891781672833</v>
      </c>
      <c r="H131" s="723">
        <f t="shared" si="92"/>
        <v>20.27008518914181</v>
      </c>
      <c r="I131" s="723">
        <f t="shared" si="92"/>
        <v>18.822942366867185</v>
      </c>
      <c r="J131" s="723">
        <f t="shared" si="92"/>
        <v>19.717292898997474</v>
      </c>
      <c r="K131" s="723">
        <f t="shared" si="92"/>
        <v>19.798703984558113</v>
      </c>
      <c r="L131" s="723">
        <f t="shared" si="92"/>
        <v>20.067075029795724</v>
      </c>
      <c r="M131" s="723">
        <f t="shared" si="92"/>
        <v>22.691793041926854</v>
      </c>
      <c r="N131" s="723">
        <f t="shared" si="93"/>
        <v>23.714301808145102</v>
      </c>
      <c r="O131" s="723">
        <f t="shared" si="93"/>
        <v>22.311022311022313</v>
      </c>
      <c r="P131" s="723">
        <f t="shared" si="93"/>
        <v>22.179649766601006</v>
      </c>
      <c r="Q131" s="723">
        <f t="shared" si="93"/>
        <v>18.868450390189523</v>
      </c>
      <c r="R131" s="1011">
        <f t="shared" si="93"/>
        <v>19.05972045743329</v>
      </c>
      <c r="S131" s="1012">
        <f t="shared" si="93"/>
        <v>18.288505644416645</v>
      </c>
      <c r="T131" s="1643">
        <f t="shared" si="93"/>
        <v>15.332486234646336</v>
      </c>
      <c r="U131" s="1643">
        <f t="shared" si="93"/>
        <v>15.02542764678687</v>
      </c>
      <c r="V131" s="2033">
        <f t="shared" si="93"/>
        <v>13.077237433592154</v>
      </c>
      <c r="W131" s="2036">
        <f t="shared" si="94"/>
        <v>11.825768969889999</v>
      </c>
      <c r="X131" s="2035">
        <f t="shared" si="94"/>
        <v>11.719094193320997</v>
      </c>
      <c r="Y131" s="2099">
        <f t="shared" si="95"/>
        <v>10.395258094301969</v>
      </c>
      <c r="Z131" s="2099"/>
      <c r="AA131" s="710">
        <v>911</v>
      </c>
      <c r="AB131" s="711">
        <v>875</v>
      </c>
      <c r="AC131" s="712">
        <v>864</v>
      </c>
      <c r="AD131" s="711">
        <v>805</v>
      </c>
      <c r="AE131" s="712">
        <v>740</v>
      </c>
      <c r="AF131" s="711">
        <v>679</v>
      </c>
      <c r="AG131" s="712">
        <v>710</v>
      </c>
      <c r="AH131" s="711">
        <v>718</v>
      </c>
      <c r="AI131" s="690">
        <v>724</v>
      </c>
      <c r="AJ131" s="690">
        <v>814</v>
      </c>
      <c r="AK131" s="690">
        <v>842</v>
      </c>
      <c r="AL131" s="690">
        <v>804</v>
      </c>
      <c r="AM131" s="705">
        <v>822</v>
      </c>
      <c r="AN131" s="705">
        <v>677</v>
      </c>
      <c r="AO131" s="851">
        <v>675</v>
      </c>
      <c r="AP131" s="1972">
        <v>614</v>
      </c>
      <c r="AQ131" s="1972">
        <v>543</v>
      </c>
      <c r="AR131" s="1972">
        <v>520</v>
      </c>
      <c r="AS131" s="1972">
        <v>448</v>
      </c>
      <c r="AT131" s="1096">
        <v>401</v>
      </c>
      <c r="AU131" s="2022">
        <v>399</v>
      </c>
      <c r="AV131" s="1006">
        <v>349</v>
      </c>
      <c r="AW131" s="1006"/>
      <c r="AX131" s="704">
        <v>38047</v>
      </c>
      <c r="AY131" s="705">
        <v>37494</v>
      </c>
      <c r="AZ131" s="705">
        <v>38250</v>
      </c>
      <c r="BA131" s="705">
        <v>37027</v>
      </c>
      <c r="BB131" s="705">
        <v>36507</v>
      </c>
      <c r="BC131" s="705">
        <v>36073</v>
      </c>
      <c r="BD131" s="705">
        <v>36009</v>
      </c>
      <c r="BE131" s="705">
        <v>36265</v>
      </c>
      <c r="BF131" s="705">
        <v>36079</v>
      </c>
      <c r="BG131" s="705">
        <v>35872</v>
      </c>
      <c r="BH131" s="705">
        <v>35506</v>
      </c>
      <c r="BI131" s="705">
        <v>36036</v>
      </c>
      <c r="BJ131" s="705">
        <v>37061</v>
      </c>
      <c r="BK131" s="705">
        <v>35880</v>
      </c>
      <c r="BL131" s="851">
        <v>35415</v>
      </c>
      <c r="BM131" s="2030">
        <f>'Teen births'!H131</f>
        <v>33573</v>
      </c>
      <c r="BN131" s="2030">
        <v>35415</v>
      </c>
      <c r="BO131" s="2030">
        <v>34608</v>
      </c>
      <c r="BP131" s="2030">
        <v>34258</v>
      </c>
      <c r="BQ131" s="2030">
        <v>33909</v>
      </c>
      <c r="BR131" s="2022">
        <v>34047</v>
      </c>
      <c r="BS131" s="1006">
        <v>33573</v>
      </c>
    </row>
    <row r="132" spans="1:71" s="49" customFormat="1" ht="15.75" customHeight="1" x14ac:dyDescent="0.3">
      <c r="A132" s="116"/>
      <c r="B132" s="90"/>
      <c r="C132" s="117"/>
      <c r="AA132" s="59"/>
      <c r="AB132" s="58"/>
      <c r="AC132" s="59"/>
      <c r="AD132" s="118"/>
      <c r="AE132" s="59"/>
      <c r="AF132" s="58"/>
      <c r="AG132" s="59"/>
      <c r="AH132" s="58"/>
      <c r="AI132" s="119"/>
      <c r="AJ132" s="119"/>
      <c r="AK132" s="119"/>
      <c r="AL132" s="119"/>
    </row>
    <row r="133" spans="1:71" ht="18" customHeight="1" x14ac:dyDescent="0.3">
      <c r="A133" s="2087" t="s">
        <v>438</v>
      </c>
      <c r="B133" s="2087"/>
      <c r="C133" s="2087"/>
      <c r="AA133" s="2087"/>
      <c r="AB133" s="2087"/>
      <c r="AC133" s="2087"/>
      <c r="AD133" s="2087"/>
    </row>
    <row r="134" spans="1:71" s="81" customFormat="1" ht="13.8" x14ac:dyDescent="0.3">
      <c r="A134" s="81" t="s">
        <v>247</v>
      </c>
    </row>
    <row r="135" spans="1:71" s="81" customFormat="1" ht="13.8" x14ac:dyDescent="0.3">
      <c r="A135" s="87" t="s">
        <v>248</v>
      </c>
      <c r="B135" s="71" t="s">
        <v>249</v>
      </c>
    </row>
  </sheetData>
  <autoFilter ref="A4:C125"/>
  <sortState ref="A6:BM125">
    <sortCondition ref="A6:A125"/>
  </sortState>
  <mergeCells count="3">
    <mergeCell ref="AX3:BN3"/>
    <mergeCell ref="D3:Y3"/>
    <mergeCell ref="AA3:AV3"/>
  </mergeCells>
  <hyperlinks>
    <hyperlink ref="B135" r:id="rId1"/>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selection activeCell="Q19" sqref="Q19"/>
    </sheetView>
  </sheetViews>
  <sheetFormatPr defaultColWidth="9" defaultRowHeight="13.8" x14ac:dyDescent="0.3"/>
  <cols>
    <col min="1" max="1" width="9" style="726"/>
    <col min="2" max="2" width="24.5" style="726" customWidth="1"/>
    <col min="3" max="3" width="13.59765625" style="726" customWidth="1"/>
    <col min="4" max="7" width="9" style="726"/>
    <col min="8" max="9" width="9.5" style="726" customWidth="1"/>
    <col min="10" max="10" width="8.796875" style="726" customWidth="1"/>
    <col min="11" max="11" width="9.8984375" style="726" customWidth="1"/>
    <col min="12" max="15" width="6.796875" style="726" customWidth="1"/>
    <col min="16" max="16384" width="9" style="726"/>
  </cols>
  <sheetData>
    <row r="1" spans="1:15" ht="15.6" x14ac:dyDescent="0.3">
      <c r="A1" s="725" t="s">
        <v>1052</v>
      </c>
    </row>
    <row r="3" spans="1:15" x14ac:dyDescent="0.3">
      <c r="B3" s="727"/>
      <c r="C3" s="727"/>
      <c r="D3" s="2532" t="s">
        <v>849</v>
      </c>
      <c r="E3" s="2533"/>
      <c r="F3" s="2533"/>
      <c r="G3" s="2534"/>
      <c r="H3" s="2532" t="s">
        <v>626</v>
      </c>
      <c r="I3" s="2533"/>
      <c r="J3" s="2533"/>
      <c r="K3" s="2534"/>
      <c r="L3" s="2535" t="s">
        <v>548</v>
      </c>
      <c r="M3" s="2535"/>
      <c r="N3" s="2535"/>
      <c r="O3" s="2535"/>
    </row>
    <row r="4" spans="1:15" x14ac:dyDescent="0.3">
      <c r="A4" s="728" t="s">
        <v>4</v>
      </c>
      <c r="B4" s="728" t="s">
        <v>402</v>
      </c>
      <c r="C4" s="728" t="s">
        <v>250</v>
      </c>
      <c r="D4" s="729" t="s">
        <v>262</v>
      </c>
      <c r="E4" s="730" t="s">
        <v>2</v>
      </c>
      <c r="F4" s="730" t="s">
        <v>298</v>
      </c>
      <c r="G4" s="731" t="s">
        <v>299</v>
      </c>
      <c r="H4" s="729" t="s">
        <v>262</v>
      </c>
      <c r="I4" s="730" t="s">
        <v>2</v>
      </c>
      <c r="J4" s="730" t="s">
        <v>298</v>
      </c>
      <c r="K4" s="731" t="s">
        <v>299</v>
      </c>
      <c r="L4" s="729" t="s">
        <v>262</v>
      </c>
      <c r="M4" s="730" t="s">
        <v>2</v>
      </c>
      <c r="N4" s="730" t="s">
        <v>298</v>
      </c>
      <c r="O4" s="731" t="s">
        <v>299</v>
      </c>
    </row>
    <row r="5" spans="1:15" x14ac:dyDescent="0.3">
      <c r="A5" s="736" t="s">
        <v>7</v>
      </c>
      <c r="B5" s="737" t="s">
        <v>8</v>
      </c>
      <c r="C5" s="737"/>
      <c r="D5" s="738">
        <f>SUM(D6:D125)</f>
        <v>20153</v>
      </c>
      <c r="E5" s="739">
        <f t="shared" ref="E5:K5" si="0">SUM(E6:E125)</f>
        <v>10423</v>
      </c>
      <c r="F5" s="739">
        <f t="shared" si="0"/>
        <v>6438</v>
      </c>
      <c r="G5" s="740">
        <f t="shared" si="0"/>
        <v>3292</v>
      </c>
      <c r="H5" s="738">
        <f t="shared" si="0"/>
        <v>2613011</v>
      </c>
      <c r="I5" s="741">
        <f t="shared" si="0"/>
        <v>1772623</v>
      </c>
      <c r="J5" s="741">
        <f t="shared" si="0"/>
        <v>618127</v>
      </c>
      <c r="K5" s="740">
        <f t="shared" si="0"/>
        <v>222261</v>
      </c>
      <c r="L5" s="749">
        <f t="shared" ref="L5:O20" si="1">IF(H5=0,"NA",(D5/H5)*1000)</f>
        <v>7.7125584239790799</v>
      </c>
      <c r="M5" s="750">
        <f t="shared" si="1"/>
        <v>5.8799868894852425</v>
      </c>
      <c r="N5" s="750">
        <f t="shared" si="1"/>
        <v>10.41533535988559</v>
      </c>
      <c r="O5" s="751">
        <f t="shared" si="1"/>
        <v>14.811415408011301</v>
      </c>
    </row>
    <row r="6" spans="1:15" x14ac:dyDescent="0.3">
      <c r="A6" s="726" t="s">
        <v>9</v>
      </c>
      <c r="B6" s="726" t="s">
        <v>10</v>
      </c>
      <c r="C6" s="726" t="s">
        <v>251</v>
      </c>
      <c r="D6" s="732">
        <v>118</v>
      </c>
      <c r="E6" s="733">
        <v>62</v>
      </c>
      <c r="F6" s="733">
        <v>52</v>
      </c>
      <c r="G6" s="734">
        <v>4</v>
      </c>
      <c r="H6" s="732">
        <v>8547</v>
      </c>
      <c r="I6" s="733">
        <v>5399</v>
      </c>
      <c r="J6" s="733">
        <v>2933</v>
      </c>
      <c r="K6" s="734">
        <v>215</v>
      </c>
      <c r="L6" s="752">
        <f t="shared" si="1"/>
        <v>13.806013806013807</v>
      </c>
      <c r="M6" s="753">
        <f t="shared" si="1"/>
        <v>11.483608075569549</v>
      </c>
      <c r="N6" s="753">
        <f t="shared" si="1"/>
        <v>17.729287419024889</v>
      </c>
      <c r="O6" s="754">
        <f t="shared" si="1"/>
        <v>18.604651162790699</v>
      </c>
    </row>
    <row r="7" spans="1:15" x14ac:dyDescent="0.3">
      <c r="A7" s="726" t="s">
        <v>11</v>
      </c>
      <c r="B7" s="726" t="s">
        <v>12</v>
      </c>
      <c r="C7" s="726" t="s">
        <v>252</v>
      </c>
      <c r="D7" s="732">
        <v>118</v>
      </c>
      <c r="E7" s="733">
        <v>76</v>
      </c>
      <c r="F7" s="733">
        <v>23</v>
      </c>
      <c r="G7" s="734">
        <v>19</v>
      </c>
      <c r="H7" s="732">
        <v>39403</v>
      </c>
      <c r="I7" s="733">
        <v>31114</v>
      </c>
      <c r="J7" s="733">
        <v>4783</v>
      </c>
      <c r="K7" s="734">
        <v>3506</v>
      </c>
      <c r="L7" s="752">
        <f t="shared" si="1"/>
        <v>2.9946958353424864</v>
      </c>
      <c r="M7" s="753">
        <f t="shared" si="1"/>
        <v>2.4426303271839043</v>
      </c>
      <c r="N7" s="753">
        <f t="shared" si="1"/>
        <v>4.8086974702069831</v>
      </c>
      <c r="O7" s="754">
        <f t="shared" si="1"/>
        <v>5.4192812321734172</v>
      </c>
    </row>
    <row r="8" spans="1:15" x14ac:dyDescent="0.3">
      <c r="A8" s="726" t="s">
        <v>15</v>
      </c>
      <c r="B8" s="726" t="s">
        <v>273</v>
      </c>
      <c r="C8" s="726" t="s">
        <v>252</v>
      </c>
      <c r="D8" s="732">
        <v>124</v>
      </c>
      <c r="E8" s="733">
        <v>102</v>
      </c>
      <c r="F8" s="733">
        <v>15</v>
      </c>
      <c r="G8" s="734">
        <v>7</v>
      </c>
      <c r="H8" s="732">
        <v>9927</v>
      </c>
      <c r="I8" s="733">
        <v>9040</v>
      </c>
      <c r="J8" s="733">
        <v>720</v>
      </c>
      <c r="K8" s="734">
        <v>167</v>
      </c>
      <c r="L8" s="752">
        <f t="shared" si="1"/>
        <v>12.491185655283571</v>
      </c>
      <c r="M8" s="753">
        <f t="shared" si="1"/>
        <v>11.283185840707965</v>
      </c>
      <c r="N8" s="753">
        <f t="shared" si="1"/>
        <v>20.833333333333332</v>
      </c>
      <c r="O8" s="754">
        <f t="shared" si="1"/>
        <v>41.916167664670652</v>
      </c>
    </row>
    <row r="9" spans="1:15" x14ac:dyDescent="0.3">
      <c r="A9" s="726" t="s">
        <v>17</v>
      </c>
      <c r="B9" s="726" t="s">
        <v>18</v>
      </c>
      <c r="C9" s="726" t="s">
        <v>253</v>
      </c>
      <c r="D9" s="732">
        <v>19</v>
      </c>
      <c r="E9" s="733">
        <v>17</v>
      </c>
      <c r="F9" s="733">
        <v>2</v>
      </c>
      <c r="G9" s="734">
        <v>0</v>
      </c>
      <c r="H9" s="732">
        <v>2855</v>
      </c>
      <c r="I9" s="733">
        <v>2157</v>
      </c>
      <c r="J9" s="733">
        <v>616</v>
      </c>
      <c r="K9" s="734">
        <v>82</v>
      </c>
      <c r="L9" s="752">
        <f t="shared" si="1"/>
        <v>6.6549912434325744</v>
      </c>
      <c r="M9" s="753">
        <f t="shared" si="1"/>
        <v>7.8813166434863247</v>
      </c>
      <c r="N9" s="753">
        <f t="shared" si="1"/>
        <v>3.2467532467532472</v>
      </c>
      <c r="O9" s="754">
        <f t="shared" si="1"/>
        <v>0</v>
      </c>
    </row>
    <row r="10" spans="1:15" x14ac:dyDescent="0.3">
      <c r="A10" s="726" t="s">
        <v>19</v>
      </c>
      <c r="B10" s="726" t="s">
        <v>20</v>
      </c>
      <c r="C10" s="726" t="s">
        <v>252</v>
      </c>
      <c r="D10" s="732">
        <v>72</v>
      </c>
      <c r="E10" s="733">
        <v>49</v>
      </c>
      <c r="F10" s="733">
        <v>18</v>
      </c>
      <c r="G10" s="734">
        <v>5</v>
      </c>
      <c r="H10" s="732">
        <v>6963</v>
      </c>
      <c r="I10" s="733">
        <v>5354</v>
      </c>
      <c r="J10" s="733">
        <v>1470</v>
      </c>
      <c r="K10" s="734">
        <v>139</v>
      </c>
      <c r="L10" s="752">
        <f t="shared" si="1"/>
        <v>10.340370529943989</v>
      </c>
      <c r="M10" s="753">
        <f t="shared" si="1"/>
        <v>9.1520358610384758</v>
      </c>
      <c r="N10" s="753">
        <f t="shared" si="1"/>
        <v>12.244897959183673</v>
      </c>
      <c r="O10" s="754">
        <f t="shared" si="1"/>
        <v>35.97122302158273</v>
      </c>
    </row>
    <row r="11" spans="1:15" x14ac:dyDescent="0.3">
      <c r="A11" s="726" t="s">
        <v>21</v>
      </c>
      <c r="B11" s="726" t="s">
        <v>22</v>
      </c>
      <c r="C11" s="726" t="s">
        <v>252</v>
      </c>
      <c r="D11" s="732">
        <v>60</v>
      </c>
      <c r="E11" s="733">
        <v>45</v>
      </c>
      <c r="F11" s="733">
        <v>14</v>
      </c>
      <c r="G11" s="734">
        <v>1</v>
      </c>
      <c r="H11" s="732">
        <v>6339</v>
      </c>
      <c r="I11" s="733">
        <v>4835</v>
      </c>
      <c r="J11" s="733">
        <v>1423</v>
      </c>
      <c r="K11" s="734">
        <v>81</v>
      </c>
      <c r="L11" s="752">
        <f t="shared" si="1"/>
        <v>9.4652153336488407</v>
      </c>
      <c r="M11" s="753">
        <f t="shared" si="1"/>
        <v>9.3071354705274043</v>
      </c>
      <c r="N11" s="753">
        <f t="shared" si="1"/>
        <v>9.8383696416022488</v>
      </c>
      <c r="O11" s="754">
        <f t="shared" si="1"/>
        <v>12.345679012345679</v>
      </c>
    </row>
    <row r="12" spans="1:15" x14ac:dyDescent="0.3">
      <c r="A12" s="726" t="s">
        <v>23</v>
      </c>
      <c r="B12" s="726" t="s">
        <v>24</v>
      </c>
      <c r="C12" s="726" t="s">
        <v>254</v>
      </c>
      <c r="D12" s="732">
        <v>148</v>
      </c>
      <c r="E12" s="733">
        <v>81</v>
      </c>
      <c r="F12" s="733">
        <v>23</v>
      </c>
      <c r="G12" s="734">
        <v>44</v>
      </c>
      <c r="H12" s="732">
        <v>30173</v>
      </c>
      <c r="I12" s="733">
        <v>22495</v>
      </c>
      <c r="J12" s="733">
        <v>4056</v>
      </c>
      <c r="K12" s="734">
        <v>3622</v>
      </c>
      <c r="L12" s="752">
        <f t="shared" si="1"/>
        <v>4.905047559075995</v>
      </c>
      <c r="M12" s="753">
        <f t="shared" si="1"/>
        <v>3.6008001778172929</v>
      </c>
      <c r="N12" s="753">
        <f t="shared" si="1"/>
        <v>5.6706114398422098</v>
      </c>
      <c r="O12" s="754">
        <f t="shared" si="1"/>
        <v>12.147984538928769</v>
      </c>
    </row>
    <row r="13" spans="1:15" x14ac:dyDescent="0.3">
      <c r="A13" s="726" t="s">
        <v>25</v>
      </c>
      <c r="B13" s="726" t="s">
        <v>274</v>
      </c>
      <c r="C13" s="726" t="s">
        <v>252</v>
      </c>
      <c r="D13" s="732">
        <v>1016</v>
      </c>
      <c r="E13" s="733">
        <v>484</v>
      </c>
      <c r="F13" s="733">
        <v>418</v>
      </c>
      <c r="G13" s="734">
        <v>114</v>
      </c>
      <c r="H13" s="732">
        <v>116986</v>
      </c>
      <c r="I13" s="733">
        <v>74906</v>
      </c>
      <c r="J13" s="733">
        <v>33390</v>
      </c>
      <c r="K13" s="734">
        <v>8690</v>
      </c>
      <c r="L13" s="752">
        <f t="shared" si="1"/>
        <v>8.6847998905851984</v>
      </c>
      <c r="M13" s="753">
        <f t="shared" si="1"/>
        <v>6.4614316610151388</v>
      </c>
      <c r="N13" s="753">
        <f t="shared" si="1"/>
        <v>12.518718179095536</v>
      </c>
      <c r="O13" s="754">
        <f t="shared" si="1"/>
        <v>13.118527042577675</v>
      </c>
    </row>
    <row r="14" spans="1:15" x14ac:dyDescent="0.3">
      <c r="A14" s="726" t="s">
        <v>26</v>
      </c>
      <c r="B14" s="726" t="s">
        <v>27</v>
      </c>
      <c r="C14" s="726" t="s">
        <v>252</v>
      </c>
      <c r="D14" s="732">
        <v>67</v>
      </c>
      <c r="E14" s="733">
        <v>64</v>
      </c>
      <c r="F14" s="733">
        <v>1</v>
      </c>
      <c r="G14" s="734">
        <v>2</v>
      </c>
      <c r="H14" s="732">
        <v>8813</v>
      </c>
      <c r="I14" s="733">
        <v>8294</v>
      </c>
      <c r="J14" s="733">
        <v>418</v>
      </c>
      <c r="K14" s="734">
        <v>101</v>
      </c>
      <c r="L14" s="752">
        <f t="shared" si="1"/>
        <v>7.602405537274481</v>
      </c>
      <c r="M14" s="753">
        <f t="shared" si="1"/>
        <v>7.7164215095249578</v>
      </c>
      <c r="N14" s="753">
        <f t="shared" si="1"/>
        <v>2.3923444976076556</v>
      </c>
      <c r="O14" s="754">
        <f t="shared" si="1"/>
        <v>19.801980198019802</v>
      </c>
    </row>
    <row r="15" spans="1:15" x14ac:dyDescent="0.3">
      <c r="A15" s="726" t="s">
        <v>28</v>
      </c>
      <c r="B15" s="726" t="s">
        <v>568</v>
      </c>
      <c r="C15" s="726" t="s">
        <v>252</v>
      </c>
      <c r="D15" s="732">
        <v>122</v>
      </c>
      <c r="E15" s="733">
        <v>108</v>
      </c>
      <c r="F15" s="733">
        <v>10</v>
      </c>
      <c r="G15" s="734">
        <v>4</v>
      </c>
      <c r="H15" s="732">
        <v>16571</v>
      </c>
      <c r="I15" s="733">
        <v>14444</v>
      </c>
      <c r="J15" s="733">
        <v>1664</v>
      </c>
      <c r="K15" s="734">
        <v>463</v>
      </c>
      <c r="L15" s="752">
        <f t="shared" si="1"/>
        <v>7.3622593687767788</v>
      </c>
      <c r="M15" s="753">
        <f t="shared" si="1"/>
        <v>7.477153143173636</v>
      </c>
      <c r="N15" s="753">
        <f t="shared" si="1"/>
        <v>6.009615384615385</v>
      </c>
      <c r="O15" s="754">
        <f t="shared" si="1"/>
        <v>8.6393088552915778</v>
      </c>
    </row>
    <row r="16" spans="1:15" x14ac:dyDescent="0.3">
      <c r="A16" s="726" t="s">
        <v>29</v>
      </c>
      <c r="B16" s="726" t="s">
        <v>30</v>
      </c>
      <c r="C16" s="726" t="s">
        <v>255</v>
      </c>
      <c r="D16" s="732">
        <v>41</v>
      </c>
      <c r="E16" s="733">
        <v>37</v>
      </c>
      <c r="F16" s="733">
        <v>4</v>
      </c>
      <c r="G16" s="734">
        <v>0</v>
      </c>
      <c r="H16" s="732">
        <v>3371</v>
      </c>
      <c r="I16" s="733">
        <v>2757</v>
      </c>
      <c r="J16" s="733">
        <v>570</v>
      </c>
      <c r="K16" s="734">
        <v>44</v>
      </c>
      <c r="L16" s="752">
        <f t="shared" si="1"/>
        <v>12.16256303767428</v>
      </c>
      <c r="M16" s="753">
        <f t="shared" si="1"/>
        <v>13.42038447587958</v>
      </c>
      <c r="N16" s="753">
        <f t="shared" si="1"/>
        <v>7.0175438596491233</v>
      </c>
      <c r="O16" s="754">
        <f t="shared" si="1"/>
        <v>0</v>
      </c>
    </row>
    <row r="17" spans="1:15" x14ac:dyDescent="0.3">
      <c r="A17" s="726" t="s">
        <v>31</v>
      </c>
      <c r="B17" s="726" t="s">
        <v>32</v>
      </c>
      <c r="C17" s="726" t="s">
        <v>252</v>
      </c>
      <c r="D17" s="732">
        <v>36</v>
      </c>
      <c r="E17" s="733">
        <v>35</v>
      </c>
      <c r="F17" s="733">
        <v>1</v>
      </c>
      <c r="G17" s="734">
        <v>0</v>
      </c>
      <c r="H17" s="732">
        <v>6222</v>
      </c>
      <c r="I17" s="733">
        <v>5884</v>
      </c>
      <c r="J17" s="733">
        <v>233</v>
      </c>
      <c r="K17" s="734">
        <v>105</v>
      </c>
      <c r="L17" s="752">
        <f t="shared" si="1"/>
        <v>5.785920925747349</v>
      </c>
      <c r="M17" s="753">
        <f t="shared" si="1"/>
        <v>5.9483344663494222</v>
      </c>
      <c r="N17" s="753">
        <f t="shared" si="1"/>
        <v>4.2918454935622314</v>
      </c>
      <c r="O17" s="754">
        <f t="shared" si="1"/>
        <v>0</v>
      </c>
    </row>
    <row r="18" spans="1:15" x14ac:dyDescent="0.3">
      <c r="A18" s="726" t="s">
        <v>35</v>
      </c>
      <c r="B18" s="726" t="s">
        <v>36</v>
      </c>
      <c r="C18" s="726" t="s">
        <v>251</v>
      </c>
      <c r="D18" s="732">
        <v>103</v>
      </c>
      <c r="E18" s="733">
        <v>69</v>
      </c>
      <c r="F18" s="733">
        <v>33</v>
      </c>
      <c r="G18" s="734">
        <v>1</v>
      </c>
      <c r="H18" s="732">
        <v>11592</v>
      </c>
      <c r="I18" s="733">
        <v>9113</v>
      </c>
      <c r="J18" s="733">
        <v>2176</v>
      </c>
      <c r="K18" s="734">
        <v>303</v>
      </c>
      <c r="L18" s="752">
        <f t="shared" si="1"/>
        <v>8.8854382332643205</v>
      </c>
      <c r="M18" s="753">
        <f t="shared" si="1"/>
        <v>7.5716010095468018</v>
      </c>
      <c r="N18" s="753">
        <f t="shared" si="1"/>
        <v>15.165441176470589</v>
      </c>
      <c r="O18" s="754">
        <f t="shared" si="1"/>
        <v>3.3003300330033003</v>
      </c>
    </row>
    <row r="19" spans="1:15" x14ac:dyDescent="0.3">
      <c r="A19" s="726" t="s">
        <v>37</v>
      </c>
      <c r="B19" s="726" t="s">
        <v>38</v>
      </c>
      <c r="C19" s="726" t="s">
        <v>255</v>
      </c>
      <c r="D19" s="732">
        <v>62</v>
      </c>
      <c r="E19" s="733">
        <v>61</v>
      </c>
      <c r="F19" s="733">
        <v>1</v>
      </c>
      <c r="G19" s="734">
        <v>0</v>
      </c>
      <c r="H19" s="732">
        <v>3850</v>
      </c>
      <c r="I19" s="733">
        <v>3679</v>
      </c>
      <c r="J19" s="733">
        <v>152</v>
      </c>
      <c r="K19" s="734">
        <v>19</v>
      </c>
      <c r="L19" s="752">
        <f t="shared" si="1"/>
        <v>16.103896103896101</v>
      </c>
      <c r="M19" s="753">
        <f t="shared" si="1"/>
        <v>16.580592552323999</v>
      </c>
      <c r="N19" s="753">
        <f t="shared" si="1"/>
        <v>6.5789473684210522</v>
      </c>
      <c r="O19" s="754">
        <f t="shared" si="1"/>
        <v>0</v>
      </c>
    </row>
    <row r="20" spans="1:15" x14ac:dyDescent="0.3">
      <c r="A20" s="726" t="s">
        <v>39</v>
      </c>
      <c r="B20" s="726" t="s">
        <v>40</v>
      </c>
      <c r="C20" s="726" t="s">
        <v>253</v>
      </c>
      <c r="D20" s="732">
        <v>38</v>
      </c>
      <c r="E20" s="733">
        <v>34</v>
      </c>
      <c r="F20" s="733">
        <v>4</v>
      </c>
      <c r="G20" s="734">
        <v>0</v>
      </c>
      <c r="H20" s="732">
        <v>6252</v>
      </c>
      <c r="I20" s="733">
        <v>5203</v>
      </c>
      <c r="J20" s="733">
        <v>949</v>
      </c>
      <c r="K20" s="734">
        <v>100</v>
      </c>
      <c r="L20" s="752">
        <f t="shared" si="1"/>
        <v>6.0780550223928351</v>
      </c>
      <c r="M20" s="753">
        <f t="shared" si="1"/>
        <v>6.5346915241206993</v>
      </c>
      <c r="N20" s="753">
        <f t="shared" si="1"/>
        <v>4.2149631190727082</v>
      </c>
      <c r="O20" s="754">
        <f t="shared" si="1"/>
        <v>0</v>
      </c>
    </row>
    <row r="21" spans="1:15" x14ac:dyDescent="0.3">
      <c r="A21" s="726" t="s">
        <v>41</v>
      </c>
      <c r="B21" s="726" t="s">
        <v>42</v>
      </c>
      <c r="C21" s="726" t="s">
        <v>252</v>
      </c>
      <c r="D21" s="732">
        <v>117</v>
      </c>
      <c r="E21" s="733">
        <v>75</v>
      </c>
      <c r="F21" s="733">
        <v>41</v>
      </c>
      <c r="G21" s="734">
        <v>1</v>
      </c>
      <c r="H21" s="732">
        <v>10759</v>
      </c>
      <c r="I21" s="733">
        <v>8095</v>
      </c>
      <c r="J21" s="733">
        <v>2414</v>
      </c>
      <c r="K21" s="734">
        <v>250</v>
      </c>
      <c r="L21" s="752">
        <f t="shared" ref="L21:O52" si="2">IF(H21=0,"NA",(D21/H21)*1000)</f>
        <v>10.874616600055768</v>
      </c>
      <c r="M21" s="753">
        <f t="shared" si="2"/>
        <v>9.2649783817171087</v>
      </c>
      <c r="N21" s="753">
        <f t="shared" si="2"/>
        <v>16.984258492129246</v>
      </c>
      <c r="O21" s="754">
        <f t="shared" si="2"/>
        <v>4</v>
      </c>
    </row>
    <row r="22" spans="1:15" x14ac:dyDescent="0.3">
      <c r="A22" s="726" t="s">
        <v>43</v>
      </c>
      <c r="B22" s="726" t="s">
        <v>44</v>
      </c>
      <c r="C22" s="726" t="s">
        <v>253</v>
      </c>
      <c r="D22" s="732">
        <v>102</v>
      </c>
      <c r="E22" s="733">
        <v>76</v>
      </c>
      <c r="F22" s="733">
        <v>22</v>
      </c>
      <c r="G22" s="734">
        <v>4</v>
      </c>
      <c r="H22" s="732">
        <v>7397</v>
      </c>
      <c r="I22" s="733">
        <v>5521</v>
      </c>
      <c r="J22" s="733">
        <v>1756</v>
      </c>
      <c r="K22" s="734">
        <v>120</v>
      </c>
      <c r="L22" s="752">
        <f t="shared" si="2"/>
        <v>13.789374070569149</v>
      </c>
      <c r="M22" s="753">
        <f t="shared" si="2"/>
        <v>13.765622169896758</v>
      </c>
      <c r="N22" s="753">
        <f t="shared" si="2"/>
        <v>12.528473804100228</v>
      </c>
      <c r="O22" s="754">
        <f t="shared" si="2"/>
        <v>33.333333333333336</v>
      </c>
    </row>
    <row r="23" spans="1:15" x14ac:dyDescent="0.3">
      <c r="A23" s="726" t="s">
        <v>45</v>
      </c>
      <c r="B23" s="726" t="s">
        <v>46</v>
      </c>
      <c r="C23" s="726" t="s">
        <v>255</v>
      </c>
      <c r="D23" s="732">
        <v>66</v>
      </c>
      <c r="E23" s="733">
        <v>57</v>
      </c>
      <c r="F23" s="733">
        <v>4</v>
      </c>
      <c r="G23" s="734">
        <v>5</v>
      </c>
      <c r="H23" s="732">
        <v>6458</v>
      </c>
      <c r="I23" s="733">
        <v>5757</v>
      </c>
      <c r="J23" s="733">
        <v>636</v>
      </c>
      <c r="K23" s="734">
        <v>65</v>
      </c>
      <c r="L23" s="752">
        <f t="shared" si="2"/>
        <v>10.219882316506659</v>
      </c>
      <c r="M23" s="753">
        <f t="shared" si="2"/>
        <v>9.9009900990099009</v>
      </c>
      <c r="N23" s="753">
        <f t="shared" si="2"/>
        <v>6.2893081761006293</v>
      </c>
      <c r="O23" s="754">
        <f t="shared" si="2"/>
        <v>76.923076923076934</v>
      </c>
    </row>
    <row r="24" spans="1:15" x14ac:dyDescent="0.3">
      <c r="A24" s="726" t="s">
        <v>47</v>
      </c>
      <c r="B24" s="726" t="s">
        <v>256</v>
      </c>
      <c r="C24" s="726" t="s">
        <v>253</v>
      </c>
      <c r="D24" s="732">
        <v>56</v>
      </c>
      <c r="E24" s="733">
        <v>38</v>
      </c>
      <c r="F24" s="733">
        <v>17</v>
      </c>
      <c r="G24" s="734">
        <v>1</v>
      </c>
      <c r="H24" s="732">
        <v>7051</v>
      </c>
      <c r="I24" s="733">
        <v>5347</v>
      </c>
      <c r="J24" s="733">
        <v>1446</v>
      </c>
      <c r="K24" s="734">
        <v>258</v>
      </c>
      <c r="L24" s="752">
        <f t="shared" si="2"/>
        <v>7.9421358672528717</v>
      </c>
      <c r="M24" s="753">
        <f t="shared" si="2"/>
        <v>7.1067888535627457</v>
      </c>
      <c r="N24" s="753">
        <f t="shared" si="2"/>
        <v>11.756569847856154</v>
      </c>
      <c r="O24" s="754">
        <f t="shared" si="2"/>
        <v>3.8759689922480618</v>
      </c>
    </row>
    <row r="25" spans="1:15" x14ac:dyDescent="0.3">
      <c r="A25" s="726" t="s">
        <v>49</v>
      </c>
      <c r="B25" s="726" t="s">
        <v>50</v>
      </c>
      <c r="C25" s="726" t="s">
        <v>252</v>
      </c>
      <c r="D25" s="732">
        <v>62</v>
      </c>
      <c r="E25" s="733">
        <v>43</v>
      </c>
      <c r="F25" s="733">
        <v>19</v>
      </c>
      <c r="G25" s="734">
        <v>0</v>
      </c>
      <c r="H25" s="732">
        <v>5597</v>
      </c>
      <c r="I25" s="733">
        <v>3710</v>
      </c>
      <c r="J25" s="733">
        <v>1788</v>
      </c>
      <c r="K25" s="734">
        <v>99</v>
      </c>
      <c r="L25" s="752">
        <f t="shared" si="2"/>
        <v>11.077362872967662</v>
      </c>
      <c r="M25" s="753">
        <f t="shared" si="2"/>
        <v>11.590296495956872</v>
      </c>
      <c r="N25" s="753">
        <f t="shared" si="2"/>
        <v>10.626398210290828</v>
      </c>
      <c r="O25" s="754">
        <f t="shared" si="2"/>
        <v>0</v>
      </c>
    </row>
    <row r="26" spans="1:15" x14ac:dyDescent="0.3">
      <c r="A26" s="726" t="s">
        <v>55</v>
      </c>
      <c r="B26" s="726" t="s">
        <v>271</v>
      </c>
      <c r="C26" s="726" t="s">
        <v>253</v>
      </c>
      <c r="D26" s="732">
        <v>559</v>
      </c>
      <c r="E26" s="733">
        <v>376</v>
      </c>
      <c r="F26" s="733">
        <v>132</v>
      </c>
      <c r="G26" s="734">
        <v>51</v>
      </c>
      <c r="H26" s="732">
        <v>82586</v>
      </c>
      <c r="I26" s="733">
        <v>55784</v>
      </c>
      <c r="J26" s="733">
        <v>23316</v>
      </c>
      <c r="K26" s="734">
        <v>3486</v>
      </c>
      <c r="L26" s="752">
        <f t="shared" si="2"/>
        <v>6.7687017169980388</v>
      </c>
      <c r="M26" s="753">
        <f t="shared" si="2"/>
        <v>6.7402839523877809</v>
      </c>
      <c r="N26" s="753">
        <f t="shared" si="2"/>
        <v>5.661348430262481</v>
      </c>
      <c r="O26" s="754">
        <f t="shared" si="2"/>
        <v>14.629948364888124</v>
      </c>
    </row>
    <row r="27" spans="1:15" x14ac:dyDescent="0.3">
      <c r="A27" s="726" t="s">
        <v>57</v>
      </c>
      <c r="B27" s="726" t="s">
        <v>58</v>
      </c>
      <c r="C27" s="726" t="s">
        <v>254</v>
      </c>
      <c r="D27" s="732">
        <v>16</v>
      </c>
      <c r="E27" s="733">
        <v>11</v>
      </c>
      <c r="F27" s="733">
        <v>4</v>
      </c>
      <c r="G27" s="734">
        <v>1</v>
      </c>
      <c r="H27" s="732">
        <v>3296</v>
      </c>
      <c r="I27" s="733">
        <v>2713</v>
      </c>
      <c r="J27" s="733">
        <v>446</v>
      </c>
      <c r="K27" s="734">
        <v>137</v>
      </c>
      <c r="L27" s="752">
        <f t="shared" si="2"/>
        <v>4.8543689320388346</v>
      </c>
      <c r="M27" s="753">
        <f t="shared" si="2"/>
        <v>4.0545521562845561</v>
      </c>
      <c r="N27" s="753">
        <f t="shared" si="2"/>
        <v>8.9686098654708513</v>
      </c>
      <c r="O27" s="754">
        <f t="shared" si="2"/>
        <v>7.2992700729927007</v>
      </c>
    </row>
    <row r="28" spans="1:15" x14ac:dyDescent="0.3">
      <c r="A28" s="726" t="s">
        <v>59</v>
      </c>
      <c r="B28" s="726" t="s">
        <v>60</v>
      </c>
      <c r="C28" s="726" t="s">
        <v>252</v>
      </c>
      <c r="D28" s="732">
        <v>19</v>
      </c>
      <c r="E28" s="733">
        <v>17</v>
      </c>
      <c r="F28" s="733">
        <v>2</v>
      </c>
      <c r="G28" s="734">
        <v>0</v>
      </c>
      <c r="H28" s="732">
        <v>2231</v>
      </c>
      <c r="I28" s="733">
        <v>1739</v>
      </c>
      <c r="J28" s="733">
        <v>466</v>
      </c>
      <c r="K28" s="734">
        <v>26</v>
      </c>
      <c r="L28" s="752">
        <f t="shared" si="2"/>
        <v>8.5163603765127753</v>
      </c>
      <c r="M28" s="753">
        <f t="shared" si="2"/>
        <v>9.7757331799884994</v>
      </c>
      <c r="N28" s="753">
        <f t="shared" si="2"/>
        <v>4.2918454935622314</v>
      </c>
      <c r="O28" s="754">
        <f t="shared" si="2"/>
        <v>0</v>
      </c>
    </row>
    <row r="29" spans="1:15" x14ac:dyDescent="0.3">
      <c r="A29" s="726" t="s">
        <v>61</v>
      </c>
      <c r="B29" s="726" t="s">
        <v>62</v>
      </c>
      <c r="C29" s="726" t="s">
        <v>254</v>
      </c>
      <c r="D29" s="732">
        <v>365</v>
      </c>
      <c r="E29" s="733">
        <v>212</v>
      </c>
      <c r="F29" s="733">
        <v>110</v>
      </c>
      <c r="G29" s="734">
        <v>43</v>
      </c>
      <c r="H29" s="732">
        <v>57705</v>
      </c>
      <c r="I29" s="733">
        <v>38707</v>
      </c>
      <c r="J29" s="733">
        <v>16498</v>
      </c>
      <c r="K29" s="734">
        <v>2500</v>
      </c>
      <c r="L29" s="752">
        <f t="shared" si="2"/>
        <v>6.3252751061433159</v>
      </c>
      <c r="M29" s="753">
        <f t="shared" si="2"/>
        <v>5.4770454956467818</v>
      </c>
      <c r="N29" s="753">
        <f t="shared" si="2"/>
        <v>6.6674748454358106</v>
      </c>
      <c r="O29" s="754">
        <f t="shared" si="2"/>
        <v>17.2</v>
      </c>
    </row>
    <row r="30" spans="1:15" x14ac:dyDescent="0.3">
      <c r="A30" s="726" t="s">
        <v>63</v>
      </c>
      <c r="B30" s="726" t="s">
        <v>64</v>
      </c>
      <c r="C30" s="726" t="s">
        <v>253</v>
      </c>
      <c r="D30" s="732">
        <v>34</v>
      </c>
      <c r="E30" s="733">
        <v>27</v>
      </c>
      <c r="F30" s="733">
        <v>6</v>
      </c>
      <c r="G30" s="734">
        <v>1</v>
      </c>
      <c r="H30" s="732">
        <v>3880</v>
      </c>
      <c r="I30" s="733">
        <v>2675</v>
      </c>
      <c r="J30" s="733">
        <v>1079</v>
      </c>
      <c r="K30" s="734">
        <v>126</v>
      </c>
      <c r="L30" s="752">
        <f t="shared" si="2"/>
        <v>8.7628865979381452</v>
      </c>
      <c r="M30" s="753">
        <f t="shared" si="2"/>
        <v>10.093457943925234</v>
      </c>
      <c r="N30" s="753">
        <f t="shared" si="2"/>
        <v>5.5607043558850791</v>
      </c>
      <c r="O30" s="754">
        <f t="shared" si="2"/>
        <v>7.9365079365079358</v>
      </c>
    </row>
    <row r="31" spans="1:15" x14ac:dyDescent="0.3">
      <c r="A31" s="726" t="s">
        <v>67</v>
      </c>
      <c r="B31" s="726" t="s">
        <v>68</v>
      </c>
      <c r="C31" s="726" t="s">
        <v>255</v>
      </c>
      <c r="D31" s="732">
        <v>41</v>
      </c>
      <c r="E31" s="733">
        <v>37</v>
      </c>
      <c r="F31" s="733">
        <v>2</v>
      </c>
      <c r="G31" s="734">
        <v>2</v>
      </c>
      <c r="H31" s="732">
        <v>4276</v>
      </c>
      <c r="I31" s="733">
        <v>4109</v>
      </c>
      <c r="J31" s="733">
        <v>108</v>
      </c>
      <c r="K31" s="734">
        <v>59</v>
      </c>
      <c r="L31" s="752">
        <f t="shared" si="2"/>
        <v>9.5884003741814787</v>
      </c>
      <c r="M31" s="753">
        <f t="shared" si="2"/>
        <v>9.0046239961061083</v>
      </c>
      <c r="N31" s="753">
        <f t="shared" si="2"/>
        <v>18.518518518518519</v>
      </c>
      <c r="O31" s="754">
        <f t="shared" si="2"/>
        <v>33.898305084745765</v>
      </c>
    </row>
    <row r="32" spans="1:15" x14ac:dyDescent="0.3">
      <c r="A32" s="726" t="s">
        <v>69</v>
      </c>
      <c r="B32" s="726" t="s">
        <v>70</v>
      </c>
      <c r="C32" s="726" t="s">
        <v>251</v>
      </c>
      <c r="D32" s="732">
        <v>40</v>
      </c>
      <c r="E32" s="733">
        <v>31</v>
      </c>
      <c r="F32" s="733">
        <v>6</v>
      </c>
      <c r="G32" s="734">
        <v>3</v>
      </c>
      <c r="H32" s="732">
        <v>5797</v>
      </c>
      <c r="I32" s="733">
        <v>3694</v>
      </c>
      <c r="J32" s="733">
        <v>2034</v>
      </c>
      <c r="K32" s="734">
        <v>69</v>
      </c>
      <c r="L32" s="752">
        <f t="shared" si="2"/>
        <v>6.9001207521131613</v>
      </c>
      <c r="M32" s="753">
        <f t="shared" si="2"/>
        <v>8.3919870059556043</v>
      </c>
      <c r="N32" s="753">
        <f t="shared" si="2"/>
        <v>2.9498525073746311</v>
      </c>
      <c r="O32" s="754">
        <f t="shared" si="2"/>
        <v>43.478260869565219</v>
      </c>
    </row>
    <row r="33" spans="1:15" x14ac:dyDescent="0.3">
      <c r="A33" s="726" t="s">
        <v>71</v>
      </c>
      <c r="B33" s="726" t="s">
        <v>72</v>
      </c>
      <c r="C33" s="726" t="s">
        <v>253</v>
      </c>
      <c r="D33" s="732">
        <v>108</v>
      </c>
      <c r="E33" s="733">
        <v>81</v>
      </c>
      <c r="F33" s="733">
        <v>24</v>
      </c>
      <c r="G33" s="734">
        <v>3</v>
      </c>
      <c r="H33" s="732">
        <v>8946</v>
      </c>
      <c r="I33" s="733">
        <v>6543</v>
      </c>
      <c r="J33" s="733">
        <v>2032</v>
      </c>
      <c r="K33" s="734">
        <v>371</v>
      </c>
      <c r="L33" s="752">
        <f t="shared" si="2"/>
        <v>12.072434607645874</v>
      </c>
      <c r="M33" s="753">
        <f t="shared" si="2"/>
        <v>12.379642365887207</v>
      </c>
      <c r="N33" s="753">
        <f t="shared" si="2"/>
        <v>11.811023622047244</v>
      </c>
      <c r="O33" s="754">
        <f t="shared" si="2"/>
        <v>8.0862533692722369</v>
      </c>
    </row>
    <row r="34" spans="1:15" x14ac:dyDescent="0.3">
      <c r="A34" s="726" t="s">
        <v>73</v>
      </c>
      <c r="B34" s="726" t="s">
        <v>272</v>
      </c>
      <c r="C34" s="726" t="s">
        <v>254</v>
      </c>
      <c r="D34" s="732">
        <v>1093</v>
      </c>
      <c r="E34" s="733">
        <v>310</v>
      </c>
      <c r="F34" s="733">
        <v>94</v>
      </c>
      <c r="G34" s="734">
        <v>689</v>
      </c>
      <c r="H34" s="732">
        <v>232001</v>
      </c>
      <c r="I34" s="733">
        <v>154733</v>
      </c>
      <c r="J34" s="733">
        <v>27953</v>
      </c>
      <c r="K34" s="734">
        <v>49315</v>
      </c>
      <c r="L34" s="752">
        <f t="shared" si="2"/>
        <v>4.7111865897129759</v>
      </c>
      <c r="M34" s="753">
        <f t="shared" si="2"/>
        <v>2.0034511060988929</v>
      </c>
      <c r="N34" s="753">
        <f t="shared" si="2"/>
        <v>3.3627875362215147</v>
      </c>
      <c r="O34" s="754">
        <f t="shared" si="2"/>
        <v>13.97140829362263</v>
      </c>
    </row>
    <row r="35" spans="1:15" x14ac:dyDescent="0.3">
      <c r="A35" s="726" t="s">
        <v>75</v>
      </c>
      <c r="B35" s="726" t="s">
        <v>76</v>
      </c>
      <c r="C35" s="726" t="s">
        <v>254</v>
      </c>
      <c r="D35" s="732">
        <v>93</v>
      </c>
      <c r="E35" s="733">
        <v>82</v>
      </c>
      <c r="F35" s="733">
        <v>7</v>
      </c>
      <c r="G35" s="734">
        <v>4</v>
      </c>
      <c r="H35" s="732">
        <v>15416</v>
      </c>
      <c r="I35" s="733">
        <v>13734</v>
      </c>
      <c r="J35" s="733">
        <v>1290</v>
      </c>
      <c r="K35" s="734">
        <v>392</v>
      </c>
      <c r="L35" s="752">
        <f t="shared" si="2"/>
        <v>6.0326933056564602</v>
      </c>
      <c r="M35" s="753">
        <f t="shared" si="2"/>
        <v>5.9705839522353283</v>
      </c>
      <c r="N35" s="753">
        <f t="shared" si="2"/>
        <v>5.4263565891472867</v>
      </c>
      <c r="O35" s="754">
        <f t="shared" si="2"/>
        <v>10.204081632653061</v>
      </c>
    </row>
    <row r="36" spans="1:15" x14ac:dyDescent="0.3">
      <c r="A36" s="726" t="s">
        <v>77</v>
      </c>
      <c r="B36" s="726" t="s">
        <v>78</v>
      </c>
      <c r="C36" s="726" t="s">
        <v>255</v>
      </c>
      <c r="D36" s="732">
        <v>51</v>
      </c>
      <c r="E36" s="733">
        <v>40</v>
      </c>
      <c r="F36" s="733">
        <v>10</v>
      </c>
      <c r="G36" s="734">
        <v>1</v>
      </c>
      <c r="H36" s="732">
        <v>6048</v>
      </c>
      <c r="I36" s="733">
        <v>4548</v>
      </c>
      <c r="J36" s="733">
        <v>1433</v>
      </c>
      <c r="K36" s="734">
        <v>67</v>
      </c>
      <c r="L36" s="752">
        <f t="shared" si="2"/>
        <v>8.4325396825396819</v>
      </c>
      <c r="M36" s="753">
        <f t="shared" si="2"/>
        <v>8.7950747581354456</v>
      </c>
      <c r="N36" s="753">
        <f t="shared" si="2"/>
        <v>6.9783670621074672</v>
      </c>
      <c r="O36" s="754">
        <f t="shared" si="2"/>
        <v>14.925373134328359</v>
      </c>
    </row>
    <row r="37" spans="1:15" x14ac:dyDescent="0.3">
      <c r="A37" s="726" t="s">
        <v>79</v>
      </c>
      <c r="B37" s="726" t="s">
        <v>80</v>
      </c>
      <c r="C37" s="726" t="s">
        <v>253</v>
      </c>
      <c r="D37" s="732">
        <v>53</v>
      </c>
      <c r="E37" s="733">
        <v>33</v>
      </c>
      <c r="F37" s="733">
        <v>14</v>
      </c>
      <c r="G37" s="734">
        <v>6</v>
      </c>
      <c r="H37" s="732">
        <v>6164</v>
      </c>
      <c r="I37" s="733">
        <v>4566</v>
      </c>
      <c r="J37" s="733">
        <v>1436</v>
      </c>
      <c r="K37" s="734">
        <v>162</v>
      </c>
      <c r="L37" s="752">
        <f t="shared" si="2"/>
        <v>8.5983127839065538</v>
      </c>
      <c r="M37" s="753">
        <f t="shared" si="2"/>
        <v>7.2273324572930351</v>
      </c>
      <c r="N37" s="753">
        <f t="shared" si="2"/>
        <v>9.7493036211699167</v>
      </c>
      <c r="O37" s="754">
        <f t="shared" si="2"/>
        <v>37.037037037037038</v>
      </c>
    </row>
    <row r="38" spans="1:15" x14ac:dyDescent="0.3">
      <c r="A38" s="726" t="s">
        <v>83</v>
      </c>
      <c r="B38" s="726" t="s">
        <v>84</v>
      </c>
      <c r="C38" s="726" t="s">
        <v>252</v>
      </c>
      <c r="D38" s="732">
        <v>104</v>
      </c>
      <c r="E38" s="733">
        <v>88</v>
      </c>
      <c r="F38" s="733">
        <v>9</v>
      </c>
      <c r="G38" s="734">
        <v>7</v>
      </c>
      <c r="H38" s="732">
        <v>12532</v>
      </c>
      <c r="I38" s="733">
        <v>10566</v>
      </c>
      <c r="J38" s="733">
        <v>1339</v>
      </c>
      <c r="K38" s="734">
        <v>627</v>
      </c>
      <c r="L38" s="752">
        <f t="shared" si="2"/>
        <v>8.2987551867219924</v>
      </c>
      <c r="M38" s="753">
        <f t="shared" si="2"/>
        <v>8.3286011735756205</v>
      </c>
      <c r="N38" s="753">
        <f t="shared" si="2"/>
        <v>6.7214339058999251</v>
      </c>
      <c r="O38" s="754">
        <f t="shared" si="2"/>
        <v>11.164274322169058</v>
      </c>
    </row>
    <row r="39" spans="1:15" x14ac:dyDescent="0.3">
      <c r="A39" s="726" t="s">
        <v>85</v>
      </c>
      <c r="B39" s="726" t="s">
        <v>86</v>
      </c>
      <c r="C39" s="726" t="s">
        <v>254</v>
      </c>
      <c r="D39" s="732">
        <v>734</v>
      </c>
      <c r="E39" s="733">
        <v>213</v>
      </c>
      <c r="F39" s="733">
        <v>48</v>
      </c>
      <c r="G39" s="734">
        <v>473</v>
      </c>
      <c r="H39" s="732">
        <v>160646</v>
      </c>
      <c r="I39" s="733">
        <v>109078</v>
      </c>
      <c r="J39" s="733">
        <v>18926</v>
      </c>
      <c r="K39" s="734">
        <v>32642</v>
      </c>
      <c r="L39" s="752">
        <f t="shared" si="2"/>
        <v>4.5690524507301769</v>
      </c>
      <c r="M39" s="753">
        <f t="shared" si="2"/>
        <v>1.9527310731769925</v>
      </c>
      <c r="N39" s="753">
        <f t="shared" si="2"/>
        <v>2.5361935961111701</v>
      </c>
      <c r="O39" s="754">
        <f t="shared" si="2"/>
        <v>14.490533668280129</v>
      </c>
    </row>
    <row r="40" spans="1:15" x14ac:dyDescent="0.3">
      <c r="A40" s="726" t="s">
        <v>91</v>
      </c>
      <c r="B40" s="726" t="s">
        <v>92</v>
      </c>
      <c r="C40" s="726" t="s">
        <v>255</v>
      </c>
      <c r="D40" s="732">
        <v>53</v>
      </c>
      <c r="E40" s="733">
        <v>50</v>
      </c>
      <c r="F40" s="733">
        <v>0</v>
      </c>
      <c r="G40" s="734">
        <v>3</v>
      </c>
      <c r="H40" s="732">
        <v>4928</v>
      </c>
      <c r="I40" s="733">
        <v>4437</v>
      </c>
      <c r="J40" s="733">
        <v>214</v>
      </c>
      <c r="K40" s="734">
        <v>277</v>
      </c>
      <c r="L40" s="752">
        <f t="shared" si="2"/>
        <v>10.754870129870129</v>
      </c>
      <c r="M40" s="753">
        <f t="shared" si="2"/>
        <v>11.268875366238449</v>
      </c>
      <c r="N40" s="753">
        <f t="shared" si="2"/>
        <v>0</v>
      </c>
      <c r="O40" s="754">
        <f t="shared" si="2"/>
        <v>10.830324909747292</v>
      </c>
    </row>
    <row r="41" spans="1:15" x14ac:dyDescent="0.3">
      <c r="A41" s="726" t="s">
        <v>93</v>
      </c>
      <c r="B41" s="726" t="s">
        <v>94</v>
      </c>
      <c r="C41" s="726" t="s">
        <v>251</v>
      </c>
      <c r="D41" s="732">
        <v>84</v>
      </c>
      <c r="E41" s="733">
        <v>71</v>
      </c>
      <c r="F41" s="733">
        <v>8</v>
      </c>
      <c r="G41" s="734">
        <v>5</v>
      </c>
      <c r="H41" s="732">
        <v>15397</v>
      </c>
      <c r="I41" s="733">
        <v>13575</v>
      </c>
      <c r="J41" s="733">
        <v>1391</v>
      </c>
      <c r="K41" s="734">
        <v>431</v>
      </c>
      <c r="L41" s="752">
        <f t="shared" si="2"/>
        <v>5.4556082353705264</v>
      </c>
      <c r="M41" s="753">
        <f t="shared" si="2"/>
        <v>5.2302025782688766</v>
      </c>
      <c r="N41" s="753">
        <f t="shared" si="2"/>
        <v>5.7512580877066863</v>
      </c>
      <c r="O41" s="754">
        <f t="shared" si="2"/>
        <v>11.600928074245939</v>
      </c>
    </row>
    <row r="42" spans="1:15" x14ac:dyDescent="0.3">
      <c r="A42" s="726" t="s">
        <v>95</v>
      </c>
      <c r="B42" s="726" t="s">
        <v>96</v>
      </c>
      <c r="C42" s="726" t="s">
        <v>253</v>
      </c>
      <c r="D42" s="732">
        <v>21</v>
      </c>
      <c r="E42" s="733">
        <v>21</v>
      </c>
      <c r="F42" s="733">
        <v>0</v>
      </c>
      <c r="G42" s="734">
        <v>0</v>
      </c>
      <c r="H42" s="732">
        <v>5492</v>
      </c>
      <c r="I42" s="733">
        <v>4752</v>
      </c>
      <c r="J42" s="733">
        <v>659</v>
      </c>
      <c r="K42" s="734">
        <v>81</v>
      </c>
      <c r="L42" s="752">
        <f t="shared" si="2"/>
        <v>3.8237436270939549</v>
      </c>
      <c r="M42" s="753">
        <f t="shared" si="2"/>
        <v>4.4191919191919187</v>
      </c>
      <c r="N42" s="753">
        <f t="shared" si="2"/>
        <v>0</v>
      </c>
      <c r="O42" s="754">
        <f t="shared" si="2"/>
        <v>0</v>
      </c>
    </row>
    <row r="43" spans="1:15" x14ac:dyDescent="0.3">
      <c r="A43" s="726" t="s">
        <v>97</v>
      </c>
      <c r="B43" s="726" t="s">
        <v>98</v>
      </c>
      <c r="C43" s="726" t="s">
        <v>255</v>
      </c>
      <c r="D43" s="732">
        <v>44</v>
      </c>
      <c r="E43" s="733">
        <v>38</v>
      </c>
      <c r="F43" s="733">
        <v>3</v>
      </c>
      <c r="G43" s="734">
        <v>3</v>
      </c>
      <c r="H43" s="732">
        <v>5498</v>
      </c>
      <c r="I43" s="733">
        <v>4793</v>
      </c>
      <c r="J43" s="733">
        <v>632</v>
      </c>
      <c r="K43" s="734">
        <v>73</v>
      </c>
      <c r="L43" s="752">
        <f t="shared" si="2"/>
        <v>8.0029101491451442</v>
      </c>
      <c r="M43" s="753">
        <f t="shared" si="2"/>
        <v>7.9282286668057589</v>
      </c>
      <c r="N43" s="753">
        <f t="shared" si="2"/>
        <v>4.7468354430379751</v>
      </c>
      <c r="O43" s="754">
        <f t="shared" si="2"/>
        <v>41.095890410958901</v>
      </c>
    </row>
    <row r="44" spans="1:15" x14ac:dyDescent="0.3">
      <c r="A44" s="726" t="s">
        <v>99</v>
      </c>
      <c r="B44" s="726" t="s">
        <v>100</v>
      </c>
      <c r="C44" s="726" t="s">
        <v>254</v>
      </c>
      <c r="D44" s="732">
        <v>103</v>
      </c>
      <c r="E44" s="733">
        <v>87</v>
      </c>
      <c r="F44" s="733">
        <v>13</v>
      </c>
      <c r="G44" s="734">
        <v>3</v>
      </c>
      <c r="H44" s="732">
        <v>10175</v>
      </c>
      <c r="I44" s="733">
        <v>8897</v>
      </c>
      <c r="J44" s="733">
        <v>1052</v>
      </c>
      <c r="K44" s="734">
        <v>226</v>
      </c>
      <c r="L44" s="752">
        <f t="shared" si="2"/>
        <v>10.122850122850123</v>
      </c>
      <c r="M44" s="753">
        <f t="shared" si="2"/>
        <v>9.7785770484432959</v>
      </c>
      <c r="N44" s="753">
        <f t="shared" si="2"/>
        <v>12.357414448669202</v>
      </c>
      <c r="O44" s="754">
        <f t="shared" si="2"/>
        <v>13.274336283185841</v>
      </c>
    </row>
    <row r="45" spans="1:15" x14ac:dyDescent="0.3">
      <c r="A45" s="726" t="s">
        <v>101</v>
      </c>
      <c r="B45" s="726" t="s">
        <v>263</v>
      </c>
      <c r="C45" s="726" t="s">
        <v>251</v>
      </c>
      <c r="D45" s="732">
        <v>153</v>
      </c>
      <c r="E45" s="733">
        <v>88</v>
      </c>
      <c r="F45" s="733">
        <v>60</v>
      </c>
      <c r="G45" s="734">
        <v>5</v>
      </c>
      <c r="H45" s="732">
        <v>15254</v>
      </c>
      <c r="I45" s="733">
        <v>11809</v>
      </c>
      <c r="J45" s="733">
        <v>3077</v>
      </c>
      <c r="K45" s="734">
        <v>368</v>
      </c>
      <c r="L45" s="752">
        <f t="shared" si="2"/>
        <v>10.030156024649273</v>
      </c>
      <c r="M45" s="753">
        <f t="shared" si="2"/>
        <v>7.4519434329748497</v>
      </c>
      <c r="N45" s="753">
        <f t="shared" si="2"/>
        <v>19.499512512187195</v>
      </c>
      <c r="O45" s="754">
        <f t="shared" si="2"/>
        <v>13.586956521739131</v>
      </c>
    </row>
    <row r="46" spans="1:15" x14ac:dyDescent="0.3">
      <c r="A46" s="726" t="s">
        <v>103</v>
      </c>
      <c r="B46" s="726" t="s">
        <v>104</v>
      </c>
      <c r="C46" s="726" t="s">
        <v>252</v>
      </c>
      <c r="D46" s="732">
        <v>120</v>
      </c>
      <c r="E46" s="733">
        <v>70</v>
      </c>
      <c r="F46" s="733">
        <v>45</v>
      </c>
      <c r="G46" s="734">
        <v>5</v>
      </c>
      <c r="H46" s="732">
        <v>8143</v>
      </c>
      <c r="I46" s="733">
        <v>5391</v>
      </c>
      <c r="J46" s="733">
        <v>2658</v>
      </c>
      <c r="K46" s="734">
        <v>94</v>
      </c>
      <c r="L46" s="752">
        <f t="shared" si="2"/>
        <v>14.736583568709321</v>
      </c>
      <c r="M46" s="753">
        <f t="shared" si="2"/>
        <v>12.984603969578929</v>
      </c>
      <c r="N46" s="753">
        <f t="shared" si="2"/>
        <v>16.930022573363434</v>
      </c>
      <c r="O46" s="754">
        <f t="shared" si="2"/>
        <v>53.191489361702125</v>
      </c>
    </row>
    <row r="47" spans="1:15" x14ac:dyDescent="0.3">
      <c r="A47" s="726" t="s">
        <v>107</v>
      </c>
      <c r="B47" s="726" t="s">
        <v>108</v>
      </c>
      <c r="C47" s="726" t="s">
        <v>253</v>
      </c>
      <c r="D47" s="732">
        <v>108</v>
      </c>
      <c r="E47" s="733">
        <v>90</v>
      </c>
      <c r="F47" s="733">
        <v>15</v>
      </c>
      <c r="G47" s="734">
        <v>3</v>
      </c>
      <c r="H47" s="732">
        <v>25689</v>
      </c>
      <c r="I47" s="733">
        <v>22376</v>
      </c>
      <c r="J47" s="733">
        <v>2479</v>
      </c>
      <c r="K47" s="734">
        <v>834</v>
      </c>
      <c r="L47" s="752">
        <f t="shared" si="2"/>
        <v>4.2041340651640784</v>
      </c>
      <c r="M47" s="753">
        <f t="shared" si="2"/>
        <v>4.0221666070790132</v>
      </c>
      <c r="N47" s="753">
        <f t="shared" si="2"/>
        <v>6.0508269463493347</v>
      </c>
      <c r="O47" s="754">
        <f t="shared" si="2"/>
        <v>3.5971223021582737</v>
      </c>
    </row>
    <row r="48" spans="1:15" x14ac:dyDescent="0.3">
      <c r="A48" s="726" t="s">
        <v>109</v>
      </c>
      <c r="B48" s="726" t="s">
        <v>110</v>
      </c>
      <c r="C48" s="726" t="s">
        <v>253</v>
      </c>
      <c r="D48" s="732">
        <v>358</v>
      </c>
      <c r="E48" s="733">
        <v>156</v>
      </c>
      <c r="F48" s="733">
        <v>167</v>
      </c>
      <c r="G48" s="734">
        <v>35</v>
      </c>
      <c r="H48" s="732">
        <v>62946</v>
      </c>
      <c r="I48" s="733">
        <v>34553</v>
      </c>
      <c r="J48" s="733">
        <v>22571</v>
      </c>
      <c r="K48" s="734">
        <v>5822</v>
      </c>
      <c r="L48" s="752">
        <f t="shared" si="2"/>
        <v>5.6874146093476945</v>
      </c>
      <c r="M48" s="753">
        <f t="shared" si="2"/>
        <v>4.5148033455850438</v>
      </c>
      <c r="N48" s="753">
        <f t="shared" si="2"/>
        <v>7.3988746621771293</v>
      </c>
      <c r="O48" s="754">
        <f t="shared" si="2"/>
        <v>6.0116798351082101</v>
      </c>
    </row>
    <row r="49" spans="1:15" x14ac:dyDescent="0.3">
      <c r="A49" s="726" t="s">
        <v>111</v>
      </c>
      <c r="B49" s="726" t="s">
        <v>275</v>
      </c>
      <c r="C49" s="726" t="s">
        <v>252</v>
      </c>
      <c r="D49" s="732">
        <v>354</v>
      </c>
      <c r="E49" s="733">
        <v>165</v>
      </c>
      <c r="F49" s="733">
        <v>160</v>
      </c>
      <c r="G49" s="734">
        <v>29</v>
      </c>
      <c r="H49" s="732">
        <v>28626</v>
      </c>
      <c r="I49" s="733">
        <v>13510</v>
      </c>
      <c r="J49" s="733">
        <v>14366</v>
      </c>
      <c r="K49" s="734">
        <v>750</v>
      </c>
      <c r="L49" s="752">
        <f t="shared" si="2"/>
        <v>12.366380213791658</v>
      </c>
      <c r="M49" s="753">
        <f t="shared" si="2"/>
        <v>12.213175425610659</v>
      </c>
      <c r="N49" s="753">
        <f t="shared" si="2"/>
        <v>11.137407768341918</v>
      </c>
      <c r="O49" s="754">
        <f t="shared" si="2"/>
        <v>38.666666666666671</v>
      </c>
    </row>
    <row r="50" spans="1:15" x14ac:dyDescent="0.3">
      <c r="A50" s="726" t="s">
        <v>113</v>
      </c>
      <c r="B50" s="726" t="s">
        <v>114</v>
      </c>
      <c r="C50" s="726" t="s">
        <v>252</v>
      </c>
      <c r="D50" s="732">
        <v>17</v>
      </c>
      <c r="E50" s="733">
        <v>14</v>
      </c>
      <c r="F50" s="733">
        <v>3</v>
      </c>
      <c r="G50" s="734">
        <v>0</v>
      </c>
      <c r="H50" s="732">
        <v>2698</v>
      </c>
      <c r="I50" s="733">
        <v>2392</v>
      </c>
      <c r="J50" s="733">
        <v>213</v>
      </c>
      <c r="K50" s="734">
        <v>93</v>
      </c>
      <c r="L50" s="752">
        <f t="shared" si="2"/>
        <v>6.300963676797628</v>
      </c>
      <c r="M50" s="753">
        <f t="shared" si="2"/>
        <v>5.8528428093645477</v>
      </c>
      <c r="N50" s="753">
        <f t="shared" si="2"/>
        <v>14.084507042253522</v>
      </c>
      <c r="O50" s="754">
        <f t="shared" si="2"/>
        <v>0</v>
      </c>
    </row>
    <row r="51" spans="1:15" x14ac:dyDescent="0.3">
      <c r="A51" s="726" t="s">
        <v>117</v>
      </c>
      <c r="B51" s="726" t="s">
        <v>257</v>
      </c>
      <c r="C51" s="726" t="s">
        <v>251</v>
      </c>
      <c r="D51" s="732">
        <v>60</v>
      </c>
      <c r="E51" s="733">
        <v>33</v>
      </c>
      <c r="F51" s="733">
        <v>24</v>
      </c>
      <c r="G51" s="734">
        <v>3</v>
      </c>
      <c r="H51" s="732">
        <v>7370</v>
      </c>
      <c r="I51" s="733">
        <v>4982</v>
      </c>
      <c r="J51" s="733">
        <v>2234</v>
      </c>
      <c r="K51" s="734">
        <v>154</v>
      </c>
      <c r="L51" s="752">
        <f t="shared" si="2"/>
        <v>8.1411126187245593</v>
      </c>
      <c r="M51" s="753">
        <f t="shared" si="2"/>
        <v>6.6238458450421511</v>
      </c>
      <c r="N51" s="753">
        <f t="shared" si="2"/>
        <v>10.743061772605193</v>
      </c>
      <c r="O51" s="754">
        <f t="shared" si="2"/>
        <v>19.480519480519479</v>
      </c>
    </row>
    <row r="52" spans="1:15" x14ac:dyDescent="0.3">
      <c r="A52" s="726" t="s">
        <v>119</v>
      </c>
      <c r="B52" s="726" t="s">
        <v>120</v>
      </c>
      <c r="C52" s="726" t="s">
        <v>251</v>
      </c>
      <c r="D52" s="732">
        <v>92</v>
      </c>
      <c r="E52" s="733">
        <v>38</v>
      </c>
      <c r="F52" s="733">
        <v>42</v>
      </c>
      <c r="G52" s="734">
        <v>12</v>
      </c>
      <c r="H52" s="732">
        <v>14103</v>
      </c>
      <c r="I52" s="733">
        <v>10518</v>
      </c>
      <c r="J52" s="733">
        <v>2877</v>
      </c>
      <c r="K52" s="734">
        <v>708</v>
      </c>
      <c r="L52" s="752">
        <f t="shared" si="2"/>
        <v>6.5234347301992477</v>
      </c>
      <c r="M52" s="753">
        <f t="shared" si="2"/>
        <v>3.6128541547822781</v>
      </c>
      <c r="N52" s="753">
        <f t="shared" si="2"/>
        <v>14.598540145985401</v>
      </c>
      <c r="O52" s="754">
        <f t="shared" si="2"/>
        <v>16.949152542372882</v>
      </c>
    </row>
    <row r="53" spans="1:15" x14ac:dyDescent="0.3">
      <c r="A53" s="726" t="s">
        <v>121</v>
      </c>
      <c r="B53" s="726" t="s">
        <v>268</v>
      </c>
      <c r="C53" s="726" t="s">
        <v>253</v>
      </c>
      <c r="D53" s="732">
        <v>72</v>
      </c>
      <c r="E53" s="733">
        <v>33</v>
      </c>
      <c r="F53" s="733">
        <v>38</v>
      </c>
      <c r="G53" s="734">
        <v>1</v>
      </c>
      <c r="H53" s="732">
        <v>5122</v>
      </c>
      <c r="I53" s="733">
        <v>3052</v>
      </c>
      <c r="J53" s="733">
        <v>1993</v>
      </c>
      <c r="K53" s="734">
        <v>77</v>
      </c>
      <c r="L53" s="752">
        <f t="shared" ref="L53:O84" si="3">IF(H53=0,"NA",(D53/H53)*1000)</f>
        <v>14.057008980866849</v>
      </c>
      <c r="M53" s="753">
        <f t="shared" si="3"/>
        <v>10.812581913499345</v>
      </c>
      <c r="N53" s="753">
        <f t="shared" si="3"/>
        <v>19.066733567486203</v>
      </c>
      <c r="O53" s="754">
        <f t="shared" si="3"/>
        <v>12.987012987012989</v>
      </c>
    </row>
    <row r="54" spans="1:15" x14ac:dyDescent="0.3">
      <c r="A54" s="726" t="s">
        <v>123</v>
      </c>
      <c r="B54" s="726" t="s">
        <v>124</v>
      </c>
      <c r="C54" s="726" t="s">
        <v>254</v>
      </c>
      <c r="D54" s="732">
        <v>77</v>
      </c>
      <c r="E54" s="733">
        <v>56</v>
      </c>
      <c r="F54" s="733">
        <v>17</v>
      </c>
      <c r="G54" s="734">
        <v>4</v>
      </c>
      <c r="H54" s="732">
        <v>19589</v>
      </c>
      <c r="I54" s="733">
        <v>16555</v>
      </c>
      <c r="J54" s="733">
        <v>2390</v>
      </c>
      <c r="K54" s="734">
        <v>644</v>
      </c>
      <c r="L54" s="752">
        <f t="shared" si="3"/>
        <v>3.9307774771555466</v>
      </c>
      <c r="M54" s="753">
        <f t="shared" si="3"/>
        <v>3.3826638477801265</v>
      </c>
      <c r="N54" s="753">
        <f t="shared" si="3"/>
        <v>7.1129707112970717</v>
      </c>
      <c r="O54" s="754">
        <f t="shared" si="3"/>
        <v>6.2111801242236018</v>
      </c>
    </row>
    <row r="55" spans="1:15" x14ac:dyDescent="0.3">
      <c r="A55" s="726" t="s">
        <v>125</v>
      </c>
      <c r="B55" s="726" t="s">
        <v>126</v>
      </c>
      <c r="C55" s="726" t="s">
        <v>253</v>
      </c>
      <c r="D55" s="732">
        <v>216</v>
      </c>
      <c r="E55" s="733">
        <v>90</v>
      </c>
      <c r="F55" s="733">
        <v>103</v>
      </c>
      <c r="G55" s="734">
        <v>23</v>
      </c>
      <c r="H55" s="732">
        <v>43229</v>
      </c>
      <c r="I55" s="733">
        <v>23834</v>
      </c>
      <c r="J55" s="733">
        <v>15350</v>
      </c>
      <c r="K55" s="734">
        <v>4045</v>
      </c>
      <c r="L55" s="752">
        <f t="shared" si="3"/>
        <v>4.9966457702005593</v>
      </c>
      <c r="M55" s="753">
        <f t="shared" si="3"/>
        <v>3.7761181505412438</v>
      </c>
      <c r="N55" s="753">
        <f t="shared" si="3"/>
        <v>6.7100977198697072</v>
      </c>
      <c r="O55" s="754">
        <f t="shared" si="3"/>
        <v>5.6860321384425223</v>
      </c>
    </row>
    <row r="56" spans="1:15" x14ac:dyDescent="0.3">
      <c r="A56" s="726" t="s">
        <v>127</v>
      </c>
      <c r="B56" s="726" t="s">
        <v>128</v>
      </c>
      <c r="C56" s="726" t="s">
        <v>253</v>
      </c>
      <c r="D56" s="732">
        <v>80</v>
      </c>
      <c r="E56" s="733">
        <v>49</v>
      </c>
      <c r="F56" s="733">
        <v>26</v>
      </c>
      <c r="G56" s="734">
        <v>5</v>
      </c>
      <c r="H56" s="732">
        <v>6928</v>
      </c>
      <c r="I56" s="733">
        <v>4877</v>
      </c>
      <c r="J56" s="733">
        <v>1951</v>
      </c>
      <c r="K56" s="734">
        <v>100</v>
      </c>
      <c r="L56" s="752">
        <f t="shared" si="3"/>
        <v>11.547344110854503</v>
      </c>
      <c r="M56" s="753">
        <f t="shared" si="3"/>
        <v>10.047160139429977</v>
      </c>
      <c r="N56" s="753">
        <f t="shared" si="3"/>
        <v>13.326499231163506</v>
      </c>
      <c r="O56" s="754">
        <f t="shared" si="3"/>
        <v>50</v>
      </c>
    </row>
    <row r="57" spans="1:15" x14ac:dyDescent="0.3">
      <c r="A57" s="726" t="s">
        <v>129</v>
      </c>
      <c r="B57" s="726" t="s">
        <v>130</v>
      </c>
      <c r="C57" s="726" t="s">
        <v>255</v>
      </c>
      <c r="D57" s="732">
        <v>127</v>
      </c>
      <c r="E57" s="733">
        <v>110</v>
      </c>
      <c r="F57" s="733">
        <v>14</v>
      </c>
      <c r="G57" s="734">
        <v>3</v>
      </c>
      <c r="H57" s="732">
        <v>5289</v>
      </c>
      <c r="I57" s="733">
        <v>4282</v>
      </c>
      <c r="J57" s="733">
        <v>953</v>
      </c>
      <c r="K57" s="734">
        <v>54</v>
      </c>
      <c r="L57" s="752">
        <f t="shared" si="3"/>
        <v>24.012100586122141</v>
      </c>
      <c r="M57" s="753">
        <f t="shared" si="3"/>
        <v>25.688930406352174</v>
      </c>
      <c r="N57" s="753">
        <f t="shared" si="3"/>
        <v>14.690451206715634</v>
      </c>
      <c r="O57" s="754">
        <f t="shared" si="3"/>
        <v>55.55555555555555</v>
      </c>
    </row>
    <row r="58" spans="1:15" x14ac:dyDescent="0.3">
      <c r="A58" s="726" t="s">
        <v>131</v>
      </c>
      <c r="B58" s="726" t="s">
        <v>132</v>
      </c>
      <c r="C58" s="726" t="s">
        <v>254</v>
      </c>
      <c r="D58" s="732">
        <v>209</v>
      </c>
      <c r="E58" s="733">
        <v>66</v>
      </c>
      <c r="F58" s="733">
        <v>23</v>
      </c>
      <c r="G58" s="734">
        <v>120</v>
      </c>
      <c r="H58" s="732">
        <v>89594</v>
      </c>
      <c r="I58" s="733">
        <v>63577</v>
      </c>
      <c r="J58" s="733">
        <v>7775</v>
      </c>
      <c r="K58" s="734">
        <v>18242</v>
      </c>
      <c r="L58" s="752">
        <f t="shared" si="3"/>
        <v>2.3327454963502019</v>
      </c>
      <c r="M58" s="753">
        <f t="shared" si="3"/>
        <v>1.038111266653035</v>
      </c>
      <c r="N58" s="753">
        <f t="shared" si="3"/>
        <v>2.9581993569131835</v>
      </c>
      <c r="O58" s="754">
        <f t="shared" si="3"/>
        <v>6.5782260717026642</v>
      </c>
    </row>
    <row r="59" spans="1:15" x14ac:dyDescent="0.3">
      <c r="A59" s="726" t="s">
        <v>133</v>
      </c>
      <c r="B59" s="726" t="s">
        <v>134</v>
      </c>
      <c r="C59" s="726" t="s">
        <v>254</v>
      </c>
      <c r="D59" s="732">
        <v>63</v>
      </c>
      <c r="E59" s="733">
        <v>46</v>
      </c>
      <c r="F59" s="733">
        <v>14</v>
      </c>
      <c r="G59" s="734">
        <v>3</v>
      </c>
      <c r="H59" s="732">
        <v>10201</v>
      </c>
      <c r="I59" s="733">
        <v>7712</v>
      </c>
      <c r="J59" s="733">
        <v>2314</v>
      </c>
      <c r="K59" s="734">
        <v>175</v>
      </c>
      <c r="L59" s="752">
        <f t="shared" si="3"/>
        <v>6.1758651112636018</v>
      </c>
      <c r="M59" s="753">
        <f t="shared" si="3"/>
        <v>5.9647302904564308</v>
      </c>
      <c r="N59" s="753">
        <f t="shared" si="3"/>
        <v>6.0501296456352636</v>
      </c>
      <c r="O59" s="754">
        <f t="shared" si="3"/>
        <v>17.142857142857142</v>
      </c>
    </row>
    <row r="60" spans="1:15" x14ac:dyDescent="0.3">
      <c r="A60" s="726" t="s">
        <v>135</v>
      </c>
      <c r="B60" s="726" t="s">
        <v>136</v>
      </c>
      <c r="C60" s="726" t="s">
        <v>253</v>
      </c>
      <c r="D60" s="732">
        <v>82</v>
      </c>
      <c r="E60" s="733">
        <v>45</v>
      </c>
      <c r="F60" s="733">
        <v>28</v>
      </c>
      <c r="G60" s="734">
        <v>9</v>
      </c>
      <c r="H60" s="732">
        <v>10466</v>
      </c>
      <c r="I60" s="733">
        <v>7907</v>
      </c>
      <c r="J60" s="733">
        <v>2065</v>
      </c>
      <c r="K60" s="734">
        <v>494</v>
      </c>
      <c r="L60" s="752">
        <f t="shared" si="3"/>
        <v>7.8348939422893187</v>
      </c>
      <c r="M60" s="753">
        <f t="shared" si="3"/>
        <v>5.6911597318831415</v>
      </c>
      <c r="N60" s="753">
        <f t="shared" si="3"/>
        <v>13.559322033898304</v>
      </c>
      <c r="O60" s="754">
        <f t="shared" si="3"/>
        <v>18.218623481781375</v>
      </c>
    </row>
    <row r="61" spans="1:15" x14ac:dyDescent="0.3">
      <c r="A61" s="726" t="s">
        <v>139</v>
      </c>
      <c r="B61" s="726" t="s">
        <v>140</v>
      </c>
      <c r="C61" s="726" t="s">
        <v>254</v>
      </c>
      <c r="D61" s="732">
        <v>21</v>
      </c>
      <c r="E61" s="733">
        <v>18</v>
      </c>
      <c r="F61" s="733">
        <v>3</v>
      </c>
      <c r="G61" s="734">
        <v>0</v>
      </c>
      <c r="H61" s="732">
        <v>3102</v>
      </c>
      <c r="I61" s="733">
        <v>2610</v>
      </c>
      <c r="J61" s="733">
        <v>433</v>
      </c>
      <c r="K61" s="734">
        <v>59</v>
      </c>
      <c r="L61" s="752">
        <f t="shared" si="3"/>
        <v>6.7698259187620895</v>
      </c>
      <c r="M61" s="753">
        <f t="shared" si="3"/>
        <v>6.8965517241379306</v>
      </c>
      <c r="N61" s="753">
        <f t="shared" si="3"/>
        <v>6.9284064665127021</v>
      </c>
      <c r="O61" s="754">
        <f t="shared" si="3"/>
        <v>0</v>
      </c>
    </row>
    <row r="62" spans="1:15" x14ac:dyDescent="0.3">
      <c r="A62" s="726" t="s">
        <v>145</v>
      </c>
      <c r="B62" s="726" t="s">
        <v>146</v>
      </c>
      <c r="C62" s="726" t="s">
        <v>251</v>
      </c>
      <c r="D62" s="732">
        <v>25</v>
      </c>
      <c r="E62" s="733">
        <v>18</v>
      </c>
      <c r="F62" s="733">
        <v>5</v>
      </c>
      <c r="G62" s="734">
        <v>2</v>
      </c>
      <c r="H62" s="732">
        <v>5001</v>
      </c>
      <c r="I62" s="733">
        <v>4061</v>
      </c>
      <c r="J62" s="733">
        <v>795</v>
      </c>
      <c r="K62" s="734">
        <v>145</v>
      </c>
      <c r="L62" s="752">
        <f t="shared" si="3"/>
        <v>4.9990001999600073</v>
      </c>
      <c r="M62" s="753">
        <f t="shared" si="3"/>
        <v>4.4324058113765084</v>
      </c>
      <c r="N62" s="753">
        <f t="shared" si="3"/>
        <v>6.2893081761006293</v>
      </c>
      <c r="O62" s="754">
        <f t="shared" si="3"/>
        <v>13.793103448275861</v>
      </c>
    </row>
    <row r="63" spans="1:15" x14ac:dyDescent="0.3">
      <c r="A63" s="726" t="s">
        <v>147</v>
      </c>
      <c r="B63" s="726" t="s">
        <v>148</v>
      </c>
      <c r="C63" s="726" t="s">
        <v>252</v>
      </c>
      <c r="D63" s="732">
        <v>69</v>
      </c>
      <c r="E63" s="733">
        <v>34</v>
      </c>
      <c r="F63" s="733">
        <v>32</v>
      </c>
      <c r="G63" s="734">
        <v>3</v>
      </c>
      <c r="H63" s="732">
        <v>7050</v>
      </c>
      <c r="I63" s="733">
        <v>4485</v>
      </c>
      <c r="J63" s="733">
        <v>2411</v>
      </c>
      <c r="K63" s="734">
        <v>154</v>
      </c>
      <c r="L63" s="752">
        <f t="shared" si="3"/>
        <v>9.787234042553191</v>
      </c>
      <c r="M63" s="753">
        <f t="shared" si="3"/>
        <v>7.5808249721293199</v>
      </c>
      <c r="N63" s="753">
        <f t="shared" si="3"/>
        <v>13.272501036914143</v>
      </c>
      <c r="O63" s="754">
        <f t="shared" si="3"/>
        <v>19.480519480519479</v>
      </c>
    </row>
    <row r="64" spans="1:15" x14ac:dyDescent="0.3">
      <c r="A64" s="726" t="s">
        <v>149</v>
      </c>
      <c r="B64" s="726" t="s">
        <v>150</v>
      </c>
      <c r="C64" s="726" t="s">
        <v>253</v>
      </c>
      <c r="D64" s="732">
        <v>27</v>
      </c>
      <c r="E64" s="733">
        <v>15</v>
      </c>
      <c r="F64" s="733">
        <v>11</v>
      </c>
      <c r="G64" s="734">
        <v>1</v>
      </c>
      <c r="H64" s="732">
        <v>2290</v>
      </c>
      <c r="I64" s="733">
        <v>1662</v>
      </c>
      <c r="J64" s="733">
        <v>605</v>
      </c>
      <c r="K64" s="734">
        <v>23</v>
      </c>
      <c r="L64" s="752">
        <f t="shared" si="3"/>
        <v>11.790393013100438</v>
      </c>
      <c r="M64" s="753">
        <f t="shared" si="3"/>
        <v>9.025270758122744</v>
      </c>
      <c r="N64" s="753">
        <f t="shared" si="3"/>
        <v>18.18181818181818</v>
      </c>
      <c r="O64" s="754">
        <f t="shared" si="3"/>
        <v>43.478260869565219</v>
      </c>
    </row>
    <row r="65" spans="1:15" x14ac:dyDescent="0.3">
      <c r="A65" s="726" t="s">
        <v>151</v>
      </c>
      <c r="B65" s="726" t="s">
        <v>152</v>
      </c>
      <c r="C65" s="726" t="s">
        <v>255</v>
      </c>
      <c r="D65" s="732">
        <v>128</v>
      </c>
      <c r="E65" s="733">
        <v>123</v>
      </c>
      <c r="F65" s="733">
        <v>4</v>
      </c>
      <c r="G65" s="734">
        <v>1</v>
      </c>
      <c r="H65" s="732">
        <v>23317</v>
      </c>
      <c r="I65" s="733">
        <v>20551</v>
      </c>
      <c r="J65" s="733">
        <v>1130</v>
      </c>
      <c r="K65" s="734">
        <v>1636</v>
      </c>
      <c r="L65" s="752">
        <f t="shared" si="3"/>
        <v>5.4895569755972042</v>
      </c>
      <c r="M65" s="753">
        <f t="shared" si="3"/>
        <v>5.9851102136149086</v>
      </c>
      <c r="N65" s="753">
        <f t="shared" si="3"/>
        <v>3.5398230088495577</v>
      </c>
      <c r="O65" s="754">
        <f t="shared" si="3"/>
        <v>0.61124694376528121</v>
      </c>
    </row>
    <row r="66" spans="1:15" x14ac:dyDescent="0.3">
      <c r="A66" s="726" t="s">
        <v>153</v>
      </c>
      <c r="B66" s="726" t="s">
        <v>154</v>
      </c>
      <c r="C66" s="726" t="s">
        <v>252</v>
      </c>
      <c r="D66" s="732">
        <v>164</v>
      </c>
      <c r="E66" s="733">
        <v>62</v>
      </c>
      <c r="F66" s="733">
        <v>9</v>
      </c>
      <c r="G66" s="734">
        <v>93</v>
      </c>
      <c r="H66" s="732">
        <v>62959</v>
      </c>
      <c r="I66" s="733">
        <v>44378</v>
      </c>
      <c r="J66" s="733">
        <v>5720</v>
      </c>
      <c r="K66" s="734">
        <v>12861</v>
      </c>
      <c r="L66" s="752">
        <f t="shared" si="3"/>
        <v>2.6048698359249669</v>
      </c>
      <c r="M66" s="753">
        <f t="shared" si="3"/>
        <v>1.3970886475280544</v>
      </c>
      <c r="N66" s="753">
        <f t="shared" si="3"/>
        <v>1.5734265734265735</v>
      </c>
      <c r="O66" s="754">
        <f t="shared" si="3"/>
        <v>7.2311639841380915</v>
      </c>
    </row>
    <row r="67" spans="1:15" x14ac:dyDescent="0.3">
      <c r="A67" s="726" t="s">
        <v>155</v>
      </c>
      <c r="B67" s="726" t="s">
        <v>156</v>
      </c>
      <c r="C67" s="726" t="s">
        <v>253</v>
      </c>
      <c r="D67" s="732">
        <v>44</v>
      </c>
      <c r="E67" s="733">
        <v>37</v>
      </c>
      <c r="F67" s="733">
        <v>6</v>
      </c>
      <c r="G67" s="734">
        <v>1</v>
      </c>
      <c r="H67" s="732">
        <v>7539</v>
      </c>
      <c r="I67" s="733">
        <v>6055</v>
      </c>
      <c r="J67" s="733">
        <v>1293</v>
      </c>
      <c r="K67" s="734">
        <v>191</v>
      </c>
      <c r="L67" s="752">
        <f t="shared" si="3"/>
        <v>5.8363178140336913</v>
      </c>
      <c r="M67" s="753">
        <f t="shared" si="3"/>
        <v>6.1106523534269197</v>
      </c>
      <c r="N67" s="753">
        <f t="shared" si="3"/>
        <v>4.6403712296983759</v>
      </c>
      <c r="O67" s="754">
        <f t="shared" si="3"/>
        <v>5.2356020942408383</v>
      </c>
    </row>
    <row r="68" spans="1:15" x14ac:dyDescent="0.3">
      <c r="A68" s="726" t="s">
        <v>161</v>
      </c>
      <c r="B68" s="726" t="s">
        <v>162</v>
      </c>
      <c r="C68" s="726" t="s">
        <v>251</v>
      </c>
      <c r="D68" s="732">
        <v>44</v>
      </c>
      <c r="E68" s="733">
        <v>18</v>
      </c>
      <c r="F68" s="733">
        <v>25</v>
      </c>
      <c r="G68" s="734">
        <v>1</v>
      </c>
      <c r="H68" s="732">
        <v>3043</v>
      </c>
      <c r="I68" s="733">
        <v>1843</v>
      </c>
      <c r="J68" s="733">
        <v>1138</v>
      </c>
      <c r="K68" s="734">
        <v>62</v>
      </c>
      <c r="L68" s="752">
        <f t="shared" si="3"/>
        <v>14.459415050936576</v>
      </c>
      <c r="M68" s="753">
        <f t="shared" si="3"/>
        <v>9.7666847531199128</v>
      </c>
      <c r="N68" s="753">
        <f t="shared" si="3"/>
        <v>21.968365553602812</v>
      </c>
      <c r="O68" s="754">
        <f t="shared" si="3"/>
        <v>16.129032258064516</v>
      </c>
    </row>
    <row r="69" spans="1:15" x14ac:dyDescent="0.3">
      <c r="A69" s="726" t="s">
        <v>163</v>
      </c>
      <c r="B69" s="726" t="s">
        <v>164</v>
      </c>
      <c r="C69" s="726" t="s">
        <v>253</v>
      </c>
      <c r="D69" s="732">
        <v>38</v>
      </c>
      <c r="E69" s="733">
        <v>27</v>
      </c>
      <c r="F69" s="733">
        <v>10</v>
      </c>
      <c r="G69" s="734">
        <v>1</v>
      </c>
      <c r="H69" s="732">
        <v>3049</v>
      </c>
      <c r="I69" s="733">
        <v>2294</v>
      </c>
      <c r="J69" s="733">
        <v>715</v>
      </c>
      <c r="K69" s="734">
        <v>40</v>
      </c>
      <c r="L69" s="752">
        <f t="shared" si="3"/>
        <v>12.463102656608724</v>
      </c>
      <c r="M69" s="753">
        <f t="shared" si="3"/>
        <v>11.769834350479512</v>
      </c>
      <c r="N69" s="753">
        <f t="shared" si="3"/>
        <v>13.986013986013987</v>
      </c>
      <c r="O69" s="754">
        <f t="shared" si="3"/>
        <v>25</v>
      </c>
    </row>
    <row r="70" spans="1:15" x14ac:dyDescent="0.3">
      <c r="A70" s="726" t="s">
        <v>167</v>
      </c>
      <c r="B70" s="726" t="s">
        <v>168</v>
      </c>
      <c r="C70" s="726" t="s">
        <v>253</v>
      </c>
      <c r="D70" s="732">
        <v>34</v>
      </c>
      <c r="E70" s="733">
        <v>21</v>
      </c>
      <c r="F70" s="733">
        <v>13</v>
      </c>
      <c r="G70" s="734">
        <v>0</v>
      </c>
      <c r="H70" s="732">
        <v>3252</v>
      </c>
      <c r="I70" s="733">
        <v>2168</v>
      </c>
      <c r="J70" s="733">
        <v>1025</v>
      </c>
      <c r="K70" s="734">
        <v>59</v>
      </c>
      <c r="L70" s="752">
        <f t="shared" si="3"/>
        <v>10.455104551045512</v>
      </c>
      <c r="M70" s="753">
        <f t="shared" si="3"/>
        <v>9.6863468634686356</v>
      </c>
      <c r="N70" s="753">
        <f t="shared" si="3"/>
        <v>12.682926829268293</v>
      </c>
      <c r="O70" s="754">
        <f t="shared" si="3"/>
        <v>0</v>
      </c>
    </row>
    <row r="71" spans="1:15" x14ac:dyDescent="0.3">
      <c r="A71" s="726" t="s">
        <v>169</v>
      </c>
      <c r="B71" s="726" t="s">
        <v>170</v>
      </c>
      <c r="C71" s="726" t="s">
        <v>254</v>
      </c>
      <c r="D71" s="732">
        <v>92</v>
      </c>
      <c r="E71" s="733">
        <v>63</v>
      </c>
      <c r="F71" s="733">
        <v>26</v>
      </c>
      <c r="G71" s="734">
        <v>3</v>
      </c>
      <c r="H71" s="732">
        <v>9413</v>
      </c>
      <c r="I71" s="733">
        <v>6829</v>
      </c>
      <c r="J71" s="733">
        <v>2409</v>
      </c>
      <c r="K71" s="734">
        <v>175</v>
      </c>
      <c r="L71" s="752">
        <f t="shared" si="3"/>
        <v>9.7737171996175487</v>
      </c>
      <c r="M71" s="753">
        <f t="shared" si="3"/>
        <v>9.2253624249524098</v>
      </c>
      <c r="N71" s="753">
        <f t="shared" si="3"/>
        <v>10.792860107928602</v>
      </c>
      <c r="O71" s="754">
        <f t="shared" si="3"/>
        <v>17.142857142857142</v>
      </c>
    </row>
    <row r="72" spans="1:15" x14ac:dyDescent="0.3">
      <c r="A72" s="726" t="s">
        <v>171</v>
      </c>
      <c r="B72" s="726" t="s">
        <v>172</v>
      </c>
      <c r="C72" s="726" t="s">
        <v>254</v>
      </c>
      <c r="D72" s="732">
        <v>56</v>
      </c>
      <c r="E72" s="733">
        <v>52</v>
      </c>
      <c r="F72" s="733">
        <v>2</v>
      </c>
      <c r="G72" s="734">
        <v>2</v>
      </c>
      <c r="H72" s="732">
        <v>4919</v>
      </c>
      <c r="I72" s="733">
        <v>4599</v>
      </c>
      <c r="J72" s="733">
        <v>277</v>
      </c>
      <c r="K72" s="734">
        <v>43</v>
      </c>
      <c r="L72" s="752">
        <f t="shared" si="3"/>
        <v>11.384427729213256</v>
      </c>
      <c r="M72" s="753">
        <f t="shared" si="3"/>
        <v>11.306805827353772</v>
      </c>
      <c r="N72" s="753">
        <f t="shared" si="3"/>
        <v>7.2202166064981954</v>
      </c>
      <c r="O72" s="754">
        <f t="shared" si="3"/>
        <v>46.511627906976742</v>
      </c>
    </row>
    <row r="73" spans="1:15" x14ac:dyDescent="0.3">
      <c r="A73" s="726" t="s">
        <v>173</v>
      </c>
      <c r="B73" s="726" t="s">
        <v>174</v>
      </c>
      <c r="C73" s="726" t="s">
        <v>255</v>
      </c>
      <c r="D73" s="732">
        <v>83</v>
      </c>
      <c r="E73" s="733">
        <v>75</v>
      </c>
      <c r="F73" s="733">
        <v>7</v>
      </c>
      <c r="G73" s="734">
        <v>1</v>
      </c>
      <c r="H73" s="732">
        <v>16732</v>
      </c>
      <c r="I73" s="733">
        <v>14674</v>
      </c>
      <c r="J73" s="733">
        <v>944</v>
      </c>
      <c r="K73" s="734">
        <v>1114</v>
      </c>
      <c r="L73" s="752">
        <f t="shared" si="3"/>
        <v>4.9605546258666031</v>
      </c>
      <c r="M73" s="753">
        <f t="shared" si="3"/>
        <v>5.1110808232247509</v>
      </c>
      <c r="N73" s="753">
        <f t="shared" si="3"/>
        <v>7.4152542372881358</v>
      </c>
      <c r="O73" s="754">
        <f t="shared" si="3"/>
        <v>0.89766606822262118</v>
      </c>
    </row>
    <row r="74" spans="1:15" x14ac:dyDescent="0.3">
      <c r="A74" s="726" t="s">
        <v>177</v>
      </c>
      <c r="B74" s="726" t="s">
        <v>178</v>
      </c>
      <c r="C74" s="726" t="s">
        <v>252</v>
      </c>
      <c r="D74" s="732">
        <v>120</v>
      </c>
      <c r="E74" s="733">
        <v>80</v>
      </c>
      <c r="F74" s="733">
        <v>33</v>
      </c>
      <c r="G74" s="734">
        <v>7</v>
      </c>
      <c r="H74" s="732">
        <v>12190</v>
      </c>
      <c r="I74" s="733">
        <v>9413</v>
      </c>
      <c r="J74" s="733">
        <v>2650</v>
      </c>
      <c r="K74" s="734">
        <v>127</v>
      </c>
      <c r="L74" s="752">
        <f t="shared" si="3"/>
        <v>9.844134536505333</v>
      </c>
      <c r="M74" s="753">
        <f t="shared" si="3"/>
        <v>8.4988845214065663</v>
      </c>
      <c r="N74" s="753">
        <f t="shared" si="3"/>
        <v>12.452830188679245</v>
      </c>
      <c r="O74" s="754">
        <f t="shared" si="3"/>
        <v>55.118110236220474</v>
      </c>
    </row>
    <row r="75" spans="1:15" x14ac:dyDescent="0.3">
      <c r="A75" s="726" t="s">
        <v>181</v>
      </c>
      <c r="B75" s="726" t="s">
        <v>182</v>
      </c>
      <c r="C75" s="726" t="s">
        <v>253</v>
      </c>
      <c r="D75" s="732">
        <v>21</v>
      </c>
      <c r="E75" s="733">
        <v>16</v>
      </c>
      <c r="F75" s="733">
        <v>3</v>
      </c>
      <c r="G75" s="734">
        <v>2</v>
      </c>
      <c r="H75" s="732">
        <v>6895</v>
      </c>
      <c r="I75" s="733">
        <v>5982</v>
      </c>
      <c r="J75" s="733">
        <v>743</v>
      </c>
      <c r="K75" s="734">
        <v>170</v>
      </c>
      <c r="L75" s="752">
        <f t="shared" si="3"/>
        <v>3.0456852791878171</v>
      </c>
      <c r="M75" s="753">
        <f t="shared" si="3"/>
        <v>2.6746907388833163</v>
      </c>
      <c r="N75" s="753">
        <f t="shared" si="3"/>
        <v>4.0376850605652761</v>
      </c>
      <c r="O75" s="754">
        <f t="shared" si="3"/>
        <v>11.76470588235294</v>
      </c>
    </row>
    <row r="76" spans="1:15" x14ac:dyDescent="0.3">
      <c r="A76" s="726" t="s">
        <v>183</v>
      </c>
      <c r="B76" s="726" t="s">
        <v>184</v>
      </c>
      <c r="C76" s="726" t="s">
        <v>253</v>
      </c>
      <c r="D76" s="732">
        <v>35</v>
      </c>
      <c r="E76" s="733">
        <v>10</v>
      </c>
      <c r="F76" s="733">
        <v>24</v>
      </c>
      <c r="G76" s="734">
        <v>1</v>
      </c>
      <c r="H76" s="732">
        <v>7040</v>
      </c>
      <c r="I76" s="733">
        <v>4663</v>
      </c>
      <c r="J76" s="733">
        <v>2182</v>
      </c>
      <c r="K76" s="734">
        <v>195</v>
      </c>
      <c r="L76" s="752">
        <f t="shared" si="3"/>
        <v>4.9715909090909092</v>
      </c>
      <c r="M76" s="753">
        <f t="shared" si="3"/>
        <v>2.1445421402530558</v>
      </c>
      <c r="N76" s="753">
        <f t="shared" si="3"/>
        <v>10.999083409715857</v>
      </c>
      <c r="O76" s="754">
        <f t="shared" si="3"/>
        <v>5.1282051282051286</v>
      </c>
    </row>
    <row r="77" spans="1:15" x14ac:dyDescent="0.3">
      <c r="A77" s="726" t="s">
        <v>185</v>
      </c>
      <c r="B77" s="726" t="s">
        <v>186</v>
      </c>
      <c r="C77" s="726" t="s">
        <v>251</v>
      </c>
      <c r="D77" s="732">
        <v>55</v>
      </c>
      <c r="E77" s="733">
        <v>32</v>
      </c>
      <c r="F77" s="733">
        <v>22</v>
      </c>
      <c r="G77" s="734">
        <v>1</v>
      </c>
      <c r="H77" s="732">
        <v>7892</v>
      </c>
      <c r="I77" s="733">
        <v>4702</v>
      </c>
      <c r="J77" s="733">
        <v>2932</v>
      </c>
      <c r="K77" s="734">
        <v>258</v>
      </c>
      <c r="L77" s="752">
        <f t="shared" si="3"/>
        <v>6.9690826153066396</v>
      </c>
      <c r="M77" s="753">
        <f t="shared" si="3"/>
        <v>6.8056146320714594</v>
      </c>
      <c r="N77" s="753">
        <f t="shared" si="3"/>
        <v>7.5034106412005457</v>
      </c>
      <c r="O77" s="754">
        <f t="shared" si="3"/>
        <v>3.8759689922480618</v>
      </c>
    </row>
    <row r="78" spans="1:15" x14ac:dyDescent="0.3">
      <c r="A78" s="726" t="s">
        <v>187</v>
      </c>
      <c r="B78" s="726" t="s">
        <v>188</v>
      </c>
      <c r="C78" s="726" t="s">
        <v>254</v>
      </c>
      <c r="D78" s="732">
        <v>739</v>
      </c>
      <c r="E78" s="733">
        <v>322</v>
      </c>
      <c r="F78" s="733">
        <v>152</v>
      </c>
      <c r="G78" s="734">
        <v>265</v>
      </c>
      <c r="H78" s="732">
        <v>99990</v>
      </c>
      <c r="I78" s="733">
        <v>63608</v>
      </c>
      <c r="J78" s="733">
        <v>25406</v>
      </c>
      <c r="K78" s="734">
        <v>10976</v>
      </c>
      <c r="L78" s="752">
        <f t="shared" si="3"/>
        <v>7.3907390739073913</v>
      </c>
      <c r="M78" s="753">
        <f t="shared" si="3"/>
        <v>5.0622563199597534</v>
      </c>
      <c r="N78" s="753">
        <f t="shared" si="3"/>
        <v>5.9828386995197986</v>
      </c>
      <c r="O78" s="754">
        <f t="shared" si="3"/>
        <v>24.143586005830905</v>
      </c>
    </row>
    <row r="79" spans="1:15" x14ac:dyDescent="0.3">
      <c r="A79" s="726" t="s">
        <v>189</v>
      </c>
      <c r="B79" s="726" t="s">
        <v>190</v>
      </c>
      <c r="C79" s="726" t="s">
        <v>255</v>
      </c>
      <c r="D79" s="732">
        <v>122</v>
      </c>
      <c r="E79" s="733">
        <v>102</v>
      </c>
      <c r="F79" s="733">
        <v>16</v>
      </c>
      <c r="G79" s="734">
        <v>4</v>
      </c>
      <c r="H79" s="732">
        <v>9163</v>
      </c>
      <c r="I79" s="733">
        <v>7976</v>
      </c>
      <c r="J79" s="733">
        <v>1062</v>
      </c>
      <c r="K79" s="734">
        <v>125</v>
      </c>
      <c r="L79" s="752">
        <f t="shared" si="3"/>
        <v>13.314416675761214</v>
      </c>
      <c r="M79" s="753">
        <f t="shared" si="3"/>
        <v>12.788365095285856</v>
      </c>
      <c r="N79" s="753">
        <f t="shared" si="3"/>
        <v>15.065913370998116</v>
      </c>
      <c r="O79" s="754">
        <f t="shared" si="3"/>
        <v>32</v>
      </c>
    </row>
    <row r="80" spans="1:15" x14ac:dyDescent="0.3">
      <c r="A80" s="726" t="s">
        <v>193</v>
      </c>
      <c r="B80" s="726" t="s">
        <v>194</v>
      </c>
      <c r="C80" s="726" t="s">
        <v>254</v>
      </c>
      <c r="D80" s="732">
        <v>38</v>
      </c>
      <c r="E80" s="733">
        <v>37</v>
      </c>
      <c r="F80" s="733">
        <v>0</v>
      </c>
      <c r="G80" s="734">
        <v>1</v>
      </c>
      <c r="H80" s="732">
        <v>3776</v>
      </c>
      <c r="I80" s="733">
        <v>3594</v>
      </c>
      <c r="J80" s="733">
        <v>141</v>
      </c>
      <c r="K80" s="734">
        <v>41</v>
      </c>
      <c r="L80" s="752">
        <f t="shared" si="3"/>
        <v>10.063559322033898</v>
      </c>
      <c r="M80" s="753">
        <f t="shared" si="3"/>
        <v>10.294936004451863</v>
      </c>
      <c r="N80" s="753">
        <f t="shared" si="3"/>
        <v>0</v>
      </c>
      <c r="O80" s="754">
        <f t="shared" si="3"/>
        <v>24.390243902439025</v>
      </c>
    </row>
    <row r="81" spans="1:15" x14ac:dyDescent="0.3">
      <c r="A81" s="726" t="s">
        <v>197</v>
      </c>
      <c r="B81" s="726" t="s">
        <v>259</v>
      </c>
      <c r="C81" s="726" t="s">
        <v>253</v>
      </c>
      <c r="D81" s="732">
        <v>29</v>
      </c>
      <c r="E81" s="733">
        <v>26</v>
      </c>
      <c r="F81" s="733">
        <v>2</v>
      </c>
      <c r="G81" s="734">
        <v>1</v>
      </c>
      <c r="H81" s="732">
        <v>3083</v>
      </c>
      <c r="I81" s="733">
        <v>2513</v>
      </c>
      <c r="J81" s="733">
        <v>526</v>
      </c>
      <c r="K81" s="734">
        <v>44</v>
      </c>
      <c r="L81" s="752">
        <f t="shared" si="3"/>
        <v>9.4064223159260472</v>
      </c>
      <c r="M81" s="753">
        <f t="shared" si="3"/>
        <v>10.346199761241545</v>
      </c>
      <c r="N81" s="753">
        <f t="shared" si="3"/>
        <v>3.8022813688212929</v>
      </c>
      <c r="O81" s="754">
        <f t="shared" si="3"/>
        <v>22.727272727272727</v>
      </c>
    </row>
    <row r="82" spans="1:15" x14ac:dyDescent="0.3">
      <c r="A82" s="726" t="s">
        <v>201</v>
      </c>
      <c r="B82" s="726" t="s">
        <v>276</v>
      </c>
      <c r="C82" s="726" t="s">
        <v>252</v>
      </c>
      <c r="D82" s="732">
        <v>197</v>
      </c>
      <c r="E82" s="733">
        <v>150</v>
      </c>
      <c r="F82" s="733">
        <v>38</v>
      </c>
      <c r="G82" s="734">
        <v>9</v>
      </c>
      <c r="H82" s="732">
        <v>33329</v>
      </c>
      <c r="I82" s="733">
        <v>28163</v>
      </c>
      <c r="J82" s="733">
        <v>4044</v>
      </c>
      <c r="K82" s="734">
        <v>1122</v>
      </c>
      <c r="L82" s="752">
        <f t="shared" si="3"/>
        <v>5.9107683998919862</v>
      </c>
      <c r="M82" s="753">
        <f t="shared" si="3"/>
        <v>5.3261371302773144</v>
      </c>
      <c r="N82" s="753">
        <f t="shared" si="3"/>
        <v>9.3966369930761626</v>
      </c>
      <c r="O82" s="754">
        <f t="shared" si="3"/>
        <v>8.0213903743315509</v>
      </c>
    </row>
    <row r="83" spans="1:15" x14ac:dyDescent="0.3">
      <c r="A83" s="726" t="s">
        <v>203</v>
      </c>
      <c r="B83" s="726" t="s">
        <v>269</v>
      </c>
      <c r="C83" s="726" t="s">
        <v>252</v>
      </c>
      <c r="D83" s="732">
        <v>254</v>
      </c>
      <c r="E83" s="733">
        <v>144</v>
      </c>
      <c r="F83" s="733">
        <v>86</v>
      </c>
      <c r="G83" s="734">
        <v>24</v>
      </c>
      <c r="H83" s="732">
        <v>36802</v>
      </c>
      <c r="I83" s="733">
        <v>26468</v>
      </c>
      <c r="J83" s="733">
        <v>8784</v>
      </c>
      <c r="K83" s="734">
        <v>1550</v>
      </c>
      <c r="L83" s="752">
        <f t="shared" si="3"/>
        <v>6.9017988152817784</v>
      </c>
      <c r="M83" s="753">
        <f t="shared" si="3"/>
        <v>5.4405319631252835</v>
      </c>
      <c r="N83" s="753">
        <f t="shared" si="3"/>
        <v>9.7905282331511838</v>
      </c>
      <c r="O83" s="754">
        <f t="shared" si="3"/>
        <v>15.483870967741936</v>
      </c>
    </row>
    <row r="84" spans="1:15" x14ac:dyDescent="0.3">
      <c r="A84" s="726" t="s">
        <v>205</v>
      </c>
      <c r="B84" s="726" t="s">
        <v>270</v>
      </c>
      <c r="C84" s="726" t="s">
        <v>254</v>
      </c>
      <c r="D84" s="732">
        <v>323</v>
      </c>
      <c r="E84" s="733">
        <v>243</v>
      </c>
      <c r="F84" s="733">
        <v>36</v>
      </c>
      <c r="G84" s="734">
        <v>44</v>
      </c>
      <c r="H84" s="732">
        <v>40562</v>
      </c>
      <c r="I84" s="733">
        <v>34256</v>
      </c>
      <c r="J84" s="733">
        <v>4308</v>
      </c>
      <c r="K84" s="734">
        <v>1998</v>
      </c>
      <c r="L84" s="752">
        <f t="shared" si="3"/>
        <v>7.96311818943839</v>
      </c>
      <c r="M84" s="753">
        <f t="shared" si="3"/>
        <v>7.0936478281177022</v>
      </c>
      <c r="N84" s="753">
        <f t="shared" si="3"/>
        <v>8.3565459610027855</v>
      </c>
      <c r="O84" s="754">
        <f t="shared" si="3"/>
        <v>22.022022022022021</v>
      </c>
    </row>
    <row r="85" spans="1:15" x14ac:dyDescent="0.3">
      <c r="A85" s="726" t="s">
        <v>207</v>
      </c>
      <c r="B85" s="726" t="s">
        <v>208</v>
      </c>
      <c r="C85" s="726" t="s">
        <v>255</v>
      </c>
      <c r="D85" s="732">
        <v>114</v>
      </c>
      <c r="E85" s="733">
        <v>91</v>
      </c>
      <c r="F85" s="733">
        <v>19</v>
      </c>
      <c r="G85" s="734">
        <v>4</v>
      </c>
      <c r="H85" s="732">
        <v>9111</v>
      </c>
      <c r="I85" s="733">
        <v>7158</v>
      </c>
      <c r="J85" s="733">
        <v>1762</v>
      </c>
      <c r="K85" s="734">
        <v>191</v>
      </c>
      <c r="L85" s="752">
        <f t="shared" ref="L85:O116" si="4">IF(H85=0,"NA",(D85/H85)*1000)</f>
        <v>12.512347711557458</v>
      </c>
      <c r="M85" s="753">
        <f t="shared" si="4"/>
        <v>12.713048337524448</v>
      </c>
      <c r="N85" s="753">
        <f t="shared" si="4"/>
        <v>10.783200908059024</v>
      </c>
      <c r="O85" s="754">
        <f t="shared" si="4"/>
        <v>20.942408376963353</v>
      </c>
    </row>
    <row r="86" spans="1:15" x14ac:dyDescent="0.3">
      <c r="A86" s="726" t="s">
        <v>209</v>
      </c>
      <c r="B86" s="726" t="s">
        <v>210</v>
      </c>
      <c r="C86" s="726" t="s">
        <v>255</v>
      </c>
      <c r="D86" s="732">
        <v>465</v>
      </c>
      <c r="E86" s="733">
        <v>226</v>
      </c>
      <c r="F86" s="733">
        <v>91</v>
      </c>
      <c r="G86" s="734">
        <v>148</v>
      </c>
      <c r="H86" s="732">
        <v>69561</v>
      </c>
      <c r="I86" s="733">
        <v>45449</v>
      </c>
      <c r="J86" s="733">
        <v>16633</v>
      </c>
      <c r="K86" s="734">
        <v>7479</v>
      </c>
      <c r="L86" s="752">
        <f t="shared" si="4"/>
        <v>6.6847802648035533</v>
      </c>
      <c r="M86" s="753">
        <f t="shared" si="4"/>
        <v>4.9726066580122774</v>
      </c>
      <c r="N86" s="753">
        <f t="shared" si="4"/>
        <v>5.4710515240786393</v>
      </c>
      <c r="O86" s="754">
        <f t="shared" si="4"/>
        <v>19.78874181040246</v>
      </c>
    </row>
    <row r="87" spans="1:15" x14ac:dyDescent="0.3">
      <c r="A87" s="726" t="s">
        <v>211</v>
      </c>
      <c r="B87" s="726" t="s">
        <v>212</v>
      </c>
      <c r="C87" s="726" t="s">
        <v>254</v>
      </c>
      <c r="D87" s="732">
        <v>130</v>
      </c>
      <c r="E87" s="733">
        <v>118</v>
      </c>
      <c r="F87" s="733">
        <v>10</v>
      </c>
      <c r="G87" s="734">
        <v>2</v>
      </c>
      <c r="H87" s="732">
        <v>10941</v>
      </c>
      <c r="I87" s="733">
        <v>10221</v>
      </c>
      <c r="J87" s="733">
        <v>548</v>
      </c>
      <c r="K87" s="734">
        <v>172</v>
      </c>
      <c r="L87" s="752">
        <f t="shared" si="4"/>
        <v>11.881912073850653</v>
      </c>
      <c r="M87" s="753">
        <f t="shared" si="4"/>
        <v>11.544858624400742</v>
      </c>
      <c r="N87" s="753">
        <f t="shared" si="4"/>
        <v>18.248175182481749</v>
      </c>
      <c r="O87" s="754">
        <f t="shared" si="4"/>
        <v>11.627906976744185</v>
      </c>
    </row>
    <row r="88" spans="1:15" x14ac:dyDescent="0.3">
      <c r="A88" s="726" t="s">
        <v>213</v>
      </c>
      <c r="B88" s="726" t="s">
        <v>214</v>
      </c>
      <c r="C88" s="726" t="s">
        <v>255</v>
      </c>
      <c r="D88" s="732">
        <v>80</v>
      </c>
      <c r="E88" s="733">
        <v>75</v>
      </c>
      <c r="F88" s="733">
        <v>3</v>
      </c>
      <c r="G88" s="734">
        <v>2</v>
      </c>
      <c r="H88" s="732">
        <v>5880</v>
      </c>
      <c r="I88" s="733">
        <v>5517</v>
      </c>
      <c r="J88" s="733">
        <v>307</v>
      </c>
      <c r="K88" s="734">
        <v>56</v>
      </c>
      <c r="L88" s="752">
        <f t="shared" si="4"/>
        <v>13.605442176870747</v>
      </c>
      <c r="M88" s="753">
        <f t="shared" si="4"/>
        <v>13.594344752582925</v>
      </c>
      <c r="N88" s="753">
        <f t="shared" si="4"/>
        <v>9.7719869706840381</v>
      </c>
      <c r="O88" s="754">
        <f t="shared" si="4"/>
        <v>35.714285714285715</v>
      </c>
    </row>
    <row r="89" spans="1:15" x14ac:dyDescent="0.3">
      <c r="A89" s="726" t="s">
        <v>215</v>
      </c>
      <c r="B89" s="726" t="s">
        <v>216</v>
      </c>
      <c r="C89" s="726" t="s">
        <v>251</v>
      </c>
      <c r="D89" s="732">
        <v>30</v>
      </c>
      <c r="E89" s="733">
        <v>17</v>
      </c>
      <c r="F89" s="733">
        <v>12</v>
      </c>
      <c r="G89" s="734">
        <v>1</v>
      </c>
      <c r="H89" s="732">
        <v>3846</v>
      </c>
      <c r="I89" s="733">
        <v>2417</v>
      </c>
      <c r="J89" s="733">
        <v>1381</v>
      </c>
      <c r="K89" s="734">
        <v>48</v>
      </c>
      <c r="L89" s="752">
        <f t="shared" si="4"/>
        <v>7.8003120124804992</v>
      </c>
      <c r="M89" s="753">
        <f t="shared" si="4"/>
        <v>7.0335126189491106</v>
      </c>
      <c r="N89" s="753">
        <f t="shared" si="4"/>
        <v>8.689355539464156</v>
      </c>
      <c r="O89" s="754">
        <f t="shared" si="4"/>
        <v>20.833333333333332</v>
      </c>
    </row>
    <row r="90" spans="1:15" x14ac:dyDescent="0.3">
      <c r="A90" s="726" t="s">
        <v>217</v>
      </c>
      <c r="B90" s="726" t="s">
        <v>218</v>
      </c>
      <c r="C90" s="726" t="s">
        <v>254</v>
      </c>
      <c r="D90" s="732">
        <v>236</v>
      </c>
      <c r="E90" s="733">
        <v>151</v>
      </c>
      <c r="F90" s="733">
        <v>48</v>
      </c>
      <c r="G90" s="734">
        <v>37</v>
      </c>
      <c r="H90" s="732">
        <v>39262</v>
      </c>
      <c r="I90" s="733">
        <v>30933</v>
      </c>
      <c r="J90" s="733">
        <v>6545</v>
      </c>
      <c r="K90" s="734">
        <v>1784</v>
      </c>
      <c r="L90" s="752">
        <f t="shared" si="4"/>
        <v>6.0109011257704648</v>
      </c>
      <c r="M90" s="753">
        <f t="shared" si="4"/>
        <v>4.8815181198073248</v>
      </c>
      <c r="N90" s="753">
        <f t="shared" si="4"/>
        <v>7.3338426279602746</v>
      </c>
      <c r="O90" s="754">
        <f t="shared" si="4"/>
        <v>20.739910313901348</v>
      </c>
    </row>
    <row r="91" spans="1:15" x14ac:dyDescent="0.3">
      <c r="A91" s="726" t="s">
        <v>219</v>
      </c>
      <c r="B91" s="726" t="s">
        <v>220</v>
      </c>
      <c r="C91" s="726" t="s">
        <v>254</v>
      </c>
      <c r="D91" s="732">
        <v>186</v>
      </c>
      <c r="E91" s="733">
        <v>106</v>
      </c>
      <c r="F91" s="733">
        <v>42</v>
      </c>
      <c r="G91" s="734">
        <v>38</v>
      </c>
      <c r="H91" s="732">
        <v>36732</v>
      </c>
      <c r="I91" s="733">
        <v>26970</v>
      </c>
      <c r="J91" s="733">
        <v>7865</v>
      </c>
      <c r="K91" s="734">
        <v>1897</v>
      </c>
      <c r="L91" s="752">
        <f t="shared" si="4"/>
        <v>5.0637046716759224</v>
      </c>
      <c r="M91" s="753">
        <f t="shared" si="4"/>
        <v>3.9302929180571002</v>
      </c>
      <c r="N91" s="753">
        <f t="shared" si="4"/>
        <v>5.3401144310235216</v>
      </c>
      <c r="O91" s="754">
        <f t="shared" si="4"/>
        <v>20.031628887717446</v>
      </c>
    </row>
    <row r="92" spans="1:15" x14ac:dyDescent="0.3">
      <c r="A92" s="726" t="s">
        <v>223</v>
      </c>
      <c r="B92" s="726" t="s">
        <v>224</v>
      </c>
      <c r="C92" s="726" t="s">
        <v>251</v>
      </c>
      <c r="D92" s="732">
        <v>19</v>
      </c>
      <c r="E92" s="733">
        <v>12</v>
      </c>
      <c r="F92" s="733">
        <v>7</v>
      </c>
      <c r="G92" s="734">
        <v>0</v>
      </c>
      <c r="H92" s="732">
        <v>1946</v>
      </c>
      <c r="I92" s="733">
        <v>1381</v>
      </c>
      <c r="J92" s="733">
        <v>542</v>
      </c>
      <c r="K92" s="734">
        <v>23</v>
      </c>
      <c r="L92" s="752">
        <f t="shared" si="4"/>
        <v>9.7636176772867422</v>
      </c>
      <c r="M92" s="753">
        <f t="shared" si="4"/>
        <v>8.689355539464156</v>
      </c>
      <c r="N92" s="753">
        <f t="shared" si="4"/>
        <v>12.915129151291513</v>
      </c>
      <c r="O92" s="754">
        <f t="shared" si="4"/>
        <v>0</v>
      </c>
    </row>
    <row r="93" spans="1:15" x14ac:dyDescent="0.3">
      <c r="A93" s="726" t="s">
        <v>225</v>
      </c>
      <c r="B93" s="726" t="s">
        <v>226</v>
      </c>
      <c r="C93" s="726" t="s">
        <v>251</v>
      </c>
      <c r="D93" s="732">
        <v>27</v>
      </c>
      <c r="E93" s="733">
        <v>14</v>
      </c>
      <c r="F93" s="733">
        <v>13</v>
      </c>
      <c r="G93" s="734">
        <v>0</v>
      </c>
      <c r="H93" s="732">
        <v>2674</v>
      </c>
      <c r="I93" s="733">
        <v>1658</v>
      </c>
      <c r="J93" s="733">
        <v>956</v>
      </c>
      <c r="K93" s="734">
        <v>60</v>
      </c>
      <c r="L93" s="752">
        <f t="shared" si="4"/>
        <v>10.097232610321615</v>
      </c>
      <c r="M93" s="753">
        <f t="shared" si="4"/>
        <v>8.443908323281061</v>
      </c>
      <c r="N93" s="753">
        <f t="shared" si="4"/>
        <v>13.598326359832637</v>
      </c>
      <c r="O93" s="754">
        <f t="shared" si="4"/>
        <v>0</v>
      </c>
    </row>
    <row r="94" spans="1:15" x14ac:dyDescent="0.3">
      <c r="A94" s="726" t="s">
        <v>227</v>
      </c>
      <c r="B94" s="726" t="s">
        <v>228</v>
      </c>
      <c r="C94" s="726" t="s">
        <v>255</v>
      </c>
      <c r="D94" s="732">
        <v>158</v>
      </c>
      <c r="E94" s="733">
        <v>155</v>
      </c>
      <c r="F94" s="733">
        <v>3</v>
      </c>
      <c r="G94" s="734">
        <v>0</v>
      </c>
      <c r="H94" s="732">
        <v>9267</v>
      </c>
      <c r="I94" s="733">
        <v>8786</v>
      </c>
      <c r="J94" s="733">
        <v>347</v>
      </c>
      <c r="K94" s="734">
        <v>134</v>
      </c>
      <c r="L94" s="752">
        <f t="shared" si="4"/>
        <v>17.049746411999568</v>
      </c>
      <c r="M94" s="753">
        <f t="shared" si="4"/>
        <v>17.641702708854996</v>
      </c>
      <c r="N94" s="753">
        <f t="shared" si="4"/>
        <v>8.6455331412103753</v>
      </c>
      <c r="O94" s="754">
        <f t="shared" si="4"/>
        <v>0</v>
      </c>
    </row>
    <row r="95" spans="1:15" x14ac:dyDescent="0.3">
      <c r="A95" s="726" t="s">
        <v>231</v>
      </c>
      <c r="B95" s="726" t="s">
        <v>232</v>
      </c>
      <c r="C95" s="726" t="s">
        <v>254</v>
      </c>
      <c r="D95" s="732">
        <v>155</v>
      </c>
      <c r="E95" s="733">
        <v>114</v>
      </c>
      <c r="F95" s="733">
        <v>13</v>
      </c>
      <c r="G95" s="734">
        <v>28</v>
      </c>
      <c r="H95" s="732">
        <v>18558</v>
      </c>
      <c r="I95" s="733">
        <v>16249</v>
      </c>
      <c r="J95" s="733">
        <v>1387</v>
      </c>
      <c r="K95" s="734">
        <v>922</v>
      </c>
      <c r="L95" s="752">
        <f t="shared" si="4"/>
        <v>8.3521931242590792</v>
      </c>
      <c r="M95" s="753">
        <f t="shared" si="4"/>
        <v>7.0158163579297188</v>
      </c>
      <c r="N95" s="753">
        <f t="shared" si="4"/>
        <v>9.3727469358327316</v>
      </c>
      <c r="O95" s="754">
        <f t="shared" si="4"/>
        <v>30.368763557483728</v>
      </c>
    </row>
    <row r="96" spans="1:15" x14ac:dyDescent="0.3">
      <c r="A96" s="726" t="s">
        <v>233</v>
      </c>
      <c r="B96" s="726" t="s">
        <v>234</v>
      </c>
      <c r="C96" s="726" t="s">
        <v>255</v>
      </c>
      <c r="D96" s="732">
        <v>209</v>
      </c>
      <c r="E96" s="733">
        <v>197</v>
      </c>
      <c r="F96" s="733">
        <v>5</v>
      </c>
      <c r="G96" s="734">
        <v>7</v>
      </c>
      <c r="H96" s="732">
        <v>19757</v>
      </c>
      <c r="I96" s="733">
        <v>18711</v>
      </c>
      <c r="J96" s="733">
        <v>628</v>
      </c>
      <c r="K96" s="734">
        <v>418</v>
      </c>
      <c r="L96" s="752">
        <f t="shared" si="4"/>
        <v>10.578529128916333</v>
      </c>
      <c r="M96" s="753">
        <f t="shared" si="4"/>
        <v>10.528566084121639</v>
      </c>
      <c r="N96" s="753">
        <f t="shared" si="4"/>
        <v>7.9617834394904454</v>
      </c>
      <c r="O96" s="754">
        <f t="shared" si="4"/>
        <v>16.746411483253588</v>
      </c>
    </row>
    <row r="97" spans="1:15" x14ac:dyDescent="0.3">
      <c r="A97" s="726" t="s">
        <v>235</v>
      </c>
      <c r="B97" s="726" t="s">
        <v>236</v>
      </c>
      <c r="C97" s="726" t="s">
        <v>253</v>
      </c>
      <c r="D97" s="732">
        <v>71</v>
      </c>
      <c r="E97" s="733">
        <v>58</v>
      </c>
      <c r="F97" s="733">
        <v>10</v>
      </c>
      <c r="G97" s="734">
        <v>3</v>
      </c>
      <c r="H97" s="732">
        <v>5557</v>
      </c>
      <c r="I97" s="733">
        <v>4511</v>
      </c>
      <c r="J97" s="733">
        <v>961</v>
      </c>
      <c r="K97" s="734">
        <v>85</v>
      </c>
      <c r="L97" s="752">
        <f t="shared" si="4"/>
        <v>12.776678063703436</v>
      </c>
      <c r="M97" s="753">
        <f t="shared" si="4"/>
        <v>12.857459543338505</v>
      </c>
      <c r="N97" s="753">
        <f t="shared" si="4"/>
        <v>10.40582726326743</v>
      </c>
      <c r="O97" s="754">
        <f t="shared" si="4"/>
        <v>35.294117647058826</v>
      </c>
    </row>
    <row r="98" spans="1:15" x14ac:dyDescent="0.3">
      <c r="A98" s="726" t="s">
        <v>241</v>
      </c>
      <c r="B98" s="726" t="s">
        <v>242</v>
      </c>
      <c r="C98" s="726" t="s">
        <v>255</v>
      </c>
      <c r="D98" s="732">
        <v>155</v>
      </c>
      <c r="E98" s="733">
        <v>148</v>
      </c>
      <c r="F98" s="733">
        <v>5</v>
      </c>
      <c r="G98" s="734">
        <v>2</v>
      </c>
      <c r="H98" s="732">
        <v>8722</v>
      </c>
      <c r="I98" s="733">
        <v>8389</v>
      </c>
      <c r="J98" s="733">
        <v>268</v>
      </c>
      <c r="K98" s="734">
        <v>65</v>
      </c>
      <c r="L98" s="752">
        <f t="shared" si="4"/>
        <v>17.7711534051823</v>
      </c>
      <c r="M98" s="753">
        <f t="shared" si="4"/>
        <v>17.642150435093576</v>
      </c>
      <c r="N98" s="753">
        <f t="shared" si="4"/>
        <v>18.656716417910445</v>
      </c>
      <c r="O98" s="754">
        <f t="shared" si="4"/>
        <v>30.76923076923077</v>
      </c>
    </row>
    <row r="99" spans="1:15" x14ac:dyDescent="0.3">
      <c r="A99" s="726" t="s">
        <v>243</v>
      </c>
      <c r="B99" s="726" t="s">
        <v>244</v>
      </c>
      <c r="C99" s="726" t="s">
        <v>255</v>
      </c>
      <c r="D99" s="732">
        <v>119</v>
      </c>
      <c r="E99" s="733">
        <v>115</v>
      </c>
      <c r="F99" s="733">
        <v>4</v>
      </c>
      <c r="G99" s="734">
        <v>0</v>
      </c>
      <c r="H99" s="732">
        <v>9716</v>
      </c>
      <c r="I99" s="733">
        <v>9120</v>
      </c>
      <c r="J99" s="733">
        <v>446</v>
      </c>
      <c r="K99" s="734">
        <v>150</v>
      </c>
      <c r="L99" s="752">
        <f t="shared" si="4"/>
        <v>12.247838616714697</v>
      </c>
      <c r="M99" s="753">
        <f t="shared" si="4"/>
        <v>12.609649122807017</v>
      </c>
      <c r="N99" s="753">
        <f t="shared" si="4"/>
        <v>8.9686098654708513</v>
      </c>
      <c r="O99" s="754">
        <f t="shared" si="4"/>
        <v>0</v>
      </c>
    </row>
    <row r="100" spans="1:15" x14ac:dyDescent="0.3">
      <c r="A100" s="1009" t="s">
        <v>245</v>
      </c>
      <c r="B100" s="1009" t="s">
        <v>246</v>
      </c>
      <c r="C100" s="1009" t="s">
        <v>251</v>
      </c>
      <c r="D100" s="732">
        <v>354</v>
      </c>
      <c r="E100" s="733">
        <v>132</v>
      </c>
      <c r="F100" s="733">
        <v>165</v>
      </c>
      <c r="G100" s="734">
        <v>57</v>
      </c>
      <c r="H100" s="732">
        <v>42814</v>
      </c>
      <c r="I100" s="733">
        <v>26472</v>
      </c>
      <c r="J100" s="733">
        <v>14048</v>
      </c>
      <c r="K100" s="734">
        <v>2294</v>
      </c>
      <c r="L100" s="752">
        <f t="shared" si="4"/>
        <v>8.2683234456019061</v>
      </c>
      <c r="M100" s="753">
        <f t="shared" si="4"/>
        <v>4.9864007252946507</v>
      </c>
      <c r="N100" s="753">
        <f t="shared" si="4"/>
        <v>11.745444191343964</v>
      </c>
      <c r="O100" s="754">
        <f t="shared" si="4"/>
        <v>24.847428073234525</v>
      </c>
    </row>
    <row r="101" spans="1:15" x14ac:dyDescent="0.3">
      <c r="A101" s="726" t="s">
        <v>13</v>
      </c>
      <c r="B101" s="726" t="s">
        <v>14</v>
      </c>
      <c r="C101" s="726" t="s">
        <v>254</v>
      </c>
      <c r="D101" s="732">
        <v>171</v>
      </c>
      <c r="E101" s="733">
        <v>59</v>
      </c>
      <c r="F101" s="733">
        <v>33</v>
      </c>
      <c r="G101" s="734">
        <v>79</v>
      </c>
      <c r="H101" s="732">
        <v>18861</v>
      </c>
      <c r="I101" s="733">
        <v>11702</v>
      </c>
      <c r="J101" s="733">
        <v>5935</v>
      </c>
      <c r="K101" s="734">
        <v>1224</v>
      </c>
      <c r="L101" s="752">
        <f t="shared" si="4"/>
        <v>9.0663273421345636</v>
      </c>
      <c r="M101" s="753">
        <f t="shared" si="4"/>
        <v>5.0418731840710995</v>
      </c>
      <c r="N101" s="753">
        <f t="shared" si="4"/>
        <v>5.5602358887952823</v>
      </c>
      <c r="O101" s="754">
        <f t="shared" si="4"/>
        <v>64.542483660130728</v>
      </c>
    </row>
    <row r="102" spans="1:15" x14ac:dyDescent="0.3">
      <c r="A102" s="726" t="s">
        <v>33</v>
      </c>
      <c r="B102" s="726" t="s">
        <v>34</v>
      </c>
      <c r="C102" s="726" t="s">
        <v>255</v>
      </c>
      <c r="D102" s="732">
        <v>178</v>
      </c>
      <c r="E102" s="733">
        <v>112</v>
      </c>
      <c r="F102" s="733">
        <v>42</v>
      </c>
      <c r="G102" s="734">
        <v>24</v>
      </c>
      <c r="H102" s="732">
        <v>21374</v>
      </c>
      <c r="I102" s="733">
        <v>16466</v>
      </c>
      <c r="J102" s="733">
        <v>3952</v>
      </c>
      <c r="K102" s="734">
        <v>956</v>
      </c>
      <c r="L102" s="752">
        <f t="shared" si="4"/>
        <v>8.3278749883035452</v>
      </c>
      <c r="M102" s="753">
        <f t="shared" si="4"/>
        <v>6.8018948135552044</v>
      </c>
      <c r="N102" s="753">
        <f t="shared" si="4"/>
        <v>10.62753036437247</v>
      </c>
      <c r="O102" s="754">
        <f t="shared" si="4"/>
        <v>25.10460251046025</v>
      </c>
    </row>
    <row r="103" spans="1:15" x14ac:dyDescent="0.3">
      <c r="A103" s="726" t="s">
        <v>51</v>
      </c>
      <c r="B103" s="726" t="s">
        <v>52</v>
      </c>
      <c r="C103" s="726" t="s">
        <v>252</v>
      </c>
      <c r="D103" s="732">
        <v>49</v>
      </c>
      <c r="E103" s="733">
        <v>19</v>
      </c>
      <c r="F103" s="733">
        <v>21</v>
      </c>
      <c r="G103" s="734">
        <v>9</v>
      </c>
      <c r="H103" s="732">
        <v>6722</v>
      </c>
      <c r="I103" s="733">
        <v>4052</v>
      </c>
      <c r="J103" s="733">
        <v>1972</v>
      </c>
      <c r="K103" s="734">
        <v>698</v>
      </c>
      <c r="L103" s="752">
        <f t="shared" si="4"/>
        <v>7.2894971734602798</v>
      </c>
      <c r="M103" s="753">
        <f t="shared" si="4"/>
        <v>4.6890424481737414</v>
      </c>
      <c r="N103" s="753">
        <f t="shared" si="4"/>
        <v>10.649087221095334</v>
      </c>
      <c r="O103" s="754">
        <f t="shared" si="4"/>
        <v>12.893982808022923</v>
      </c>
    </row>
    <row r="104" spans="1:15" x14ac:dyDescent="0.3">
      <c r="A104" s="726" t="s">
        <v>53</v>
      </c>
      <c r="B104" s="726" t="s">
        <v>54</v>
      </c>
      <c r="C104" s="726" t="s">
        <v>251</v>
      </c>
      <c r="D104" s="732">
        <v>345</v>
      </c>
      <c r="E104" s="733">
        <v>125</v>
      </c>
      <c r="F104" s="733">
        <v>188</v>
      </c>
      <c r="G104" s="734">
        <v>32</v>
      </c>
      <c r="H104" s="732">
        <v>48805</v>
      </c>
      <c r="I104" s="733">
        <v>29519</v>
      </c>
      <c r="J104" s="733">
        <v>17077</v>
      </c>
      <c r="K104" s="734">
        <v>2209</v>
      </c>
      <c r="L104" s="752">
        <f t="shared" si="4"/>
        <v>7.0689478537035138</v>
      </c>
      <c r="M104" s="753">
        <f t="shared" si="4"/>
        <v>4.2345607913547205</v>
      </c>
      <c r="N104" s="753">
        <f t="shared" si="4"/>
        <v>11.008959419101716</v>
      </c>
      <c r="O104" s="754">
        <f t="shared" si="4"/>
        <v>14.486192847442281</v>
      </c>
    </row>
    <row r="105" spans="1:15" x14ac:dyDescent="0.3">
      <c r="A105" s="726" t="s">
        <v>65</v>
      </c>
      <c r="B105" s="726" t="s">
        <v>66</v>
      </c>
      <c r="C105" s="726" t="s">
        <v>252</v>
      </c>
      <c r="D105" s="732">
        <v>203</v>
      </c>
      <c r="E105" s="733">
        <v>103</v>
      </c>
      <c r="F105" s="733">
        <v>90</v>
      </c>
      <c r="G105" s="734">
        <v>10</v>
      </c>
      <c r="H105" s="732">
        <v>13139</v>
      </c>
      <c r="I105" s="733">
        <v>8349</v>
      </c>
      <c r="J105" s="733">
        <v>4580</v>
      </c>
      <c r="K105" s="734">
        <v>210</v>
      </c>
      <c r="L105" s="752">
        <f t="shared" si="4"/>
        <v>15.450186467767715</v>
      </c>
      <c r="M105" s="753">
        <f t="shared" si="4"/>
        <v>12.336806803209965</v>
      </c>
      <c r="N105" s="753">
        <f t="shared" si="4"/>
        <v>19.650655021834062</v>
      </c>
      <c r="O105" s="754">
        <f t="shared" si="4"/>
        <v>47.619047619047613</v>
      </c>
    </row>
    <row r="106" spans="1:15" x14ac:dyDescent="0.3">
      <c r="A106" s="726" t="s">
        <v>81</v>
      </c>
      <c r="B106" s="726" t="s">
        <v>82</v>
      </c>
      <c r="C106" s="726" t="s">
        <v>251</v>
      </c>
      <c r="D106" s="732">
        <v>35</v>
      </c>
      <c r="E106" s="733">
        <v>16</v>
      </c>
      <c r="F106" s="733">
        <v>18</v>
      </c>
      <c r="G106" s="734">
        <v>1</v>
      </c>
      <c r="H106" s="732">
        <v>3078</v>
      </c>
      <c r="I106" s="733">
        <v>1936</v>
      </c>
      <c r="J106" s="733">
        <v>1060</v>
      </c>
      <c r="K106" s="734">
        <v>82</v>
      </c>
      <c r="L106" s="752">
        <f t="shared" si="4"/>
        <v>11.371020142949966</v>
      </c>
      <c r="M106" s="753">
        <f t="shared" si="4"/>
        <v>8.2644628099173563</v>
      </c>
      <c r="N106" s="753">
        <f t="shared" si="4"/>
        <v>16.981132075471699</v>
      </c>
      <c r="O106" s="754">
        <f t="shared" si="4"/>
        <v>12.195121951219512</v>
      </c>
    </row>
    <row r="107" spans="1:15" x14ac:dyDescent="0.3">
      <c r="A107" s="726" t="s">
        <v>87</v>
      </c>
      <c r="B107" s="726" t="s">
        <v>88</v>
      </c>
      <c r="C107" s="726" t="s">
        <v>254</v>
      </c>
      <c r="D107" s="732">
        <v>79</v>
      </c>
      <c r="E107" s="733">
        <v>36</v>
      </c>
      <c r="F107" s="733">
        <v>28</v>
      </c>
      <c r="G107" s="734">
        <v>15</v>
      </c>
      <c r="H107" s="732">
        <v>16131</v>
      </c>
      <c r="I107" s="733">
        <v>11606</v>
      </c>
      <c r="J107" s="733">
        <v>3313</v>
      </c>
      <c r="K107" s="734">
        <v>1212</v>
      </c>
      <c r="L107" s="752">
        <f t="shared" si="4"/>
        <v>4.8974025168929396</v>
      </c>
      <c r="M107" s="753">
        <f t="shared" si="4"/>
        <v>3.1018438738583489</v>
      </c>
      <c r="N107" s="753">
        <f t="shared" si="4"/>
        <v>8.4515544823422868</v>
      </c>
      <c r="O107" s="754">
        <f t="shared" si="4"/>
        <v>12.376237623762377</v>
      </c>
    </row>
    <row r="108" spans="1:15" x14ac:dyDescent="0.3">
      <c r="A108" s="726" t="s">
        <v>89</v>
      </c>
      <c r="B108" s="726" t="s">
        <v>90</v>
      </c>
      <c r="C108" s="726" t="s">
        <v>255</v>
      </c>
      <c r="D108" s="732">
        <v>127</v>
      </c>
      <c r="E108" s="733">
        <v>34</v>
      </c>
      <c r="F108" s="733">
        <v>22</v>
      </c>
      <c r="G108" s="734">
        <v>71</v>
      </c>
      <c r="H108" s="732">
        <v>12863</v>
      </c>
      <c r="I108" s="733">
        <v>8500</v>
      </c>
      <c r="J108" s="733">
        <v>3561</v>
      </c>
      <c r="K108" s="734">
        <v>802</v>
      </c>
      <c r="L108" s="752">
        <f t="shared" si="4"/>
        <v>9.8732799502448891</v>
      </c>
      <c r="M108" s="753">
        <f t="shared" si="4"/>
        <v>4</v>
      </c>
      <c r="N108" s="753">
        <f t="shared" si="4"/>
        <v>6.1780398764392022</v>
      </c>
      <c r="O108" s="754">
        <f t="shared" si="4"/>
        <v>88.528678304239392</v>
      </c>
    </row>
    <row r="109" spans="1:15" x14ac:dyDescent="0.3">
      <c r="A109" s="726" t="s">
        <v>105</v>
      </c>
      <c r="B109" s="726" t="s">
        <v>106</v>
      </c>
      <c r="C109" s="726" t="s">
        <v>251</v>
      </c>
      <c r="D109" s="732">
        <v>272</v>
      </c>
      <c r="E109" s="733">
        <v>90</v>
      </c>
      <c r="F109" s="733">
        <v>162</v>
      </c>
      <c r="G109" s="734">
        <v>20</v>
      </c>
      <c r="H109" s="732">
        <v>26677</v>
      </c>
      <c r="I109" s="733">
        <v>9119</v>
      </c>
      <c r="J109" s="733">
        <v>16634</v>
      </c>
      <c r="K109" s="734">
        <v>924</v>
      </c>
      <c r="L109" s="752">
        <f t="shared" si="4"/>
        <v>10.196049031000488</v>
      </c>
      <c r="M109" s="753">
        <f t="shared" si="4"/>
        <v>9.8695032350038367</v>
      </c>
      <c r="N109" s="753">
        <f t="shared" si="4"/>
        <v>9.7390886136828172</v>
      </c>
      <c r="O109" s="754">
        <f t="shared" si="4"/>
        <v>21.645021645021643</v>
      </c>
    </row>
    <row r="110" spans="1:15" x14ac:dyDescent="0.3">
      <c r="A110" s="726" t="s">
        <v>115</v>
      </c>
      <c r="B110" s="726" t="s">
        <v>116</v>
      </c>
      <c r="C110" s="726" t="s">
        <v>253</v>
      </c>
      <c r="D110" s="732">
        <v>305</v>
      </c>
      <c r="E110" s="733">
        <v>132</v>
      </c>
      <c r="F110" s="733">
        <v>148</v>
      </c>
      <c r="G110" s="734">
        <v>25</v>
      </c>
      <c r="H110" s="732">
        <v>36238</v>
      </c>
      <c r="I110" s="733">
        <v>21240</v>
      </c>
      <c r="J110" s="733">
        <v>13383</v>
      </c>
      <c r="K110" s="734">
        <v>1615</v>
      </c>
      <c r="L110" s="752">
        <f t="shared" si="4"/>
        <v>8.4165792814172953</v>
      </c>
      <c r="M110" s="753">
        <f t="shared" si="4"/>
        <v>6.2146892655367232</v>
      </c>
      <c r="N110" s="753">
        <f t="shared" si="4"/>
        <v>11.058805947844281</v>
      </c>
      <c r="O110" s="754">
        <f t="shared" si="4"/>
        <v>15.479876160990711</v>
      </c>
    </row>
    <row r="111" spans="1:15" x14ac:dyDescent="0.3">
      <c r="A111" s="726" t="s">
        <v>137</v>
      </c>
      <c r="B111" s="726" t="s">
        <v>138</v>
      </c>
      <c r="C111" s="726" t="s">
        <v>252</v>
      </c>
      <c r="D111" s="732">
        <v>210</v>
      </c>
      <c r="E111" s="733">
        <v>69</v>
      </c>
      <c r="F111" s="733">
        <v>136</v>
      </c>
      <c r="G111" s="734">
        <v>5</v>
      </c>
      <c r="H111" s="732">
        <v>20857</v>
      </c>
      <c r="I111" s="733">
        <v>13384</v>
      </c>
      <c r="J111" s="733">
        <v>6582</v>
      </c>
      <c r="K111" s="734">
        <v>891</v>
      </c>
      <c r="L111" s="752">
        <f t="shared" si="4"/>
        <v>10.068562113439132</v>
      </c>
      <c r="M111" s="753">
        <f t="shared" si="4"/>
        <v>5.1554094441123732</v>
      </c>
      <c r="N111" s="753">
        <f t="shared" si="4"/>
        <v>20.662412640534793</v>
      </c>
      <c r="O111" s="754">
        <f t="shared" si="4"/>
        <v>5.6116722783389443</v>
      </c>
    </row>
    <row r="112" spans="1:15" x14ac:dyDescent="0.3">
      <c r="A112" s="726" t="s">
        <v>141</v>
      </c>
      <c r="B112" s="726" t="s">
        <v>142</v>
      </c>
      <c r="C112" s="726" t="s">
        <v>254</v>
      </c>
      <c r="D112" s="732">
        <v>187</v>
      </c>
      <c r="E112" s="733">
        <v>113</v>
      </c>
      <c r="F112" s="733">
        <v>30</v>
      </c>
      <c r="G112" s="734">
        <v>44</v>
      </c>
      <c r="H112" s="732">
        <v>12597</v>
      </c>
      <c r="I112" s="733">
        <v>9126</v>
      </c>
      <c r="J112" s="733">
        <v>2598</v>
      </c>
      <c r="K112" s="734">
        <v>873</v>
      </c>
      <c r="L112" s="752">
        <f t="shared" si="4"/>
        <v>14.844804318488528</v>
      </c>
      <c r="M112" s="753">
        <f t="shared" si="4"/>
        <v>12.382204689896998</v>
      </c>
      <c r="N112" s="753">
        <f t="shared" si="4"/>
        <v>11.547344110854503</v>
      </c>
      <c r="O112" s="754">
        <f t="shared" si="4"/>
        <v>50.400916380297822</v>
      </c>
    </row>
    <row r="113" spans="1:15" x14ac:dyDescent="0.3">
      <c r="A113" s="726" t="s">
        <v>143</v>
      </c>
      <c r="B113" s="726" t="s">
        <v>144</v>
      </c>
      <c r="C113" s="726" t="s">
        <v>254</v>
      </c>
      <c r="D113" s="732">
        <v>32</v>
      </c>
      <c r="E113" s="733">
        <v>21</v>
      </c>
      <c r="F113" s="733">
        <v>4</v>
      </c>
      <c r="G113" s="734">
        <v>7</v>
      </c>
      <c r="H113" s="732">
        <v>4269</v>
      </c>
      <c r="I113" s="733">
        <v>3345</v>
      </c>
      <c r="J113" s="733">
        <v>532</v>
      </c>
      <c r="K113" s="734">
        <v>392</v>
      </c>
      <c r="L113" s="752">
        <f t="shared" si="4"/>
        <v>7.4959006793159988</v>
      </c>
      <c r="M113" s="753">
        <f t="shared" si="4"/>
        <v>6.2780269058295959</v>
      </c>
      <c r="N113" s="753">
        <f t="shared" si="4"/>
        <v>7.518796992481203</v>
      </c>
      <c r="O113" s="754">
        <f t="shared" si="4"/>
        <v>17.857142857142858</v>
      </c>
    </row>
    <row r="114" spans="1:15" x14ac:dyDescent="0.3">
      <c r="A114" s="726" t="s">
        <v>157</v>
      </c>
      <c r="B114" s="726" t="s">
        <v>158</v>
      </c>
      <c r="C114" s="726" t="s">
        <v>251</v>
      </c>
      <c r="D114" s="732">
        <v>475</v>
      </c>
      <c r="E114" s="733">
        <v>126</v>
      </c>
      <c r="F114" s="733">
        <v>275</v>
      </c>
      <c r="G114" s="734">
        <v>74</v>
      </c>
      <c r="H114" s="732">
        <v>36762</v>
      </c>
      <c r="I114" s="733">
        <v>16368</v>
      </c>
      <c r="J114" s="733">
        <v>18921</v>
      </c>
      <c r="K114" s="734">
        <v>1473</v>
      </c>
      <c r="L114" s="752">
        <f t="shared" si="4"/>
        <v>12.920950981992274</v>
      </c>
      <c r="M114" s="753">
        <f t="shared" si="4"/>
        <v>7.6979472140762466</v>
      </c>
      <c r="N114" s="753">
        <f t="shared" si="4"/>
        <v>14.534115533005656</v>
      </c>
      <c r="O114" s="754">
        <f t="shared" si="4"/>
        <v>50.237610319076708</v>
      </c>
    </row>
    <row r="115" spans="1:15" x14ac:dyDescent="0.3">
      <c r="A115" s="726" t="s">
        <v>159</v>
      </c>
      <c r="B115" s="726" t="s">
        <v>160</v>
      </c>
      <c r="C115" s="726" t="s">
        <v>251</v>
      </c>
      <c r="D115" s="732">
        <v>676</v>
      </c>
      <c r="E115" s="733">
        <v>164</v>
      </c>
      <c r="F115" s="733">
        <v>438</v>
      </c>
      <c r="G115" s="734">
        <v>74</v>
      </c>
      <c r="H115" s="732">
        <v>52483</v>
      </c>
      <c r="I115" s="733">
        <v>23118</v>
      </c>
      <c r="J115" s="733">
        <v>26906</v>
      </c>
      <c r="K115" s="734">
        <v>2459</v>
      </c>
      <c r="L115" s="752">
        <f t="shared" si="4"/>
        <v>12.880361259836519</v>
      </c>
      <c r="M115" s="753">
        <f t="shared" si="4"/>
        <v>7.0940392767540441</v>
      </c>
      <c r="N115" s="753">
        <f t="shared" si="4"/>
        <v>16.278896900319634</v>
      </c>
      <c r="O115" s="754">
        <f t="shared" si="4"/>
        <v>30.093533956893047</v>
      </c>
    </row>
    <row r="116" spans="1:15" x14ac:dyDescent="0.3">
      <c r="A116" s="726" t="s">
        <v>165</v>
      </c>
      <c r="B116" s="726" t="s">
        <v>166</v>
      </c>
      <c r="C116" s="726" t="s">
        <v>255</v>
      </c>
      <c r="D116" s="732">
        <v>124</v>
      </c>
      <c r="E116" s="733">
        <v>97</v>
      </c>
      <c r="F116" s="733">
        <v>11</v>
      </c>
      <c r="G116" s="734">
        <v>16</v>
      </c>
      <c r="H116" s="732">
        <v>6018</v>
      </c>
      <c r="I116" s="733">
        <v>4645</v>
      </c>
      <c r="J116" s="733">
        <v>965</v>
      </c>
      <c r="K116" s="734">
        <v>408</v>
      </c>
      <c r="L116" s="752">
        <f t="shared" si="4"/>
        <v>20.60485211033566</v>
      </c>
      <c r="M116" s="753">
        <f t="shared" si="4"/>
        <v>20.882669537136707</v>
      </c>
      <c r="N116" s="753">
        <f t="shared" si="4"/>
        <v>11.398963730569948</v>
      </c>
      <c r="O116" s="754">
        <f t="shared" si="4"/>
        <v>39.215686274509807</v>
      </c>
    </row>
    <row r="117" spans="1:15" x14ac:dyDescent="0.3">
      <c r="A117" s="726" t="s">
        <v>175</v>
      </c>
      <c r="B117" s="726" t="s">
        <v>176</v>
      </c>
      <c r="C117" s="726" t="s">
        <v>253</v>
      </c>
      <c r="D117" s="732">
        <v>156</v>
      </c>
      <c r="E117" s="733">
        <v>45</v>
      </c>
      <c r="F117" s="733">
        <v>99</v>
      </c>
      <c r="G117" s="734">
        <v>12</v>
      </c>
      <c r="H117" s="732">
        <v>6980</v>
      </c>
      <c r="I117" s="733">
        <v>2446</v>
      </c>
      <c r="J117" s="733">
        <v>4197</v>
      </c>
      <c r="K117" s="734">
        <v>337</v>
      </c>
      <c r="L117" s="752">
        <f t="shared" ref="L117:O125" si="5">IF(H117=0,"NA",(D117/H117)*1000)</f>
        <v>22.349570200573066</v>
      </c>
      <c r="M117" s="753">
        <f t="shared" si="5"/>
        <v>18.397383483237938</v>
      </c>
      <c r="N117" s="753">
        <f t="shared" si="5"/>
        <v>23.588277340957827</v>
      </c>
      <c r="O117" s="754">
        <f t="shared" si="5"/>
        <v>35.60830860534125</v>
      </c>
    </row>
    <row r="118" spans="1:15" x14ac:dyDescent="0.3">
      <c r="A118" s="726" t="s">
        <v>179</v>
      </c>
      <c r="B118" s="726" t="s">
        <v>180</v>
      </c>
      <c r="C118" s="726" t="s">
        <v>251</v>
      </c>
      <c r="D118" s="732">
        <v>646</v>
      </c>
      <c r="E118" s="733">
        <v>145</v>
      </c>
      <c r="F118" s="733">
        <v>454</v>
      </c>
      <c r="G118" s="734">
        <v>47</v>
      </c>
      <c r="H118" s="732">
        <v>42039</v>
      </c>
      <c r="I118" s="733">
        <v>14338</v>
      </c>
      <c r="J118" s="733">
        <v>26075</v>
      </c>
      <c r="K118" s="734">
        <v>1626</v>
      </c>
      <c r="L118" s="752">
        <f t="shared" si="5"/>
        <v>15.3666833178715</v>
      </c>
      <c r="M118" s="753">
        <f t="shared" si="5"/>
        <v>10.112986469521552</v>
      </c>
      <c r="N118" s="753">
        <f t="shared" si="5"/>
        <v>17.411313518696069</v>
      </c>
      <c r="O118" s="754">
        <f t="shared" si="5"/>
        <v>28.905289052890531</v>
      </c>
    </row>
    <row r="119" spans="1:15" x14ac:dyDescent="0.3">
      <c r="A119" s="726" t="s">
        <v>191</v>
      </c>
      <c r="B119" s="726" t="s">
        <v>192</v>
      </c>
      <c r="C119" s="726" t="s">
        <v>255</v>
      </c>
      <c r="D119" s="732">
        <v>27</v>
      </c>
      <c r="E119" s="733">
        <v>24</v>
      </c>
      <c r="F119" s="733">
        <v>2</v>
      </c>
      <c r="G119" s="734">
        <v>1</v>
      </c>
      <c r="H119" s="732">
        <v>6197</v>
      </c>
      <c r="I119" s="733">
        <v>5432</v>
      </c>
      <c r="J119" s="733">
        <v>645</v>
      </c>
      <c r="K119" s="734">
        <v>120</v>
      </c>
      <c r="L119" s="752">
        <f t="shared" si="5"/>
        <v>4.3569469097950622</v>
      </c>
      <c r="M119" s="753">
        <f t="shared" si="5"/>
        <v>4.4182621502209134</v>
      </c>
      <c r="N119" s="753">
        <f t="shared" si="5"/>
        <v>3.1007751937984498</v>
      </c>
      <c r="O119" s="754">
        <f t="shared" si="5"/>
        <v>8.3333333333333339</v>
      </c>
    </row>
    <row r="120" spans="1:15" x14ac:dyDescent="0.3">
      <c r="A120" s="726" t="s">
        <v>195</v>
      </c>
      <c r="B120" s="726" t="s">
        <v>196</v>
      </c>
      <c r="C120" s="726" t="s">
        <v>253</v>
      </c>
      <c r="D120" s="732">
        <v>714</v>
      </c>
      <c r="E120" s="733">
        <v>157</v>
      </c>
      <c r="F120" s="733">
        <v>506</v>
      </c>
      <c r="G120" s="734">
        <v>51</v>
      </c>
      <c r="H120" s="732">
        <v>39550</v>
      </c>
      <c r="I120" s="733">
        <v>13320</v>
      </c>
      <c r="J120" s="733">
        <v>24395</v>
      </c>
      <c r="K120" s="734">
        <v>1835</v>
      </c>
      <c r="L120" s="752">
        <f t="shared" si="5"/>
        <v>18.053097345132741</v>
      </c>
      <c r="M120" s="753">
        <f t="shared" si="5"/>
        <v>11.786786786786788</v>
      </c>
      <c r="N120" s="753">
        <f t="shared" si="5"/>
        <v>20.741955318712851</v>
      </c>
      <c r="O120" s="754">
        <f t="shared" si="5"/>
        <v>27.792915531335151</v>
      </c>
    </row>
    <row r="121" spans="1:15" x14ac:dyDescent="0.3">
      <c r="A121" s="726" t="s">
        <v>199</v>
      </c>
      <c r="B121" s="726" t="s">
        <v>200</v>
      </c>
      <c r="C121" s="726" t="s">
        <v>252</v>
      </c>
      <c r="D121" s="732">
        <v>472</v>
      </c>
      <c r="E121" s="733">
        <v>210</v>
      </c>
      <c r="F121" s="733">
        <v>249</v>
      </c>
      <c r="G121" s="734">
        <v>13</v>
      </c>
      <c r="H121" s="732">
        <v>26094</v>
      </c>
      <c r="I121" s="733">
        <v>11062</v>
      </c>
      <c r="J121" s="733">
        <v>14034</v>
      </c>
      <c r="K121" s="734">
        <v>998</v>
      </c>
      <c r="L121" s="752">
        <f t="shared" si="5"/>
        <v>18.088449451981297</v>
      </c>
      <c r="M121" s="753">
        <f t="shared" si="5"/>
        <v>18.983908877237386</v>
      </c>
      <c r="N121" s="753">
        <f t="shared" si="5"/>
        <v>17.742625053441643</v>
      </c>
      <c r="O121" s="754">
        <f t="shared" si="5"/>
        <v>13.026052104208416</v>
      </c>
    </row>
    <row r="122" spans="1:15" x14ac:dyDescent="0.3">
      <c r="A122" s="726" t="s">
        <v>221</v>
      </c>
      <c r="B122" s="726" t="s">
        <v>222</v>
      </c>
      <c r="C122" s="726" t="s">
        <v>251</v>
      </c>
      <c r="D122" s="732">
        <v>359</v>
      </c>
      <c r="E122" s="733">
        <v>153</v>
      </c>
      <c r="F122" s="733">
        <v>195</v>
      </c>
      <c r="G122" s="734">
        <v>11</v>
      </c>
      <c r="H122" s="732">
        <v>27841</v>
      </c>
      <c r="I122" s="733">
        <v>13143</v>
      </c>
      <c r="J122" s="733">
        <v>13604</v>
      </c>
      <c r="K122" s="734">
        <v>1094</v>
      </c>
      <c r="L122" s="752">
        <f t="shared" si="5"/>
        <v>12.89465177256564</v>
      </c>
      <c r="M122" s="753">
        <f t="shared" si="5"/>
        <v>11.641177813284639</v>
      </c>
      <c r="N122" s="753">
        <f t="shared" si="5"/>
        <v>14.334019406057042</v>
      </c>
      <c r="O122" s="754">
        <f t="shared" si="5"/>
        <v>10.054844606946984</v>
      </c>
    </row>
    <row r="123" spans="1:15" x14ac:dyDescent="0.3">
      <c r="A123" s="726" t="s">
        <v>229</v>
      </c>
      <c r="B123" s="726" t="s">
        <v>230</v>
      </c>
      <c r="C123" s="726" t="s">
        <v>251</v>
      </c>
      <c r="D123" s="732">
        <v>554</v>
      </c>
      <c r="E123" s="733">
        <v>239</v>
      </c>
      <c r="F123" s="733">
        <v>250</v>
      </c>
      <c r="G123" s="734">
        <v>65</v>
      </c>
      <c r="H123" s="732">
        <v>90539</v>
      </c>
      <c r="I123" s="733">
        <v>55877</v>
      </c>
      <c r="J123" s="733">
        <v>27198</v>
      </c>
      <c r="K123" s="734">
        <v>7464</v>
      </c>
      <c r="L123" s="752">
        <f t="shared" si="5"/>
        <v>6.1189100829476804</v>
      </c>
      <c r="M123" s="753">
        <f t="shared" si="5"/>
        <v>4.2772518209639028</v>
      </c>
      <c r="N123" s="753">
        <f t="shared" si="5"/>
        <v>9.1918523420839762</v>
      </c>
      <c r="O123" s="754">
        <f t="shared" si="5"/>
        <v>8.7084673097534822</v>
      </c>
    </row>
    <row r="124" spans="1:15" x14ac:dyDescent="0.3">
      <c r="A124" s="726" t="s">
        <v>237</v>
      </c>
      <c r="B124" s="726" t="s">
        <v>238</v>
      </c>
      <c r="C124" s="726" t="s">
        <v>251</v>
      </c>
      <c r="D124" s="732">
        <v>31</v>
      </c>
      <c r="E124" s="733">
        <v>10</v>
      </c>
      <c r="F124" s="733">
        <v>12</v>
      </c>
      <c r="G124" s="734">
        <v>9</v>
      </c>
      <c r="H124" s="732">
        <v>7777</v>
      </c>
      <c r="I124" s="733">
        <v>5720</v>
      </c>
      <c r="J124" s="733">
        <v>1159</v>
      </c>
      <c r="K124" s="734">
        <v>898</v>
      </c>
      <c r="L124" s="752">
        <f t="shared" si="5"/>
        <v>3.9861128970039856</v>
      </c>
      <c r="M124" s="753">
        <f t="shared" si="5"/>
        <v>1.7482517482517483</v>
      </c>
      <c r="N124" s="753">
        <f t="shared" si="5"/>
        <v>10.353753235547885</v>
      </c>
      <c r="O124" s="754">
        <f t="shared" si="5"/>
        <v>10.02227171492205</v>
      </c>
    </row>
    <row r="125" spans="1:15" x14ac:dyDescent="0.3">
      <c r="A125" s="742" t="s">
        <v>239</v>
      </c>
      <c r="B125" s="742" t="s">
        <v>240</v>
      </c>
      <c r="C125" s="742" t="s">
        <v>254</v>
      </c>
      <c r="D125" s="732">
        <v>110</v>
      </c>
      <c r="E125" s="743">
        <v>83</v>
      </c>
      <c r="F125" s="743">
        <v>17</v>
      </c>
      <c r="G125" s="744">
        <v>10</v>
      </c>
      <c r="H125" s="732">
        <v>9001</v>
      </c>
      <c r="I125" s="745">
        <v>7247</v>
      </c>
      <c r="J125" s="745">
        <v>1389</v>
      </c>
      <c r="K125" s="744">
        <v>365</v>
      </c>
      <c r="L125" s="752">
        <f t="shared" si="5"/>
        <v>12.220864348405733</v>
      </c>
      <c r="M125" s="755">
        <f t="shared" si="5"/>
        <v>11.4530150407065</v>
      </c>
      <c r="N125" s="755">
        <f t="shared" si="5"/>
        <v>12.239020878329733</v>
      </c>
      <c r="O125" s="756">
        <f t="shared" si="5"/>
        <v>27.397260273972602</v>
      </c>
    </row>
    <row r="127" spans="1:15" x14ac:dyDescent="0.3">
      <c r="A127" s="726" t="s">
        <v>253</v>
      </c>
      <c r="D127" s="732">
        <v>3380</v>
      </c>
      <c r="E127" s="733">
        <v>1710</v>
      </c>
      <c r="F127" s="733">
        <v>1430</v>
      </c>
      <c r="G127" s="734">
        <v>240</v>
      </c>
      <c r="H127" s="732">
        <v>406476</v>
      </c>
      <c r="I127" s="733">
        <v>256001</v>
      </c>
      <c r="J127" s="733">
        <v>129723</v>
      </c>
      <c r="K127" s="734">
        <v>20752</v>
      </c>
      <c r="L127" s="746">
        <f t="shared" ref="L127:O131" si="6">IF(H127=0,"NA",(D127/H127)*1000)</f>
        <v>8.3153740934274101</v>
      </c>
      <c r="M127" s="747">
        <f t="shared" si="6"/>
        <v>6.6796614075726266</v>
      </c>
      <c r="N127" s="747">
        <f t="shared" si="6"/>
        <v>11.023488510133129</v>
      </c>
      <c r="O127" s="748">
        <f t="shared" si="6"/>
        <v>11.56515034695451</v>
      </c>
    </row>
    <row r="128" spans="1:15" x14ac:dyDescent="0.3">
      <c r="A128" s="726" t="s">
        <v>251</v>
      </c>
      <c r="D128" s="732">
        <v>4597</v>
      </c>
      <c r="E128" s="733">
        <v>1703</v>
      </c>
      <c r="F128" s="733">
        <v>2466</v>
      </c>
      <c r="G128" s="734">
        <v>428</v>
      </c>
      <c r="H128" s="732">
        <v>481277</v>
      </c>
      <c r="I128" s="733">
        <v>270762</v>
      </c>
      <c r="J128" s="733">
        <v>187148</v>
      </c>
      <c r="K128" s="734">
        <v>23367</v>
      </c>
      <c r="L128" s="746">
        <f t="shared" si="6"/>
        <v>9.5516719061995481</v>
      </c>
      <c r="M128" s="747">
        <f t="shared" si="6"/>
        <v>6.2896565987841715</v>
      </c>
      <c r="N128" s="747">
        <f t="shared" si="6"/>
        <v>13.176737127834656</v>
      </c>
      <c r="O128" s="748">
        <f t="shared" si="6"/>
        <v>18.316429152223222</v>
      </c>
    </row>
    <row r="129" spans="1:15" x14ac:dyDescent="0.3">
      <c r="A129" s="726" t="s">
        <v>254</v>
      </c>
      <c r="D129" s="732">
        <v>5456</v>
      </c>
      <c r="E129" s="733">
        <v>2700</v>
      </c>
      <c r="F129" s="733">
        <v>797</v>
      </c>
      <c r="G129" s="734">
        <v>1959</v>
      </c>
      <c r="H129" s="732">
        <v>956910</v>
      </c>
      <c r="I129" s="733">
        <v>681096</v>
      </c>
      <c r="J129" s="733">
        <v>145786</v>
      </c>
      <c r="K129" s="734">
        <v>130028</v>
      </c>
      <c r="L129" s="746">
        <f t="shared" si="6"/>
        <v>5.7016856339676671</v>
      </c>
      <c r="M129" s="747">
        <f t="shared" si="6"/>
        <v>3.9641988794531167</v>
      </c>
      <c r="N129" s="747">
        <f t="shared" si="6"/>
        <v>5.4669172622885593</v>
      </c>
      <c r="O129" s="748">
        <f t="shared" si="6"/>
        <v>15.065985787676501</v>
      </c>
    </row>
    <row r="130" spans="1:15" x14ac:dyDescent="0.3">
      <c r="A130" s="726" t="s">
        <v>252</v>
      </c>
      <c r="D130" s="732">
        <v>4146</v>
      </c>
      <c r="E130" s="733">
        <v>2306</v>
      </c>
      <c r="F130" s="733">
        <v>1473</v>
      </c>
      <c r="G130" s="734">
        <v>367</v>
      </c>
      <c r="H130" s="732">
        <v>500952</v>
      </c>
      <c r="I130" s="733">
        <v>349028</v>
      </c>
      <c r="J130" s="733">
        <v>118122</v>
      </c>
      <c r="K130" s="734">
        <v>33802</v>
      </c>
      <c r="L130" s="746">
        <f t="shared" si="6"/>
        <v>8.2762420351650459</v>
      </c>
      <c r="M130" s="747">
        <f t="shared" si="6"/>
        <v>6.6069197886702495</v>
      </c>
      <c r="N130" s="747">
        <f t="shared" si="6"/>
        <v>12.470157972265962</v>
      </c>
      <c r="O130" s="748">
        <f t="shared" si="6"/>
        <v>10.857345719188213</v>
      </c>
    </row>
    <row r="131" spans="1:15" x14ac:dyDescent="0.3">
      <c r="A131" s="726" t="s">
        <v>255</v>
      </c>
      <c r="D131" s="732">
        <v>2574</v>
      </c>
      <c r="E131" s="733">
        <v>2004</v>
      </c>
      <c r="F131" s="733">
        <v>272</v>
      </c>
      <c r="G131" s="734">
        <v>298</v>
      </c>
      <c r="H131" s="732">
        <v>267396</v>
      </c>
      <c r="I131" s="733">
        <v>215736</v>
      </c>
      <c r="J131" s="733">
        <v>37348</v>
      </c>
      <c r="K131" s="734">
        <v>14312</v>
      </c>
      <c r="L131" s="746">
        <f t="shared" si="6"/>
        <v>9.6261724184355781</v>
      </c>
      <c r="M131" s="747">
        <f t="shared" si="6"/>
        <v>9.2891311603070434</v>
      </c>
      <c r="N131" s="747">
        <f t="shared" si="6"/>
        <v>7.2828531648281034</v>
      </c>
      <c r="O131" s="748">
        <f t="shared" si="6"/>
        <v>20.821688093907209</v>
      </c>
    </row>
    <row r="133" spans="1:15" x14ac:dyDescent="0.3">
      <c r="B133" s="726" t="s">
        <v>553</v>
      </c>
    </row>
    <row r="135" spans="1:15" x14ac:dyDescent="0.3">
      <c r="B135" s="726" t="s">
        <v>551</v>
      </c>
    </row>
    <row r="136" spans="1:15" x14ac:dyDescent="0.3">
      <c r="B136" s="726" t="s">
        <v>248</v>
      </c>
      <c r="D136" s="735" t="s">
        <v>552</v>
      </c>
    </row>
  </sheetData>
  <autoFilter ref="A4:O125"/>
  <mergeCells count="3">
    <mergeCell ref="D3:G3"/>
    <mergeCell ref="H3:K3"/>
    <mergeCell ref="L3:O3"/>
  </mergeCells>
  <hyperlinks>
    <hyperlink ref="D136"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134"/>
  <sheetViews>
    <sheetView workbookViewId="0">
      <pane xSplit="3" ySplit="4" topLeftCell="D33" activePane="bottomRight" state="frozen"/>
      <selection pane="topRight" activeCell="D1" sqref="D1"/>
      <selection pane="bottomLeft" activeCell="A5" sqref="A5"/>
      <selection pane="bottomRight" activeCell="N36" sqref="N36"/>
    </sheetView>
  </sheetViews>
  <sheetFormatPr defaultRowHeight="15.6" x14ac:dyDescent="0.3"/>
  <cols>
    <col min="1" max="1" width="7.69921875" style="41" customWidth="1"/>
    <col min="2" max="2" width="28.59765625" style="65" customWidth="1"/>
    <col min="3" max="3" width="10" style="65" customWidth="1"/>
    <col min="4" max="4" width="14.296875" customWidth="1"/>
    <col min="5" max="8" width="13" customWidth="1"/>
    <col min="9" max="9" width="1.59765625" customWidth="1"/>
    <col min="10" max="13" width="11" customWidth="1"/>
    <col min="14" max="14" width="4.296875" customWidth="1"/>
  </cols>
  <sheetData>
    <row r="1" spans="1:14" x14ac:dyDescent="0.3">
      <c r="A1" s="145" t="s">
        <v>943</v>
      </c>
      <c r="B1" s="145"/>
      <c r="C1" s="145"/>
    </row>
    <row r="2" spans="1:14" x14ac:dyDescent="0.3">
      <c r="A2" s="31"/>
      <c r="B2" s="43"/>
      <c r="C2" s="43"/>
    </row>
    <row r="3" spans="1:14" ht="69" x14ac:dyDescent="0.3">
      <c r="A3" s="770" t="s">
        <v>4</v>
      </c>
      <c r="B3" s="771" t="s">
        <v>5</v>
      </c>
      <c r="C3" s="771" t="s">
        <v>250</v>
      </c>
      <c r="D3" s="1875" t="s">
        <v>554</v>
      </c>
      <c r="E3" s="1876" t="s">
        <v>555</v>
      </c>
      <c r="F3" s="1876" t="s">
        <v>556</v>
      </c>
      <c r="G3" s="1876" t="s">
        <v>557</v>
      </c>
      <c r="H3" s="1877" t="s">
        <v>558</v>
      </c>
      <c r="I3" s="575"/>
      <c r="J3" s="1884" t="s">
        <v>559</v>
      </c>
      <c r="K3" s="1885" t="s">
        <v>560</v>
      </c>
      <c r="L3" s="1885" t="s">
        <v>561</v>
      </c>
      <c r="M3" s="1886" t="s">
        <v>562</v>
      </c>
    </row>
    <row r="4" spans="1:14" x14ac:dyDescent="0.3">
      <c r="A4" s="53" t="s">
        <v>7</v>
      </c>
      <c r="B4" s="54" t="s">
        <v>8</v>
      </c>
      <c r="C4" s="55"/>
      <c r="D4" s="1878">
        <f>SUM(D5:D124)</f>
        <v>1646474</v>
      </c>
      <c r="E4" s="1879">
        <f t="shared" ref="E4:H4" si="0">SUM(E5:E124)</f>
        <v>1201121</v>
      </c>
      <c r="F4" s="1879">
        <f t="shared" ref="F4" si="1">G4+H4</f>
        <v>445353</v>
      </c>
      <c r="G4" s="1879">
        <f t="shared" si="0"/>
        <v>100872</v>
      </c>
      <c r="H4" s="1880">
        <f t="shared" si="0"/>
        <v>344481</v>
      </c>
      <c r="I4" s="768"/>
      <c r="J4" s="1887">
        <f t="shared" ref="J4" si="2">E4/D4</f>
        <v>0.72951106425002765</v>
      </c>
      <c r="K4" s="1888">
        <f t="shared" ref="K4" si="3">F4/D4</f>
        <v>0.27048893574997235</v>
      </c>
      <c r="L4" s="1888">
        <f t="shared" ref="L4" si="4">G4/D4</f>
        <v>6.1265467902924677E-2</v>
      </c>
      <c r="M4" s="1889">
        <f t="shared" ref="M4" si="5">H4/D4</f>
        <v>0.20922346784704768</v>
      </c>
      <c r="N4" s="769"/>
    </row>
    <row r="5" spans="1:14" ht="13.5" customHeight="1" x14ac:dyDescent="0.3">
      <c r="A5" s="56" t="s">
        <v>9</v>
      </c>
      <c r="B5" s="83" t="s">
        <v>10</v>
      </c>
      <c r="C5" s="57" t="s">
        <v>251</v>
      </c>
      <c r="D5" s="1881">
        <v>5586</v>
      </c>
      <c r="E5" s="1882">
        <v>3418</v>
      </c>
      <c r="F5" s="1882">
        <f t="shared" ref="F5:F36" si="6">G5+H5</f>
        <v>2168</v>
      </c>
      <c r="G5" s="1882">
        <v>315</v>
      </c>
      <c r="H5" s="1883">
        <v>1853</v>
      </c>
      <c r="I5" s="92"/>
      <c r="J5" s="1890">
        <f t="shared" ref="J5:J36" si="7">E5/D5</f>
        <v>0.61188686000716075</v>
      </c>
      <c r="K5" s="1891">
        <f t="shared" ref="K5:K36" si="8">F5/D5</f>
        <v>0.38811313999283925</v>
      </c>
      <c r="L5" s="1891">
        <f t="shared" ref="L5:L36" si="9">G5/D5</f>
        <v>5.6390977443609019E-2</v>
      </c>
      <c r="M5" s="1892">
        <f t="shared" ref="M5:M36" si="10">H5/D5</f>
        <v>0.3317221625492302</v>
      </c>
    </row>
    <row r="6" spans="1:14" ht="13.5" customHeight="1" x14ac:dyDescent="0.3">
      <c r="A6" s="56" t="s">
        <v>11</v>
      </c>
      <c r="B6" s="84" t="s">
        <v>12</v>
      </c>
      <c r="C6" s="57" t="s">
        <v>252</v>
      </c>
      <c r="D6" s="1881">
        <v>19762</v>
      </c>
      <c r="E6" s="1882">
        <v>15205</v>
      </c>
      <c r="F6" s="1882">
        <f t="shared" si="6"/>
        <v>4557</v>
      </c>
      <c r="G6" s="1882">
        <v>816</v>
      </c>
      <c r="H6" s="1883">
        <v>3741</v>
      </c>
      <c r="I6" s="92"/>
      <c r="J6" s="1890">
        <f t="shared" si="7"/>
        <v>0.76940593057382856</v>
      </c>
      <c r="K6" s="1891">
        <f t="shared" si="8"/>
        <v>0.23059406942617144</v>
      </c>
      <c r="L6" s="1891">
        <f t="shared" si="9"/>
        <v>4.1291367270519179E-2</v>
      </c>
      <c r="M6" s="1892">
        <f t="shared" si="10"/>
        <v>0.18930270215565226</v>
      </c>
    </row>
    <row r="7" spans="1:14" ht="13.5" customHeight="1" x14ac:dyDescent="0.3">
      <c r="A7" s="56" t="s">
        <v>15</v>
      </c>
      <c r="B7" s="84" t="s">
        <v>273</v>
      </c>
      <c r="C7" s="57" t="s">
        <v>252</v>
      </c>
      <c r="D7" s="1881">
        <v>3384</v>
      </c>
      <c r="E7" s="1882">
        <v>2278</v>
      </c>
      <c r="F7" s="1882">
        <f t="shared" si="6"/>
        <v>1106</v>
      </c>
      <c r="G7" s="1882">
        <v>220</v>
      </c>
      <c r="H7" s="1883">
        <v>886</v>
      </c>
      <c r="I7" s="92"/>
      <c r="J7" s="1890">
        <f t="shared" si="7"/>
        <v>0.67316784869976354</v>
      </c>
      <c r="K7" s="1891">
        <f t="shared" si="8"/>
        <v>0.32683215130023641</v>
      </c>
      <c r="L7" s="1891">
        <f t="shared" si="9"/>
        <v>6.5011820330969264E-2</v>
      </c>
      <c r="M7" s="1892">
        <f t="shared" si="10"/>
        <v>0.26182033096926716</v>
      </c>
    </row>
    <row r="8" spans="1:14" ht="13.5" customHeight="1" x14ac:dyDescent="0.3">
      <c r="A8" s="56" t="s">
        <v>17</v>
      </c>
      <c r="B8" s="84" t="s">
        <v>18</v>
      </c>
      <c r="C8" s="57" t="s">
        <v>253</v>
      </c>
      <c r="D8" s="1881">
        <v>2440</v>
      </c>
      <c r="E8" s="1882">
        <v>1848</v>
      </c>
      <c r="F8" s="1882">
        <f t="shared" si="6"/>
        <v>592</v>
      </c>
      <c r="G8" s="1882">
        <v>350</v>
      </c>
      <c r="H8" s="1883">
        <v>242</v>
      </c>
      <c r="I8" s="92"/>
      <c r="J8" s="1890">
        <f t="shared" si="7"/>
        <v>0.75737704918032789</v>
      </c>
      <c r="K8" s="1891">
        <f t="shared" si="8"/>
        <v>0.24262295081967214</v>
      </c>
      <c r="L8" s="1891">
        <f t="shared" si="9"/>
        <v>0.14344262295081966</v>
      </c>
      <c r="M8" s="1892">
        <f t="shared" si="10"/>
        <v>9.9180327868852461E-2</v>
      </c>
    </row>
    <row r="9" spans="1:14" ht="13.5" customHeight="1" x14ac:dyDescent="0.3">
      <c r="A9" s="56" t="s">
        <v>19</v>
      </c>
      <c r="B9" s="84" t="s">
        <v>20</v>
      </c>
      <c r="C9" s="57" t="s">
        <v>252</v>
      </c>
      <c r="D9" s="1881">
        <v>5123</v>
      </c>
      <c r="E9" s="1882">
        <v>3618</v>
      </c>
      <c r="F9" s="1882">
        <f t="shared" si="6"/>
        <v>1505</v>
      </c>
      <c r="G9" s="1882">
        <v>532</v>
      </c>
      <c r="H9" s="1883">
        <v>973</v>
      </c>
      <c r="I9" s="92"/>
      <c r="J9" s="1890">
        <f t="shared" si="7"/>
        <v>0.70622682022252581</v>
      </c>
      <c r="K9" s="1891">
        <f t="shared" si="8"/>
        <v>0.29377317977747414</v>
      </c>
      <c r="L9" s="1891">
        <f t="shared" si="9"/>
        <v>0.10384540308413039</v>
      </c>
      <c r="M9" s="1892">
        <f t="shared" si="10"/>
        <v>0.18992777669334374</v>
      </c>
    </row>
    <row r="10" spans="1:14" ht="13.5" customHeight="1" x14ac:dyDescent="0.3">
      <c r="A10" s="56" t="s">
        <v>21</v>
      </c>
      <c r="B10" s="84" t="s">
        <v>22</v>
      </c>
      <c r="C10" s="57" t="s">
        <v>252</v>
      </c>
      <c r="D10" s="1881">
        <v>2919</v>
      </c>
      <c r="E10" s="1882">
        <v>2193</v>
      </c>
      <c r="F10" s="1882">
        <f t="shared" si="6"/>
        <v>726</v>
      </c>
      <c r="G10" s="1882">
        <v>113</v>
      </c>
      <c r="H10" s="1883">
        <v>613</v>
      </c>
      <c r="I10" s="92"/>
      <c r="J10" s="1890">
        <f t="shared" si="7"/>
        <v>0.75128468653648506</v>
      </c>
      <c r="K10" s="1891">
        <f t="shared" si="8"/>
        <v>0.24871531346351491</v>
      </c>
      <c r="L10" s="1891">
        <f t="shared" si="9"/>
        <v>3.8711887632750942E-2</v>
      </c>
      <c r="M10" s="1892">
        <f t="shared" si="10"/>
        <v>0.21000342583076395</v>
      </c>
    </row>
    <row r="11" spans="1:14" ht="13.5" customHeight="1" x14ac:dyDescent="0.3">
      <c r="A11" s="56" t="s">
        <v>23</v>
      </c>
      <c r="B11" s="84" t="s">
        <v>24</v>
      </c>
      <c r="C11" s="57" t="s">
        <v>254</v>
      </c>
      <c r="D11" s="1881">
        <v>39171</v>
      </c>
      <c r="E11" s="1882">
        <v>32717</v>
      </c>
      <c r="F11" s="1882">
        <f t="shared" si="6"/>
        <v>6454</v>
      </c>
      <c r="G11" s="1882">
        <v>1526</v>
      </c>
      <c r="H11" s="1883">
        <v>4928</v>
      </c>
      <c r="I11" s="92"/>
      <c r="J11" s="1890">
        <f t="shared" si="7"/>
        <v>0.83523525056802228</v>
      </c>
      <c r="K11" s="1891">
        <f t="shared" si="8"/>
        <v>0.16476474943197775</v>
      </c>
      <c r="L11" s="1891">
        <f t="shared" si="9"/>
        <v>3.8957391948124885E-2</v>
      </c>
      <c r="M11" s="1892">
        <f t="shared" si="10"/>
        <v>0.12580735748385286</v>
      </c>
    </row>
    <row r="12" spans="1:14" ht="13.5" customHeight="1" x14ac:dyDescent="0.3">
      <c r="A12" s="56" t="s">
        <v>25</v>
      </c>
      <c r="B12" s="84" t="s">
        <v>274</v>
      </c>
      <c r="C12" s="57" t="s">
        <v>252</v>
      </c>
      <c r="D12" s="1881">
        <v>20274</v>
      </c>
      <c r="E12" s="1882">
        <v>14196</v>
      </c>
      <c r="F12" s="1882">
        <f t="shared" si="6"/>
        <v>6078</v>
      </c>
      <c r="G12" s="1882">
        <v>1502</v>
      </c>
      <c r="H12" s="1883">
        <v>4576</v>
      </c>
      <c r="I12" s="92"/>
      <c r="J12" s="1890">
        <f t="shared" si="7"/>
        <v>0.70020716188221366</v>
      </c>
      <c r="K12" s="1891">
        <f t="shared" si="8"/>
        <v>0.29979283811778634</v>
      </c>
      <c r="L12" s="1891">
        <f t="shared" si="9"/>
        <v>7.4085035020222942E-2</v>
      </c>
      <c r="M12" s="1892">
        <f t="shared" si="10"/>
        <v>0.22570780309756339</v>
      </c>
    </row>
    <row r="13" spans="1:14" ht="13.5" customHeight="1" x14ac:dyDescent="0.3">
      <c r="A13" s="56" t="s">
        <v>26</v>
      </c>
      <c r="B13" s="84" t="s">
        <v>27</v>
      </c>
      <c r="C13" s="57" t="s">
        <v>252</v>
      </c>
      <c r="D13" s="1881">
        <v>509</v>
      </c>
      <c r="E13" s="1882">
        <v>381</v>
      </c>
      <c r="F13" s="1882">
        <f t="shared" si="6"/>
        <v>128</v>
      </c>
      <c r="G13" s="1882">
        <v>128</v>
      </c>
      <c r="H13" s="1883">
        <v>0</v>
      </c>
      <c r="I13" s="92"/>
      <c r="J13" s="1890">
        <f t="shared" si="7"/>
        <v>0.7485265225933202</v>
      </c>
      <c r="K13" s="1891">
        <f t="shared" si="8"/>
        <v>0.25147347740667975</v>
      </c>
      <c r="L13" s="1891">
        <f t="shared" si="9"/>
        <v>0.25147347740667975</v>
      </c>
      <c r="M13" s="1892">
        <f t="shared" si="10"/>
        <v>0</v>
      </c>
    </row>
    <row r="14" spans="1:14" ht="13.5" customHeight="1" x14ac:dyDescent="0.3">
      <c r="A14" s="56" t="s">
        <v>28</v>
      </c>
      <c r="B14" s="84" t="s">
        <v>568</v>
      </c>
      <c r="C14" s="57" t="s">
        <v>252</v>
      </c>
      <c r="D14" s="1881">
        <v>13854</v>
      </c>
      <c r="E14" s="1882">
        <v>10920</v>
      </c>
      <c r="F14" s="1882">
        <f t="shared" si="6"/>
        <v>2934</v>
      </c>
      <c r="G14" s="1882">
        <v>894</v>
      </c>
      <c r="H14" s="1883">
        <v>2040</v>
      </c>
      <c r="I14" s="92"/>
      <c r="J14" s="1890">
        <f t="shared" si="7"/>
        <v>0.78822000866175834</v>
      </c>
      <c r="K14" s="1891">
        <f t="shared" si="8"/>
        <v>0.21177999133824166</v>
      </c>
      <c r="L14" s="1891">
        <f t="shared" si="9"/>
        <v>6.4530099610220881E-2</v>
      </c>
      <c r="M14" s="1892">
        <f t="shared" si="10"/>
        <v>0.14724989172802078</v>
      </c>
    </row>
    <row r="15" spans="1:14" ht="13.5" customHeight="1" x14ac:dyDescent="0.3">
      <c r="A15" s="56" t="s">
        <v>29</v>
      </c>
      <c r="B15" s="84" t="s">
        <v>30</v>
      </c>
      <c r="C15" s="57" t="s">
        <v>255</v>
      </c>
      <c r="D15" s="1881">
        <v>906</v>
      </c>
      <c r="E15" s="1882">
        <v>735</v>
      </c>
      <c r="F15" s="1882">
        <f t="shared" si="6"/>
        <v>171</v>
      </c>
      <c r="G15" s="1882">
        <v>0</v>
      </c>
      <c r="H15" s="1883">
        <v>171</v>
      </c>
      <c r="I15" s="92"/>
      <c r="J15" s="1890">
        <f t="shared" si="7"/>
        <v>0.8112582781456954</v>
      </c>
      <c r="K15" s="1891">
        <f t="shared" si="8"/>
        <v>0.18874172185430463</v>
      </c>
      <c r="L15" s="1891">
        <f t="shared" si="9"/>
        <v>0</v>
      </c>
      <c r="M15" s="1892">
        <f t="shared" si="10"/>
        <v>0.18874172185430463</v>
      </c>
    </row>
    <row r="16" spans="1:14" ht="13.5" customHeight="1" x14ac:dyDescent="0.3">
      <c r="A16" s="56" t="s">
        <v>31</v>
      </c>
      <c r="B16" s="84" t="s">
        <v>32</v>
      </c>
      <c r="C16" s="57" t="s">
        <v>252</v>
      </c>
      <c r="D16" s="1881">
        <v>5855</v>
      </c>
      <c r="E16" s="1882">
        <v>4779</v>
      </c>
      <c r="F16" s="1882">
        <f t="shared" si="6"/>
        <v>1076</v>
      </c>
      <c r="G16" s="1882">
        <v>188</v>
      </c>
      <c r="H16" s="1883">
        <v>888</v>
      </c>
      <c r="I16" s="92"/>
      <c r="J16" s="1890">
        <f t="shared" si="7"/>
        <v>0.81622544833475663</v>
      </c>
      <c r="K16" s="1891">
        <f t="shared" si="8"/>
        <v>0.18377455166524337</v>
      </c>
      <c r="L16" s="1891">
        <f t="shared" si="9"/>
        <v>3.2109308283518358E-2</v>
      </c>
      <c r="M16" s="1892">
        <f t="shared" si="10"/>
        <v>0.15166524338172502</v>
      </c>
    </row>
    <row r="17" spans="1:13" ht="13.5" customHeight="1" x14ac:dyDescent="0.3">
      <c r="A17" s="56" t="s">
        <v>35</v>
      </c>
      <c r="B17" s="84" t="s">
        <v>36</v>
      </c>
      <c r="C17" s="57" t="s">
        <v>251</v>
      </c>
      <c r="D17" s="1881">
        <v>2194</v>
      </c>
      <c r="E17" s="1882">
        <v>757</v>
      </c>
      <c r="F17" s="1882">
        <f t="shared" si="6"/>
        <v>1437</v>
      </c>
      <c r="G17" s="1882">
        <v>468</v>
      </c>
      <c r="H17" s="1883">
        <v>969</v>
      </c>
      <c r="I17" s="92"/>
      <c r="J17" s="1890">
        <f t="shared" si="7"/>
        <v>0.34503190519598909</v>
      </c>
      <c r="K17" s="1891">
        <f t="shared" si="8"/>
        <v>0.65496809480401097</v>
      </c>
      <c r="L17" s="1891">
        <f t="shared" si="9"/>
        <v>0.21330902461257975</v>
      </c>
      <c r="M17" s="1892">
        <f t="shared" si="10"/>
        <v>0.44165907019143119</v>
      </c>
    </row>
    <row r="18" spans="1:13" ht="13.5" customHeight="1" x14ac:dyDescent="0.3">
      <c r="A18" s="56" t="s">
        <v>37</v>
      </c>
      <c r="B18" s="84" t="s">
        <v>38</v>
      </c>
      <c r="C18" s="57" t="s">
        <v>255</v>
      </c>
      <c r="D18" s="1881">
        <v>3158</v>
      </c>
      <c r="E18" s="1882">
        <v>1737</v>
      </c>
      <c r="F18" s="1882">
        <f t="shared" si="6"/>
        <v>1421</v>
      </c>
      <c r="G18" s="1882">
        <v>345</v>
      </c>
      <c r="H18" s="1883">
        <v>1076</v>
      </c>
      <c r="I18" s="92"/>
      <c r="J18" s="1890">
        <f t="shared" si="7"/>
        <v>0.55003166561114625</v>
      </c>
      <c r="K18" s="1891">
        <f t="shared" si="8"/>
        <v>0.4499683343888537</v>
      </c>
      <c r="L18" s="1891">
        <f t="shared" si="9"/>
        <v>0.10924635845471818</v>
      </c>
      <c r="M18" s="1892">
        <f t="shared" si="10"/>
        <v>0.3407219759341355</v>
      </c>
    </row>
    <row r="19" spans="1:13" ht="13.5" customHeight="1" x14ac:dyDescent="0.3">
      <c r="A19" s="56" t="s">
        <v>39</v>
      </c>
      <c r="B19" s="84" t="s">
        <v>40</v>
      </c>
      <c r="C19" s="57" t="s">
        <v>253</v>
      </c>
      <c r="D19" s="1881">
        <v>2595</v>
      </c>
      <c r="E19" s="1882">
        <v>1670</v>
      </c>
      <c r="F19" s="1882">
        <f t="shared" si="6"/>
        <v>925</v>
      </c>
      <c r="G19" s="1882">
        <v>319</v>
      </c>
      <c r="H19" s="1883">
        <v>606</v>
      </c>
      <c r="I19" s="92"/>
      <c r="J19" s="1890">
        <f t="shared" si="7"/>
        <v>0.64354527938342965</v>
      </c>
      <c r="K19" s="1891">
        <f t="shared" si="8"/>
        <v>0.35645472061657035</v>
      </c>
      <c r="L19" s="1891">
        <f t="shared" si="9"/>
        <v>0.12292870905587669</v>
      </c>
      <c r="M19" s="1892">
        <f t="shared" si="10"/>
        <v>0.23352601156069364</v>
      </c>
    </row>
    <row r="20" spans="1:13" ht="13.5" customHeight="1" x14ac:dyDescent="0.3">
      <c r="A20" s="56" t="s">
        <v>41</v>
      </c>
      <c r="B20" s="84" t="s">
        <v>42</v>
      </c>
      <c r="C20" s="57" t="s">
        <v>252</v>
      </c>
      <c r="D20" s="1881">
        <v>9592</v>
      </c>
      <c r="E20" s="1882">
        <v>6956</v>
      </c>
      <c r="F20" s="1882">
        <f t="shared" si="6"/>
        <v>2636</v>
      </c>
      <c r="G20" s="1882">
        <v>854</v>
      </c>
      <c r="H20" s="1883">
        <v>1782</v>
      </c>
      <c r="I20" s="92"/>
      <c r="J20" s="1890">
        <f t="shared" si="7"/>
        <v>0.7251876563803169</v>
      </c>
      <c r="K20" s="1891">
        <f t="shared" si="8"/>
        <v>0.27481234361968304</v>
      </c>
      <c r="L20" s="1891">
        <f t="shared" si="9"/>
        <v>8.9032527105921605E-2</v>
      </c>
      <c r="M20" s="1892">
        <f t="shared" si="10"/>
        <v>0.18577981651376146</v>
      </c>
    </row>
    <row r="21" spans="1:13" ht="13.5" customHeight="1" x14ac:dyDescent="0.3">
      <c r="A21" s="56" t="s">
        <v>43</v>
      </c>
      <c r="B21" s="84" t="s">
        <v>44</v>
      </c>
      <c r="C21" s="57" t="s">
        <v>253</v>
      </c>
      <c r="D21" s="1881">
        <v>5375</v>
      </c>
      <c r="E21" s="1882">
        <v>3868</v>
      </c>
      <c r="F21" s="1882">
        <f t="shared" si="6"/>
        <v>1507</v>
      </c>
      <c r="G21" s="1882">
        <v>538</v>
      </c>
      <c r="H21" s="1883">
        <v>969</v>
      </c>
      <c r="I21" s="92"/>
      <c r="J21" s="1890">
        <f t="shared" si="7"/>
        <v>0.71962790697674417</v>
      </c>
      <c r="K21" s="1891">
        <f t="shared" si="8"/>
        <v>0.28037209302325583</v>
      </c>
      <c r="L21" s="1891">
        <f t="shared" si="9"/>
        <v>0.10009302325581396</v>
      </c>
      <c r="M21" s="1892">
        <f t="shared" si="10"/>
        <v>0.18027906976744187</v>
      </c>
    </row>
    <row r="22" spans="1:13" ht="13.5" customHeight="1" x14ac:dyDescent="0.3">
      <c r="A22" s="56" t="s">
        <v>45</v>
      </c>
      <c r="B22" s="84" t="s">
        <v>46</v>
      </c>
      <c r="C22" s="57" t="s">
        <v>255</v>
      </c>
      <c r="D22" s="1881">
        <v>4699</v>
      </c>
      <c r="E22" s="1882">
        <v>3278</v>
      </c>
      <c r="F22" s="1882">
        <f t="shared" si="6"/>
        <v>1421</v>
      </c>
      <c r="G22" s="1882">
        <v>477</v>
      </c>
      <c r="H22" s="1883">
        <v>944</v>
      </c>
      <c r="I22" s="92"/>
      <c r="J22" s="1890">
        <f t="shared" si="7"/>
        <v>0.69759523302830384</v>
      </c>
      <c r="K22" s="1891">
        <f t="shared" si="8"/>
        <v>0.3024047669716961</v>
      </c>
      <c r="L22" s="1891">
        <f t="shared" si="9"/>
        <v>0.10151095977867632</v>
      </c>
      <c r="M22" s="1892">
        <f t="shared" si="10"/>
        <v>0.2008938071930198</v>
      </c>
    </row>
    <row r="23" spans="1:13" ht="13.5" customHeight="1" x14ac:dyDescent="0.3">
      <c r="A23" s="56" t="s">
        <v>47</v>
      </c>
      <c r="B23" s="84" t="s">
        <v>256</v>
      </c>
      <c r="C23" s="57" t="s">
        <v>253</v>
      </c>
      <c r="D23" s="1881">
        <v>868</v>
      </c>
      <c r="E23" s="1882">
        <v>592</v>
      </c>
      <c r="F23" s="1882">
        <f t="shared" si="6"/>
        <v>276</v>
      </c>
      <c r="G23" s="1882">
        <v>103</v>
      </c>
      <c r="H23" s="1883">
        <v>173</v>
      </c>
      <c r="I23" s="92"/>
      <c r="J23" s="1890">
        <f t="shared" si="7"/>
        <v>0.6820276497695853</v>
      </c>
      <c r="K23" s="1891">
        <f t="shared" si="8"/>
        <v>0.31797235023041476</v>
      </c>
      <c r="L23" s="1891">
        <f t="shared" si="9"/>
        <v>0.11866359447004608</v>
      </c>
      <c r="M23" s="1892">
        <f t="shared" si="10"/>
        <v>0.19930875576036866</v>
      </c>
    </row>
    <row r="24" spans="1:13" ht="13.5" customHeight="1" x14ac:dyDescent="0.3">
      <c r="A24" s="56" t="s">
        <v>49</v>
      </c>
      <c r="B24" s="84" t="s">
        <v>50</v>
      </c>
      <c r="C24" s="57" t="s">
        <v>252</v>
      </c>
      <c r="D24" s="1881">
        <v>2184</v>
      </c>
      <c r="E24" s="1882">
        <v>1201</v>
      </c>
      <c r="F24" s="1882">
        <f t="shared" si="6"/>
        <v>983</v>
      </c>
      <c r="G24" s="1882">
        <v>199</v>
      </c>
      <c r="H24" s="1883">
        <v>784</v>
      </c>
      <c r="I24" s="92"/>
      <c r="J24" s="1890">
        <f t="shared" si="7"/>
        <v>0.54990842490842495</v>
      </c>
      <c r="K24" s="1891">
        <f t="shared" si="8"/>
        <v>0.4500915750915751</v>
      </c>
      <c r="L24" s="1891">
        <f t="shared" si="9"/>
        <v>9.1117216117216113E-2</v>
      </c>
      <c r="M24" s="1892">
        <f t="shared" si="10"/>
        <v>0.35897435897435898</v>
      </c>
    </row>
    <row r="25" spans="1:13" ht="13.5" customHeight="1" x14ac:dyDescent="0.3">
      <c r="A25" s="56" t="s">
        <v>55</v>
      </c>
      <c r="B25" s="84" t="s">
        <v>271</v>
      </c>
      <c r="C25" s="57" t="s">
        <v>253</v>
      </c>
      <c r="D25" s="1881">
        <v>75876</v>
      </c>
      <c r="E25" s="1882">
        <v>54734</v>
      </c>
      <c r="F25" s="1882">
        <f t="shared" si="6"/>
        <v>21142</v>
      </c>
      <c r="G25" s="1882">
        <v>4891</v>
      </c>
      <c r="H25" s="1883">
        <v>16251</v>
      </c>
      <c r="I25" s="92"/>
      <c r="J25" s="1890">
        <f t="shared" si="7"/>
        <v>0.7213611682218356</v>
      </c>
      <c r="K25" s="1891">
        <f t="shared" si="8"/>
        <v>0.2786388317781644</v>
      </c>
      <c r="L25" s="1891">
        <f t="shared" si="9"/>
        <v>6.446043544730877E-2</v>
      </c>
      <c r="M25" s="1892">
        <f t="shared" si="10"/>
        <v>0.21417839633085561</v>
      </c>
    </row>
    <row r="26" spans="1:13" ht="13.5" customHeight="1" x14ac:dyDescent="0.3">
      <c r="A26" s="56" t="s">
        <v>57</v>
      </c>
      <c r="B26" s="84" t="s">
        <v>58</v>
      </c>
      <c r="C26" s="57" t="s">
        <v>254</v>
      </c>
      <c r="D26" s="1881">
        <v>2474</v>
      </c>
      <c r="E26" s="1882">
        <v>1931</v>
      </c>
      <c r="F26" s="1882">
        <f t="shared" si="6"/>
        <v>543</v>
      </c>
      <c r="G26" s="1882">
        <v>108</v>
      </c>
      <c r="H26" s="1883">
        <v>435</v>
      </c>
      <c r="I26" s="92"/>
      <c r="J26" s="1890">
        <f t="shared" si="7"/>
        <v>0.78051738075990296</v>
      </c>
      <c r="K26" s="1891">
        <f t="shared" si="8"/>
        <v>0.21948261924009702</v>
      </c>
      <c r="L26" s="1891">
        <f t="shared" si="9"/>
        <v>4.3654001616814875E-2</v>
      </c>
      <c r="M26" s="1892">
        <f t="shared" si="10"/>
        <v>0.17582861762328214</v>
      </c>
    </row>
    <row r="27" spans="1:13" ht="13.5" customHeight="1" x14ac:dyDescent="0.3">
      <c r="A27" s="56" t="s">
        <v>59</v>
      </c>
      <c r="B27" s="84" t="s">
        <v>60</v>
      </c>
      <c r="C27" s="57" t="s">
        <v>252</v>
      </c>
      <c r="D27" s="1881">
        <v>803</v>
      </c>
      <c r="E27" s="1882">
        <v>665</v>
      </c>
      <c r="F27" s="1882">
        <f t="shared" si="6"/>
        <v>138</v>
      </c>
      <c r="G27" s="1882">
        <v>37</v>
      </c>
      <c r="H27" s="1883">
        <v>101</v>
      </c>
      <c r="I27" s="92"/>
      <c r="J27" s="1890">
        <f t="shared" si="7"/>
        <v>0.82814445828144456</v>
      </c>
      <c r="K27" s="1891">
        <f t="shared" si="8"/>
        <v>0.17185554171855541</v>
      </c>
      <c r="L27" s="1891">
        <f t="shared" si="9"/>
        <v>4.6077210460772101E-2</v>
      </c>
      <c r="M27" s="1892">
        <f t="shared" si="10"/>
        <v>0.12577833125778332</v>
      </c>
    </row>
    <row r="28" spans="1:13" ht="13.5" customHeight="1" x14ac:dyDescent="0.3">
      <c r="A28" s="56" t="s">
        <v>61</v>
      </c>
      <c r="B28" s="84" t="s">
        <v>62</v>
      </c>
      <c r="C28" s="57" t="s">
        <v>254</v>
      </c>
      <c r="D28" s="1881">
        <v>10251</v>
      </c>
      <c r="E28" s="1882">
        <v>8113</v>
      </c>
      <c r="F28" s="1882">
        <f t="shared" si="6"/>
        <v>2138</v>
      </c>
      <c r="G28" s="1882">
        <v>944</v>
      </c>
      <c r="H28" s="1883">
        <v>1194</v>
      </c>
      <c r="I28" s="92"/>
      <c r="J28" s="1890">
        <f t="shared" si="7"/>
        <v>0.79143498195298023</v>
      </c>
      <c r="K28" s="1891">
        <f t="shared" si="8"/>
        <v>0.2085650180470198</v>
      </c>
      <c r="L28" s="1891">
        <f t="shared" si="9"/>
        <v>9.2088576724222021E-2</v>
      </c>
      <c r="M28" s="1892">
        <f t="shared" si="10"/>
        <v>0.11647644132279777</v>
      </c>
    </row>
    <row r="29" spans="1:13" ht="13.5" customHeight="1" x14ac:dyDescent="0.3">
      <c r="A29" s="56" t="s">
        <v>63</v>
      </c>
      <c r="B29" s="84" t="s">
        <v>64</v>
      </c>
      <c r="C29" s="57" t="s">
        <v>253</v>
      </c>
      <c r="D29" s="1881">
        <v>1748</v>
      </c>
      <c r="E29" s="1882">
        <v>1067</v>
      </c>
      <c r="F29" s="1882">
        <f t="shared" si="6"/>
        <v>681</v>
      </c>
      <c r="G29" s="1882">
        <v>127</v>
      </c>
      <c r="H29" s="1883">
        <v>554</v>
      </c>
      <c r="I29" s="92"/>
      <c r="J29" s="1890">
        <f t="shared" si="7"/>
        <v>0.61041189931350115</v>
      </c>
      <c r="K29" s="1891">
        <f t="shared" si="8"/>
        <v>0.38958810068649885</v>
      </c>
      <c r="L29" s="1891">
        <f t="shared" si="9"/>
        <v>7.2654462242562931E-2</v>
      </c>
      <c r="M29" s="1892">
        <f t="shared" si="10"/>
        <v>0.31693363844393591</v>
      </c>
    </row>
    <row r="30" spans="1:13" ht="13.5" customHeight="1" x14ac:dyDescent="0.3">
      <c r="A30" s="56" t="s">
        <v>67</v>
      </c>
      <c r="B30" s="84" t="s">
        <v>68</v>
      </c>
      <c r="C30" s="57" t="s">
        <v>255</v>
      </c>
      <c r="D30" s="1881">
        <v>2592</v>
      </c>
      <c r="E30" s="1882">
        <v>1810</v>
      </c>
      <c r="F30" s="1882">
        <f t="shared" si="6"/>
        <v>782</v>
      </c>
      <c r="G30" s="1882">
        <v>241</v>
      </c>
      <c r="H30" s="1883">
        <v>541</v>
      </c>
      <c r="I30" s="92"/>
      <c r="J30" s="1890">
        <f t="shared" si="7"/>
        <v>0.69830246913580252</v>
      </c>
      <c r="K30" s="1891">
        <f t="shared" si="8"/>
        <v>0.30169753086419754</v>
      </c>
      <c r="L30" s="1891">
        <f t="shared" si="9"/>
        <v>9.2978395061728392E-2</v>
      </c>
      <c r="M30" s="1892">
        <f t="shared" si="10"/>
        <v>0.20871913580246915</v>
      </c>
    </row>
    <row r="31" spans="1:13" ht="13.5" customHeight="1" x14ac:dyDescent="0.3">
      <c r="A31" s="56" t="s">
        <v>69</v>
      </c>
      <c r="B31" s="84" t="s">
        <v>70</v>
      </c>
      <c r="C31" s="57" t="s">
        <v>251</v>
      </c>
      <c r="D31" s="1881">
        <v>4600</v>
      </c>
      <c r="E31" s="1882">
        <v>3190</v>
      </c>
      <c r="F31" s="1882">
        <f t="shared" si="6"/>
        <v>1410</v>
      </c>
      <c r="G31" s="1882">
        <v>428</v>
      </c>
      <c r="H31" s="1883">
        <v>982</v>
      </c>
      <c r="I31" s="92"/>
      <c r="J31" s="1890">
        <f t="shared" si="7"/>
        <v>0.69347826086956521</v>
      </c>
      <c r="K31" s="1891">
        <f t="shared" si="8"/>
        <v>0.30652173913043479</v>
      </c>
      <c r="L31" s="1891">
        <f t="shared" si="9"/>
        <v>9.3043478260869561E-2</v>
      </c>
      <c r="M31" s="1892">
        <f t="shared" si="10"/>
        <v>0.21347826086956523</v>
      </c>
    </row>
    <row r="32" spans="1:13" ht="13.5" customHeight="1" x14ac:dyDescent="0.3">
      <c r="A32" s="56" t="s">
        <v>71</v>
      </c>
      <c r="B32" s="84" t="s">
        <v>72</v>
      </c>
      <c r="C32" s="57" t="s">
        <v>253</v>
      </c>
      <c r="D32" s="1881">
        <v>1782</v>
      </c>
      <c r="E32" s="1882">
        <v>824</v>
      </c>
      <c r="F32" s="1882">
        <f t="shared" si="6"/>
        <v>958</v>
      </c>
      <c r="G32" s="1882">
        <v>137</v>
      </c>
      <c r="H32" s="1883">
        <v>821</v>
      </c>
      <c r="I32" s="92"/>
      <c r="J32" s="1890">
        <f t="shared" si="7"/>
        <v>0.46240179573512907</v>
      </c>
      <c r="K32" s="1891">
        <f t="shared" si="8"/>
        <v>0.53759820426487093</v>
      </c>
      <c r="L32" s="1891">
        <f t="shared" si="9"/>
        <v>7.6879910213243544E-2</v>
      </c>
      <c r="M32" s="1892">
        <f t="shared" si="10"/>
        <v>0.4607182940516274</v>
      </c>
    </row>
    <row r="33" spans="1:13" ht="13.5" customHeight="1" x14ac:dyDescent="0.3">
      <c r="A33" s="56" t="s">
        <v>73</v>
      </c>
      <c r="B33" s="84" t="s">
        <v>405</v>
      </c>
      <c r="C33" s="57" t="s">
        <v>254</v>
      </c>
      <c r="D33" s="1881">
        <v>257377</v>
      </c>
      <c r="E33" s="1882">
        <v>212363</v>
      </c>
      <c r="F33" s="1882">
        <f t="shared" si="6"/>
        <v>45014</v>
      </c>
      <c r="G33" s="1882">
        <v>10462</v>
      </c>
      <c r="H33" s="1883">
        <v>34552</v>
      </c>
      <c r="I33" s="92"/>
      <c r="J33" s="1890">
        <f t="shared" si="7"/>
        <v>0.82510480734486769</v>
      </c>
      <c r="K33" s="1891">
        <f t="shared" si="8"/>
        <v>0.17489519265513234</v>
      </c>
      <c r="L33" s="1891">
        <f t="shared" si="9"/>
        <v>4.0648542799084614E-2</v>
      </c>
      <c r="M33" s="1892">
        <f t="shared" si="10"/>
        <v>0.13424664985604776</v>
      </c>
    </row>
    <row r="34" spans="1:13" ht="13.5" customHeight="1" x14ac:dyDescent="0.3">
      <c r="A34" s="56" t="s">
        <v>75</v>
      </c>
      <c r="B34" s="84" t="s">
        <v>76</v>
      </c>
      <c r="C34" s="57" t="s">
        <v>254</v>
      </c>
      <c r="D34" s="1881">
        <v>14624</v>
      </c>
      <c r="E34" s="1882">
        <v>12125</v>
      </c>
      <c r="F34" s="1882">
        <f t="shared" si="6"/>
        <v>2499</v>
      </c>
      <c r="G34" s="1882">
        <v>733</v>
      </c>
      <c r="H34" s="1883">
        <v>1766</v>
      </c>
      <c r="I34" s="92"/>
      <c r="J34" s="1890">
        <f t="shared" si="7"/>
        <v>0.82911652078774623</v>
      </c>
      <c r="K34" s="1891">
        <f t="shared" si="8"/>
        <v>0.17088347921225383</v>
      </c>
      <c r="L34" s="1891">
        <f t="shared" si="9"/>
        <v>5.012308533916849E-2</v>
      </c>
      <c r="M34" s="1892">
        <f t="shared" si="10"/>
        <v>0.12076039387308533</v>
      </c>
    </row>
    <row r="35" spans="1:13" ht="13.5" customHeight="1" x14ac:dyDescent="0.3">
      <c r="A35" s="56" t="s">
        <v>77</v>
      </c>
      <c r="B35" s="84" t="s">
        <v>78</v>
      </c>
      <c r="C35" s="57" t="s">
        <v>255</v>
      </c>
      <c r="D35" s="1881">
        <v>2717</v>
      </c>
      <c r="E35" s="1882">
        <v>2246</v>
      </c>
      <c r="F35" s="1882">
        <f t="shared" si="6"/>
        <v>471</v>
      </c>
      <c r="G35" s="1882">
        <v>83</v>
      </c>
      <c r="H35" s="1883">
        <v>388</v>
      </c>
      <c r="I35" s="92"/>
      <c r="J35" s="1890">
        <f t="shared" si="7"/>
        <v>0.82664703717335297</v>
      </c>
      <c r="K35" s="1891">
        <f t="shared" si="8"/>
        <v>0.17335296282664703</v>
      </c>
      <c r="L35" s="1891">
        <f t="shared" si="9"/>
        <v>3.05483989694516E-2</v>
      </c>
      <c r="M35" s="1892">
        <f t="shared" si="10"/>
        <v>0.14280456385719545</v>
      </c>
    </row>
    <row r="36" spans="1:13" ht="13.5" customHeight="1" x14ac:dyDescent="0.3">
      <c r="A36" s="56" t="s">
        <v>79</v>
      </c>
      <c r="B36" s="84" t="s">
        <v>80</v>
      </c>
      <c r="C36" s="57" t="s">
        <v>253</v>
      </c>
      <c r="D36" s="1881">
        <v>4500</v>
      </c>
      <c r="E36" s="1882">
        <v>3498</v>
      </c>
      <c r="F36" s="1882">
        <f t="shared" si="6"/>
        <v>1002</v>
      </c>
      <c r="G36" s="1882">
        <v>383</v>
      </c>
      <c r="H36" s="1883">
        <v>619</v>
      </c>
      <c r="I36" s="92"/>
      <c r="J36" s="1890">
        <f t="shared" si="7"/>
        <v>0.77733333333333332</v>
      </c>
      <c r="K36" s="1891">
        <f t="shared" si="8"/>
        <v>0.22266666666666668</v>
      </c>
      <c r="L36" s="1891">
        <f t="shared" si="9"/>
        <v>8.511111111111111E-2</v>
      </c>
      <c r="M36" s="1892">
        <f t="shared" si="10"/>
        <v>0.13755555555555554</v>
      </c>
    </row>
    <row r="37" spans="1:13" ht="13.5" customHeight="1" x14ac:dyDescent="0.3">
      <c r="A37" s="56" t="s">
        <v>83</v>
      </c>
      <c r="B37" s="84" t="s">
        <v>84</v>
      </c>
      <c r="C37" s="57" t="s">
        <v>252</v>
      </c>
      <c r="D37" s="1881">
        <v>9092</v>
      </c>
      <c r="E37" s="1882">
        <v>6541</v>
      </c>
      <c r="F37" s="1882">
        <f t="shared" ref="F37:F68" si="11">G37+H37</f>
        <v>2551</v>
      </c>
      <c r="G37" s="1882">
        <v>566</v>
      </c>
      <c r="H37" s="1883">
        <v>1985</v>
      </c>
      <c r="I37" s="92"/>
      <c r="J37" s="1890">
        <f t="shared" ref="J37:J68" si="12">E37/D37</f>
        <v>0.7194236691597008</v>
      </c>
      <c r="K37" s="1891">
        <f t="shared" ref="K37:K68" si="13">F37/D37</f>
        <v>0.28057633084029915</v>
      </c>
      <c r="L37" s="1891">
        <f t="shared" ref="L37:L68" si="14">G37/D37</f>
        <v>6.225252969643643E-2</v>
      </c>
      <c r="M37" s="1892">
        <f t="shared" ref="M37:M68" si="15">H37/D37</f>
        <v>0.21832380114386274</v>
      </c>
    </row>
    <row r="38" spans="1:13" ht="13.5" customHeight="1" x14ac:dyDescent="0.3">
      <c r="A38" s="56" t="s">
        <v>85</v>
      </c>
      <c r="B38" s="84" t="s">
        <v>86</v>
      </c>
      <c r="C38" s="57" t="s">
        <v>254</v>
      </c>
      <c r="D38" s="1881">
        <v>17158</v>
      </c>
      <c r="E38" s="1882">
        <v>13340</v>
      </c>
      <c r="F38" s="1882">
        <f t="shared" si="11"/>
        <v>3818</v>
      </c>
      <c r="G38" s="1882">
        <v>949</v>
      </c>
      <c r="H38" s="1883">
        <v>2869</v>
      </c>
      <c r="I38" s="92"/>
      <c r="J38" s="1890">
        <f t="shared" si="12"/>
        <v>0.77747989276139406</v>
      </c>
      <c r="K38" s="1891">
        <f t="shared" si="13"/>
        <v>0.22252010723860591</v>
      </c>
      <c r="L38" s="1891">
        <f t="shared" si="14"/>
        <v>5.5309476628977734E-2</v>
      </c>
      <c r="M38" s="1892">
        <f t="shared" si="15"/>
        <v>0.16721063060962815</v>
      </c>
    </row>
    <row r="39" spans="1:13" ht="13.5" customHeight="1" x14ac:dyDescent="0.3">
      <c r="A39" s="56" t="s">
        <v>91</v>
      </c>
      <c r="B39" s="84" t="s">
        <v>92</v>
      </c>
      <c r="C39" s="57" t="s">
        <v>255</v>
      </c>
      <c r="D39" s="1881">
        <v>2845</v>
      </c>
      <c r="E39" s="1882">
        <v>2066</v>
      </c>
      <c r="F39" s="1882">
        <f t="shared" si="11"/>
        <v>779</v>
      </c>
      <c r="G39" s="1882">
        <v>167</v>
      </c>
      <c r="H39" s="1883">
        <v>612</v>
      </c>
      <c r="I39" s="92"/>
      <c r="J39" s="1890">
        <f t="shared" si="12"/>
        <v>0.72618629173989457</v>
      </c>
      <c r="K39" s="1891">
        <f t="shared" si="13"/>
        <v>0.27381370826010543</v>
      </c>
      <c r="L39" s="1891">
        <f t="shared" si="14"/>
        <v>5.8699472759226712E-2</v>
      </c>
      <c r="M39" s="1892">
        <f t="shared" si="15"/>
        <v>0.21511423550087874</v>
      </c>
    </row>
    <row r="40" spans="1:13" ht="13.5" customHeight="1" x14ac:dyDescent="0.3">
      <c r="A40" s="56" t="s">
        <v>93</v>
      </c>
      <c r="B40" s="84" t="s">
        <v>94</v>
      </c>
      <c r="C40" s="57" t="s">
        <v>251</v>
      </c>
      <c r="D40" s="1881">
        <v>6594</v>
      </c>
      <c r="E40" s="1882">
        <v>5059</v>
      </c>
      <c r="F40" s="1882">
        <f t="shared" si="11"/>
        <v>1535</v>
      </c>
      <c r="G40" s="1882">
        <v>411</v>
      </c>
      <c r="H40" s="1883">
        <v>1124</v>
      </c>
      <c r="I40" s="92"/>
      <c r="J40" s="1890">
        <f t="shared" si="12"/>
        <v>0.76721261753108883</v>
      </c>
      <c r="K40" s="1891">
        <f t="shared" si="13"/>
        <v>0.23278738246891112</v>
      </c>
      <c r="L40" s="1891">
        <f t="shared" si="14"/>
        <v>6.2329390354868064E-2</v>
      </c>
      <c r="M40" s="1892">
        <f t="shared" si="15"/>
        <v>0.17045799211404308</v>
      </c>
    </row>
    <row r="41" spans="1:13" ht="13.5" customHeight="1" x14ac:dyDescent="0.3">
      <c r="A41" s="56" t="s">
        <v>95</v>
      </c>
      <c r="B41" s="84" t="s">
        <v>96</v>
      </c>
      <c r="C41" s="57" t="s">
        <v>253</v>
      </c>
      <c r="D41" s="1881">
        <v>3419</v>
      </c>
      <c r="E41" s="1882">
        <v>2995</v>
      </c>
      <c r="F41" s="1882">
        <f t="shared" si="11"/>
        <v>424</v>
      </c>
      <c r="G41" s="1882">
        <v>76</v>
      </c>
      <c r="H41" s="1883">
        <v>348</v>
      </c>
      <c r="I41" s="92"/>
      <c r="J41" s="1890">
        <f t="shared" si="12"/>
        <v>0.87598713073998247</v>
      </c>
      <c r="K41" s="1891">
        <f t="shared" si="13"/>
        <v>0.12401286926001755</v>
      </c>
      <c r="L41" s="1891">
        <f t="shared" si="14"/>
        <v>2.2228721848493713E-2</v>
      </c>
      <c r="M41" s="1892">
        <f t="shared" si="15"/>
        <v>0.10178414741152383</v>
      </c>
    </row>
    <row r="42" spans="1:13" ht="13.5" customHeight="1" x14ac:dyDescent="0.3">
      <c r="A42" s="56" t="s">
        <v>97</v>
      </c>
      <c r="B42" s="84" t="s">
        <v>98</v>
      </c>
      <c r="C42" s="57" t="s">
        <v>255</v>
      </c>
      <c r="D42" s="1881">
        <v>2261</v>
      </c>
      <c r="E42" s="1882">
        <v>1682</v>
      </c>
      <c r="F42" s="1882">
        <f t="shared" si="11"/>
        <v>579</v>
      </c>
      <c r="G42" s="1882">
        <v>203</v>
      </c>
      <c r="H42" s="1883">
        <v>376</v>
      </c>
      <c r="I42" s="92"/>
      <c r="J42" s="1890">
        <f t="shared" si="12"/>
        <v>0.74391862007961074</v>
      </c>
      <c r="K42" s="1891">
        <f t="shared" si="13"/>
        <v>0.25608137992038921</v>
      </c>
      <c r="L42" s="1891">
        <f t="shared" si="14"/>
        <v>8.9783281733746126E-2</v>
      </c>
      <c r="M42" s="1892">
        <f t="shared" si="15"/>
        <v>0.16629809818664307</v>
      </c>
    </row>
    <row r="43" spans="1:13" ht="13.5" customHeight="1" x14ac:dyDescent="0.3">
      <c r="A43" s="56" t="s">
        <v>99</v>
      </c>
      <c r="B43" s="84" t="s">
        <v>100</v>
      </c>
      <c r="C43" s="57" t="s">
        <v>254</v>
      </c>
      <c r="D43" s="1881">
        <v>4048</v>
      </c>
      <c r="E43" s="1882">
        <v>3190</v>
      </c>
      <c r="F43" s="1882">
        <f t="shared" si="11"/>
        <v>858</v>
      </c>
      <c r="G43" s="1882">
        <v>353</v>
      </c>
      <c r="H43" s="1883">
        <v>505</v>
      </c>
      <c r="I43" s="92"/>
      <c r="J43" s="1890">
        <f t="shared" si="12"/>
        <v>0.78804347826086951</v>
      </c>
      <c r="K43" s="1891">
        <f t="shared" si="13"/>
        <v>0.21195652173913043</v>
      </c>
      <c r="L43" s="1891">
        <f t="shared" si="14"/>
        <v>8.7203557312252961E-2</v>
      </c>
      <c r="M43" s="1892">
        <f t="shared" si="15"/>
        <v>0.12475296442687747</v>
      </c>
    </row>
    <row r="44" spans="1:13" ht="13.5" customHeight="1" x14ac:dyDescent="0.3">
      <c r="A44" s="56" t="s">
        <v>101</v>
      </c>
      <c r="B44" s="84" t="s">
        <v>263</v>
      </c>
      <c r="C44" s="57" t="s">
        <v>251</v>
      </c>
      <c r="D44" s="1881">
        <v>2752</v>
      </c>
      <c r="E44" s="1882">
        <v>1156</v>
      </c>
      <c r="F44" s="1882">
        <f t="shared" si="11"/>
        <v>1596</v>
      </c>
      <c r="G44" s="1882">
        <v>269</v>
      </c>
      <c r="H44" s="1883">
        <v>1327</v>
      </c>
      <c r="I44" s="92"/>
      <c r="J44" s="1890">
        <f t="shared" si="12"/>
        <v>0.42005813953488375</v>
      </c>
      <c r="K44" s="1891">
        <f t="shared" si="13"/>
        <v>0.57994186046511631</v>
      </c>
      <c r="L44" s="1891">
        <f t="shared" si="14"/>
        <v>9.7747093023255807E-2</v>
      </c>
      <c r="M44" s="1892">
        <f t="shared" si="15"/>
        <v>0.48219476744186046</v>
      </c>
    </row>
    <row r="45" spans="1:13" ht="13.5" customHeight="1" x14ac:dyDescent="0.3">
      <c r="A45" s="56" t="s">
        <v>103</v>
      </c>
      <c r="B45" s="84" t="s">
        <v>104</v>
      </c>
      <c r="C45" s="57" t="s">
        <v>252</v>
      </c>
      <c r="D45" s="1881">
        <v>6029</v>
      </c>
      <c r="E45" s="1882">
        <v>4111</v>
      </c>
      <c r="F45" s="1882">
        <f t="shared" si="11"/>
        <v>1918</v>
      </c>
      <c r="G45" s="1882">
        <v>380</v>
      </c>
      <c r="H45" s="1883">
        <v>1538</v>
      </c>
      <c r="I45" s="92"/>
      <c r="J45" s="1890">
        <f t="shared" si="12"/>
        <v>0.68187095704096867</v>
      </c>
      <c r="K45" s="1891">
        <f t="shared" si="13"/>
        <v>0.31812904295903133</v>
      </c>
      <c r="L45" s="1891">
        <f t="shared" si="14"/>
        <v>6.3028694642560959E-2</v>
      </c>
      <c r="M45" s="1892">
        <f t="shared" si="15"/>
        <v>0.25510034831647038</v>
      </c>
    </row>
    <row r="46" spans="1:13" ht="13.5" customHeight="1" x14ac:dyDescent="0.3">
      <c r="A46" s="56" t="s">
        <v>107</v>
      </c>
      <c r="B46" s="84" t="s">
        <v>108</v>
      </c>
      <c r="C46" s="57" t="s">
        <v>253</v>
      </c>
      <c r="D46" s="1881">
        <v>21658</v>
      </c>
      <c r="E46" s="1882">
        <v>17758</v>
      </c>
      <c r="F46" s="1882">
        <f t="shared" si="11"/>
        <v>3900</v>
      </c>
      <c r="G46" s="1882">
        <v>1243</v>
      </c>
      <c r="H46" s="1883">
        <v>2657</v>
      </c>
      <c r="I46" s="92"/>
      <c r="J46" s="1890">
        <f t="shared" si="12"/>
        <v>0.81992797118847538</v>
      </c>
      <c r="K46" s="1891">
        <f t="shared" si="13"/>
        <v>0.18007202881152462</v>
      </c>
      <c r="L46" s="1891">
        <f t="shared" si="14"/>
        <v>5.7392187644288488E-2</v>
      </c>
      <c r="M46" s="1892">
        <f t="shared" si="15"/>
        <v>0.12267984116723613</v>
      </c>
    </row>
    <row r="47" spans="1:13" ht="13.5" customHeight="1" x14ac:dyDescent="0.3">
      <c r="A47" s="56" t="s">
        <v>109</v>
      </c>
      <c r="B47" s="84" t="s">
        <v>110</v>
      </c>
      <c r="C47" s="57" t="s">
        <v>253</v>
      </c>
      <c r="D47" s="1881">
        <v>67114</v>
      </c>
      <c r="E47" s="1882">
        <v>46384</v>
      </c>
      <c r="F47" s="1882">
        <f t="shared" si="11"/>
        <v>20730</v>
      </c>
      <c r="G47" s="1882">
        <v>4237</v>
      </c>
      <c r="H47" s="1883">
        <v>16493</v>
      </c>
      <c r="I47" s="92"/>
      <c r="J47" s="1890">
        <f t="shared" si="12"/>
        <v>0.69112256757159463</v>
      </c>
      <c r="K47" s="1891">
        <f t="shared" si="13"/>
        <v>0.30887743242840537</v>
      </c>
      <c r="L47" s="1891">
        <f t="shared" si="14"/>
        <v>6.3131388383943735E-2</v>
      </c>
      <c r="M47" s="1892">
        <f t="shared" si="15"/>
        <v>0.24574604404446165</v>
      </c>
    </row>
    <row r="48" spans="1:13" ht="13.5" customHeight="1" x14ac:dyDescent="0.3">
      <c r="A48" s="56" t="s">
        <v>111</v>
      </c>
      <c r="B48" s="84" t="s">
        <v>275</v>
      </c>
      <c r="C48" s="57" t="s">
        <v>252</v>
      </c>
      <c r="D48" s="1881">
        <v>10842</v>
      </c>
      <c r="E48" s="1882">
        <v>6138</v>
      </c>
      <c r="F48" s="1882">
        <f t="shared" si="11"/>
        <v>4704</v>
      </c>
      <c r="G48" s="1882">
        <v>776</v>
      </c>
      <c r="H48" s="1883">
        <v>3928</v>
      </c>
      <c r="I48" s="92"/>
      <c r="J48" s="1890">
        <f t="shared" si="12"/>
        <v>0.56613171001660212</v>
      </c>
      <c r="K48" s="1891">
        <f t="shared" si="13"/>
        <v>0.43386828998339788</v>
      </c>
      <c r="L48" s="1891">
        <f t="shared" si="14"/>
        <v>7.1573510422431291E-2</v>
      </c>
      <c r="M48" s="1892">
        <f t="shared" si="15"/>
        <v>0.36229477956096662</v>
      </c>
    </row>
    <row r="49" spans="1:13" ht="13.5" customHeight="1" x14ac:dyDescent="0.3">
      <c r="A49" s="56" t="s">
        <v>113</v>
      </c>
      <c r="B49" s="84" t="s">
        <v>114</v>
      </c>
      <c r="C49" s="57" t="s">
        <v>252</v>
      </c>
      <c r="D49" s="1881">
        <v>216</v>
      </c>
      <c r="E49" s="1882">
        <v>192</v>
      </c>
      <c r="F49" s="1882">
        <f t="shared" si="11"/>
        <v>24</v>
      </c>
      <c r="G49" s="1882">
        <v>11</v>
      </c>
      <c r="H49" s="1883">
        <v>13</v>
      </c>
      <c r="I49" s="92"/>
      <c r="J49" s="1890">
        <f t="shared" si="12"/>
        <v>0.88888888888888884</v>
      </c>
      <c r="K49" s="1891">
        <f t="shared" si="13"/>
        <v>0.1111111111111111</v>
      </c>
      <c r="L49" s="1891">
        <f t="shared" si="14"/>
        <v>5.0925925925925923E-2</v>
      </c>
      <c r="M49" s="1892">
        <f t="shared" si="15"/>
        <v>6.0185185185185182E-2</v>
      </c>
    </row>
    <row r="50" spans="1:13" ht="13.5" customHeight="1" x14ac:dyDescent="0.3">
      <c r="A50" s="56" t="s">
        <v>117</v>
      </c>
      <c r="B50" s="84" t="s">
        <v>257</v>
      </c>
      <c r="C50" s="57" t="s">
        <v>251</v>
      </c>
      <c r="D50" s="1881">
        <v>6803</v>
      </c>
      <c r="E50" s="1882">
        <v>5092</v>
      </c>
      <c r="F50" s="1882">
        <f t="shared" si="11"/>
        <v>1711</v>
      </c>
      <c r="G50" s="1882">
        <v>156</v>
      </c>
      <c r="H50" s="1883">
        <v>1555</v>
      </c>
      <c r="I50" s="92"/>
      <c r="J50" s="1890">
        <f t="shared" si="12"/>
        <v>0.7484933117742173</v>
      </c>
      <c r="K50" s="1891">
        <f t="shared" si="13"/>
        <v>0.25150668822578276</v>
      </c>
      <c r="L50" s="1891">
        <f t="shared" si="14"/>
        <v>2.2931059826547112E-2</v>
      </c>
      <c r="M50" s="1892">
        <f t="shared" si="15"/>
        <v>0.22857562839923562</v>
      </c>
    </row>
    <row r="51" spans="1:13" ht="13.5" customHeight="1" x14ac:dyDescent="0.3">
      <c r="A51" s="56" t="s">
        <v>119</v>
      </c>
      <c r="B51" s="84" t="s">
        <v>120</v>
      </c>
      <c r="C51" s="57" t="s">
        <v>251</v>
      </c>
      <c r="D51" s="1881">
        <v>13663</v>
      </c>
      <c r="E51" s="1882">
        <v>10220</v>
      </c>
      <c r="F51" s="1882">
        <f t="shared" si="11"/>
        <v>3443</v>
      </c>
      <c r="G51" s="1882">
        <v>1428</v>
      </c>
      <c r="H51" s="1883">
        <v>2015</v>
      </c>
      <c r="I51" s="92"/>
      <c r="J51" s="1890">
        <f t="shared" si="12"/>
        <v>0.74800556246797922</v>
      </c>
      <c r="K51" s="1891">
        <f t="shared" si="13"/>
        <v>0.25199443753202078</v>
      </c>
      <c r="L51" s="1891">
        <f t="shared" si="14"/>
        <v>0.10451584571470394</v>
      </c>
      <c r="M51" s="1892">
        <f t="shared" si="15"/>
        <v>0.14747859181731685</v>
      </c>
    </row>
    <row r="52" spans="1:13" ht="13.5" customHeight="1" x14ac:dyDescent="0.3">
      <c r="A52" s="56" t="s">
        <v>121</v>
      </c>
      <c r="B52" s="84" t="s">
        <v>258</v>
      </c>
      <c r="C52" s="57" t="s">
        <v>253</v>
      </c>
      <c r="D52" s="1881">
        <v>1018</v>
      </c>
      <c r="E52" s="1882">
        <v>753</v>
      </c>
      <c r="F52" s="1882">
        <f t="shared" si="11"/>
        <v>265</v>
      </c>
      <c r="G52" s="1882">
        <v>116</v>
      </c>
      <c r="H52" s="1883">
        <v>149</v>
      </c>
      <c r="I52" s="92"/>
      <c r="J52" s="1890">
        <f t="shared" si="12"/>
        <v>0.73968565815324161</v>
      </c>
      <c r="K52" s="1891">
        <f t="shared" si="13"/>
        <v>0.26031434184675833</v>
      </c>
      <c r="L52" s="1891">
        <f t="shared" si="14"/>
        <v>0.11394891944990176</v>
      </c>
      <c r="M52" s="1892">
        <f t="shared" si="15"/>
        <v>0.14636542239685657</v>
      </c>
    </row>
    <row r="53" spans="1:13" ht="13.5" customHeight="1" x14ac:dyDescent="0.3">
      <c r="A53" s="56" t="s">
        <v>123</v>
      </c>
      <c r="B53" s="84" t="s">
        <v>124</v>
      </c>
      <c r="C53" s="57" t="s">
        <v>254</v>
      </c>
      <c r="D53" s="1881">
        <v>5791</v>
      </c>
      <c r="E53" s="1882">
        <v>4817</v>
      </c>
      <c r="F53" s="1882">
        <f t="shared" si="11"/>
        <v>974</v>
      </c>
      <c r="G53" s="1882">
        <v>407</v>
      </c>
      <c r="H53" s="1883">
        <v>567</v>
      </c>
      <c r="I53" s="92"/>
      <c r="J53" s="1890">
        <f t="shared" si="12"/>
        <v>0.83180797789673633</v>
      </c>
      <c r="K53" s="1891">
        <f t="shared" si="13"/>
        <v>0.16819202210326367</v>
      </c>
      <c r="L53" s="1891">
        <f t="shared" si="14"/>
        <v>7.0281471248489033E-2</v>
      </c>
      <c r="M53" s="1892">
        <f t="shared" si="15"/>
        <v>9.7910550854774653E-2</v>
      </c>
    </row>
    <row r="54" spans="1:13" ht="13.5" customHeight="1" x14ac:dyDescent="0.3">
      <c r="A54" s="56" t="s">
        <v>125</v>
      </c>
      <c r="B54" s="84" t="s">
        <v>126</v>
      </c>
      <c r="C54" s="57" t="s">
        <v>253</v>
      </c>
      <c r="D54" s="1881">
        <v>3583</v>
      </c>
      <c r="E54" s="1882">
        <v>2761</v>
      </c>
      <c r="F54" s="1882">
        <f t="shared" si="11"/>
        <v>822</v>
      </c>
      <c r="G54" s="1882">
        <v>236</v>
      </c>
      <c r="H54" s="1883">
        <v>586</v>
      </c>
      <c r="I54" s="92"/>
      <c r="J54" s="1890">
        <f t="shared" si="12"/>
        <v>0.77058331007535585</v>
      </c>
      <c r="K54" s="1891">
        <f t="shared" si="13"/>
        <v>0.22941668992464415</v>
      </c>
      <c r="L54" s="1891">
        <f t="shared" si="14"/>
        <v>6.5866592241138708E-2</v>
      </c>
      <c r="M54" s="1892">
        <f t="shared" si="15"/>
        <v>0.16355009768350545</v>
      </c>
    </row>
    <row r="55" spans="1:13" ht="13.5" customHeight="1" x14ac:dyDescent="0.3">
      <c r="A55" s="56" t="s">
        <v>127</v>
      </c>
      <c r="B55" s="84" t="s">
        <v>128</v>
      </c>
      <c r="C55" s="57" t="s">
        <v>253</v>
      </c>
      <c r="D55" s="1881">
        <v>1563</v>
      </c>
      <c r="E55" s="1882">
        <v>889</v>
      </c>
      <c r="F55" s="1882">
        <f t="shared" si="11"/>
        <v>674</v>
      </c>
      <c r="G55" s="1882">
        <v>99</v>
      </c>
      <c r="H55" s="1883">
        <v>575</v>
      </c>
      <c r="I55" s="92"/>
      <c r="J55" s="1890">
        <f t="shared" si="12"/>
        <v>0.5687779910428663</v>
      </c>
      <c r="K55" s="1891">
        <f t="shared" si="13"/>
        <v>0.4312220089571337</v>
      </c>
      <c r="L55" s="1891">
        <f t="shared" si="14"/>
        <v>6.3339731285988479E-2</v>
      </c>
      <c r="M55" s="1892">
        <f t="shared" si="15"/>
        <v>0.36788227767114523</v>
      </c>
    </row>
    <row r="56" spans="1:13" ht="13.5" customHeight="1" x14ac:dyDescent="0.3">
      <c r="A56" s="56" t="s">
        <v>129</v>
      </c>
      <c r="B56" s="84" t="s">
        <v>130</v>
      </c>
      <c r="C56" s="57" t="s">
        <v>255</v>
      </c>
      <c r="D56" s="1881">
        <v>3502</v>
      </c>
      <c r="E56" s="1882">
        <v>2184</v>
      </c>
      <c r="F56" s="1882">
        <f t="shared" si="11"/>
        <v>1318</v>
      </c>
      <c r="G56" s="1882">
        <v>409</v>
      </c>
      <c r="H56" s="1883">
        <v>909</v>
      </c>
      <c r="I56" s="92"/>
      <c r="J56" s="1890">
        <f t="shared" si="12"/>
        <v>0.62364363221016561</v>
      </c>
      <c r="K56" s="1891">
        <f t="shared" si="13"/>
        <v>0.37635636778983439</v>
      </c>
      <c r="L56" s="1891">
        <f t="shared" si="14"/>
        <v>0.11679040548258138</v>
      </c>
      <c r="M56" s="1892">
        <f t="shared" si="15"/>
        <v>0.25956596230725298</v>
      </c>
    </row>
    <row r="57" spans="1:13" ht="13.5" customHeight="1" x14ac:dyDescent="0.3">
      <c r="A57" s="56" t="s">
        <v>131</v>
      </c>
      <c r="B57" s="84" t="s">
        <v>132</v>
      </c>
      <c r="C57" s="57" t="s">
        <v>254</v>
      </c>
      <c r="D57" s="1881">
        <v>105365</v>
      </c>
      <c r="E57" s="1882">
        <v>93155</v>
      </c>
      <c r="F57" s="1882">
        <f t="shared" si="11"/>
        <v>12210</v>
      </c>
      <c r="G57" s="1882">
        <v>3317</v>
      </c>
      <c r="H57" s="1883">
        <v>8893</v>
      </c>
      <c r="I57" s="92"/>
      <c r="J57" s="1890">
        <f t="shared" si="12"/>
        <v>0.8841171166896028</v>
      </c>
      <c r="K57" s="1891">
        <f t="shared" si="13"/>
        <v>0.11588288331039719</v>
      </c>
      <c r="L57" s="1891">
        <f t="shared" si="14"/>
        <v>3.1481042091776205E-2</v>
      </c>
      <c r="M57" s="1892">
        <f t="shared" si="15"/>
        <v>8.4401841218620988E-2</v>
      </c>
    </row>
    <row r="58" spans="1:13" ht="13.5" customHeight="1" x14ac:dyDescent="0.3">
      <c r="A58" s="56" t="s">
        <v>133</v>
      </c>
      <c r="B58" s="84" t="s">
        <v>134</v>
      </c>
      <c r="C58" s="57" t="s">
        <v>254</v>
      </c>
      <c r="D58" s="1881">
        <v>6201</v>
      </c>
      <c r="E58" s="1882">
        <v>4770</v>
      </c>
      <c r="F58" s="1882">
        <f t="shared" si="11"/>
        <v>1431</v>
      </c>
      <c r="G58" s="1882">
        <v>439</v>
      </c>
      <c r="H58" s="1883">
        <v>992</v>
      </c>
      <c r="I58" s="92"/>
      <c r="J58" s="1890">
        <f t="shared" si="12"/>
        <v>0.76923076923076927</v>
      </c>
      <c r="K58" s="1891">
        <f t="shared" si="13"/>
        <v>0.23076923076923078</v>
      </c>
      <c r="L58" s="1891">
        <f t="shared" si="14"/>
        <v>7.0795033059183998E-2</v>
      </c>
      <c r="M58" s="1892">
        <f t="shared" si="15"/>
        <v>0.15997419771004676</v>
      </c>
    </row>
    <row r="59" spans="1:13" ht="13.5" customHeight="1" x14ac:dyDescent="0.3">
      <c r="A59" s="56" t="s">
        <v>135</v>
      </c>
      <c r="B59" s="84" t="s">
        <v>136</v>
      </c>
      <c r="C59" s="57" t="s">
        <v>253</v>
      </c>
      <c r="D59" s="1881">
        <v>1888</v>
      </c>
      <c r="E59" s="1882">
        <v>1129</v>
      </c>
      <c r="F59" s="1882">
        <f t="shared" si="11"/>
        <v>759</v>
      </c>
      <c r="G59" s="1882">
        <v>178</v>
      </c>
      <c r="H59" s="1883">
        <v>581</v>
      </c>
      <c r="I59" s="92"/>
      <c r="J59" s="1890">
        <f t="shared" si="12"/>
        <v>0.59798728813559321</v>
      </c>
      <c r="K59" s="1891">
        <f t="shared" si="13"/>
        <v>0.40201271186440679</v>
      </c>
      <c r="L59" s="1891">
        <f t="shared" si="14"/>
        <v>9.4279661016949151E-2</v>
      </c>
      <c r="M59" s="1892">
        <f t="shared" si="15"/>
        <v>0.30773305084745761</v>
      </c>
    </row>
    <row r="60" spans="1:13" ht="13.5" customHeight="1" x14ac:dyDescent="0.3">
      <c r="A60" s="56" t="s">
        <v>139</v>
      </c>
      <c r="B60" s="84" t="s">
        <v>140</v>
      </c>
      <c r="C60" s="57" t="s">
        <v>254</v>
      </c>
      <c r="D60" s="1881">
        <v>2319</v>
      </c>
      <c r="E60" s="1882">
        <v>1772</v>
      </c>
      <c r="F60" s="1882">
        <f t="shared" si="11"/>
        <v>547</v>
      </c>
      <c r="G60" s="1882">
        <v>134</v>
      </c>
      <c r="H60" s="1883">
        <v>413</v>
      </c>
      <c r="I60" s="92"/>
      <c r="J60" s="1890">
        <f t="shared" si="12"/>
        <v>0.7641224665804226</v>
      </c>
      <c r="K60" s="1891">
        <f t="shared" si="13"/>
        <v>0.2358775334195774</v>
      </c>
      <c r="L60" s="1891">
        <f t="shared" si="14"/>
        <v>5.7783527382492456E-2</v>
      </c>
      <c r="M60" s="1892">
        <f t="shared" si="15"/>
        <v>0.17809400603708495</v>
      </c>
    </row>
    <row r="61" spans="1:13" ht="13.5" customHeight="1" x14ac:dyDescent="0.3">
      <c r="A61" s="56" t="s">
        <v>145</v>
      </c>
      <c r="B61" s="84" t="s">
        <v>146</v>
      </c>
      <c r="C61" s="57" t="s">
        <v>251</v>
      </c>
      <c r="D61" s="1881">
        <v>1065</v>
      </c>
      <c r="E61" s="1882">
        <v>928</v>
      </c>
      <c r="F61" s="1882">
        <f t="shared" si="11"/>
        <v>137</v>
      </c>
      <c r="G61" s="1882">
        <v>32</v>
      </c>
      <c r="H61" s="1883">
        <v>105</v>
      </c>
      <c r="I61" s="92"/>
      <c r="J61" s="1890">
        <f t="shared" si="12"/>
        <v>0.87136150234741783</v>
      </c>
      <c r="K61" s="1891">
        <f t="shared" si="13"/>
        <v>0.12863849765258217</v>
      </c>
      <c r="L61" s="1891">
        <f t="shared" si="14"/>
        <v>3.0046948356807511E-2</v>
      </c>
      <c r="M61" s="1892">
        <f t="shared" si="15"/>
        <v>9.8591549295774641E-2</v>
      </c>
    </row>
    <row r="62" spans="1:13" ht="13.5" customHeight="1" x14ac:dyDescent="0.3">
      <c r="A62" s="56" t="s">
        <v>147</v>
      </c>
      <c r="B62" s="84" t="s">
        <v>148</v>
      </c>
      <c r="C62" s="57" t="s">
        <v>252</v>
      </c>
      <c r="D62" s="1881">
        <v>4674</v>
      </c>
      <c r="E62" s="1882">
        <v>2529</v>
      </c>
      <c r="F62" s="1882">
        <f t="shared" si="11"/>
        <v>2145</v>
      </c>
      <c r="G62" s="1882">
        <v>460</v>
      </c>
      <c r="H62" s="1883">
        <v>1685</v>
      </c>
      <c r="I62" s="92"/>
      <c r="J62" s="1890">
        <f t="shared" si="12"/>
        <v>0.54107830551989733</v>
      </c>
      <c r="K62" s="1891">
        <f t="shared" si="13"/>
        <v>0.45892169448010267</v>
      </c>
      <c r="L62" s="1891">
        <f t="shared" si="14"/>
        <v>9.8416773641420624E-2</v>
      </c>
      <c r="M62" s="1892">
        <f t="shared" si="15"/>
        <v>0.36050492083868207</v>
      </c>
    </row>
    <row r="63" spans="1:13" ht="13.5" customHeight="1" x14ac:dyDescent="0.3">
      <c r="A63" s="56" t="s">
        <v>149</v>
      </c>
      <c r="B63" s="84" t="s">
        <v>150</v>
      </c>
      <c r="C63" s="57" t="s">
        <v>253</v>
      </c>
      <c r="D63" s="1881">
        <v>1270</v>
      </c>
      <c r="E63" s="1882">
        <v>984</v>
      </c>
      <c r="F63" s="1882">
        <f t="shared" si="11"/>
        <v>286</v>
      </c>
      <c r="G63" s="1882">
        <v>121</v>
      </c>
      <c r="H63" s="1883">
        <v>165</v>
      </c>
      <c r="I63" s="92"/>
      <c r="J63" s="1890">
        <f t="shared" si="12"/>
        <v>0.77480314960629926</v>
      </c>
      <c r="K63" s="1891">
        <f t="shared" si="13"/>
        <v>0.2251968503937008</v>
      </c>
      <c r="L63" s="1891">
        <f t="shared" si="14"/>
        <v>9.5275590551181108E-2</v>
      </c>
      <c r="M63" s="1892">
        <f t="shared" si="15"/>
        <v>0.12992125984251968</v>
      </c>
    </row>
    <row r="64" spans="1:13" ht="13.5" customHeight="1" x14ac:dyDescent="0.3">
      <c r="A64" s="56" t="s">
        <v>151</v>
      </c>
      <c r="B64" s="84" t="s">
        <v>152</v>
      </c>
      <c r="C64" s="57" t="s">
        <v>255</v>
      </c>
      <c r="D64" s="1881">
        <v>14197</v>
      </c>
      <c r="E64" s="1882">
        <v>10853</v>
      </c>
      <c r="F64" s="1882">
        <f t="shared" si="11"/>
        <v>3344</v>
      </c>
      <c r="G64" s="1882">
        <v>912</v>
      </c>
      <c r="H64" s="1883">
        <v>2432</v>
      </c>
      <c r="I64" s="92"/>
      <c r="J64" s="1890">
        <f t="shared" si="12"/>
        <v>0.7644572797069803</v>
      </c>
      <c r="K64" s="1891">
        <f t="shared" si="13"/>
        <v>0.23554272029301965</v>
      </c>
      <c r="L64" s="1891">
        <f t="shared" si="14"/>
        <v>6.4238923716278082E-2</v>
      </c>
      <c r="M64" s="1892">
        <f t="shared" si="15"/>
        <v>0.17130379657674155</v>
      </c>
    </row>
    <row r="65" spans="1:13" ht="13.5" customHeight="1" x14ac:dyDescent="0.3">
      <c r="A65" s="56" t="s">
        <v>153</v>
      </c>
      <c r="B65" s="84" t="s">
        <v>154</v>
      </c>
      <c r="C65" s="57" t="s">
        <v>252</v>
      </c>
      <c r="D65" s="1881">
        <v>2078</v>
      </c>
      <c r="E65" s="1882">
        <v>1519</v>
      </c>
      <c r="F65" s="1882">
        <f t="shared" si="11"/>
        <v>559</v>
      </c>
      <c r="G65" s="1882">
        <v>138</v>
      </c>
      <c r="H65" s="1883">
        <v>421</v>
      </c>
      <c r="I65" s="92"/>
      <c r="J65" s="1890">
        <f t="shared" si="12"/>
        <v>0.73099133782483161</v>
      </c>
      <c r="K65" s="1891">
        <f t="shared" si="13"/>
        <v>0.26900866217516844</v>
      </c>
      <c r="L65" s="1891">
        <f t="shared" si="14"/>
        <v>6.6410009624639083E-2</v>
      </c>
      <c r="M65" s="1892">
        <f t="shared" si="15"/>
        <v>0.20259865255052936</v>
      </c>
    </row>
    <row r="66" spans="1:13" ht="13.5" customHeight="1" x14ac:dyDescent="0.3">
      <c r="A66" s="56" t="s">
        <v>155</v>
      </c>
      <c r="B66" s="84" t="s">
        <v>156</v>
      </c>
      <c r="C66" s="57" t="s">
        <v>253</v>
      </c>
      <c r="D66" s="1881">
        <v>3839</v>
      </c>
      <c r="E66" s="1882">
        <v>3022</v>
      </c>
      <c r="F66" s="1882">
        <f t="shared" si="11"/>
        <v>817</v>
      </c>
      <c r="G66" s="1882">
        <v>105</v>
      </c>
      <c r="H66" s="1883">
        <v>712</v>
      </c>
      <c r="I66" s="92"/>
      <c r="J66" s="1890">
        <f t="shared" si="12"/>
        <v>0.7871841625423287</v>
      </c>
      <c r="K66" s="1891">
        <f t="shared" si="13"/>
        <v>0.21281583745767127</v>
      </c>
      <c r="L66" s="1891">
        <f t="shared" si="14"/>
        <v>2.7350872623078927E-2</v>
      </c>
      <c r="M66" s="1892">
        <f t="shared" si="15"/>
        <v>0.18546496483459235</v>
      </c>
    </row>
    <row r="67" spans="1:13" ht="13.5" customHeight="1" x14ac:dyDescent="0.3">
      <c r="A67" s="56" t="s">
        <v>161</v>
      </c>
      <c r="B67" s="84" t="s">
        <v>162</v>
      </c>
      <c r="C67" s="57" t="s">
        <v>251</v>
      </c>
      <c r="D67" s="1881">
        <v>1960</v>
      </c>
      <c r="E67" s="1882">
        <v>1117</v>
      </c>
      <c r="F67" s="1882">
        <f t="shared" si="11"/>
        <v>843</v>
      </c>
      <c r="G67" s="1882">
        <v>161</v>
      </c>
      <c r="H67" s="1883">
        <v>682</v>
      </c>
      <c r="I67" s="92"/>
      <c r="J67" s="1890">
        <f t="shared" si="12"/>
        <v>0.56989795918367347</v>
      </c>
      <c r="K67" s="1891">
        <f t="shared" si="13"/>
        <v>0.43010204081632653</v>
      </c>
      <c r="L67" s="1891">
        <f t="shared" si="14"/>
        <v>8.2142857142857142E-2</v>
      </c>
      <c r="M67" s="1892">
        <f t="shared" si="15"/>
        <v>0.3479591836734694</v>
      </c>
    </row>
    <row r="68" spans="1:13" ht="13.5" customHeight="1" x14ac:dyDescent="0.3">
      <c r="A68" s="56" t="s">
        <v>163</v>
      </c>
      <c r="B68" s="84" t="s">
        <v>164</v>
      </c>
      <c r="C68" s="57" t="s">
        <v>253</v>
      </c>
      <c r="D68" s="1881">
        <v>1394</v>
      </c>
      <c r="E68" s="1882">
        <v>906</v>
      </c>
      <c r="F68" s="1882">
        <f t="shared" si="11"/>
        <v>488</v>
      </c>
      <c r="G68" s="1882">
        <v>53</v>
      </c>
      <c r="H68" s="1883">
        <v>435</v>
      </c>
      <c r="I68" s="92"/>
      <c r="J68" s="1890">
        <f t="shared" si="12"/>
        <v>0.64992826398852221</v>
      </c>
      <c r="K68" s="1891">
        <f t="shared" si="13"/>
        <v>0.35007173601147779</v>
      </c>
      <c r="L68" s="1891">
        <f t="shared" si="14"/>
        <v>3.8020086083213771E-2</v>
      </c>
      <c r="M68" s="1892">
        <f t="shared" si="15"/>
        <v>0.31205164992826401</v>
      </c>
    </row>
    <row r="69" spans="1:13" ht="13.5" customHeight="1" x14ac:dyDescent="0.3">
      <c r="A69" s="56" t="s">
        <v>167</v>
      </c>
      <c r="B69" s="84" t="s">
        <v>168</v>
      </c>
      <c r="C69" s="57" t="s">
        <v>253</v>
      </c>
      <c r="D69" s="1881">
        <v>2544</v>
      </c>
      <c r="E69" s="1882">
        <v>1520</v>
      </c>
      <c r="F69" s="1882">
        <f t="shared" ref="F69:F100" si="16">G69+H69</f>
        <v>1024</v>
      </c>
      <c r="G69" s="1882">
        <v>347</v>
      </c>
      <c r="H69" s="1883">
        <v>677</v>
      </c>
      <c r="I69" s="92"/>
      <c r="J69" s="1890">
        <f t="shared" ref="J69:J100" si="17">E69/D69</f>
        <v>0.59748427672955973</v>
      </c>
      <c r="K69" s="1891">
        <f t="shared" ref="K69:K100" si="18">F69/D69</f>
        <v>0.40251572327044027</v>
      </c>
      <c r="L69" s="1891">
        <f t="shared" ref="L69:L100" si="19">G69/D69</f>
        <v>0.1363993710691824</v>
      </c>
      <c r="M69" s="1892">
        <f t="shared" ref="M69:M100" si="20">H69/D69</f>
        <v>0.26611635220125784</v>
      </c>
    </row>
    <row r="70" spans="1:13" ht="13.5" customHeight="1" x14ac:dyDescent="0.3">
      <c r="A70" s="56" t="s">
        <v>169</v>
      </c>
      <c r="B70" s="84" t="s">
        <v>170</v>
      </c>
      <c r="C70" s="57" t="s">
        <v>254</v>
      </c>
      <c r="D70" s="1881">
        <v>6947</v>
      </c>
      <c r="E70" s="1882">
        <v>4735</v>
      </c>
      <c r="F70" s="1882">
        <f t="shared" si="16"/>
        <v>2212</v>
      </c>
      <c r="G70" s="1882">
        <v>751</v>
      </c>
      <c r="H70" s="1883">
        <v>1461</v>
      </c>
      <c r="I70" s="92"/>
      <c r="J70" s="1890">
        <f t="shared" si="17"/>
        <v>0.68158917518353246</v>
      </c>
      <c r="K70" s="1891">
        <f t="shared" si="18"/>
        <v>0.31841082481646754</v>
      </c>
      <c r="L70" s="1891">
        <f t="shared" si="19"/>
        <v>0.10810421764790556</v>
      </c>
      <c r="M70" s="1892">
        <f t="shared" si="20"/>
        <v>0.21030660716856198</v>
      </c>
    </row>
    <row r="71" spans="1:13" ht="13.5" customHeight="1" x14ac:dyDescent="0.3">
      <c r="A71" s="56" t="s">
        <v>171</v>
      </c>
      <c r="B71" s="84" t="s">
        <v>172</v>
      </c>
      <c r="C71" s="57" t="s">
        <v>254</v>
      </c>
      <c r="D71" s="1881">
        <v>4073</v>
      </c>
      <c r="E71" s="1882">
        <v>2814</v>
      </c>
      <c r="F71" s="1882">
        <f t="shared" si="16"/>
        <v>1259</v>
      </c>
      <c r="G71" s="1882">
        <v>451</v>
      </c>
      <c r="H71" s="1883">
        <v>808</v>
      </c>
      <c r="I71" s="92"/>
      <c r="J71" s="1890">
        <f t="shared" si="17"/>
        <v>0.69089123496194449</v>
      </c>
      <c r="K71" s="1891">
        <f t="shared" si="18"/>
        <v>0.30910876503805551</v>
      </c>
      <c r="L71" s="1891">
        <f t="shared" si="19"/>
        <v>0.11072919224159096</v>
      </c>
      <c r="M71" s="1892">
        <f t="shared" si="20"/>
        <v>0.19837957279646451</v>
      </c>
    </row>
    <row r="72" spans="1:13" ht="13.5" customHeight="1" x14ac:dyDescent="0.3">
      <c r="A72" s="56" t="s">
        <v>173</v>
      </c>
      <c r="B72" s="84" t="s">
        <v>174</v>
      </c>
      <c r="C72" s="57" t="s">
        <v>255</v>
      </c>
      <c r="D72" s="1881">
        <v>2793</v>
      </c>
      <c r="E72" s="1882">
        <v>2033</v>
      </c>
      <c r="F72" s="1882">
        <f t="shared" si="16"/>
        <v>760</v>
      </c>
      <c r="G72" s="1882">
        <v>140</v>
      </c>
      <c r="H72" s="1883">
        <v>620</v>
      </c>
      <c r="I72" s="92"/>
      <c r="J72" s="1890">
        <f t="shared" si="17"/>
        <v>0.72789115646258506</v>
      </c>
      <c r="K72" s="1891">
        <f t="shared" si="18"/>
        <v>0.27210884353741499</v>
      </c>
      <c r="L72" s="1891">
        <f t="shared" si="19"/>
        <v>5.0125313283208017E-2</v>
      </c>
      <c r="M72" s="1892">
        <f t="shared" si="20"/>
        <v>0.22198353025420695</v>
      </c>
    </row>
    <row r="73" spans="1:13" ht="13.5" customHeight="1" x14ac:dyDescent="0.3">
      <c r="A73" s="56" t="s">
        <v>177</v>
      </c>
      <c r="B73" s="84" t="s">
        <v>178</v>
      </c>
      <c r="C73" s="57" t="s">
        <v>252</v>
      </c>
      <c r="D73" s="1881">
        <v>9999</v>
      </c>
      <c r="E73" s="1882">
        <v>6197</v>
      </c>
      <c r="F73" s="1882">
        <f t="shared" si="16"/>
        <v>3802</v>
      </c>
      <c r="G73" s="1882">
        <v>827</v>
      </c>
      <c r="H73" s="1883">
        <v>2975</v>
      </c>
      <c r="I73" s="92"/>
      <c r="J73" s="1890">
        <f t="shared" si="17"/>
        <v>0.61976197619761975</v>
      </c>
      <c r="K73" s="1891">
        <f t="shared" si="18"/>
        <v>0.38023802380238025</v>
      </c>
      <c r="L73" s="1891">
        <f t="shared" si="19"/>
        <v>8.2708270827082708E-2</v>
      </c>
      <c r="M73" s="1892">
        <f t="shared" si="20"/>
        <v>0.29752975297529755</v>
      </c>
    </row>
    <row r="74" spans="1:13" ht="13.5" customHeight="1" x14ac:dyDescent="0.3">
      <c r="A74" s="56" t="s">
        <v>181</v>
      </c>
      <c r="B74" s="84" t="s">
        <v>182</v>
      </c>
      <c r="C74" s="57" t="s">
        <v>253</v>
      </c>
      <c r="D74" s="1881">
        <v>4619</v>
      </c>
      <c r="E74" s="1882">
        <v>4071</v>
      </c>
      <c r="F74" s="1882">
        <f t="shared" si="16"/>
        <v>548</v>
      </c>
      <c r="G74" s="1882">
        <v>231</v>
      </c>
      <c r="H74" s="1883">
        <v>317</v>
      </c>
      <c r="I74" s="92"/>
      <c r="J74" s="1890">
        <f t="shared" si="17"/>
        <v>0.88135960164537774</v>
      </c>
      <c r="K74" s="1891">
        <f t="shared" si="18"/>
        <v>0.11864039835462221</v>
      </c>
      <c r="L74" s="1891">
        <f t="shared" si="19"/>
        <v>5.0010824853864475E-2</v>
      </c>
      <c r="M74" s="1892">
        <f t="shared" si="20"/>
        <v>6.862957350075774E-2</v>
      </c>
    </row>
    <row r="75" spans="1:13" ht="13.5" customHeight="1" x14ac:dyDescent="0.3">
      <c r="A75" s="56" t="s">
        <v>183</v>
      </c>
      <c r="B75" s="84" t="s">
        <v>184</v>
      </c>
      <c r="C75" s="57" t="s">
        <v>253</v>
      </c>
      <c r="D75" s="1881">
        <v>2735</v>
      </c>
      <c r="E75" s="1882">
        <v>1794</v>
      </c>
      <c r="F75" s="1882">
        <f t="shared" si="16"/>
        <v>941</v>
      </c>
      <c r="G75" s="1882">
        <v>180</v>
      </c>
      <c r="H75" s="1883">
        <v>761</v>
      </c>
      <c r="I75" s="92"/>
      <c r="J75" s="1890">
        <f t="shared" si="17"/>
        <v>0.65594149908592325</v>
      </c>
      <c r="K75" s="1891">
        <f t="shared" si="18"/>
        <v>0.3440585009140768</v>
      </c>
      <c r="L75" s="1891">
        <f t="shared" si="19"/>
        <v>6.5813528336380253E-2</v>
      </c>
      <c r="M75" s="1892">
        <f t="shared" si="20"/>
        <v>0.27824497257769654</v>
      </c>
    </row>
    <row r="76" spans="1:13" ht="13.5" customHeight="1" x14ac:dyDescent="0.3">
      <c r="A76" s="56" t="s">
        <v>185</v>
      </c>
      <c r="B76" s="84" t="s">
        <v>186</v>
      </c>
      <c r="C76" s="57" t="s">
        <v>251</v>
      </c>
      <c r="D76" s="1881">
        <v>7324</v>
      </c>
      <c r="E76" s="1882">
        <v>5774</v>
      </c>
      <c r="F76" s="1882">
        <f t="shared" si="16"/>
        <v>1550</v>
      </c>
      <c r="G76" s="1882">
        <v>388</v>
      </c>
      <c r="H76" s="1883">
        <v>1162</v>
      </c>
      <c r="I76" s="92"/>
      <c r="J76" s="1890">
        <f t="shared" si="17"/>
        <v>0.78836701256144182</v>
      </c>
      <c r="K76" s="1891">
        <f t="shared" si="18"/>
        <v>0.21163298743855816</v>
      </c>
      <c r="L76" s="1891">
        <f t="shared" si="19"/>
        <v>5.2976515565264885E-2</v>
      </c>
      <c r="M76" s="1892">
        <f t="shared" si="20"/>
        <v>0.15865647187329329</v>
      </c>
    </row>
    <row r="77" spans="1:13" ht="13.5" customHeight="1" x14ac:dyDescent="0.3">
      <c r="A77" s="56" t="s">
        <v>187</v>
      </c>
      <c r="B77" s="84" t="s">
        <v>188</v>
      </c>
      <c r="C77" s="57" t="s">
        <v>254</v>
      </c>
      <c r="D77" s="1881">
        <v>112014</v>
      </c>
      <c r="E77" s="1882">
        <v>89743</v>
      </c>
      <c r="F77" s="1882">
        <f t="shared" si="16"/>
        <v>22271</v>
      </c>
      <c r="G77" s="1882">
        <v>6138</v>
      </c>
      <c r="H77" s="1883">
        <v>16133</v>
      </c>
      <c r="I77" s="92"/>
      <c r="J77" s="1890">
        <f t="shared" si="17"/>
        <v>0.80117663863445643</v>
      </c>
      <c r="K77" s="1891">
        <f t="shared" si="18"/>
        <v>0.1988233613655436</v>
      </c>
      <c r="L77" s="1891">
        <f t="shared" si="19"/>
        <v>5.4796721838341639E-2</v>
      </c>
      <c r="M77" s="1892">
        <f t="shared" si="20"/>
        <v>0.14402663952720196</v>
      </c>
    </row>
    <row r="78" spans="1:13" ht="13.5" customHeight="1" x14ac:dyDescent="0.3">
      <c r="A78" s="56" t="s">
        <v>189</v>
      </c>
      <c r="B78" s="84" t="s">
        <v>190</v>
      </c>
      <c r="C78" s="57" t="s">
        <v>255</v>
      </c>
      <c r="D78" s="1881">
        <v>5377</v>
      </c>
      <c r="E78" s="1882">
        <v>3910</v>
      </c>
      <c r="F78" s="1882">
        <f t="shared" si="16"/>
        <v>1467</v>
      </c>
      <c r="G78" s="1882">
        <v>526</v>
      </c>
      <c r="H78" s="1883">
        <v>941</v>
      </c>
      <c r="I78" s="92"/>
      <c r="J78" s="1890">
        <f t="shared" si="17"/>
        <v>0.72717128510321738</v>
      </c>
      <c r="K78" s="1891">
        <f t="shared" si="18"/>
        <v>0.27282871489678256</v>
      </c>
      <c r="L78" s="1891">
        <f t="shared" si="19"/>
        <v>9.7824065464013385E-2</v>
      </c>
      <c r="M78" s="1892">
        <f t="shared" si="20"/>
        <v>0.17500464943276919</v>
      </c>
    </row>
    <row r="79" spans="1:13" ht="13.5" customHeight="1" x14ac:dyDescent="0.3">
      <c r="A79" s="56" t="s">
        <v>193</v>
      </c>
      <c r="B79" s="84" t="s">
        <v>194</v>
      </c>
      <c r="C79" s="57" t="s">
        <v>254</v>
      </c>
      <c r="D79" s="1881">
        <v>1032</v>
      </c>
      <c r="E79" s="1882">
        <v>724</v>
      </c>
      <c r="F79" s="1882">
        <f t="shared" si="16"/>
        <v>308</v>
      </c>
      <c r="G79" s="1882">
        <v>45</v>
      </c>
      <c r="H79" s="1883">
        <v>263</v>
      </c>
      <c r="I79" s="92"/>
      <c r="J79" s="1890">
        <f t="shared" si="17"/>
        <v>0.70155038759689925</v>
      </c>
      <c r="K79" s="1891">
        <f t="shared" si="18"/>
        <v>0.29844961240310075</v>
      </c>
      <c r="L79" s="1891">
        <f t="shared" si="19"/>
        <v>4.3604651162790699E-2</v>
      </c>
      <c r="M79" s="1892">
        <f t="shared" si="20"/>
        <v>0.25484496124031009</v>
      </c>
    </row>
    <row r="80" spans="1:13" ht="13.5" customHeight="1" x14ac:dyDescent="0.3">
      <c r="A80" s="56" t="s">
        <v>197</v>
      </c>
      <c r="B80" s="84" t="s">
        <v>259</v>
      </c>
      <c r="C80" s="57" t="s">
        <v>253</v>
      </c>
      <c r="D80" s="1881">
        <v>1306</v>
      </c>
      <c r="E80" s="1882">
        <v>1143</v>
      </c>
      <c r="F80" s="1882">
        <f t="shared" si="16"/>
        <v>163</v>
      </c>
      <c r="G80" s="1882">
        <v>23</v>
      </c>
      <c r="H80" s="1883">
        <v>140</v>
      </c>
      <c r="I80" s="92"/>
      <c r="J80" s="1890">
        <f t="shared" si="17"/>
        <v>0.87519142419601836</v>
      </c>
      <c r="K80" s="1891">
        <f t="shared" si="18"/>
        <v>0.12480857580398162</v>
      </c>
      <c r="L80" s="1891">
        <f t="shared" si="19"/>
        <v>1.761102603369066E-2</v>
      </c>
      <c r="M80" s="1892">
        <f t="shared" si="20"/>
        <v>0.10719754977029096</v>
      </c>
    </row>
    <row r="81" spans="1:13" ht="13.5" customHeight="1" x14ac:dyDescent="0.3">
      <c r="A81" s="56" t="s">
        <v>201</v>
      </c>
      <c r="B81" s="84" t="s">
        <v>276</v>
      </c>
      <c r="C81" s="57" t="s">
        <v>252</v>
      </c>
      <c r="D81" s="1881">
        <v>20915</v>
      </c>
      <c r="E81" s="1882">
        <v>15621</v>
      </c>
      <c r="F81" s="1882">
        <f t="shared" si="16"/>
        <v>5294</v>
      </c>
      <c r="G81" s="1882">
        <v>1421</v>
      </c>
      <c r="H81" s="1883">
        <v>3873</v>
      </c>
      <c r="I81" s="92"/>
      <c r="J81" s="1890">
        <f t="shared" si="17"/>
        <v>0.74688022950035859</v>
      </c>
      <c r="K81" s="1891">
        <f t="shared" si="18"/>
        <v>0.25311977049964141</v>
      </c>
      <c r="L81" s="1891">
        <f t="shared" si="19"/>
        <v>6.7941668658857285E-2</v>
      </c>
      <c r="M81" s="1892">
        <f t="shared" si="20"/>
        <v>0.18517810184078412</v>
      </c>
    </row>
    <row r="82" spans="1:13" ht="13.5" customHeight="1" x14ac:dyDescent="0.3">
      <c r="A82" s="56" t="s">
        <v>203</v>
      </c>
      <c r="B82" s="84" t="s">
        <v>269</v>
      </c>
      <c r="C82" s="57" t="s">
        <v>252</v>
      </c>
      <c r="D82" s="1881">
        <v>5061</v>
      </c>
      <c r="E82" s="1882">
        <v>3623</v>
      </c>
      <c r="F82" s="1882">
        <f t="shared" si="16"/>
        <v>1438</v>
      </c>
      <c r="G82" s="1882">
        <v>512</v>
      </c>
      <c r="H82" s="1883">
        <v>926</v>
      </c>
      <c r="I82" s="92"/>
      <c r="J82" s="1890">
        <f t="shared" si="17"/>
        <v>0.71586642955937563</v>
      </c>
      <c r="K82" s="1891">
        <f t="shared" si="18"/>
        <v>0.28413357044062437</v>
      </c>
      <c r="L82" s="1891">
        <f t="shared" si="19"/>
        <v>0.10116577751432523</v>
      </c>
      <c r="M82" s="1892">
        <f t="shared" si="20"/>
        <v>0.18296779292629914</v>
      </c>
    </row>
    <row r="83" spans="1:13" ht="13.5" customHeight="1" x14ac:dyDescent="0.3">
      <c r="A83" s="56" t="s">
        <v>205</v>
      </c>
      <c r="B83" s="84" t="s">
        <v>270</v>
      </c>
      <c r="C83" s="57" t="s">
        <v>254</v>
      </c>
      <c r="D83" s="1881">
        <v>23863</v>
      </c>
      <c r="E83" s="1882">
        <v>17498</v>
      </c>
      <c r="F83" s="1882">
        <f t="shared" si="16"/>
        <v>6365</v>
      </c>
      <c r="G83" s="1882">
        <v>2113</v>
      </c>
      <c r="H83" s="1883">
        <v>4252</v>
      </c>
      <c r="I83" s="92"/>
      <c r="J83" s="1890">
        <f t="shared" si="17"/>
        <v>0.73326907765159455</v>
      </c>
      <c r="K83" s="1891">
        <f t="shared" si="18"/>
        <v>0.26673092234840551</v>
      </c>
      <c r="L83" s="1891">
        <f t="shared" si="19"/>
        <v>8.854712316137954E-2</v>
      </c>
      <c r="M83" s="1892">
        <f t="shared" si="20"/>
        <v>0.17818379918702593</v>
      </c>
    </row>
    <row r="84" spans="1:13" ht="13.5" customHeight="1" x14ac:dyDescent="0.3">
      <c r="A84" s="56" t="s">
        <v>207</v>
      </c>
      <c r="B84" s="84" t="s">
        <v>208</v>
      </c>
      <c r="C84" s="57" t="s">
        <v>255</v>
      </c>
      <c r="D84" s="1881">
        <v>4171</v>
      </c>
      <c r="E84" s="1882">
        <v>3157</v>
      </c>
      <c r="F84" s="1882">
        <f t="shared" si="16"/>
        <v>1014</v>
      </c>
      <c r="G84" s="1882">
        <v>311</v>
      </c>
      <c r="H84" s="1883">
        <v>703</v>
      </c>
      <c r="I84" s="92"/>
      <c r="J84" s="1890">
        <f t="shared" si="17"/>
        <v>0.75689283145528652</v>
      </c>
      <c r="K84" s="1891">
        <f t="shared" si="18"/>
        <v>0.24310716854471351</v>
      </c>
      <c r="L84" s="1891">
        <f t="shared" si="19"/>
        <v>7.456245504675138E-2</v>
      </c>
      <c r="M84" s="1892">
        <f t="shared" si="20"/>
        <v>0.16854471349796213</v>
      </c>
    </row>
    <row r="85" spans="1:13" ht="13.5" customHeight="1" x14ac:dyDescent="0.3">
      <c r="A85" s="56" t="s">
        <v>209</v>
      </c>
      <c r="B85" s="84" t="s">
        <v>210</v>
      </c>
      <c r="C85" s="57" t="s">
        <v>255</v>
      </c>
      <c r="D85" s="1881">
        <v>3303</v>
      </c>
      <c r="E85" s="1882">
        <v>2467</v>
      </c>
      <c r="F85" s="1882">
        <f t="shared" si="16"/>
        <v>836</v>
      </c>
      <c r="G85" s="1882">
        <v>159</v>
      </c>
      <c r="H85" s="1883">
        <v>677</v>
      </c>
      <c r="I85" s="92"/>
      <c r="J85" s="1890">
        <f t="shared" si="17"/>
        <v>0.74689676052073872</v>
      </c>
      <c r="K85" s="1891">
        <f t="shared" si="18"/>
        <v>0.25310323947926128</v>
      </c>
      <c r="L85" s="1891">
        <f t="shared" si="19"/>
        <v>4.8138056312443236E-2</v>
      </c>
      <c r="M85" s="1892">
        <f t="shared" si="20"/>
        <v>0.20496518316681805</v>
      </c>
    </row>
    <row r="86" spans="1:13" ht="13.5" customHeight="1" x14ac:dyDescent="0.3">
      <c r="A86" s="56" t="s">
        <v>211</v>
      </c>
      <c r="B86" s="84" t="s">
        <v>212</v>
      </c>
      <c r="C86" s="57" t="s">
        <v>254</v>
      </c>
      <c r="D86" s="1881">
        <v>7819</v>
      </c>
      <c r="E86" s="1882">
        <v>5523</v>
      </c>
      <c r="F86" s="1882">
        <f t="shared" si="16"/>
        <v>2296</v>
      </c>
      <c r="G86" s="1882">
        <v>459</v>
      </c>
      <c r="H86" s="1883">
        <v>1837</v>
      </c>
      <c r="I86" s="92"/>
      <c r="J86" s="1890">
        <f t="shared" si="17"/>
        <v>0.70635631154879142</v>
      </c>
      <c r="K86" s="1891">
        <f t="shared" si="18"/>
        <v>0.29364368845120858</v>
      </c>
      <c r="L86" s="1891">
        <f t="shared" si="19"/>
        <v>5.8703158971735517E-2</v>
      </c>
      <c r="M86" s="1892">
        <f t="shared" si="20"/>
        <v>0.23494052947947308</v>
      </c>
    </row>
    <row r="87" spans="1:13" ht="13.5" customHeight="1" x14ac:dyDescent="0.3">
      <c r="A87" s="56" t="s">
        <v>213</v>
      </c>
      <c r="B87" s="84" t="s">
        <v>214</v>
      </c>
      <c r="C87" s="57" t="s">
        <v>255</v>
      </c>
      <c r="D87" s="1881">
        <v>5011</v>
      </c>
      <c r="E87" s="1882">
        <v>3271</v>
      </c>
      <c r="F87" s="1882">
        <f t="shared" si="16"/>
        <v>1740</v>
      </c>
      <c r="G87" s="1882">
        <v>616</v>
      </c>
      <c r="H87" s="1883">
        <v>1124</v>
      </c>
      <c r="I87" s="92"/>
      <c r="J87" s="1890">
        <f t="shared" si="17"/>
        <v>0.65276391937736977</v>
      </c>
      <c r="K87" s="1891">
        <f t="shared" si="18"/>
        <v>0.34723608062263023</v>
      </c>
      <c r="L87" s="1891">
        <f t="shared" si="19"/>
        <v>0.1229295549790461</v>
      </c>
      <c r="M87" s="1892">
        <f t="shared" si="20"/>
        <v>0.22430652564358411</v>
      </c>
    </row>
    <row r="88" spans="1:13" ht="13.5" customHeight="1" x14ac:dyDescent="0.3">
      <c r="A88" s="56" t="s">
        <v>215</v>
      </c>
      <c r="B88" s="84" t="s">
        <v>216</v>
      </c>
      <c r="C88" s="57" t="s">
        <v>251</v>
      </c>
      <c r="D88" s="1881">
        <v>2893</v>
      </c>
      <c r="E88" s="1882">
        <v>1868</v>
      </c>
      <c r="F88" s="1882">
        <f t="shared" si="16"/>
        <v>1025</v>
      </c>
      <c r="G88" s="1882">
        <v>252</v>
      </c>
      <c r="H88" s="1883">
        <v>773</v>
      </c>
      <c r="I88" s="92"/>
      <c r="J88" s="1890">
        <f t="shared" si="17"/>
        <v>0.64569650881437957</v>
      </c>
      <c r="K88" s="1891">
        <f t="shared" si="18"/>
        <v>0.35430349118562049</v>
      </c>
      <c r="L88" s="1891">
        <f t="shared" si="19"/>
        <v>8.7106809540269614E-2</v>
      </c>
      <c r="M88" s="1892">
        <f t="shared" si="20"/>
        <v>0.26719668164535082</v>
      </c>
    </row>
    <row r="89" spans="1:13" ht="13.5" customHeight="1" x14ac:dyDescent="0.3">
      <c r="A89" s="56" t="s">
        <v>217</v>
      </c>
      <c r="B89" s="84" t="s">
        <v>218</v>
      </c>
      <c r="C89" s="57" t="s">
        <v>254</v>
      </c>
      <c r="D89" s="1881">
        <v>28713</v>
      </c>
      <c r="E89" s="1882">
        <v>22491</v>
      </c>
      <c r="F89" s="1882">
        <f t="shared" si="16"/>
        <v>6222</v>
      </c>
      <c r="G89" s="1882">
        <v>1281</v>
      </c>
      <c r="H89" s="1883">
        <v>4941</v>
      </c>
      <c r="I89" s="92"/>
      <c r="J89" s="1890">
        <f t="shared" si="17"/>
        <v>0.78330373001776199</v>
      </c>
      <c r="K89" s="1891">
        <f t="shared" si="18"/>
        <v>0.21669626998223801</v>
      </c>
      <c r="L89" s="1891">
        <f t="shared" si="19"/>
        <v>4.4613937937519589E-2</v>
      </c>
      <c r="M89" s="1892">
        <f t="shared" si="20"/>
        <v>0.17208233204471843</v>
      </c>
    </row>
    <row r="90" spans="1:13" ht="13.5" customHeight="1" x14ac:dyDescent="0.3">
      <c r="A90" s="56" t="s">
        <v>219</v>
      </c>
      <c r="B90" s="84" t="s">
        <v>220</v>
      </c>
      <c r="C90" s="57" t="s">
        <v>254</v>
      </c>
      <c r="D90" s="1881">
        <v>34522</v>
      </c>
      <c r="E90" s="1882">
        <v>27813</v>
      </c>
      <c r="F90" s="1882">
        <f t="shared" si="16"/>
        <v>6709</v>
      </c>
      <c r="G90" s="1882">
        <v>2254</v>
      </c>
      <c r="H90" s="1883">
        <v>4455</v>
      </c>
      <c r="I90" s="92"/>
      <c r="J90" s="1890">
        <f t="shared" si="17"/>
        <v>0.80566015873935459</v>
      </c>
      <c r="K90" s="1891">
        <f t="shared" si="18"/>
        <v>0.19433984126064538</v>
      </c>
      <c r="L90" s="1891">
        <f t="shared" si="19"/>
        <v>6.5291698047621805E-2</v>
      </c>
      <c r="M90" s="1892">
        <f t="shared" si="20"/>
        <v>0.12904814321302358</v>
      </c>
    </row>
    <row r="91" spans="1:13" ht="13.5" customHeight="1" x14ac:dyDescent="0.3">
      <c r="A91" s="56" t="s">
        <v>223</v>
      </c>
      <c r="B91" s="84" t="s">
        <v>224</v>
      </c>
      <c r="C91" s="57" t="s">
        <v>251</v>
      </c>
      <c r="D91" s="1881">
        <v>907</v>
      </c>
      <c r="E91" s="1882">
        <v>658</v>
      </c>
      <c r="F91" s="1882">
        <f t="shared" si="16"/>
        <v>249</v>
      </c>
      <c r="G91" s="1882">
        <v>53</v>
      </c>
      <c r="H91" s="1883">
        <v>196</v>
      </c>
      <c r="I91" s="92"/>
      <c r="J91" s="1890">
        <f t="shared" si="17"/>
        <v>0.72546857772877615</v>
      </c>
      <c r="K91" s="1891">
        <f t="shared" si="18"/>
        <v>0.27453142227122379</v>
      </c>
      <c r="L91" s="1891">
        <f t="shared" si="19"/>
        <v>5.8434399117971332E-2</v>
      </c>
      <c r="M91" s="1892">
        <f t="shared" si="20"/>
        <v>0.21609702315325249</v>
      </c>
    </row>
    <row r="92" spans="1:13" ht="13.5" customHeight="1" x14ac:dyDescent="0.3">
      <c r="A92" s="56" t="s">
        <v>225</v>
      </c>
      <c r="B92" s="84" t="s">
        <v>226</v>
      </c>
      <c r="C92" s="57" t="s">
        <v>251</v>
      </c>
      <c r="D92" s="1881">
        <v>1556</v>
      </c>
      <c r="E92" s="1882">
        <v>836</v>
      </c>
      <c r="F92" s="1882">
        <f t="shared" si="16"/>
        <v>720</v>
      </c>
      <c r="G92" s="1882">
        <v>143</v>
      </c>
      <c r="H92" s="1883">
        <v>577</v>
      </c>
      <c r="I92" s="92"/>
      <c r="J92" s="1890">
        <f t="shared" si="17"/>
        <v>0.53727506426735216</v>
      </c>
      <c r="K92" s="1891">
        <f t="shared" si="18"/>
        <v>0.46272493573264784</v>
      </c>
      <c r="L92" s="1891">
        <f t="shared" si="19"/>
        <v>9.1902313624678669E-2</v>
      </c>
      <c r="M92" s="1892">
        <f t="shared" si="20"/>
        <v>0.37082262210796912</v>
      </c>
    </row>
    <row r="93" spans="1:13" ht="13.5" customHeight="1" x14ac:dyDescent="0.3">
      <c r="A93" s="56" t="s">
        <v>227</v>
      </c>
      <c r="B93" s="84" t="s">
        <v>228</v>
      </c>
      <c r="C93" s="57" t="s">
        <v>255</v>
      </c>
      <c r="D93" s="1881">
        <v>6458</v>
      </c>
      <c r="E93" s="1882">
        <v>4679</v>
      </c>
      <c r="F93" s="1882">
        <f t="shared" si="16"/>
        <v>1779</v>
      </c>
      <c r="G93" s="1882">
        <v>445</v>
      </c>
      <c r="H93" s="1883">
        <v>1334</v>
      </c>
      <c r="I93" s="92"/>
      <c r="J93" s="1890">
        <f t="shared" si="17"/>
        <v>0.72452771755961598</v>
      </c>
      <c r="K93" s="1891">
        <f t="shared" si="18"/>
        <v>0.27547228244038402</v>
      </c>
      <c r="L93" s="1891">
        <f t="shared" si="19"/>
        <v>6.8906782285537316E-2</v>
      </c>
      <c r="M93" s="1892">
        <f t="shared" si="20"/>
        <v>0.2065655001548467</v>
      </c>
    </row>
    <row r="94" spans="1:13" ht="13.5" customHeight="1" x14ac:dyDescent="0.3">
      <c r="A94" s="56" t="s">
        <v>231</v>
      </c>
      <c r="B94" s="84" t="s">
        <v>232</v>
      </c>
      <c r="C94" s="57" t="s">
        <v>254</v>
      </c>
      <c r="D94" s="1881">
        <v>7142</v>
      </c>
      <c r="E94" s="1882">
        <v>5043</v>
      </c>
      <c r="F94" s="1882">
        <f t="shared" si="16"/>
        <v>2099</v>
      </c>
      <c r="G94" s="1882">
        <v>498</v>
      </c>
      <c r="H94" s="1883">
        <v>1601</v>
      </c>
      <c r="I94" s="92"/>
      <c r="J94" s="1890">
        <f t="shared" si="17"/>
        <v>0.70610473256790818</v>
      </c>
      <c r="K94" s="1891">
        <f t="shared" si="18"/>
        <v>0.29389526743209188</v>
      </c>
      <c r="L94" s="1891">
        <f t="shared" si="19"/>
        <v>6.9728367404088484E-2</v>
      </c>
      <c r="M94" s="1892">
        <f t="shared" si="20"/>
        <v>0.22416690002800335</v>
      </c>
    </row>
    <row r="95" spans="1:13" ht="13.5" customHeight="1" x14ac:dyDescent="0.3">
      <c r="A95" s="56" t="s">
        <v>233</v>
      </c>
      <c r="B95" s="84" t="s">
        <v>234</v>
      </c>
      <c r="C95" s="57" t="s">
        <v>255</v>
      </c>
      <c r="D95" s="1881">
        <v>8035</v>
      </c>
      <c r="E95" s="1882">
        <v>5925</v>
      </c>
      <c r="F95" s="1882">
        <f t="shared" si="16"/>
        <v>2110</v>
      </c>
      <c r="G95" s="1882">
        <v>312</v>
      </c>
      <c r="H95" s="1883">
        <v>1798</v>
      </c>
      <c r="I95" s="92"/>
      <c r="J95" s="1890">
        <f t="shared" si="17"/>
        <v>0.73739887990043562</v>
      </c>
      <c r="K95" s="1891">
        <f t="shared" si="18"/>
        <v>0.26260112009956443</v>
      </c>
      <c r="L95" s="1891">
        <f t="shared" si="19"/>
        <v>3.8830118232731796E-2</v>
      </c>
      <c r="M95" s="1892">
        <f t="shared" si="20"/>
        <v>0.2237710018668326</v>
      </c>
    </row>
    <row r="96" spans="1:13" ht="13.5" customHeight="1" x14ac:dyDescent="0.3">
      <c r="A96" s="56" t="s">
        <v>235</v>
      </c>
      <c r="B96" s="84" t="s">
        <v>236</v>
      </c>
      <c r="C96" s="57" t="s">
        <v>253</v>
      </c>
      <c r="D96" s="1881">
        <v>2610</v>
      </c>
      <c r="E96" s="1882">
        <v>1782</v>
      </c>
      <c r="F96" s="1882">
        <f t="shared" si="16"/>
        <v>828</v>
      </c>
      <c r="G96" s="1882">
        <v>186</v>
      </c>
      <c r="H96" s="1883">
        <v>642</v>
      </c>
      <c r="I96" s="92"/>
      <c r="J96" s="1890">
        <f t="shared" si="17"/>
        <v>0.6827586206896552</v>
      </c>
      <c r="K96" s="1891">
        <f t="shared" si="18"/>
        <v>0.31724137931034485</v>
      </c>
      <c r="L96" s="1891">
        <f t="shared" si="19"/>
        <v>7.1264367816091953E-2</v>
      </c>
      <c r="M96" s="1892">
        <f t="shared" si="20"/>
        <v>0.24597701149425288</v>
      </c>
    </row>
    <row r="97" spans="1:13" ht="13.5" customHeight="1" x14ac:dyDescent="0.3">
      <c r="A97" s="56" t="s">
        <v>241</v>
      </c>
      <c r="B97" s="84" t="s">
        <v>242</v>
      </c>
      <c r="C97" s="57" t="s">
        <v>255</v>
      </c>
      <c r="D97" s="1881">
        <v>6168</v>
      </c>
      <c r="E97" s="1882">
        <v>3866</v>
      </c>
      <c r="F97" s="1882">
        <f t="shared" si="16"/>
        <v>2302</v>
      </c>
      <c r="G97" s="1882">
        <v>258</v>
      </c>
      <c r="H97" s="1883">
        <v>2044</v>
      </c>
      <c r="I97" s="92"/>
      <c r="J97" s="1890">
        <f t="shared" si="17"/>
        <v>0.62678339818417639</v>
      </c>
      <c r="K97" s="1891">
        <f t="shared" si="18"/>
        <v>0.37321660181582361</v>
      </c>
      <c r="L97" s="1891">
        <f t="shared" si="19"/>
        <v>4.1828793774319063E-2</v>
      </c>
      <c r="M97" s="1892">
        <f t="shared" si="20"/>
        <v>0.33138780804150453</v>
      </c>
    </row>
    <row r="98" spans="1:13" ht="13.5" customHeight="1" x14ac:dyDescent="0.3">
      <c r="A98" s="56" t="s">
        <v>243</v>
      </c>
      <c r="B98" s="84" t="s">
        <v>244</v>
      </c>
      <c r="C98" s="57" t="s">
        <v>255</v>
      </c>
      <c r="D98" s="1881">
        <v>4778</v>
      </c>
      <c r="E98" s="1882">
        <v>3245</v>
      </c>
      <c r="F98" s="1882">
        <f t="shared" si="16"/>
        <v>1533</v>
      </c>
      <c r="G98" s="1882">
        <v>836</v>
      </c>
      <c r="H98" s="1883">
        <v>697</v>
      </c>
      <c r="I98" s="92"/>
      <c r="J98" s="1890">
        <f t="shared" si="17"/>
        <v>0.6791544579321892</v>
      </c>
      <c r="K98" s="1891">
        <f t="shared" si="18"/>
        <v>0.3208455420678108</v>
      </c>
      <c r="L98" s="1891">
        <f t="shared" si="19"/>
        <v>0.17496860611134366</v>
      </c>
      <c r="M98" s="1892">
        <f t="shared" si="20"/>
        <v>0.14587693595646714</v>
      </c>
    </row>
    <row r="99" spans="1:13" ht="13.5" customHeight="1" x14ac:dyDescent="0.3">
      <c r="A99" s="56" t="s">
        <v>245</v>
      </c>
      <c r="B99" s="84" t="s">
        <v>246</v>
      </c>
      <c r="C99" s="57" t="s">
        <v>251</v>
      </c>
      <c r="D99" s="1881">
        <v>17274</v>
      </c>
      <c r="E99" s="1882">
        <v>13228</v>
      </c>
      <c r="F99" s="1882">
        <f t="shared" si="16"/>
        <v>4046</v>
      </c>
      <c r="G99" s="1882">
        <v>1107</v>
      </c>
      <c r="H99" s="1883">
        <v>2939</v>
      </c>
      <c r="I99" s="92"/>
      <c r="J99" s="1890">
        <f t="shared" si="17"/>
        <v>0.76577515340974878</v>
      </c>
      <c r="K99" s="1891">
        <f t="shared" si="18"/>
        <v>0.23422484659025125</v>
      </c>
      <c r="L99" s="1891">
        <f t="shared" si="19"/>
        <v>6.4084751649878424E-2</v>
      </c>
      <c r="M99" s="1892">
        <f t="shared" si="20"/>
        <v>0.17014009494037283</v>
      </c>
    </row>
    <row r="100" spans="1:13" ht="13.5" customHeight="1" x14ac:dyDescent="0.3">
      <c r="A100" s="56" t="s">
        <v>13</v>
      </c>
      <c r="B100" s="84" t="s">
        <v>14</v>
      </c>
      <c r="C100" s="57" t="s">
        <v>254</v>
      </c>
      <c r="D100" s="1881">
        <v>26788</v>
      </c>
      <c r="E100" s="1882">
        <v>19145</v>
      </c>
      <c r="F100" s="1882">
        <f t="shared" si="16"/>
        <v>7643</v>
      </c>
      <c r="G100" s="1882">
        <v>1332</v>
      </c>
      <c r="H100" s="1883">
        <v>6311</v>
      </c>
      <c r="I100" s="92"/>
      <c r="J100" s="1890">
        <f t="shared" si="17"/>
        <v>0.71468568015529343</v>
      </c>
      <c r="K100" s="1891">
        <f t="shared" si="18"/>
        <v>0.28531431984470657</v>
      </c>
      <c r="L100" s="1891">
        <f t="shared" si="19"/>
        <v>4.9723756906077346E-2</v>
      </c>
      <c r="M100" s="1892">
        <f t="shared" si="20"/>
        <v>0.23559056293862923</v>
      </c>
    </row>
    <row r="101" spans="1:13" ht="13.5" customHeight="1" x14ac:dyDescent="0.3">
      <c r="A101" s="56" t="s">
        <v>33</v>
      </c>
      <c r="B101" s="84" t="s">
        <v>34</v>
      </c>
      <c r="C101" s="57" t="s">
        <v>255</v>
      </c>
      <c r="D101" s="1881">
        <v>2798</v>
      </c>
      <c r="E101" s="1882">
        <v>1739</v>
      </c>
      <c r="F101" s="1882">
        <f t="shared" ref="F101:F124" si="21">G101+H101</f>
        <v>1059</v>
      </c>
      <c r="G101" s="1882">
        <v>39</v>
      </c>
      <c r="H101" s="1883">
        <v>1020</v>
      </c>
      <c r="I101" s="92"/>
      <c r="J101" s="1890">
        <f t="shared" ref="J101:J124" si="22">E101/D101</f>
        <v>0.62151536812008579</v>
      </c>
      <c r="K101" s="1891">
        <f t="shared" ref="K101:K124" si="23">F101/D101</f>
        <v>0.37848463187991421</v>
      </c>
      <c r="L101" s="1891">
        <f t="shared" ref="L101:L124" si="24">G101/D101</f>
        <v>1.3938527519656898E-2</v>
      </c>
      <c r="M101" s="1892">
        <f t="shared" ref="M101:M124" si="25">H101/D101</f>
        <v>0.36454610436025731</v>
      </c>
    </row>
    <row r="102" spans="1:13" ht="13.5" customHeight="1" x14ac:dyDescent="0.3">
      <c r="A102" s="56" t="s">
        <v>51</v>
      </c>
      <c r="B102" s="84" t="s">
        <v>52</v>
      </c>
      <c r="C102" s="57" t="s">
        <v>252</v>
      </c>
      <c r="D102" s="1881">
        <v>6620</v>
      </c>
      <c r="E102" s="1882">
        <v>4415</v>
      </c>
      <c r="F102" s="1882">
        <f t="shared" si="21"/>
        <v>2205</v>
      </c>
      <c r="G102" s="1882">
        <v>353</v>
      </c>
      <c r="H102" s="1883">
        <v>1852</v>
      </c>
      <c r="I102" s="92"/>
      <c r="J102" s="1890">
        <f t="shared" si="22"/>
        <v>0.66691842900302112</v>
      </c>
      <c r="K102" s="1891">
        <f t="shared" si="23"/>
        <v>0.33308157099697883</v>
      </c>
      <c r="L102" s="1891">
        <f t="shared" si="24"/>
        <v>5.3323262839879156E-2</v>
      </c>
      <c r="M102" s="1892">
        <f t="shared" si="25"/>
        <v>0.27975830815709968</v>
      </c>
    </row>
    <row r="103" spans="1:13" ht="13.5" customHeight="1" x14ac:dyDescent="0.3">
      <c r="A103" s="56" t="s">
        <v>53</v>
      </c>
      <c r="B103" s="84" t="s">
        <v>54</v>
      </c>
      <c r="C103" s="57" t="s">
        <v>251</v>
      </c>
      <c r="D103" s="1881">
        <v>51353</v>
      </c>
      <c r="E103" s="1882">
        <v>35342</v>
      </c>
      <c r="F103" s="1882">
        <f t="shared" si="21"/>
        <v>16011</v>
      </c>
      <c r="G103" s="1882">
        <v>2846</v>
      </c>
      <c r="H103" s="1883">
        <v>13165</v>
      </c>
      <c r="I103" s="92"/>
      <c r="J103" s="1890">
        <f t="shared" si="22"/>
        <v>0.68821685198527838</v>
      </c>
      <c r="K103" s="1891">
        <f t="shared" si="23"/>
        <v>0.31178314801472162</v>
      </c>
      <c r="L103" s="1891">
        <f t="shared" si="24"/>
        <v>5.5420325979008041E-2</v>
      </c>
      <c r="M103" s="1892">
        <f t="shared" si="25"/>
        <v>0.25636282203571359</v>
      </c>
    </row>
    <row r="104" spans="1:13" ht="13.5" customHeight="1" x14ac:dyDescent="0.3">
      <c r="A104" s="56" t="s">
        <v>65</v>
      </c>
      <c r="B104" s="84" t="s">
        <v>66</v>
      </c>
      <c r="C104" s="57" t="s">
        <v>252</v>
      </c>
      <c r="D104" s="1881">
        <v>7462</v>
      </c>
      <c r="E104" s="1882">
        <v>3261</v>
      </c>
      <c r="F104" s="1882">
        <f t="shared" si="21"/>
        <v>4201</v>
      </c>
      <c r="G104" s="1882">
        <v>587</v>
      </c>
      <c r="H104" s="1883">
        <v>3614</v>
      </c>
      <c r="I104" s="92"/>
      <c r="J104" s="1890">
        <f t="shared" si="22"/>
        <v>0.43701420530688823</v>
      </c>
      <c r="K104" s="1891">
        <f t="shared" si="23"/>
        <v>0.56298579469311172</v>
      </c>
      <c r="L104" s="1891">
        <f t="shared" si="24"/>
        <v>7.8665237201822572E-2</v>
      </c>
      <c r="M104" s="1892">
        <f t="shared" si="25"/>
        <v>0.48432055749128922</v>
      </c>
    </row>
    <row r="105" spans="1:13" ht="13.5" customHeight="1" x14ac:dyDescent="0.3">
      <c r="A105" s="56" t="s">
        <v>81</v>
      </c>
      <c r="B105" s="84" t="s">
        <v>82</v>
      </c>
      <c r="C105" s="57" t="s">
        <v>251</v>
      </c>
      <c r="D105" s="1881">
        <v>1947</v>
      </c>
      <c r="E105" s="1882">
        <v>882</v>
      </c>
      <c r="F105" s="1882">
        <f t="shared" si="21"/>
        <v>1065</v>
      </c>
      <c r="G105" s="1882">
        <v>47</v>
      </c>
      <c r="H105" s="1883">
        <v>1018</v>
      </c>
      <c r="I105" s="92"/>
      <c r="J105" s="1890">
        <f t="shared" si="22"/>
        <v>0.45300462249614792</v>
      </c>
      <c r="K105" s="1891">
        <f t="shared" si="23"/>
        <v>0.54699537750385208</v>
      </c>
      <c r="L105" s="1891">
        <f t="shared" si="24"/>
        <v>2.4139702105803802E-2</v>
      </c>
      <c r="M105" s="1892">
        <f t="shared" si="25"/>
        <v>0.52285567539804823</v>
      </c>
    </row>
    <row r="106" spans="1:13" ht="13.5" customHeight="1" x14ac:dyDescent="0.3">
      <c r="A106" s="56" t="s">
        <v>87</v>
      </c>
      <c r="B106" s="84" t="s">
        <v>88</v>
      </c>
      <c r="C106" s="57" t="s">
        <v>254</v>
      </c>
      <c r="D106" s="1881">
        <v>5401</v>
      </c>
      <c r="E106" s="1882">
        <v>2956</v>
      </c>
      <c r="F106" s="1882">
        <f t="shared" si="21"/>
        <v>2445</v>
      </c>
      <c r="G106" s="1882">
        <v>585</v>
      </c>
      <c r="H106" s="1883">
        <v>1860</v>
      </c>
      <c r="I106" s="92"/>
      <c r="J106" s="1890">
        <f t="shared" si="22"/>
        <v>0.54730605443436398</v>
      </c>
      <c r="K106" s="1891">
        <f t="shared" si="23"/>
        <v>0.45269394556563597</v>
      </c>
      <c r="L106" s="1891">
        <f t="shared" si="24"/>
        <v>0.1083132753193853</v>
      </c>
      <c r="M106" s="1892">
        <f t="shared" si="25"/>
        <v>0.34438067024625069</v>
      </c>
    </row>
    <row r="107" spans="1:13" ht="13.5" customHeight="1" x14ac:dyDescent="0.3">
      <c r="A107" s="56" t="s">
        <v>89</v>
      </c>
      <c r="B107" s="84" t="s">
        <v>90</v>
      </c>
      <c r="C107" s="57" t="s">
        <v>255</v>
      </c>
      <c r="D107" s="1881">
        <v>1281</v>
      </c>
      <c r="E107" s="1882">
        <v>836</v>
      </c>
      <c r="F107" s="1882">
        <f t="shared" si="21"/>
        <v>445</v>
      </c>
      <c r="G107" s="1882">
        <v>120</v>
      </c>
      <c r="H107" s="1883">
        <v>325</v>
      </c>
      <c r="I107" s="92"/>
      <c r="J107" s="1890">
        <f t="shared" si="22"/>
        <v>0.65261514441842305</v>
      </c>
      <c r="K107" s="1891">
        <f t="shared" si="23"/>
        <v>0.34738485558157689</v>
      </c>
      <c r="L107" s="1891">
        <f t="shared" si="24"/>
        <v>9.3676814988290405E-2</v>
      </c>
      <c r="M107" s="1892">
        <f t="shared" si="25"/>
        <v>0.2537080405932865</v>
      </c>
    </row>
    <row r="108" spans="1:13" ht="13.5" customHeight="1" x14ac:dyDescent="0.3">
      <c r="A108" s="56" t="s">
        <v>105</v>
      </c>
      <c r="B108" s="84" t="s">
        <v>106</v>
      </c>
      <c r="C108" s="57" t="s">
        <v>251</v>
      </c>
      <c r="D108" s="1881">
        <v>24214</v>
      </c>
      <c r="E108" s="1882">
        <v>13085</v>
      </c>
      <c r="F108" s="1882">
        <f t="shared" si="21"/>
        <v>11129</v>
      </c>
      <c r="G108" s="1882">
        <v>2439</v>
      </c>
      <c r="H108" s="1883">
        <v>8690</v>
      </c>
      <c r="I108" s="92"/>
      <c r="J108" s="1890">
        <f t="shared" si="22"/>
        <v>0.54038985710745846</v>
      </c>
      <c r="K108" s="1891">
        <f t="shared" si="23"/>
        <v>0.45961014289254148</v>
      </c>
      <c r="L108" s="1891">
        <f t="shared" si="24"/>
        <v>0.10072685223424466</v>
      </c>
      <c r="M108" s="1892">
        <f t="shared" si="25"/>
        <v>0.35888329065829683</v>
      </c>
    </row>
    <row r="109" spans="1:13" ht="13.5" customHeight="1" x14ac:dyDescent="0.3">
      <c r="A109" s="56" t="s">
        <v>115</v>
      </c>
      <c r="B109" s="84" t="s">
        <v>116</v>
      </c>
      <c r="C109" s="57" t="s">
        <v>253</v>
      </c>
      <c r="D109" s="1881">
        <v>4893</v>
      </c>
      <c r="E109" s="1882">
        <v>2248</v>
      </c>
      <c r="F109" s="1882">
        <f t="shared" si="21"/>
        <v>2645</v>
      </c>
      <c r="G109" s="1882">
        <v>288</v>
      </c>
      <c r="H109" s="1883">
        <v>2357</v>
      </c>
      <c r="I109" s="92"/>
      <c r="J109" s="1890">
        <f t="shared" si="22"/>
        <v>0.45943184140609034</v>
      </c>
      <c r="K109" s="1891">
        <f t="shared" si="23"/>
        <v>0.54056815859390972</v>
      </c>
      <c r="L109" s="1891">
        <f t="shared" si="24"/>
        <v>5.8859595340282032E-2</v>
      </c>
      <c r="M109" s="1892">
        <f t="shared" si="25"/>
        <v>0.48170856325362765</v>
      </c>
    </row>
    <row r="110" spans="1:13" ht="13.5" customHeight="1" x14ac:dyDescent="0.3">
      <c r="A110" s="56" t="s">
        <v>137</v>
      </c>
      <c r="B110" s="84" t="s">
        <v>138</v>
      </c>
      <c r="C110" s="57" t="s">
        <v>252</v>
      </c>
      <c r="D110" s="1881">
        <v>13084</v>
      </c>
      <c r="E110" s="1882">
        <v>7798</v>
      </c>
      <c r="F110" s="1882">
        <f t="shared" si="21"/>
        <v>5286</v>
      </c>
      <c r="G110" s="1882">
        <v>900</v>
      </c>
      <c r="H110" s="1883">
        <v>4386</v>
      </c>
      <c r="I110" s="92"/>
      <c r="J110" s="1890">
        <f t="shared" si="22"/>
        <v>0.59599510852950166</v>
      </c>
      <c r="K110" s="1891">
        <f t="shared" si="23"/>
        <v>0.40400489147049834</v>
      </c>
      <c r="L110" s="1891">
        <f t="shared" si="24"/>
        <v>6.8786303882604705E-2</v>
      </c>
      <c r="M110" s="1892">
        <f t="shared" si="25"/>
        <v>0.33521858758789363</v>
      </c>
    </row>
    <row r="111" spans="1:13" ht="13.5" customHeight="1" x14ac:dyDescent="0.3">
      <c r="A111" s="56" t="s">
        <v>141</v>
      </c>
      <c r="B111" s="84" t="s">
        <v>260</v>
      </c>
      <c r="C111" s="57" t="s">
        <v>254</v>
      </c>
      <c r="D111" s="1881">
        <v>9482</v>
      </c>
      <c r="E111" s="1882">
        <v>7320</v>
      </c>
      <c r="F111" s="1882">
        <f t="shared" si="21"/>
        <v>2162</v>
      </c>
      <c r="G111" s="1882">
        <v>494</v>
      </c>
      <c r="H111" s="1883">
        <v>1668</v>
      </c>
      <c r="I111" s="92"/>
      <c r="J111" s="1890">
        <f t="shared" si="22"/>
        <v>0.77198903184982071</v>
      </c>
      <c r="K111" s="1891">
        <f t="shared" si="23"/>
        <v>0.22801096815017929</v>
      </c>
      <c r="L111" s="1891">
        <f t="shared" si="24"/>
        <v>5.2098713351613583E-2</v>
      </c>
      <c r="M111" s="1892">
        <f t="shared" si="25"/>
        <v>0.1759122547985657</v>
      </c>
    </row>
    <row r="112" spans="1:13" ht="13.5" customHeight="1" x14ac:dyDescent="0.3">
      <c r="A112" s="56" t="s">
        <v>143</v>
      </c>
      <c r="B112" s="84" t="s">
        <v>144</v>
      </c>
      <c r="C112" s="57" t="s">
        <v>254</v>
      </c>
      <c r="D112" s="1881">
        <v>3655</v>
      </c>
      <c r="E112" s="1882">
        <v>2713</v>
      </c>
      <c r="F112" s="1882">
        <f t="shared" si="21"/>
        <v>942</v>
      </c>
      <c r="G112" s="1882">
        <v>262</v>
      </c>
      <c r="H112" s="1883">
        <v>680</v>
      </c>
      <c r="I112" s="92"/>
      <c r="J112" s="1890">
        <f t="shared" si="22"/>
        <v>0.74227086183310531</v>
      </c>
      <c r="K112" s="1891">
        <f t="shared" si="23"/>
        <v>0.25772913816689469</v>
      </c>
      <c r="L112" s="1891">
        <f t="shared" si="24"/>
        <v>7.1682626538987687E-2</v>
      </c>
      <c r="M112" s="1892">
        <f t="shared" si="25"/>
        <v>0.18604651162790697</v>
      </c>
    </row>
    <row r="113" spans="1:13" ht="13.5" customHeight="1" x14ac:dyDescent="0.3">
      <c r="A113" s="56" t="s">
        <v>157</v>
      </c>
      <c r="B113" s="84" t="s">
        <v>158</v>
      </c>
      <c r="C113" s="57" t="s">
        <v>251</v>
      </c>
      <c r="D113" s="1881">
        <v>36641</v>
      </c>
      <c r="E113" s="1882">
        <v>20411</v>
      </c>
      <c r="F113" s="1882">
        <f t="shared" si="21"/>
        <v>16230</v>
      </c>
      <c r="G113" s="1882">
        <v>2657</v>
      </c>
      <c r="H113" s="1883">
        <v>13573</v>
      </c>
      <c r="I113" s="92"/>
      <c r="J113" s="1890">
        <f t="shared" si="22"/>
        <v>0.55705357386534216</v>
      </c>
      <c r="K113" s="1891">
        <f t="shared" si="23"/>
        <v>0.4429464261346579</v>
      </c>
      <c r="L113" s="1891">
        <f t="shared" si="24"/>
        <v>7.2514396441145171E-2</v>
      </c>
      <c r="M113" s="1892">
        <f t="shared" si="25"/>
        <v>0.37043202969351274</v>
      </c>
    </row>
    <row r="114" spans="1:13" ht="13.5" customHeight="1" x14ac:dyDescent="0.3">
      <c r="A114" s="56" t="s">
        <v>159</v>
      </c>
      <c r="B114" s="84" t="s">
        <v>160</v>
      </c>
      <c r="C114" s="57" t="s">
        <v>251</v>
      </c>
      <c r="D114" s="1881">
        <v>41323</v>
      </c>
      <c r="E114" s="1882">
        <v>21879</v>
      </c>
      <c r="F114" s="1882">
        <f t="shared" si="21"/>
        <v>19444</v>
      </c>
      <c r="G114" s="1882">
        <v>2528</v>
      </c>
      <c r="H114" s="1883">
        <v>16916</v>
      </c>
      <c r="I114" s="92"/>
      <c r="J114" s="1890">
        <f t="shared" si="22"/>
        <v>0.52946301091401882</v>
      </c>
      <c r="K114" s="1891">
        <f t="shared" si="23"/>
        <v>0.47053698908598118</v>
      </c>
      <c r="L114" s="1891">
        <f t="shared" si="24"/>
        <v>6.1176584468697823E-2</v>
      </c>
      <c r="M114" s="1892">
        <f t="shared" si="25"/>
        <v>0.40936040461728335</v>
      </c>
    </row>
    <row r="115" spans="1:13" ht="13.5" customHeight="1" x14ac:dyDescent="0.3">
      <c r="A115" s="56" t="s">
        <v>165</v>
      </c>
      <c r="B115" s="84" t="s">
        <v>166</v>
      </c>
      <c r="C115" s="57" t="s">
        <v>255</v>
      </c>
      <c r="D115" s="1881">
        <v>839</v>
      </c>
      <c r="E115" s="1882">
        <v>385</v>
      </c>
      <c r="F115" s="1882">
        <f t="shared" si="21"/>
        <v>454</v>
      </c>
      <c r="G115" s="1882">
        <v>81</v>
      </c>
      <c r="H115" s="1883">
        <v>373</v>
      </c>
      <c r="I115" s="92"/>
      <c r="J115" s="1890">
        <f t="shared" si="22"/>
        <v>0.45887961859356374</v>
      </c>
      <c r="K115" s="1891">
        <f t="shared" si="23"/>
        <v>0.54112038140643626</v>
      </c>
      <c r="L115" s="1891">
        <f t="shared" si="24"/>
        <v>9.6543504171632891E-2</v>
      </c>
      <c r="M115" s="1892">
        <f t="shared" si="25"/>
        <v>0.44457687723480332</v>
      </c>
    </row>
    <row r="116" spans="1:13" ht="13.5" customHeight="1" x14ac:dyDescent="0.3">
      <c r="A116" s="56" t="s">
        <v>175</v>
      </c>
      <c r="B116" s="84" t="s">
        <v>176</v>
      </c>
      <c r="C116" s="57" t="s">
        <v>253</v>
      </c>
      <c r="D116" s="1881">
        <v>5170</v>
      </c>
      <c r="E116" s="1882">
        <v>1772</v>
      </c>
      <c r="F116" s="1882">
        <f t="shared" si="21"/>
        <v>3398</v>
      </c>
      <c r="G116" s="1882">
        <v>517</v>
      </c>
      <c r="H116" s="1883">
        <v>2881</v>
      </c>
      <c r="I116" s="92"/>
      <c r="J116" s="1890">
        <f t="shared" si="22"/>
        <v>0.34274661508704063</v>
      </c>
      <c r="K116" s="1891">
        <f t="shared" si="23"/>
        <v>0.65725338491295937</v>
      </c>
      <c r="L116" s="1891">
        <f t="shared" si="24"/>
        <v>0.1</v>
      </c>
      <c r="M116" s="1892">
        <f t="shared" si="25"/>
        <v>0.55725338491295939</v>
      </c>
    </row>
    <row r="117" spans="1:13" ht="13.5" customHeight="1" x14ac:dyDescent="0.3">
      <c r="A117" s="56" t="s">
        <v>179</v>
      </c>
      <c r="B117" s="84" t="s">
        <v>180</v>
      </c>
      <c r="C117" s="57" t="s">
        <v>251</v>
      </c>
      <c r="D117" s="1881">
        <v>17718</v>
      </c>
      <c r="E117" s="1882">
        <v>8823</v>
      </c>
      <c r="F117" s="1882">
        <f t="shared" si="21"/>
        <v>8895</v>
      </c>
      <c r="G117" s="1882">
        <v>1720</v>
      </c>
      <c r="H117" s="1883">
        <v>7175</v>
      </c>
      <c r="I117" s="92"/>
      <c r="J117" s="1890">
        <f t="shared" si="22"/>
        <v>0.49796816796478161</v>
      </c>
      <c r="K117" s="1891">
        <f t="shared" si="23"/>
        <v>0.50203183203521839</v>
      </c>
      <c r="L117" s="1891">
        <f t="shared" si="24"/>
        <v>9.7076419460435714E-2</v>
      </c>
      <c r="M117" s="1892">
        <f t="shared" si="25"/>
        <v>0.40495541257478268</v>
      </c>
    </row>
    <row r="118" spans="1:13" ht="13.5" customHeight="1" x14ac:dyDescent="0.3">
      <c r="A118" s="56" t="s">
        <v>191</v>
      </c>
      <c r="B118" s="84" t="s">
        <v>192</v>
      </c>
      <c r="C118" s="57" t="s">
        <v>255</v>
      </c>
      <c r="D118" s="1881">
        <v>1676</v>
      </c>
      <c r="E118" s="1882">
        <v>1364</v>
      </c>
      <c r="F118" s="1882">
        <f t="shared" si="21"/>
        <v>312</v>
      </c>
      <c r="G118" s="1882">
        <v>28</v>
      </c>
      <c r="H118" s="1883">
        <v>284</v>
      </c>
      <c r="I118" s="92"/>
      <c r="J118" s="1890">
        <f t="shared" si="22"/>
        <v>0.81384248210023868</v>
      </c>
      <c r="K118" s="1891">
        <f t="shared" si="23"/>
        <v>0.18615751789976134</v>
      </c>
      <c r="L118" s="1891">
        <f t="shared" si="24"/>
        <v>1.6706443914081145E-2</v>
      </c>
      <c r="M118" s="1892">
        <f t="shared" si="25"/>
        <v>0.16945107398568018</v>
      </c>
    </row>
    <row r="119" spans="1:13" ht="13.5" customHeight="1" x14ac:dyDescent="0.3">
      <c r="A119" s="56" t="s">
        <v>195</v>
      </c>
      <c r="B119" s="84" t="s">
        <v>196</v>
      </c>
      <c r="C119" s="57" t="s">
        <v>253</v>
      </c>
      <c r="D119" s="1881">
        <v>33573</v>
      </c>
      <c r="E119" s="1882">
        <v>13743</v>
      </c>
      <c r="F119" s="1882">
        <f t="shared" si="21"/>
        <v>19830</v>
      </c>
      <c r="G119" s="1882">
        <v>2521</v>
      </c>
      <c r="H119" s="1883">
        <v>17309</v>
      </c>
      <c r="I119" s="92"/>
      <c r="J119" s="1890">
        <f t="shared" si="22"/>
        <v>0.40934679653292827</v>
      </c>
      <c r="K119" s="1891">
        <f t="shared" si="23"/>
        <v>0.59065320346707173</v>
      </c>
      <c r="L119" s="1891">
        <f t="shared" si="24"/>
        <v>7.509010216543055E-2</v>
      </c>
      <c r="M119" s="1892">
        <f t="shared" si="25"/>
        <v>0.51556310130164118</v>
      </c>
    </row>
    <row r="120" spans="1:13" ht="13.5" customHeight="1" x14ac:dyDescent="0.3">
      <c r="A120" s="56" t="s">
        <v>199</v>
      </c>
      <c r="B120" s="84" t="s">
        <v>200</v>
      </c>
      <c r="C120" s="57" t="s">
        <v>252</v>
      </c>
      <c r="D120" s="1881">
        <v>18516</v>
      </c>
      <c r="E120" s="1882">
        <v>8677</v>
      </c>
      <c r="F120" s="1882">
        <f t="shared" si="21"/>
        <v>9839</v>
      </c>
      <c r="G120" s="1882">
        <v>2510</v>
      </c>
      <c r="H120" s="1883">
        <v>7329</v>
      </c>
      <c r="I120" s="92"/>
      <c r="J120" s="1890">
        <f t="shared" si="22"/>
        <v>0.46862173255562756</v>
      </c>
      <c r="K120" s="1891">
        <f t="shared" si="23"/>
        <v>0.53137826744437244</v>
      </c>
      <c r="L120" s="1891">
        <f t="shared" si="24"/>
        <v>0.13555843594728884</v>
      </c>
      <c r="M120" s="1892">
        <f t="shared" si="25"/>
        <v>0.39581983149708361</v>
      </c>
    </row>
    <row r="121" spans="1:13" ht="13.5" customHeight="1" x14ac:dyDescent="0.3">
      <c r="A121" s="56" t="s">
        <v>221</v>
      </c>
      <c r="B121" s="84" t="s">
        <v>222</v>
      </c>
      <c r="C121" s="57" t="s">
        <v>251</v>
      </c>
      <c r="D121" s="1881">
        <v>18785</v>
      </c>
      <c r="E121" s="1882">
        <v>12719</v>
      </c>
      <c r="F121" s="1882">
        <f t="shared" si="21"/>
        <v>6066</v>
      </c>
      <c r="G121" s="1882">
        <v>1201</v>
      </c>
      <c r="H121" s="1883">
        <v>4865</v>
      </c>
      <c r="I121" s="92"/>
      <c r="J121" s="1890">
        <f t="shared" si="22"/>
        <v>0.67708277881288259</v>
      </c>
      <c r="K121" s="1891">
        <f t="shared" si="23"/>
        <v>0.32291722118711735</v>
      </c>
      <c r="L121" s="1891">
        <f t="shared" si="24"/>
        <v>6.393398988554698E-2</v>
      </c>
      <c r="M121" s="1892">
        <f t="shared" si="25"/>
        <v>0.25898323130157042</v>
      </c>
    </row>
    <row r="122" spans="1:13" ht="13.5" customHeight="1" x14ac:dyDescent="0.3">
      <c r="A122" s="56" t="s">
        <v>229</v>
      </c>
      <c r="B122" s="84" t="s">
        <v>230</v>
      </c>
      <c r="C122" s="57" t="s">
        <v>251</v>
      </c>
      <c r="D122" s="1881">
        <v>88645</v>
      </c>
      <c r="E122" s="1882">
        <v>63807</v>
      </c>
      <c r="F122" s="1882">
        <f t="shared" si="21"/>
        <v>24838</v>
      </c>
      <c r="G122" s="1882">
        <v>5818</v>
      </c>
      <c r="H122" s="1883">
        <v>19020</v>
      </c>
      <c r="I122" s="92"/>
      <c r="J122" s="1890">
        <f t="shared" si="22"/>
        <v>0.71980371143324495</v>
      </c>
      <c r="K122" s="1891">
        <f t="shared" si="23"/>
        <v>0.28019628856675505</v>
      </c>
      <c r="L122" s="1891">
        <f t="shared" si="24"/>
        <v>6.5632579389700491E-2</v>
      </c>
      <c r="M122" s="1892">
        <f t="shared" si="25"/>
        <v>0.21456370917705456</v>
      </c>
    </row>
    <row r="123" spans="1:13" ht="13.5" customHeight="1" x14ac:dyDescent="0.3">
      <c r="A123" s="56" t="s">
        <v>237</v>
      </c>
      <c r="B123" s="84" t="s">
        <v>238</v>
      </c>
      <c r="C123" s="57" t="s">
        <v>251</v>
      </c>
      <c r="D123" s="1881">
        <v>1339</v>
      </c>
      <c r="E123" s="1882">
        <v>978</v>
      </c>
      <c r="F123" s="1882">
        <f t="shared" si="21"/>
        <v>361</v>
      </c>
      <c r="G123" s="1882">
        <v>37</v>
      </c>
      <c r="H123" s="1883">
        <v>324</v>
      </c>
      <c r="I123" s="92"/>
      <c r="J123" s="1890">
        <f t="shared" si="22"/>
        <v>0.7303958177744585</v>
      </c>
      <c r="K123" s="1891">
        <f t="shared" si="23"/>
        <v>0.26960418222554144</v>
      </c>
      <c r="L123" s="1891">
        <f t="shared" si="24"/>
        <v>2.7632561613144136E-2</v>
      </c>
      <c r="M123" s="1892">
        <f t="shared" si="25"/>
        <v>0.2419716206123973</v>
      </c>
    </row>
    <row r="124" spans="1:13" ht="13.5" customHeight="1" x14ac:dyDescent="0.3">
      <c r="A124" s="62" t="s">
        <v>239</v>
      </c>
      <c r="B124" s="86" t="s">
        <v>240</v>
      </c>
      <c r="C124" s="63" t="s">
        <v>254</v>
      </c>
      <c r="D124" s="1881">
        <v>5316</v>
      </c>
      <c r="E124" s="1882">
        <v>2846</v>
      </c>
      <c r="F124" s="1882">
        <f t="shared" si="21"/>
        <v>2470</v>
      </c>
      <c r="G124" s="1882">
        <v>696</v>
      </c>
      <c r="H124" s="1883">
        <v>1774</v>
      </c>
      <c r="I124" s="92"/>
      <c r="J124" s="1890">
        <f t="shared" si="22"/>
        <v>0.53536493604213697</v>
      </c>
      <c r="K124" s="1891">
        <f t="shared" si="23"/>
        <v>0.46463506395786308</v>
      </c>
      <c r="L124" s="1891">
        <f t="shared" si="24"/>
        <v>0.1309255079006772</v>
      </c>
      <c r="M124" s="1892">
        <f t="shared" si="25"/>
        <v>0.33370955605718583</v>
      </c>
    </row>
    <row r="125" spans="1:13" x14ac:dyDescent="0.3">
      <c r="A125" s="116"/>
      <c r="B125" s="90"/>
      <c r="C125" s="117"/>
    </row>
    <row r="126" spans="1:13" x14ac:dyDescent="0.3">
      <c r="A126" s="116" t="s">
        <v>253</v>
      </c>
      <c r="B126" s="90"/>
      <c r="C126" s="117"/>
      <c r="D126" s="1881">
        <f t="shared" ref="D126:D130" si="26">E126+F126</f>
        <v>259380</v>
      </c>
      <c r="E126" s="773">
        <v>173755</v>
      </c>
      <c r="F126" s="576">
        <f>G126+H126</f>
        <v>85625</v>
      </c>
      <c r="G126" s="1072">
        <v>17605</v>
      </c>
      <c r="H126" s="773">
        <v>68020</v>
      </c>
      <c r="J126" s="767">
        <f t="shared" ref="J126:J130" si="27">E126/D126</f>
        <v>0.66988588171794283</v>
      </c>
      <c r="K126" s="767">
        <f t="shared" ref="K126:K130" si="28">F126/D126</f>
        <v>0.33011411828205722</v>
      </c>
      <c r="L126" s="767">
        <f t="shared" ref="L126:L130" si="29">G126/D126</f>
        <v>6.7873390392474364E-2</v>
      </c>
      <c r="M126" s="767">
        <f t="shared" ref="M126:M130" si="30">H126/D126</f>
        <v>0.26224072788958286</v>
      </c>
    </row>
    <row r="127" spans="1:13" x14ac:dyDescent="0.3">
      <c r="A127" s="116" t="s">
        <v>251</v>
      </c>
      <c r="B127" s="90"/>
      <c r="C127" s="117"/>
      <c r="D127" s="1881">
        <f t="shared" si="26"/>
        <v>357136</v>
      </c>
      <c r="E127" s="576">
        <v>231227</v>
      </c>
      <c r="F127" s="576">
        <f t="shared" ref="F127:F130" si="31">G127+H127</f>
        <v>125909</v>
      </c>
      <c r="G127" s="970">
        <v>24904</v>
      </c>
      <c r="H127" s="576">
        <v>101005</v>
      </c>
      <c r="J127" s="767">
        <f t="shared" si="27"/>
        <v>0.64744803100219528</v>
      </c>
      <c r="K127" s="767">
        <f t="shared" si="28"/>
        <v>0.35255196899780478</v>
      </c>
      <c r="L127" s="767">
        <f t="shared" si="29"/>
        <v>6.9732538864746202E-2</v>
      </c>
      <c r="M127" s="767">
        <f t="shared" si="30"/>
        <v>0.28281943013305855</v>
      </c>
    </row>
    <row r="128" spans="1:13" x14ac:dyDescent="0.3">
      <c r="A128" s="116" t="s">
        <v>254</v>
      </c>
      <c r="B128" s="90"/>
      <c r="C128" s="117"/>
      <c r="D128" s="1881">
        <f t="shared" si="26"/>
        <v>741546</v>
      </c>
      <c r="E128" s="576">
        <v>599657</v>
      </c>
      <c r="F128" s="576">
        <f t="shared" si="31"/>
        <v>141889</v>
      </c>
      <c r="G128" s="970">
        <v>36731</v>
      </c>
      <c r="H128" s="576">
        <v>105158</v>
      </c>
      <c r="J128" s="767">
        <f t="shared" si="27"/>
        <v>0.80865785804252199</v>
      </c>
      <c r="K128" s="767">
        <f t="shared" si="28"/>
        <v>0.19134214195747803</v>
      </c>
      <c r="L128" s="767">
        <f t="shared" si="29"/>
        <v>4.9533002672794403E-2</v>
      </c>
      <c r="M128" s="767">
        <f t="shared" si="30"/>
        <v>0.14180913928468361</v>
      </c>
    </row>
    <row r="129" spans="1:13" x14ac:dyDescent="0.3">
      <c r="A129" s="116" t="s">
        <v>252</v>
      </c>
      <c r="B129" s="90"/>
      <c r="C129" s="117"/>
      <c r="D129" s="1881">
        <f t="shared" si="26"/>
        <v>198847</v>
      </c>
      <c r="E129" s="576">
        <v>133014</v>
      </c>
      <c r="F129" s="576">
        <f t="shared" si="31"/>
        <v>65833</v>
      </c>
      <c r="G129" s="970">
        <v>14924</v>
      </c>
      <c r="H129" s="576">
        <v>50909</v>
      </c>
      <c r="J129" s="767">
        <f t="shared" si="27"/>
        <v>0.66892636046809861</v>
      </c>
      <c r="K129" s="767">
        <f t="shared" si="28"/>
        <v>0.33107363953190139</v>
      </c>
      <c r="L129" s="767">
        <f t="shared" si="29"/>
        <v>7.5052678692663202E-2</v>
      </c>
      <c r="M129" s="767">
        <f t="shared" si="30"/>
        <v>0.2560209608392382</v>
      </c>
    </row>
    <row r="130" spans="1:13" x14ac:dyDescent="0.3">
      <c r="A130" s="116" t="s">
        <v>255</v>
      </c>
      <c r="B130" s="90"/>
      <c r="C130" s="117"/>
      <c r="D130" s="1881">
        <f t="shared" si="26"/>
        <v>89565</v>
      </c>
      <c r="E130" s="576">
        <v>63468</v>
      </c>
      <c r="F130" s="576">
        <f t="shared" si="31"/>
        <v>26097</v>
      </c>
      <c r="G130" s="970">
        <v>6708</v>
      </c>
      <c r="H130" s="576">
        <v>19389</v>
      </c>
      <c r="J130" s="767">
        <f t="shared" si="27"/>
        <v>0.70862502093451685</v>
      </c>
      <c r="K130" s="767">
        <f t="shared" si="28"/>
        <v>0.29137497906548315</v>
      </c>
      <c r="L130" s="767">
        <f t="shared" si="29"/>
        <v>7.4895327415843246E-2</v>
      </c>
      <c r="M130" s="767">
        <f t="shared" si="30"/>
        <v>0.21647965164963992</v>
      </c>
    </row>
    <row r="131" spans="1:13" x14ac:dyDescent="0.3">
      <c r="A131" s="116"/>
      <c r="B131" s="90"/>
      <c r="C131" s="117"/>
    </row>
    <row r="132" spans="1:13" x14ac:dyDescent="0.3">
      <c r="A132" s="772" t="s">
        <v>944</v>
      </c>
      <c r="B132"/>
      <c r="C132"/>
    </row>
    <row r="133" spans="1:13" x14ac:dyDescent="0.3">
      <c r="A133" s="81" t="s">
        <v>247</v>
      </c>
      <c r="B133" s="81"/>
      <c r="C133" s="81"/>
    </row>
    <row r="134" spans="1:13" x14ac:dyDescent="0.3">
      <c r="A134" s="87" t="s">
        <v>248</v>
      </c>
      <c r="B134" s="71" t="s">
        <v>249</v>
      </c>
      <c r="C134" s="81"/>
    </row>
  </sheetData>
  <autoFilter ref="A3:C124"/>
  <sortState ref="A5:N124">
    <sortCondition ref="A5:A124"/>
  </sortState>
  <hyperlinks>
    <hyperlink ref="B134"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H126" sqref="H126"/>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865</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26683</v>
      </c>
      <c r="E4" s="1106">
        <f t="shared" ref="E4:P4" si="0">SUM(E5:E124)</f>
        <v>25785</v>
      </c>
      <c r="F4" s="1106">
        <f t="shared" si="0"/>
        <v>23895</v>
      </c>
      <c r="G4" s="1106">
        <f t="shared" si="0"/>
        <v>25830</v>
      </c>
      <c r="H4" s="1107">
        <f t="shared" si="0"/>
        <v>21500</v>
      </c>
      <c r="I4" s="1107">
        <f t="shared" si="0"/>
        <v>21237</v>
      </c>
      <c r="J4" s="1107">
        <f t="shared" si="0"/>
        <v>26843</v>
      </c>
      <c r="K4" s="1107">
        <f t="shared" si="0"/>
        <v>20771</v>
      </c>
      <c r="L4" s="1107">
        <f t="shared" si="0"/>
        <v>41829</v>
      </c>
      <c r="M4" s="1107">
        <f t="shared" si="0"/>
        <v>45238</v>
      </c>
      <c r="N4" s="1107">
        <f t="shared" si="0"/>
        <v>24395</v>
      </c>
      <c r="O4" s="1107">
        <f t="shared" si="0"/>
        <v>21040</v>
      </c>
      <c r="P4" s="1107">
        <f t="shared" si="0"/>
        <v>325046</v>
      </c>
    </row>
    <row r="5" spans="1:16" x14ac:dyDescent="0.3">
      <c r="A5" s="279" t="s">
        <v>9</v>
      </c>
      <c r="B5" s="324" t="s">
        <v>10</v>
      </c>
      <c r="C5" s="324" t="s">
        <v>251</v>
      </c>
      <c r="D5" s="108">
        <v>144</v>
      </c>
      <c r="E5" s="108">
        <v>118</v>
      </c>
      <c r="F5" s="108">
        <v>135</v>
      </c>
      <c r="G5" s="108">
        <v>178</v>
      </c>
      <c r="H5" s="108">
        <v>147</v>
      </c>
      <c r="I5" s="108">
        <v>115</v>
      </c>
      <c r="J5" s="108">
        <v>151</v>
      </c>
      <c r="K5" s="108">
        <v>129</v>
      </c>
      <c r="L5" s="108">
        <v>214</v>
      </c>
      <c r="M5" s="108">
        <v>222</v>
      </c>
      <c r="N5" s="108">
        <v>133</v>
      </c>
      <c r="O5" s="108">
        <v>110</v>
      </c>
      <c r="P5" s="108">
        <v>1796</v>
      </c>
    </row>
    <row r="6" spans="1:16" x14ac:dyDescent="0.3">
      <c r="A6" s="280" t="s">
        <v>11</v>
      </c>
      <c r="B6" s="348" t="s">
        <v>12</v>
      </c>
      <c r="C6" s="348" t="s">
        <v>252</v>
      </c>
      <c r="D6" s="108">
        <v>196</v>
      </c>
      <c r="E6" s="108">
        <v>182</v>
      </c>
      <c r="F6" s="108">
        <v>193</v>
      </c>
      <c r="G6" s="108">
        <v>200</v>
      </c>
      <c r="H6" s="108">
        <v>164</v>
      </c>
      <c r="I6" s="108">
        <v>155</v>
      </c>
      <c r="J6" s="108">
        <v>201</v>
      </c>
      <c r="K6" s="108">
        <v>157</v>
      </c>
      <c r="L6" s="108">
        <v>356</v>
      </c>
      <c r="M6" s="108">
        <v>395</v>
      </c>
      <c r="N6" s="108">
        <v>208</v>
      </c>
      <c r="O6" s="108">
        <v>153</v>
      </c>
      <c r="P6" s="108">
        <v>2560</v>
      </c>
    </row>
    <row r="7" spans="1:16" x14ac:dyDescent="0.3">
      <c r="A7" s="280" t="s">
        <v>15</v>
      </c>
      <c r="B7" s="348" t="s">
        <v>273</v>
      </c>
      <c r="C7" s="348" t="s">
        <v>252</v>
      </c>
      <c r="D7" s="108">
        <v>79</v>
      </c>
      <c r="E7" s="108">
        <v>81</v>
      </c>
      <c r="F7" s="108">
        <v>74</v>
      </c>
      <c r="G7" s="108">
        <v>84</v>
      </c>
      <c r="H7" s="108">
        <v>72</v>
      </c>
      <c r="I7" s="108">
        <v>71</v>
      </c>
      <c r="J7" s="108">
        <v>89</v>
      </c>
      <c r="K7" s="108">
        <v>62</v>
      </c>
      <c r="L7" s="108">
        <v>116</v>
      </c>
      <c r="M7" s="108">
        <v>93</v>
      </c>
      <c r="N7" s="108">
        <v>56</v>
      </c>
      <c r="O7" s="108">
        <v>51</v>
      </c>
      <c r="P7" s="108">
        <v>928</v>
      </c>
    </row>
    <row r="8" spans="1:16" x14ac:dyDescent="0.3">
      <c r="A8" s="280" t="s">
        <v>17</v>
      </c>
      <c r="B8" s="348" t="s">
        <v>18</v>
      </c>
      <c r="C8" s="348" t="s">
        <v>253</v>
      </c>
      <c r="D8" s="108">
        <v>46</v>
      </c>
      <c r="E8" s="108">
        <v>37</v>
      </c>
      <c r="F8" s="108">
        <v>29</v>
      </c>
      <c r="G8" s="108">
        <v>28</v>
      </c>
      <c r="H8" s="108">
        <v>44</v>
      </c>
      <c r="I8" s="108">
        <v>28</v>
      </c>
      <c r="J8" s="108">
        <v>39</v>
      </c>
      <c r="K8" s="108">
        <v>30</v>
      </c>
      <c r="L8" s="108">
        <v>77</v>
      </c>
      <c r="M8" s="108">
        <v>53</v>
      </c>
      <c r="N8" s="108">
        <v>38</v>
      </c>
      <c r="O8" s="108">
        <v>37</v>
      </c>
      <c r="P8" s="108">
        <v>486</v>
      </c>
    </row>
    <row r="9" spans="1:16" x14ac:dyDescent="0.3">
      <c r="A9" s="280" t="s">
        <v>19</v>
      </c>
      <c r="B9" s="348" t="s">
        <v>20</v>
      </c>
      <c r="C9" s="348" t="s">
        <v>252</v>
      </c>
      <c r="D9" s="108">
        <v>110</v>
      </c>
      <c r="E9" s="108">
        <v>120</v>
      </c>
      <c r="F9" s="108">
        <v>74</v>
      </c>
      <c r="G9" s="108">
        <v>110</v>
      </c>
      <c r="H9" s="108">
        <v>92</v>
      </c>
      <c r="I9" s="108">
        <v>93</v>
      </c>
      <c r="J9" s="108">
        <v>97</v>
      </c>
      <c r="K9" s="108">
        <v>88</v>
      </c>
      <c r="L9" s="108">
        <v>132</v>
      </c>
      <c r="M9" s="108">
        <v>153</v>
      </c>
      <c r="N9" s="108">
        <v>78</v>
      </c>
      <c r="O9" s="108">
        <v>94</v>
      </c>
      <c r="P9" s="108">
        <v>1241</v>
      </c>
    </row>
    <row r="10" spans="1:16" x14ac:dyDescent="0.3">
      <c r="A10" s="280" t="s">
        <v>21</v>
      </c>
      <c r="B10" s="348" t="s">
        <v>22</v>
      </c>
      <c r="C10" s="348" t="s">
        <v>252</v>
      </c>
      <c r="D10" s="108">
        <v>67</v>
      </c>
      <c r="E10" s="108">
        <v>65</v>
      </c>
      <c r="F10" s="108">
        <v>37</v>
      </c>
      <c r="G10" s="108">
        <v>58</v>
      </c>
      <c r="H10" s="108">
        <v>43</v>
      </c>
      <c r="I10" s="108">
        <v>51</v>
      </c>
      <c r="J10" s="108">
        <v>72</v>
      </c>
      <c r="K10" s="108">
        <v>55</v>
      </c>
      <c r="L10" s="108">
        <v>77</v>
      </c>
      <c r="M10" s="108">
        <v>65</v>
      </c>
      <c r="N10" s="108">
        <v>32</v>
      </c>
      <c r="O10" s="108">
        <v>38</v>
      </c>
      <c r="P10" s="108">
        <v>660</v>
      </c>
    </row>
    <row r="11" spans="1:16" x14ac:dyDescent="0.3">
      <c r="A11" s="280" t="s">
        <v>23</v>
      </c>
      <c r="B11" s="348" t="s">
        <v>24</v>
      </c>
      <c r="C11" s="348" t="s">
        <v>254</v>
      </c>
      <c r="D11" s="108">
        <v>213</v>
      </c>
      <c r="E11" s="108">
        <v>226</v>
      </c>
      <c r="F11" s="108">
        <v>169</v>
      </c>
      <c r="G11" s="108">
        <v>202</v>
      </c>
      <c r="H11" s="108">
        <v>217</v>
      </c>
      <c r="I11" s="108">
        <v>201</v>
      </c>
      <c r="J11" s="108">
        <v>233</v>
      </c>
      <c r="K11" s="108">
        <v>191</v>
      </c>
      <c r="L11" s="108">
        <v>436</v>
      </c>
      <c r="M11" s="108">
        <v>642</v>
      </c>
      <c r="N11" s="108">
        <v>332</v>
      </c>
      <c r="O11" s="108">
        <v>263</v>
      </c>
      <c r="P11" s="108">
        <v>3325</v>
      </c>
    </row>
    <row r="12" spans="1:16" x14ac:dyDescent="0.3">
      <c r="A12" s="280" t="s">
        <v>25</v>
      </c>
      <c r="B12" s="348" t="s">
        <v>444</v>
      </c>
      <c r="C12" s="348" t="s">
        <v>252</v>
      </c>
      <c r="D12" s="108">
        <v>371</v>
      </c>
      <c r="E12" s="108">
        <v>379</v>
      </c>
      <c r="F12" s="108">
        <v>349</v>
      </c>
      <c r="G12" s="108">
        <v>382</v>
      </c>
      <c r="H12" s="108">
        <v>344</v>
      </c>
      <c r="I12" s="108">
        <v>291</v>
      </c>
      <c r="J12" s="108">
        <v>398</v>
      </c>
      <c r="K12" s="108">
        <v>316</v>
      </c>
      <c r="L12" s="108">
        <v>532</v>
      </c>
      <c r="M12" s="108">
        <v>546</v>
      </c>
      <c r="N12" s="108">
        <v>321</v>
      </c>
      <c r="O12" s="108">
        <v>319</v>
      </c>
      <c r="P12" s="108">
        <v>4548</v>
      </c>
    </row>
    <row r="13" spans="1:16" x14ac:dyDescent="0.3">
      <c r="A13" s="280" t="s">
        <v>26</v>
      </c>
      <c r="B13" s="348" t="s">
        <v>27</v>
      </c>
      <c r="C13" s="348" t="s">
        <v>252</v>
      </c>
      <c r="D13" s="108">
        <v>4</v>
      </c>
      <c r="E13" s="108">
        <v>9</v>
      </c>
      <c r="F13" s="108">
        <v>10</v>
      </c>
      <c r="G13" s="108">
        <v>12</v>
      </c>
      <c r="H13" s="108">
        <v>11</v>
      </c>
      <c r="I13" s="108">
        <v>9</v>
      </c>
      <c r="J13" s="108">
        <v>9</v>
      </c>
      <c r="K13" s="108">
        <v>4</v>
      </c>
      <c r="L13" s="108">
        <v>40</v>
      </c>
      <c r="M13" s="108">
        <v>14</v>
      </c>
      <c r="N13" s="108">
        <v>9</v>
      </c>
      <c r="O13" s="108">
        <v>7</v>
      </c>
      <c r="P13" s="108">
        <v>138</v>
      </c>
    </row>
    <row r="14" spans="1:16" x14ac:dyDescent="0.3">
      <c r="A14" s="280" t="s">
        <v>28</v>
      </c>
      <c r="B14" s="348" t="s">
        <v>568</v>
      </c>
      <c r="C14" s="348" t="s">
        <v>252</v>
      </c>
      <c r="D14" s="108">
        <v>210</v>
      </c>
      <c r="E14" s="108">
        <v>197</v>
      </c>
      <c r="F14" s="108">
        <v>180</v>
      </c>
      <c r="G14" s="108">
        <v>192</v>
      </c>
      <c r="H14" s="108">
        <v>173</v>
      </c>
      <c r="I14" s="108">
        <v>169</v>
      </c>
      <c r="J14" s="108">
        <v>190</v>
      </c>
      <c r="K14" s="108">
        <v>158</v>
      </c>
      <c r="L14" s="108">
        <v>273</v>
      </c>
      <c r="M14" s="108">
        <v>278</v>
      </c>
      <c r="N14" s="108">
        <v>139</v>
      </c>
      <c r="O14" s="108">
        <v>159</v>
      </c>
      <c r="P14" s="108">
        <v>2318</v>
      </c>
    </row>
    <row r="15" spans="1:16" x14ac:dyDescent="0.3">
      <c r="A15" s="280" t="s">
        <v>29</v>
      </c>
      <c r="B15" s="348" t="s">
        <v>30</v>
      </c>
      <c r="C15" s="348" t="s">
        <v>255</v>
      </c>
      <c r="D15" s="108">
        <v>14</v>
      </c>
      <c r="E15" s="108">
        <v>16</v>
      </c>
      <c r="F15" s="108">
        <v>9</v>
      </c>
      <c r="G15" s="108">
        <v>15</v>
      </c>
      <c r="H15" s="108">
        <v>13</v>
      </c>
      <c r="I15" s="108">
        <v>22</v>
      </c>
      <c r="J15" s="108">
        <v>12</v>
      </c>
      <c r="K15" s="108">
        <v>8</v>
      </c>
      <c r="L15" s="108">
        <v>16</v>
      </c>
      <c r="M15" s="108">
        <v>23</v>
      </c>
      <c r="N15" s="108">
        <v>13</v>
      </c>
      <c r="O15" s="108">
        <v>11</v>
      </c>
      <c r="P15" s="108">
        <v>172</v>
      </c>
    </row>
    <row r="16" spans="1:16" x14ac:dyDescent="0.3">
      <c r="A16" s="280" t="s">
        <v>31</v>
      </c>
      <c r="B16" s="348" t="s">
        <v>32</v>
      </c>
      <c r="C16" s="348" t="s">
        <v>252</v>
      </c>
      <c r="D16" s="108">
        <v>60</v>
      </c>
      <c r="E16" s="108">
        <v>52</v>
      </c>
      <c r="F16" s="108">
        <v>51</v>
      </c>
      <c r="G16" s="108">
        <v>55</v>
      </c>
      <c r="H16" s="108">
        <v>45</v>
      </c>
      <c r="I16" s="108">
        <v>35</v>
      </c>
      <c r="J16" s="108">
        <v>45</v>
      </c>
      <c r="K16" s="108">
        <v>42</v>
      </c>
      <c r="L16" s="108">
        <v>68</v>
      </c>
      <c r="M16" s="108">
        <v>59</v>
      </c>
      <c r="N16" s="108">
        <v>45</v>
      </c>
      <c r="O16" s="108">
        <v>40</v>
      </c>
      <c r="P16" s="108">
        <v>597</v>
      </c>
    </row>
    <row r="17" spans="1:16" x14ac:dyDescent="0.3">
      <c r="A17" s="280" t="s">
        <v>35</v>
      </c>
      <c r="B17" s="348" t="s">
        <v>36</v>
      </c>
      <c r="C17" s="348" t="s">
        <v>251</v>
      </c>
      <c r="D17" s="108">
        <v>91</v>
      </c>
      <c r="E17" s="108">
        <v>79</v>
      </c>
      <c r="F17" s="108">
        <v>74</v>
      </c>
      <c r="G17" s="108">
        <v>79</v>
      </c>
      <c r="H17" s="108">
        <v>59</v>
      </c>
      <c r="I17" s="108">
        <v>60</v>
      </c>
      <c r="J17" s="108">
        <v>81</v>
      </c>
      <c r="K17" s="108">
        <v>62</v>
      </c>
      <c r="L17" s="108">
        <v>94</v>
      </c>
      <c r="M17" s="108">
        <v>105</v>
      </c>
      <c r="N17" s="108">
        <v>76</v>
      </c>
      <c r="O17" s="108">
        <v>66</v>
      </c>
      <c r="P17" s="108">
        <v>926</v>
      </c>
    </row>
    <row r="18" spans="1:16" x14ac:dyDescent="0.3">
      <c r="A18" s="280" t="s">
        <v>37</v>
      </c>
      <c r="B18" s="348" t="s">
        <v>38</v>
      </c>
      <c r="C18" s="348" t="s">
        <v>255</v>
      </c>
      <c r="D18" s="108">
        <v>131</v>
      </c>
      <c r="E18" s="108">
        <v>97</v>
      </c>
      <c r="F18" s="108">
        <v>85</v>
      </c>
      <c r="G18" s="108">
        <v>103</v>
      </c>
      <c r="H18" s="108">
        <v>66</v>
      </c>
      <c r="I18" s="108">
        <v>84</v>
      </c>
      <c r="J18" s="108">
        <v>105</v>
      </c>
      <c r="K18" s="108">
        <v>69</v>
      </c>
      <c r="L18" s="108">
        <v>108</v>
      </c>
      <c r="M18" s="108">
        <v>164</v>
      </c>
      <c r="N18" s="108">
        <v>65</v>
      </c>
      <c r="O18" s="108">
        <v>77</v>
      </c>
      <c r="P18" s="108">
        <v>1154</v>
      </c>
    </row>
    <row r="19" spans="1:16" x14ac:dyDescent="0.3">
      <c r="A19" s="280" t="s">
        <v>39</v>
      </c>
      <c r="B19" s="348" t="s">
        <v>40</v>
      </c>
      <c r="C19" s="348" t="s">
        <v>253</v>
      </c>
      <c r="D19" s="108">
        <v>68</v>
      </c>
      <c r="E19" s="108">
        <v>91</v>
      </c>
      <c r="F19" s="108">
        <v>61</v>
      </c>
      <c r="G19" s="108">
        <v>76</v>
      </c>
      <c r="H19" s="108">
        <v>60</v>
      </c>
      <c r="I19" s="108">
        <v>49</v>
      </c>
      <c r="J19" s="108">
        <v>57</v>
      </c>
      <c r="K19" s="108">
        <v>45</v>
      </c>
      <c r="L19" s="108">
        <v>99</v>
      </c>
      <c r="M19" s="108">
        <v>97</v>
      </c>
      <c r="N19" s="108">
        <v>60</v>
      </c>
      <c r="O19" s="108">
        <v>72</v>
      </c>
      <c r="P19" s="108">
        <v>835</v>
      </c>
    </row>
    <row r="20" spans="1:16" x14ac:dyDescent="0.3">
      <c r="A20" s="280" t="s">
        <v>41</v>
      </c>
      <c r="B20" s="348" t="s">
        <v>42</v>
      </c>
      <c r="C20" s="348" t="s">
        <v>252</v>
      </c>
      <c r="D20" s="108">
        <v>177</v>
      </c>
      <c r="E20" s="108">
        <v>183</v>
      </c>
      <c r="F20" s="108">
        <v>179</v>
      </c>
      <c r="G20" s="108">
        <v>190</v>
      </c>
      <c r="H20" s="108">
        <v>150</v>
      </c>
      <c r="I20" s="108">
        <v>132</v>
      </c>
      <c r="J20" s="108">
        <v>180</v>
      </c>
      <c r="K20" s="108">
        <v>142</v>
      </c>
      <c r="L20" s="108">
        <v>273</v>
      </c>
      <c r="M20" s="108">
        <v>242</v>
      </c>
      <c r="N20" s="108">
        <v>163</v>
      </c>
      <c r="O20" s="108">
        <v>155</v>
      </c>
      <c r="P20" s="108">
        <v>2166</v>
      </c>
    </row>
    <row r="21" spans="1:16" x14ac:dyDescent="0.3">
      <c r="A21" s="280" t="s">
        <v>43</v>
      </c>
      <c r="B21" s="348" t="s">
        <v>44</v>
      </c>
      <c r="C21" s="348" t="s">
        <v>253</v>
      </c>
      <c r="D21" s="108">
        <v>110</v>
      </c>
      <c r="E21" s="108">
        <v>123</v>
      </c>
      <c r="F21" s="108">
        <v>101</v>
      </c>
      <c r="G21" s="108">
        <v>127</v>
      </c>
      <c r="H21" s="108">
        <v>88</v>
      </c>
      <c r="I21" s="108">
        <v>90</v>
      </c>
      <c r="J21" s="108">
        <v>116</v>
      </c>
      <c r="K21" s="108">
        <v>73</v>
      </c>
      <c r="L21" s="108">
        <v>211</v>
      </c>
      <c r="M21" s="108">
        <v>183</v>
      </c>
      <c r="N21" s="108">
        <v>108</v>
      </c>
      <c r="O21" s="108">
        <v>91</v>
      </c>
      <c r="P21" s="108">
        <v>1421</v>
      </c>
    </row>
    <row r="22" spans="1:16" x14ac:dyDescent="0.3">
      <c r="A22" s="280" t="s">
        <v>45</v>
      </c>
      <c r="B22" s="348" t="s">
        <v>46</v>
      </c>
      <c r="C22" s="348" t="s">
        <v>255</v>
      </c>
      <c r="D22" s="108">
        <v>104</v>
      </c>
      <c r="E22" s="108">
        <v>116</v>
      </c>
      <c r="F22" s="108">
        <v>92</v>
      </c>
      <c r="G22" s="108">
        <v>118</v>
      </c>
      <c r="H22" s="108">
        <v>125</v>
      </c>
      <c r="I22" s="108">
        <v>87</v>
      </c>
      <c r="J22" s="108">
        <v>97</v>
      </c>
      <c r="K22" s="108">
        <v>83</v>
      </c>
      <c r="L22" s="108">
        <v>141</v>
      </c>
      <c r="M22" s="108">
        <v>183</v>
      </c>
      <c r="N22" s="108">
        <v>81</v>
      </c>
      <c r="O22" s="108">
        <v>71</v>
      </c>
      <c r="P22" s="108">
        <v>1298</v>
      </c>
    </row>
    <row r="23" spans="1:16" x14ac:dyDescent="0.3">
      <c r="A23" s="280" t="s">
        <v>47</v>
      </c>
      <c r="B23" s="348" t="s">
        <v>256</v>
      </c>
      <c r="C23" s="348" t="s">
        <v>253</v>
      </c>
      <c r="D23" s="108">
        <v>19</v>
      </c>
      <c r="E23" s="108">
        <v>20</v>
      </c>
      <c r="F23" s="108">
        <v>19</v>
      </c>
      <c r="G23" s="108">
        <v>21</v>
      </c>
      <c r="H23" s="108">
        <v>25</v>
      </c>
      <c r="I23" s="108">
        <v>10</v>
      </c>
      <c r="J23" s="108">
        <v>33</v>
      </c>
      <c r="K23" s="108">
        <v>24</v>
      </c>
      <c r="L23" s="108">
        <v>40</v>
      </c>
      <c r="M23" s="108">
        <v>52</v>
      </c>
      <c r="N23" s="108">
        <v>21</v>
      </c>
      <c r="O23" s="108">
        <v>22</v>
      </c>
      <c r="P23" s="108">
        <v>306</v>
      </c>
    </row>
    <row r="24" spans="1:16" x14ac:dyDescent="0.3">
      <c r="A24" s="280" t="s">
        <v>49</v>
      </c>
      <c r="B24" s="348" t="s">
        <v>50</v>
      </c>
      <c r="C24" s="348" t="s">
        <v>252</v>
      </c>
      <c r="D24" s="108">
        <v>50</v>
      </c>
      <c r="E24" s="108">
        <v>40</v>
      </c>
      <c r="F24" s="108">
        <v>34</v>
      </c>
      <c r="G24" s="108">
        <v>45</v>
      </c>
      <c r="H24" s="108">
        <v>36</v>
      </c>
      <c r="I24" s="108">
        <v>24</v>
      </c>
      <c r="J24" s="108">
        <v>42</v>
      </c>
      <c r="K24" s="108">
        <v>38</v>
      </c>
      <c r="L24" s="108">
        <v>40</v>
      </c>
      <c r="M24" s="108">
        <v>59</v>
      </c>
      <c r="N24" s="108">
        <v>35</v>
      </c>
      <c r="O24" s="108">
        <v>22</v>
      </c>
      <c r="P24" s="108">
        <v>465</v>
      </c>
    </row>
    <row r="25" spans="1:16" x14ac:dyDescent="0.3">
      <c r="A25" s="280" t="s">
        <v>55</v>
      </c>
      <c r="B25" s="348" t="s">
        <v>271</v>
      </c>
      <c r="C25" s="348" t="s">
        <v>253</v>
      </c>
      <c r="D25" s="108">
        <v>1099</v>
      </c>
      <c r="E25" s="108">
        <v>1036</v>
      </c>
      <c r="F25" s="108">
        <v>983</v>
      </c>
      <c r="G25" s="108">
        <v>1036</v>
      </c>
      <c r="H25" s="108">
        <v>851</v>
      </c>
      <c r="I25" s="108">
        <v>822</v>
      </c>
      <c r="J25" s="108">
        <v>1051</v>
      </c>
      <c r="K25" s="108">
        <v>772</v>
      </c>
      <c r="L25" s="108">
        <v>1793</v>
      </c>
      <c r="M25" s="108">
        <v>1832</v>
      </c>
      <c r="N25" s="108">
        <v>1069</v>
      </c>
      <c r="O25" s="108">
        <v>849</v>
      </c>
      <c r="P25" s="108">
        <v>13193</v>
      </c>
    </row>
    <row r="26" spans="1:16" x14ac:dyDescent="0.3">
      <c r="A26" s="280" t="s">
        <v>57</v>
      </c>
      <c r="B26" s="348" t="s">
        <v>58</v>
      </c>
      <c r="C26" s="348" t="s">
        <v>254</v>
      </c>
      <c r="D26" s="108">
        <v>19</v>
      </c>
      <c r="E26" s="108">
        <v>19</v>
      </c>
      <c r="F26" s="108">
        <v>31</v>
      </c>
      <c r="G26" s="108">
        <v>20</v>
      </c>
      <c r="H26" s="108">
        <v>23</v>
      </c>
      <c r="I26" s="108">
        <v>17</v>
      </c>
      <c r="J26" s="108">
        <v>29</v>
      </c>
      <c r="K26" s="108">
        <v>12</v>
      </c>
      <c r="L26" s="108">
        <v>23</v>
      </c>
      <c r="M26" s="108">
        <v>24</v>
      </c>
      <c r="N26" s="108">
        <v>21</v>
      </c>
      <c r="O26" s="108">
        <v>15</v>
      </c>
      <c r="P26" s="108">
        <v>253</v>
      </c>
    </row>
    <row r="27" spans="1:16" x14ac:dyDescent="0.3">
      <c r="A27" s="280" t="s">
        <v>59</v>
      </c>
      <c r="B27" s="348" t="s">
        <v>60</v>
      </c>
      <c r="C27" s="348" t="s">
        <v>252</v>
      </c>
      <c r="D27" s="108">
        <v>12</v>
      </c>
      <c r="E27" s="108">
        <v>17</v>
      </c>
      <c r="F27" s="108">
        <v>18</v>
      </c>
      <c r="G27" s="108">
        <v>23</v>
      </c>
      <c r="H27" s="108">
        <v>17</v>
      </c>
      <c r="I27" s="108">
        <v>12</v>
      </c>
      <c r="J27" s="108">
        <v>15</v>
      </c>
      <c r="K27" s="108">
        <v>15</v>
      </c>
      <c r="L27" s="108">
        <v>14</v>
      </c>
      <c r="M27" s="108">
        <v>18</v>
      </c>
      <c r="N27" s="108">
        <v>11</v>
      </c>
      <c r="O27" s="108">
        <v>13</v>
      </c>
      <c r="P27" s="108">
        <v>185</v>
      </c>
    </row>
    <row r="28" spans="1:16" x14ac:dyDescent="0.3">
      <c r="A28" s="280" t="s">
        <v>61</v>
      </c>
      <c r="B28" s="348" t="s">
        <v>62</v>
      </c>
      <c r="C28" s="348" t="s">
        <v>254</v>
      </c>
      <c r="D28" s="108">
        <v>140</v>
      </c>
      <c r="E28" s="108">
        <v>133</v>
      </c>
      <c r="F28" s="108">
        <v>150</v>
      </c>
      <c r="G28" s="108">
        <v>142</v>
      </c>
      <c r="H28" s="108">
        <v>124</v>
      </c>
      <c r="I28" s="108">
        <v>96</v>
      </c>
      <c r="J28" s="108">
        <v>131</v>
      </c>
      <c r="K28" s="108">
        <v>121</v>
      </c>
      <c r="L28" s="108">
        <v>163</v>
      </c>
      <c r="M28" s="108">
        <v>227</v>
      </c>
      <c r="N28" s="108">
        <v>114</v>
      </c>
      <c r="O28" s="108">
        <v>120</v>
      </c>
      <c r="P28" s="108">
        <v>1661</v>
      </c>
    </row>
    <row r="29" spans="1:16" x14ac:dyDescent="0.3">
      <c r="A29" s="280" t="s">
        <v>63</v>
      </c>
      <c r="B29" s="348" t="s">
        <v>64</v>
      </c>
      <c r="C29" s="348" t="s">
        <v>253</v>
      </c>
      <c r="D29" s="108">
        <v>53</v>
      </c>
      <c r="E29" s="108">
        <v>51</v>
      </c>
      <c r="F29" s="108">
        <v>37</v>
      </c>
      <c r="G29" s="108">
        <v>38</v>
      </c>
      <c r="H29" s="108">
        <v>50</v>
      </c>
      <c r="I29" s="108">
        <v>38</v>
      </c>
      <c r="J29" s="108">
        <v>54</v>
      </c>
      <c r="K29" s="108">
        <v>43</v>
      </c>
      <c r="L29" s="108">
        <v>55</v>
      </c>
      <c r="M29" s="108">
        <v>63</v>
      </c>
      <c r="N29" s="108">
        <v>20</v>
      </c>
      <c r="O29" s="108">
        <v>24</v>
      </c>
      <c r="P29" s="108">
        <v>526</v>
      </c>
    </row>
    <row r="30" spans="1:16" x14ac:dyDescent="0.3">
      <c r="A30" s="280" t="s">
        <v>67</v>
      </c>
      <c r="B30" s="348" t="s">
        <v>68</v>
      </c>
      <c r="C30" s="348" t="s">
        <v>255</v>
      </c>
      <c r="D30" s="108">
        <v>59</v>
      </c>
      <c r="E30" s="108">
        <v>59</v>
      </c>
      <c r="F30" s="108">
        <v>64</v>
      </c>
      <c r="G30" s="108">
        <v>84</v>
      </c>
      <c r="H30" s="108">
        <v>55</v>
      </c>
      <c r="I30" s="108">
        <v>48</v>
      </c>
      <c r="J30" s="108">
        <v>70</v>
      </c>
      <c r="K30" s="108">
        <v>49</v>
      </c>
      <c r="L30" s="108">
        <v>81</v>
      </c>
      <c r="M30" s="108">
        <v>102</v>
      </c>
      <c r="N30" s="108">
        <v>48</v>
      </c>
      <c r="O30" s="108">
        <v>62</v>
      </c>
      <c r="P30" s="108">
        <v>781</v>
      </c>
    </row>
    <row r="31" spans="1:16" x14ac:dyDescent="0.3">
      <c r="A31" s="280" t="s">
        <v>69</v>
      </c>
      <c r="B31" s="348" t="s">
        <v>70</v>
      </c>
      <c r="C31" s="348" t="s">
        <v>251</v>
      </c>
      <c r="D31" s="108">
        <v>107</v>
      </c>
      <c r="E31" s="108">
        <v>106</v>
      </c>
      <c r="F31" s="108">
        <v>103</v>
      </c>
      <c r="G31" s="108">
        <v>116</v>
      </c>
      <c r="H31" s="108">
        <v>97</v>
      </c>
      <c r="I31" s="108">
        <v>79</v>
      </c>
      <c r="J31" s="108">
        <v>122</v>
      </c>
      <c r="K31" s="108">
        <v>91</v>
      </c>
      <c r="L31" s="108">
        <v>176</v>
      </c>
      <c r="M31" s="108">
        <v>142</v>
      </c>
      <c r="N31" s="108">
        <v>104</v>
      </c>
      <c r="O31" s="108">
        <v>98</v>
      </c>
      <c r="P31" s="108">
        <v>1341</v>
      </c>
    </row>
    <row r="32" spans="1:16" x14ac:dyDescent="0.3">
      <c r="A32" s="280" t="s">
        <v>71</v>
      </c>
      <c r="B32" s="348" t="s">
        <v>72</v>
      </c>
      <c r="C32" s="348" t="s">
        <v>253</v>
      </c>
      <c r="D32" s="108">
        <v>63</v>
      </c>
      <c r="E32" s="108">
        <v>57</v>
      </c>
      <c r="F32" s="108">
        <v>40</v>
      </c>
      <c r="G32" s="108">
        <v>55</v>
      </c>
      <c r="H32" s="108">
        <v>55</v>
      </c>
      <c r="I32" s="108">
        <v>49</v>
      </c>
      <c r="J32" s="108">
        <v>49</v>
      </c>
      <c r="K32" s="108">
        <v>37</v>
      </c>
      <c r="L32" s="108">
        <v>88</v>
      </c>
      <c r="M32" s="108">
        <v>94</v>
      </c>
      <c r="N32" s="108">
        <v>36</v>
      </c>
      <c r="O32" s="108">
        <v>53</v>
      </c>
      <c r="P32" s="108">
        <v>676</v>
      </c>
    </row>
    <row r="33" spans="1:16" x14ac:dyDescent="0.3">
      <c r="A33" s="280" t="s">
        <v>73</v>
      </c>
      <c r="B33" s="348" t="s">
        <v>272</v>
      </c>
      <c r="C33" s="348" t="s">
        <v>254</v>
      </c>
      <c r="D33" s="108">
        <v>1679</v>
      </c>
      <c r="E33" s="108">
        <v>1589</v>
      </c>
      <c r="F33" s="108">
        <v>1442</v>
      </c>
      <c r="G33" s="108">
        <v>1473</v>
      </c>
      <c r="H33" s="108">
        <v>1281</v>
      </c>
      <c r="I33" s="108">
        <v>1421</v>
      </c>
      <c r="J33" s="108">
        <v>1721</v>
      </c>
      <c r="K33" s="108">
        <v>1337</v>
      </c>
      <c r="L33" s="108">
        <v>2596</v>
      </c>
      <c r="M33" s="108">
        <v>3696</v>
      </c>
      <c r="N33" s="108">
        <v>2029</v>
      </c>
      <c r="O33" s="108">
        <v>1711</v>
      </c>
      <c r="P33" s="108">
        <v>21975</v>
      </c>
    </row>
    <row r="34" spans="1:16" x14ac:dyDescent="0.3">
      <c r="A34" s="280" t="s">
        <v>75</v>
      </c>
      <c r="B34" s="348" t="s">
        <v>76</v>
      </c>
      <c r="C34" s="348" t="s">
        <v>254</v>
      </c>
      <c r="D34" s="108">
        <v>115</v>
      </c>
      <c r="E34" s="108">
        <v>117</v>
      </c>
      <c r="F34" s="108">
        <v>100</v>
      </c>
      <c r="G34" s="108">
        <v>93</v>
      </c>
      <c r="H34" s="108">
        <v>88</v>
      </c>
      <c r="I34" s="108">
        <v>102</v>
      </c>
      <c r="J34" s="108">
        <v>118</v>
      </c>
      <c r="K34" s="108">
        <v>96</v>
      </c>
      <c r="L34" s="108">
        <v>175</v>
      </c>
      <c r="M34" s="108">
        <v>171</v>
      </c>
      <c r="N34" s="108">
        <v>99</v>
      </c>
      <c r="O34" s="108">
        <v>80</v>
      </c>
      <c r="P34" s="108">
        <v>1354</v>
      </c>
    </row>
    <row r="35" spans="1:16" x14ac:dyDescent="0.3">
      <c r="A35" s="280" t="s">
        <v>77</v>
      </c>
      <c r="B35" s="348" t="s">
        <v>78</v>
      </c>
      <c r="C35" s="348" t="s">
        <v>255</v>
      </c>
      <c r="D35" s="108">
        <v>52</v>
      </c>
      <c r="E35" s="108">
        <v>46</v>
      </c>
      <c r="F35" s="108">
        <v>57</v>
      </c>
      <c r="G35" s="108">
        <v>64</v>
      </c>
      <c r="H35" s="108">
        <v>33</v>
      </c>
      <c r="I35" s="108">
        <v>40</v>
      </c>
      <c r="J35" s="108">
        <v>52</v>
      </c>
      <c r="K35" s="108">
        <v>34</v>
      </c>
      <c r="L35" s="108">
        <v>67</v>
      </c>
      <c r="M35" s="108">
        <v>65</v>
      </c>
      <c r="N35" s="108">
        <v>27</v>
      </c>
      <c r="O35" s="108">
        <v>26</v>
      </c>
      <c r="P35" s="108">
        <v>563</v>
      </c>
    </row>
    <row r="36" spans="1:16" x14ac:dyDescent="0.3">
      <c r="A36" s="280" t="s">
        <v>79</v>
      </c>
      <c r="B36" s="348" t="s">
        <v>80</v>
      </c>
      <c r="C36" s="348" t="s">
        <v>253</v>
      </c>
      <c r="D36" s="108">
        <v>61</v>
      </c>
      <c r="E36" s="108">
        <v>51</v>
      </c>
      <c r="F36" s="108">
        <v>44</v>
      </c>
      <c r="G36" s="108">
        <v>61</v>
      </c>
      <c r="H36" s="108">
        <v>48</v>
      </c>
      <c r="I36" s="108">
        <v>32</v>
      </c>
      <c r="J36" s="108">
        <v>51</v>
      </c>
      <c r="K36" s="108">
        <v>33</v>
      </c>
      <c r="L36" s="108">
        <v>72</v>
      </c>
      <c r="M36" s="108">
        <v>105</v>
      </c>
      <c r="N36" s="108">
        <v>45</v>
      </c>
      <c r="O36" s="108">
        <v>32</v>
      </c>
      <c r="P36" s="108">
        <v>635</v>
      </c>
    </row>
    <row r="37" spans="1:16" x14ac:dyDescent="0.3">
      <c r="A37" s="280" t="s">
        <v>83</v>
      </c>
      <c r="B37" s="348" t="s">
        <v>84</v>
      </c>
      <c r="C37" s="348" t="s">
        <v>252</v>
      </c>
      <c r="D37" s="108">
        <v>166</v>
      </c>
      <c r="E37" s="108">
        <v>175</v>
      </c>
      <c r="F37" s="108">
        <v>158</v>
      </c>
      <c r="G37" s="108">
        <v>177</v>
      </c>
      <c r="H37" s="108">
        <v>142</v>
      </c>
      <c r="I37" s="108">
        <v>127</v>
      </c>
      <c r="J37" s="108">
        <v>166</v>
      </c>
      <c r="K37" s="108">
        <v>128</v>
      </c>
      <c r="L37" s="108">
        <v>258</v>
      </c>
      <c r="M37" s="108">
        <v>240</v>
      </c>
      <c r="N37" s="108">
        <v>149</v>
      </c>
      <c r="O37" s="108">
        <v>161</v>
      </c>
      <c r="P37" s="108">
        <v>2047</v>
      </c>
    </row>
    <row r="38" spans="1:16" x14ac:dyDescent="0.3">
      <c r="A38" s="280" t="s">
        <v>85</v>
      </c>
      <c r="B38" s="348" t="s">
        <v>86</v>
      </c>
      <c r="C38" s="348" t="s">
        <v>254</v>
      </c>
      <c r="D38" s="108">
        <v>174</v>
      </c>
      <c r="E38" s="108">
        <v>202</v>
      </c>
      <c r="F38" s="108">
        <v>174</v>
      </c>
      <c r="G38" s="108">
        <v>158</v>
      </c>
      <c r="H38" s="108">
        <v>161</v>
      </c>
      <c r="I38" s="108">
        <v>157</v>
      </c>
      <c r="J38" s="108">
        <v>179</v>
      </c>
      <c r="K38" s="108">
        <v>153</v>
      </c>
      <c r="L38" s="108">
        <v>267</v>
      </c>
      <c r="M38" s="108">
        <v>272</v>
      </c>
      <c r="N38" s="108">
        <v>128</v>
      </c>
      <c r="O38" s="108">
        <v>152</v>
      </c>
      <c r="P38" s="108">
        <v>2177</v>
      </c>
    </row>
    <row r="39" spans="1:16" x14ac:dyDescent="0.3">
      <c r="A39" s="280" t="s">
        <v>91</v>
      </c>
      <c r="B39" s="348" t="s">
        <v>92</v>
      </c>
      <c r="C39" s="348" t="s">
        <v>255</v>
      </c>
      <c r="D39" s="108">
        <v>64</v>
      </c>
      <c r="E39" s="108">
        <v>65</v>
      </c>
      <c r="F39" s="108">
        <v>58</v>
      </c>
      <c r="G39" s="108">
        <v>78</v>
      </c>
      <c r="H39" s="108">
        <v>65</v>
      </c>
      <c r="I39" s="108">
        <v>52</v>
      </c>
      <c r="J39" s="108">
        <v>43</v>
      </c>
      <c r="K39" s="108">
        <v>49</v>
      </c>
      <c r="L39" s="108">
        <v>79</v>
      </c>
      <c r="M39" s="108">
        <v>67</v>
      </c>
      <c r="N39" s="108">
        <v>31</v>
      </c>
      <c r="O39" s="108">
        <v>62</v>
      </c>
      <c r="P39" s="108">
        <v>713</v>
      </c>
    </row>
    <row r="40" spans="1:16" x14ac:dyDescent="0.3">
      <c r="A40" s="280" t="s">
        <v>93</v>
      </c>
      <c r="B40" s="348" t="s">
        <v>94</v>
      </c>
      <c r="C40" s="348" t="s">
        <v>251</v>
      </c>
      <c r="D40" s="108">
        <v>99</v>
      </c>
      <c r="E40" s="108">
        <v>118</v>
      </c>
      <c r="F40" s="108">
        <v>103</v>
      </c>
      <c r="G40" s="108">
        <v>106</v>
      </c>
      <c r="H40" s="108">
        <v>92</v>
      </c>
      <c r="I40" s="108">
        <v>99</v>
      </c>
      <c r="J40" s="108">
        <v>115</v>
      </c>
      <c r="K40" s="108">
        <v>91</v>
      </c>
      <c r="L40" s="108">
        <v>180</v>
      </c>
      <c r="M40" s="108">
        <v>194</v>
      </c>
      <c r="N40" s="108">
        <v>89</v>
      </c>
      <c r="O40" s="108">
        <v>98</v>
      </c>
      <c r="P40" s="108">
        <v>1384</v>
      </c>
    </row>
    <row r="41" spans="1:16" x14ac:dyDescent="0.3">
      <c r="A41" s="280" t="s">
        <v>95</v>
      </c>
      <c r="B41" s="348" t="s">
        <v>96</v>
      </c>
      <c r="C41" s="348" t="s">
        <v>253</v>
      </c>
      <c r="D41" s="108">
        <v>30</v>
      </c>
      <c r="E41" s="108">
        <v>36</v>
      </c>
      <c r="F41" s="108">
        <v>27</v>
      </c>
      <c r="G41" s="108">
        <v>38</v>
      </c>
      <c r="H41" s="108">
        <v>28</v>
      </c>
      <c r="I41" s="108">
        <v>26</v>
      </c>
      <c r="J41" s="108">
        <v>36</v>
      </c>
      <c r="K41" s="108">
        <v>23</v>
      </c>
      <c r="L41" s="108">
        <v>46</v>
      </c>
      <c r="M41" s="108">
        <v>70</v>
      </c>
      <c r="N41" s="108">
        <v>28</v>
      </c>
      <c r="O41" s="108">
        <v>31</v>
      </c>
      <c r="P41" s="108">
        <v>419</v>
      </c>
    </row>
    <row r="42" spans="1:16" x14ac:dyDescent="0.3">
      <c r="A42" s="280" t="s">
        <v>97</v>
      </c>
      <c r="B42" s="348" t="s">
        <v>98</v>
      </c>
      <c r="C42" s="348" t="s">
        <v>255</v>
      </c>
      <c r="D42" s="108">
        <v>52</v>
      </c>
      <c r="E42" s="108">
        <v>59</v>
      </c>
      <c r="F42" s="108">
        <v>46</v>
      </c>
      <c r="G42" s="108">
        <v>62</v>
      </c>
      <c r="H42" s="108">
        <v>42</v>
      </c>
      <c r="I42" s="108">
        <v>37</v>
      </c>
      <c r="J42" s="108">
        <v>46</v>
      </c>
      <c r="K42" s="108">
        <v>42</v>
      </c>
      <c r="L42" s="108">
        <v>64</v>
      </c>
      <c r="M42" s="108">
        <v>68</v>
      </c>
      <c r="N42" s="108">
        <v>43</v>
      </c>
      <c r="O42" s="108">
        <v>48</v>
      </c>
      <c r="P42" s="108">
        <v>609</v>
      </c>
    </row>
    <row r="43" spans="1:16" x14ac:dyDescent="0.3">
      <c r="A43" s="280" t="s">
        <v>99</v>
      </c>
      <c r="B43" s="348" t="s">
        <v>100</v>
      </c>
      <c r="C43" s="348" t="s">
        <v>254</v>
      </c>
      <c r="D43" s="108">
        <v>32</v>
      </c>
      <c r="E43" s="108">
        <v>55</v>
      </c>
      <c r="F43" s="108">
        <v>36</v>
      </c>
      <c r="G43" s="108">
        <v>39</v>
      </c>
      <c r="H43" s="108">
        <v>41</v>
      </c>
      <c r="I43" s="108">
        <v>22</v>
      </c>
      <c r="J43" s="108">
        <v>46</v>
      </c>
      <c r="K43" s="108">
        <v>46</v>
      </c>
      <c r="L43" s="108">
        <v>74</v>
      </c>
      <c r="M43" s="108">
        <v>74</v>
      </c>
      <c r="N43" s="108">
        <v>41</v>
      </c>
      <c r="O43" s="108">
        <v>32</v>
      </c>
      <c r="P43" s="108">
        <v>538</v>
      </c>
    </row>
    <row r="44" spans="1:16" x14ac:dyDescent="0.3">
      <c r="A44" s="280" t="s">
        <v>101</v>
      </c>
      <c r="B44" s="348" t="s">
        <v>263</v>
      </c>
      <c r="C44" s="348" t="s">
        <v>251</v>
      </c>
      <c r="D44" s="108">
        <v>83</v>
      </c>
      <c r="E44" s="108">
        <v>78</v>
      </c>
      <c r="F44" s="108">
        <v>99</v>
      </c>
      <c r="G44" s="108">
        <v>110</v>
      </c>
      <c r="H44" s="108">
        <v>80</v>
      </c>
      <c r="I44" s="108">
        <v>73</v>
      </c>
      <c r="J44" s="108">
        <v>107</v>
      </c>
      <c r="K44" s="108">
        <v>69</v>
      </c>
      <c r="L44" s="108">
        <v>154</v>
      </c>
      <c r="M44" s="108">
        <v>121</v>
      </c>
      <c r="N44" s="108">
        <v>84</v>
      </c>
      <c r="O44" s="108">
        <v>74</v>
      </c>
      <c r="P44" s="108">
        <v>1132</v>
      </c>
    </row>
    <row r="45" spans="1:16" x14ac:dyDescent="0.3">
      <c r="A45" s="280" t="s">
        <v>103</v>
      </c>
      <c r="B45" s="348" t="s">
        <v>104</v>
      </c>
      <c r="C45" s="348" t="s">
        <v>252</v>
      </c>
      <c r="D45" s="108">
        <v>170</v>
      </c>
      <c r="E45" s="108">
        <v>167</v>
      </c>
      <c r="F45" s="108">
        <v>124</v>
      </c>
      <c r="G45" s="108">
        <v>151</v>
      </c>
      <c r="H45" s="108">
        <v>121</v>
      </c>
      <c r="I45" s="108">
        <v>130</v>
      </c>
      <c r="J45" s="108">
        <v>171</v>
      </c>
      <c r="K45" s="108">
        <v>127</v>
      </c>
      <c r="L45" s="108">
        <v>166</v>
      </c>
      <c r="M45" s="108">
        <v>215</v>
      </c>
      <c r="N45" s="108">
        <v>143</v>
      </c>
      <c r="O45" s="108">
        <v>123</v>
      </c>
      <c r="P45" s="108">
        <v>1808</v>
      </c>
    </row>
    <row r="46" spans="1:16" x14ac:dyDescent="0.3">
      <c r="A46" s="280" t="s">
        <v>107</v>
      </c>
      <c r="B46" s="348" t="s">
        <v>108</v>
      </c>
      <c r="C46" s="348" t="s">
        <v>253</v>
      </c>
      <c r="D46" s="108">
        <v>178</v>
      </c>
      <c r="E46" s="108">
        <v>192</v>
      </c>
      <c r="F46" s="108">
        <v>177</v>
      </c>
      <c r="G46" s="108">
        <v>189</v>
      </c>
      <c r="H46" s="108">
        <v>144</v>
      </c>
      <c r="I46" s="108">
        <v>128</v>
      </c>
      <c r="J46" s="108">
        <v>186</v>
      </c>
      <c r="K46" s="108">
        <v>147</v>
      </c>
      <c r="L46" s="108">
        <v>319</v>
      </c>
      <c r="M46" s="108">
        <v>314</v>
      </c>
      <c r="N46" s="108">
        <v>136</v>
      </c>
      <c r="O46" s="108">
        <v>142</v>
      </c>
      <c r="P46" s="108">
        <v>2252</v>
      </c>
    </row>
    <row r="47" spans="1:16" x14ac:dyDescent="0.3">
      <c r="A47" s="280" t="s">
        <v>109</v>
      </c>
      <c r="B47" s="348" t="s">
        <v>110</v>
      </c>
      <c r="C47" s="348" t="s">
        <v>253</v>
      </c>
      <c r="D47" s="108">
        <v>1256</v>
      </c>
      <c r="E47" s="108">
        <v>1164</v>
      </c>
      <c r="F47" s="108">
        <v>1064</v>
      </c>
      <c r="G47" s="108">
        <v>1112</v>
      </c>
      <c r="H47" s="108">
        <v>925</v>
      </c>
      <c r="I47" s="108">
        <v>949</v>
      </c>
      <c r="J47" s="108">
        <v>1200</v>
      </c>
      <c r="K47" s="108">
        <v>910</v>
      </c>
      <c r="L47" s="108">
        <v>2269</v>
      </c>
      <c r="M47" s="108">
        <v>2346</v>
      </c>
      <c r="N47" s="108">
        <v>1299</v>
      </c>
      <c r="O47" s="108">
        <v>965</v>
      </c>
      <c r="P47" s="108">
        <v>15459</v>
      </c>
    </row>
    <row r="48" spans="1:16" x14ac:dyDescent="0.3">
      <c r="A48" s="280" t="s">
        <v>111</v>
      </c>
      <c r="B48" s="348" t="s">
        <v>275</v>
      </c>
      <c r="C48" s="348" t="s">
        <v>252</v>
      </c>
      <c r="D48" s="108">
        <v>391</v>
      </c>
      <c r="E48" s="108">
        <v>339</v>
      </c>
      <c r="F48" s="108">
        <v>330</v>
      </c>
      <c r="G48" s="108">
        <v>388</v>
      </c>
      <c r="H48" s="108">
        <v>317</v>
      </c>
      <c r="I48" s="108">
        <v>317</v>
      </c>
      <c r="J48" s="108">
        <v>415</v>
      </c>
      <c r="K48" s="108">
        <v>296</v>
      </c>
      <c r="L48" s="108">
        <v>488</v>
      </c>
      <c r="M48" s="108">
        <v>484</v>
      </c>
      <c r="N48" s="108">
        <v>297</v>
      </c>
      <c r="O48" s="108">
        <v>265</v>
      </c>
      <c r="P48" s="108">
        <v>4327</v>
      </c>
    </row>
    <row r="49" spans="1:16" x14ac:dyDescent="0.3">
      <c r="A49" s="280" t="s">
        <v>113</v>
      </c>
      <c r="B49" s="348" t="s">
        <v>114</v>
      </c>
      <c r="C49" s="348" t="s">
        <v>252</v>
      </c>
      <c r="D49" s="108">
        <v>2</v>
      </c>
      <c r="E49" s="108">
        <v>2</v>
      </c>
      <c r="F49" s="108">
        <v>3</v>
      </c>
      <c r="G49" s="108">
        <v>4</v>
      </c>
      <c r="H49" s="108">
        <v>6</v>
      </c>
      <c r="I49" s="108">
        <v>4</v>
      </c>
      <c r="J49" s="108">
        <v>5</v>
      </c>
      <c r="K49" s="108">
        <v>5</v>
      </c>
      <c r="L49" s="108">
        <v>7</v>
      </c>
      <c r="M49" s="108">
        <v>12</v>
      </c>
      <c r="N49" s="108">
        <v>2</v>
      </c>
      <c r="O49" s="108">
        <v>5</v>
      </c>
      <c r="P49" s="108">
        <v>57</v>
      </c>
    </row>
    <row r="50" spans="1:16" x14ac:dyDescent="0.3">
      <c r="A50" s="280" t="s">
        <v>117</v>
      </c>
      <c r="B50" s="348" t="s">
        <v>257</v>
      </c>
      <c r="C50" s="348" t="s">
        <v>251</v>
      </c>
      <c r="D50" s="108">
        <v>85</v>
      </c>
      <c r="E50" s="108">
        <v>97</v>
      </c>
      <c r="F50" s="108">
        <v>78</v>
      </c>
      <c r="G50" s="108">
        <v>103</v>
      </c>
      <c r="H50" s="108">
        <v>89</v>
      </c>
      <c r="I50" s="108">
        <v>69</v>
      </c>
      <c r="J50" s="108">
        <v>121</v>
      </c>
      <c r="K50" s="108">
        <v>77</v>
      </c>
      <c r="L50" s="108">
        <v>184</v>
      </c>
      <c r="M50" s="108">
        <v>177</v>
      </c>
      <c r="N50" s="108">
        <v>99</v>
      </c>
      <c r="O50" s="108">
        <v>66</v>
      </c>
      <c r="P50" s="108">
        <v>1245</v>
      </c>
    </row>
    <row r="51" spans="1:16" x14ac:dyDescent="0.3">
      <c r="A51" s="280" t="s">
        <v>119</v>
      </c>
      <c r="B51" s="348" t="s">
        <v>120</v>
      </c>
      <c r="C51" s="348" t="s">
        <v>251</v>
      </c>
      <c r="D51" s="108">
        <v>158</v>
      </c>
      <c r="E51" s="108">
        <v>165</v>
      </c>
      <c r="F51" s="108">
        <v>156</v>
      </c>
      <c r="G51" s="108">
        <v>167</v>
      </c>
      <c r="H51" s="108">
        <v>113</v>
      </c>
      <c r="I51" s="108">
        <v>119</v>
      </c>
      <c r="J51" s="108">
        <v>173</v>
      </c>
      <c r="K51" s="108">
        <v>133</v>
      </c>
      <c r="L51" s="108">
        <v>293</v>
      </c>
      <c r="M51" s="108">
        <v>322</v>
      </c>
      <c r="N51" s="108">
        <v>121</v>
      </c>
      <c r="O51" s="108">
        <v>106</v>
      </c>
      <c r="P51" s="108">
        <v>2026</v>
      </c>
    </row>
    <row r="52" spans="1:16" x14ac:dyDescent="0.3">
      <c r="A52" s="280" t="s">
        <v>121</v>
      </c>
      <c r="B52" s="348" t="s">
        <v>268</v>
      </c>
      <c r="C52" s="348" t="s">
        <v>253</v>
      </c>
      <c r="D52" s="108">
        <v>18</v>
      </c>
      <c r="E52" s="108">
        <v>26</v>
      </c>
      <c r="F52" s="108">
        <v>14</v>
      </c>
      <c r="G52" s="108">
        <v>33</v>
      </c>
      <c r="H52" s="108">
        <v>19</v>
      </c>
      <c r="I52" s="108">
        <v>17</v>
      </c>
      <c r="J52" s="108">
        <v>27</v>
      </c>
      <c r="K52" s="108">
        <v>21</v>
      </c>
      <c r="L52" s="108">
        <v>44</v>
      </c>
      <c r="M52" s="108">
        <v>30</v>
      </c>
      <c r="N52" s="108">
        <v>25</v>
      </c>
      <c r="O52" s="108">
        <v>21</v>
      </c>
      <c r="P52" s="108">
        <v>295</v>
      </c>
    </row>
    <row r="53" spans="1:16" x14ac:dyDescent="0.3">
      <c r="A53" s="280" t="s">
        <v>123</v>
      </c>
      <c r="B53" s="348" t="s">
        <v>124</v>
      </c>
      <c r="C53" s="348" t="s">
        <v>254</v>
      </c>
      <c r="D53" s="108">
        <v>65</v>
      </c>
      <c r="E53" s="108">
        <v>48</v>
      </c>
      <c r="F53" s="108">
        <v>60</v>
      </c>
      <c r="G53" s="108">
        <v>73</v>
      </c>
      <c r="H53" s="108">
        <v>55</v>
      </c>
      <c r="I53" s="108">
        <v>46</v>
      </c>
      <c r="J53" s="108">
        <v>65</v>
      </c>
      <c r="K53" s="108">
        <v>53</v>
      </c>
      <c r="L53" s="108">
        <v>86</v>
      </c>
      <c r="M53" s="108">
        <v>101</v>
      </c>
      <c r="N53" s="108">
        <v>54</v>
      </c>
      <c r="O53" s="108">
        <v>46</v>
      </c>
      <c r="P53" s="108">
        <v>752</v>
      </c>
    </row>
    <row r="54" spans="1:16" x14ac:dyDescent="0.3">
      <c r="A54" s="280" t="s">
        <v>125</v>
      </c>
      <c r="B54" s="348" t="s">
        <v>126</v>
      </c>
      <c r="C54" s="348" t="s">
        <v>253</v>
      </c>
      <c r="D54" s="108">
        <v>50</v>
      </c>
      <c r="E54" s="108">
        <v>48</v>
      </c>
      <c r="F54" s="108">
        <v>41</v>
      </c>
      <c r="G54" s="108">
        <v>43</v>
      </c>
      <c r="H54" s="108">
        <v>51</v>
      </c>
      <c r="I54" s="108">
        <v>33</v>
      </c>
      <c r="J54" s="108">
        <v>43</v>
      </c>
      <c r="K54" s="108">
        <v>33</v>
      </c>
      <c r="L54" s="108">
        <v>72</v>
      </c>
      <c r="M54" s="108">
        <v>71</v>
      </c>
      <c r="N54" s="108">
        <v>33</v>
      </c>
      <c r="O54" s="108">
        <v>30</v>
      </c>
      <c r="P54" s="108">
        <v>548</v>
      </c>
    </row>
    <row r="55" spans="1:16" x14ac:dyDescent="0.3">
      <c r="A55" s="280" t="s">
        <v>127</v>
      </c>
      <c r="B55" s="348" t="s">
        <v>128</v>
      </c>
      <c r="C55" s="348" t="s">
        <v>253</v>
      </c>
      <c r="D55" s="108">
        <v>38</v>
      </c>
      <c r="E55" s="108">
        <v>31</v>
      </c>
      <c r="F55" s="108">
        <v>22</v>
      </c>
      <c r="G55" s="108">
        <v>39</v>
      </c>
      <c r="H55" s="108">
        <v>19</v>
      </c>
      <c r="I55" s="108">
        <v>30</v>
      </c>
      <c r="J55" s="108">
        <v>38</v>
      </c>
      <c r="K55" s="108">
        <v>25</v>
      </c>
      <c r="L55" s="108">
        <v>61</v>
      </c>
      <c r="M55" s="108">
        <v>60</v>
      </c>
      <c r="N55" s="108">
        <v>25</v>
      </c>
      <c r="O55" s="108">
        <v>23</v>
      </c>
      <c r="P55" s="108">
        <v>411</v>
      </c>
    </row>
    <row r="56" spans="1:16" x14ac:dyDescent="0.3">
      <c r="A56" s="280" t="s">
        <v>129</v>
      </c>
      <c r="B56" s="348" t="s">
        <v>130</v>
      </c>
      <c r="C56" s="348" t="s">
        <v>255</v>
      </c>
      <c r="D56" s="108">
        <v>113</v>
      </c>
      <c r="E56" s="108">
        <v>113</v>
      </c>
      <c r="F56" s="108">
        <v>110</v>
      </c>
      <c r="G56" s="108">
        <v>129</v>
      </c>
      <c r="H56" s="108">
        <v>88</v>
      </c>
      <c r="I56" s="108">
        <v>69</v>
      </c>
      <c r="J56" s="108">
        <v>85</v>
      </c>
      <c r="K56" s="108">
        <v>83</v>
      </c>
      <c r="L56" s="108">
        <v>133</v>
      </c>
      <c r="M56" s="108">
        <v>169</v>
      </c>
      <c r="N56" s="108">
        <v>66</v>
      </c>
      <c r="O56" s="108">
        <v>86</v>
      </c>
      <c r="P56" s="108">
        <v>1244</v>
      </c>
    </row>
    <row r="57" spans="1:16" x14ac:dyDescent="0.3">
      <c r="A57" s="280" t="s">
        <v>131</v>
      </c>
      <c r="B57" s="348" t="s">
        <v>132</v>
      </c>
      <c r="C57" s="348" t="s">
        <v>254</v>
      </c>
      <c r="D57" s="108">
        <v>339</v>
      </c>
      <c r="E57" s="108">
        <v>318</v>
      </c>
      <c r="F57" s="108">
        <v>335</v>
      </c>
      <c r="G57" s="108">
        <v>321</v>
      </c>
      <c r="H57" s="108">
        <v>287</v>
      </c>
      <c r="I57" s="108">
        <v>278</v>
      </c>
      <c r="J57" s="108">
        <v>371</v>
      </c>
      <c r="K57" s="108">
        <v>249</v>
      </c>
      <c r="L57" s="108">
        <v>608</v>
      </c>
      <c r="M57" s="108">
        <v>941</v>
      </c>
      <c r="N57" s="108">
        <v>431</v>
      </c>
      <c r="O57" s="108">
        <v>373</v>
      </c>
      <c r="P57" s="108">
        <v>4851</v>
      </c>
    </row>
    <row r="58" spans="1:16" x14ac:dyDescent="0.3">
      <c r="A58" s="280" t="s">
        <v>133</v>
      </c>
      <c r="B58" s="348" t="s">
        <v>134</v>
      </c>
      <c r="C58" s="348" t="s">
        <v>254</v>
      </c>
      <c r="D58" s="108">
        <v>122</v>
      </c>
      <c r="E58" s="108">
        <v>124</v>
      </c>
      <c r="F58" s="108">
        <v>127</v>
      </c>
      <c r="G58" s="108">
        <v>112</v>
      </c>
      <c r="H58" s="108">
        <v>114</v>
      </c>
      <c r="I58" s="108">
        <v>114</v>
      </c>
      <c r="J58" s="108">
        <v>143</v>
      </c>
      <c r="K58" s="108">
        <v>115</v>
      </c>
      <c r="L58" s="108">
        <v>174</v>
      </c>
      <c r="M58" s="108">
        <v>217</v>
      </c>
      <c r="N58" s="108">
        <v>126</v>
      </c>
      <c r="O58" s="108">
        <v>109</v>
      </c>
      <c r="P58" s="108">
        <v>1597</v>
      </c>
    </row>
    <row r="59" spans="1:16" x14ac:dyDescent="0.3">
      <c r="A59" s="280" t="s">
        <v>135</v>
      </c>
      <c r="B59" s="348" t="s">
        <v>136</v>
      </c>
      <c r="C59" s="348" t="s">
        <v>253</v>
      </c>
      <c r="D59" s="108">
        <v>54</v>
      </c>
      <c r="E59" s="108">
        <v>52</v>
      </c>
      <c r="F59" s="108">
        <v>49</v>
      </c>
      <c r="G59" s="108">
        <v>57</v>
      </c>
      <c r="H59" s="108">
        <v>30</v>
      </c>
      <c r="I59" s="108">
        <v>40</v>
      </c>
      <c r="J59" s="108">
        <v>52</v>
      </c>
      <c r="K59" s="108">
        <v>34</v>
      </c>
      <c r="L59" s="108">
        <v>63</v>
      </c>
      <c r="M59" s="108">
        <v>51</v>
      </c>
      <c r="N59" s="108">
        <v>45</v>
      </c>
      <c r="O59" s="108">
        <v>42</v>
      </c>
      <c r="P59" s="108">
        <v>569</v>
      </c>
    </row>
    <row r="60" spans="1:16" x14ac:dyDescent="0.3">
      <c r="A60" s="280" t="s">
        <v>139</v>
      </c>
      <c r="B60" s="348" t="s">
        <v>140</v>
      </c>
      <c r="C60" s="348" t="s">
        <v>254</v>
      </c>
      <c r="D60" s="108">
        <v>26</v>
      </c>
      <c r="E60" s="108">
        <v>35</v>
      </c>
      <c r="F60" s="108">
        <v>25</v>
      </c>
      <c r="G60" s="108">
        <v>34</v>
      </c>
      <c r="H60" s="108">
        <v>28</v>
      </c>
      <c r="I60" s="108">
        <v>26</v>
      </c>
      <c r="J60" s="108">
        <v>30</v>
      </c>
      <c r="K60" s="108">
        <v>23</v>
      </c>
      <c r="L60" s="108">
        <v>51</v>
      </c>
      <c r="M60" s="108">
        <v>51</v>
      </c>
      <c r="N60" s="108">
        <v>17</v>
      </c>
      <c r="O60" s="108">
        <v>12</v>
      </c>
      <c r="P60" s="108">
        <v>358</v>
      </c>
    </row>
    <row r="61" spans="1:16" x14ac:dyDescent="0.3">
      <c r="A61" s="280" t="s">
        <v>145</v>
      </c>
      <c r="B61" s="348" t="s">
        <v>146</v>
      </c>
      <c r="C61" s="348" t="s">
        <v>251</v>
      </c>
      <c r="D61" s="108">
        <v>33</v>
      </c>
      <c r="E61" s="108">
        <v>29</v>
      </c>
      <c r="F61" s="108">
        <v>25</v>
      </c>
      <c r="G61" s="108">
        <v>30</v>
      </c>
      <c r="H61" s="108">
        <v>22</v>
      </c>
      <c r="I61" s="108">
        <v>34</v>
      </c>
      <c r="J61" s="108">
        <v>18</v>
      </c>
      <c r="K61" s="108">
        <v>14</v>
      </c>
      <c r="L61" s="108">
        <v>32</v>
      </c>
      <c r="M61" s="108">
        <v>24</v>
      </c>
      <c r="N61" s="108">
        <v>17</v>
      </c>
      <c r="O61" s="108">
        <v>17</v>
      </c>
      <c r="P61" s="108">
        <v>295</v>
      </c>
    </row>
    <row r="62" spans="1:16" x14ac:dyDescent="0.3">
      <c r="A62" s="280" t="s">
        <v>147</v>
      </c>
      <c r="B62" s="348" t="s">
        <v>148</v>
      </c>
      <c r="C62" s="348" t="s">
        <v>252</v>
      </c>
      <c r="D62" s="108">
        <v>116</v>
      </c>
      <c r="E62" s="108">
        <v>125</v>
      </c>
      <c r="F62" s="108">
        <v>108</v>
      </c>
      <c r="G62" s="108">
        <v>106</v>
      </c>
      <c r="H62" s="108">
        <v>111</v>
      </c>
      <c r="I62" s="108">
        <v>86</v>
      </c>
      <c r="J62" s="108">
        <v>124</v>
      </c>
      <c r="K62" s="108">
        <v>79</v>
      </c>
      <c r="L62" s="108">
        <v>168</v>
      </c>
      <c r="M62" s="108">
        <v>157</v>
      </c>
      <c r="N62" s="108">
        <v>106</v>
      </c>
      <c r="O62" s="108">
        <v>103</v>
      </c>
      <c r="P62" s="108">
        <v>1389</v>
      </c>
    </row>
    <row r="63" spans="1:16" x14ac:dyDescent="0.3">
      <c r="A63" s="280" t="s">
        <v>149</v>
      </c>
      <c r="B63" s="348" t="s">
        <v>150</v>
      </c>
      <c r="C63" s="348" t="s">
        <v>253</v>
      </c>
      <c r="D63" s="108">
        <v>35</v>
      </c>
      <c r="E63" s="108">
        <v>33</v>
      </c>
      <c r="F63" s="108">
        <v>43</v>
      </c>
      <c r="G63" s="108">
        <v>44</v>
      </c>
      <c r="H63" s="108">
        <v>36</v>
      </c>
      <c r="I63" s="108">
        <v>33</v>
      </c>
      <c r="J63" s="108">
        <v>37</v>
      </c>
      <c r="K63" s="108">
        <v>28</v>
      </c>
      <c r="L63" s="108">
        <v>51</v>
      </c>
      <c r="M63" s="108">
        <v>53</v>
      </c>
      <c r="N63" s="108">
        <v>36</v>
      </c>
      <c r="O63" s="108">
        <v>16</v>
      </c>
      <c r="P63" s="108">
        <v>445</v>
      </c>
    </row>
    <row r="64" spans="1:16" x14ac:dyDescent="0.3">
      <c r="A64" s="280" t="s">
        <v>151</v>
      </c>
      <c r="B64" s="348" t="s">
        <v>152</v>
      </c>
      <c r="C64" s="348" t="s">
        <v>255</v>
      </c>
      <c r="D64" s="108">
        <v>174</v>
      </c>
      <c r="E64" s="108">
        <v>199</v>
      </c>
      <c r="F64" s="108">
        <v>178</v>
      </c>
      <c r="G64" s="108">
        <v>188</v>
      </c>
      <c r="H64" s="108">
        <v>155</v>
      </c>
      <c r="I64" s="108">
        <v>175</v>
      </c>
      <c r="J64" s="108">
        <v>206</v>
      </c>
      <c r="K64" s="108">
        <v>155</v>
      </c>
      <c r="L64" s="108">
        <v>288</v>
      </c>
      <c r="M64" s="108">
        <v>186</v>
      </c>
      <c r="N64" s="108">
        <v>173</v>
      </c>
      <c r="O64" s="108">
        <v>157</v>
      </c>
      <c r="P64" s="108">
        <v>2234</v>
      </c>
    </row>
    <row r="65" spans="1:16" x14ac:dyDescent="0.3">
      <c r="A65" s="280" t="s">
        <v>153</v>
      </c>
      <c r="B65" s="348" t="s">
        <v>154</v>
      </c>
      <c r="C65" s="348" t="s">
        <v>252</v>
      </c>
      <c r="D65" s="108">
        <v>35</v>
      </c>
      <c r="E65" s="108">
        <v>44</v>
      </c>
      <c r="F65" s="108">
        <v>38</v>
      </c>
      <c r="G65" s="108">
        <v>29</v>
      </c>
      <c r="H65" s="108">
        <v>46</v>
      </c>
      <c r="I65" s="108">
        <v>26</v>
      </c>
      <c r="J65" s="108">
        <v>37</v>
      </c>
      <c r="K65" s="108">
        <v>37</v>
      </c>
      <c r="L65" s="108">
        <v>57</v>
      </c>
      <c r="M65" s="108">
        <v>65</v>
      </c>
      <c r="N65" s="108">
        <v>24</v>
      </c>
      <c r="O65" s="108">
        <v>22</v>
      </c>
      <c r="P65" s="108">
        <v>460</v>
      </c>
    </row>
    <row r="66" spans="1:16" x14ac:dyDescent="0.3">
      <c r="A66" s="280" t="s">
        <v>155</v>
      </c>
      <c r="B66" s="348" t="s">
        <v>156</v>
      </c>
      <c r="C66" s="348" t="s">
        <v>253</v>
      </c>
      <c r="D66" s="108">
        <v>34</v>
      </c>
      <c r="E66" s="108">
        <v>23</v>
      </c>
      <c r="F66" s="108">
        <v>34</v>
      </c>
      <c r="G66" s="108">
        <v>36</v>
      </c>
      <c r="H66" s="108">
        <v>31</v>
      </c>
      <c r="I66" s="108">
        <v>26</v>
      </c>
      <c r="J66" s="108">
        <v>32</v>
      </c>
      <c r="K66" s="108">
        <v>19</v>
      </c>
      <c r="L66" s="108">
        <v>71</v>
      </c>
      <c r="M66" s="108">
        <v>70</v>
      </c>
      <c r="N66" s="108">
        <v>30</v>
      </c>
      <c r="O66" s="108">
        <v>21</v>
      </c>
      <c r="P66" s="108">
        <v>427</v>
      </c>
    </row>
    <row r="67" spans="1:16" x14ac:dyDescent="0.3">
      <c r="A67" s="280" t="s">
        <v>161</v>
      </c>
      <c r="B67" s="348" t="s">
        <v>162</v>
      </c>
      <c r="C67" s="348" t="s">
        <v>251</v>
      </c>
      <c r="D67" s="108">
        <v>39</v>
      </c>
      <c r="E67" s="108">
        <v>42</v>
      </c>
      <c r="F67" s="108">
        <v>59</v>
      </c>
      <c r="G67" s="108">
        <v>64</v>
      </c>
      <c r="H67" s="108">
        <v>54</v>
      </c>
      <c r="I67" s="108">
        <v>61</v>
      </c>
      <c r="J67" s="108">
        <v>64</v>
      </c>
      <c r="K67" s="108">
        <v>32</v>
      </c>
      <c r="L67" s="108">
        <v>94</v>
      </c>
      <c r="M67" s="108">
        <v>94</v>
      </c>
      <c r="N67" s="108">
        <v>51</v>
      </c>
      <c r="O67" s="108">
        <v>39</v>
      </c>
      <c r="P67" s="108">
        <v>693</v>
      </c>
    </row>
    <row r="68" spans="1:16" x14ac:dyDescent="0.3">
      <c r="A68" s="280" t="s">
        <v>163</v>
      </c>
      <c r="B68" s="348" t="s">
        <v>164</v>
      </c>
      <c r="C68" s="348" t="s">
        <v>253</v>
      </c>
      <c r="D68" s="108">
        <v>39</v>
      </c>
      <c r="E68" s="108">
        <v>28</v>
      </c>
      <c r="F68" s="108">
        <v>29</v>
      </c>
      <c r="G68" s="108">
        <v>45</v>
      </c>
      <c r="H68" s="108">
        <v>32</v>
      </c>
      <c r="I68" s="108">
        <v>32</v>
      </c>
      <c r="J68" s="108">
        <v>38</v>
      </c>
      <c r="K68" s="108">
        <v>34</v>
      </c>
      <c r="L68" s="108">
        <v>52</v>
      </c>
      <c r="M68" s="108">
        <v>63</v>
      </c>
      <c r="N68" s="108">
        <v>18</v>
      </c>
      <c r="O68" s="108">
        <v>23</v>
      </c>
      <c r="P68" s="108">
        <v>433</v>
      </c>
    </row>
    <row r="69" spans="1:16" x14ac:dyDescent="0.3">
      <c r="A69" s="280" t="s">
        <v>167</v>
      </c>
      <c r="B69" s="348" t="s">
        <v>168</v>
      </c>
      <c r="C69" s="348" t="s">
        <v>253</v>
      </c>
      <c r="D69" s="108">
        <v>60</v>
      </c>
      <c r="E69" s="108">
        <v>61</v>
      </c>
      <c r="F69" s="108">
        <v>50</v>
      </c>
      <c r="G69" s="108">
        <v>70</v>
      </c>
      <c r="H69" s="108">
        <v>59</v>
      </c>
      <c r="I69" s="108">
        <v>49</v>
      </c>
      <c r="J69" s="108">
        <v>55</v>
      </c>
      <c r="K69" s="108">
        <v>45</v>
      </c>
      <c r="L69" s="108">
        <v>111</v>
      </c>
      <c r="M69" s="108">
        <v>74</v>
      </c>
      <c r="N69" s="108">
        <v>46</v>
      </c>
      <c r="O69" s="108">
        <v>47</v>
      </c>
      <c r="P69" s="108">
        <v>727</v>
      </c>
    </row>
    <row r="70" spans="1:16" x14ac:dyDescent="0.3">
      <c r="A70" s="280" t="s">
        <v>169</v>
      </c>
      <c r="B70" s="348" t="s">
        <v>170</v>
      </c>
      <c r="C70" s="348" t="s">
        <v>254</v>
      </c>
      <c r="D70" s="108">
        <v>103</v>
      </c>
      <c r="E70" s="108">
        <v>93</v>
      </c>
      <c r="F70" s="108">
        <v>92</v>
      </c>
      <c r="G70" s="108">
        <v>97</v>
      </c>
      <c r="H70" s="108">
        <v>75</v>
      </c>
      <c r="I70" s="108">
        <v>82</v>
      </c>
      <c r="J70" s="108">
        <v>97</v>
      </c>
      <c r="K70" s="108">
        <v>76</v>
      </c>
      <c r="L70" s="108">
        <v>142</v>
      </c>
      <c r="M70" s="108">
        <v>140</v>
      </c>
      <c r="N70" s="108">
        <v>88</v>
      </c>
      <c r="O70" s="108">
        <v>86</v>
      </c>
      <c r="P70" s="108">
        <v>1171</v>
      </c>
    </row>
    <row r="71" spans="1:16" x14ac:dyDescent="0.3">
      <c r="A71" s="280" t="s">
        <v>171</v>
      </c>
      <c r="B71" s="348" t="s">
        <v>172</v>
      </c>
      <c r="C71" s="348" t="s">
        <v>254</v>
      </c>
      <c r="D71" s="108">
        <v>85</v>
      </c>
      <c r="E71" s="108">
        <v>95</v>
      </c>
      <c r="F71" s="108">
        <v>78</v>
      </c>
      <c r="G71" s="108">
        <v>101</v>
      </c>
      <c r="H71" s="108">
        <v>108</v>
      </c>
      <c r="I71" s="108">
        <v>69</v>
      </c>
      <c r="J71" s="108">
        <v>119</v>
      </c>
      <c r="K71" s="108">
        <v>61</v>
      </c>
      <c r="L71" s="108">
        <v>109</v>
      </c>
      <c r="M71" s="108">
        <v>137</v>
      </c>
      <c r="N71" s="108">
        <v>61</v>
      </c>
      <c r="O71" s="108">
        <v>65</v>
      </c>
      <c r="P71" s="108">
        <v>1088</v>
      </c>
    </row>
    <row r="72" spans="1:16" x14ac:dyDescent="0.3">
      <c r="A72" s="280" t="s">
        <v>173</v>
      </c>
      <c r="B72" s="348" t="s">
        <v>174</v>
      </c>
      <c r="C72" s="348" t="s">
        <v>255</v>
      </c>
      <c r="D72" s="108">
        <v>71</v>
      </c>
      <c r="E72" s="108">
        <v>54</v>
      </c>
      <c r="F72" s="108">
        <v>57</v>
      </c>
      <c r="G72" s="108">
        <v>50</v>
      </c>
      <c r="H72" s="108">
        <v>63</v>
      </c>
      <c r="I72" s="108">
        <v>61</v>
      </c>
      <c r="J72" s="108">
        <v>47</v>
      </c>
      <c r="K72" s="108">
        <v>54</v>
      </c>
      <c r="L72" s="108">
        <v>79</v>
      </c>
      <c r="M72" s="108">
        <v>66</v>
      </c>
      <c r="N72" s="108">
        <v>32</v>
      </c>
      <c r="O72" s="108">
        <v>31</v>
      </c>
      <c r="P72" s="108">
        <v>665</v>
      </c>
    </row>
    <row r="73" spans="1:16" x14ac:dyDescent="0.3">
      <c r="A73" s="280" t="s">
        <v>177</v>
      </c>
      <c r="B73" s="348" t="s">
        <v>178</v>
      </c>
      <c r="C73" s="348" t="s">
        <v>252</v>
      </c>
      <c r="D73" s="108">
        <v>226</v>
      </c>
      <c r="E73" s="108">
        <v>230</v>
      </c>
      <c r="F73" s="108">
        <v>249</v>
      </c>
      <c r="G73" s="108">
        <v>213</v>
      </c>
      <c r="H73" s="108">
        <v>195</v>
      </c>
      <c r="I73" s="108">
        <v>207</v>
      </c>
      <c r="J73" s="108">
        <v>224</v>
      </c>
      <c r="K73" s="108">
        <v>190</v>
      </c>
      <c r="L73" s="108">
        <v>278</v>
      </c>
      <c r="M73" s="108">
        <v>311</v>
      </c>
      <c r="N73" s="108">
        <v>178</v>
      </c>
      <c r="O73" s="108">
        <v>170</v>
      </c>
      <c r="P73" s="108">
        <v>2671</v>
      </c>
    </row>
    <row r="74" spans="1:16" x14ac:dyDescent="0.3">
      <c r="A74" s="280" t="s">
        <v>181</v>
      </c>
      <c r="B74" s="348" t="s">
        <v>182</v>
      </c>
      <c r="C74" s="348" t="s">
        <v>253</v>
      </c>
      <c r="D74" s="108">
        <v>53</v>
      </c>
      <c r="E74" s="108">
        <v>57</v>
      </c>
      <c r="F74" s="108">
        <v>45</v>
      </c>
      <c r="G74" s="108">
        <v>41</v>
      </c>
      <c r="H74" s="108">
        <v>42</v>
      </c>
      <c r="I74" s="108">
        <v>26</v>
      </c>
      <c r="J74" s="108">
        <v>43</v>
      </c>
      <c r="K74" s="108">
        <v>32</v>
      </c>
      <c r="L74" s="108">
        <v>55</v>
      </c>
      <c r="M74" s="108">
        <v>79</v>
      </c>
      <c r="N74" s="108">
        <v>35</v>
      </c>
      <c r="O74" s="108">
        <v>31</v>
      </c>
      <c r="P74" s="108">
        <v>539</v>
      </c>
    </row>
    <row r="75" spans="1:16" x14ac:dyDescent="0.3">
      <c r="A75" s="280" t="s">
        <v>183</v>
      </c>
      <c r="B75" s="348" t="s">
        <v>184</v>
      </c>
      <c r="C75" s="348" t="s">
        <v>253</v>
      </c>
      <c r="D75" s="108">
        <v>84</v>
      </c>
      <c r="E75" s="108">
        <v>89</v>
      </c>
      <c r="F75" s="108">
        <v>61</v>
      </c>
      <c r="G75" s="108">
        <v>71</v>
      </c>
      <c r="H75" s="108">
        <v>76</v>
      </c>
      <c r="I75" s="108">
        <v>83</v>
      </c>
      <c r="J75" s="108">
        <v>91</v>
      </c>
      <c r="K75" s="108">
        <v>57</v>
      </c>
      <c r="L75" s="108">
        <v>108</v>
      </c>
      <c r="M75" s="108">
        <v>118</v>
      </c>
      <c r="N75" s="108">
        <v>72</v>
      </c>
      <c r="O75" s="108">
        <v>78</v>
      </c>
      <c r="P75" s="108">
        <v>988</v>
      </c>
    </row>
    <row r="76" spans="1:16" x14ac:dyDescent="0.3">
      <c r="A76" s="280" t="s">
        <v>185</v>
      </c>
      <c r="B76" s="348" t="s">
        <v>186</v>
      </c>
      <c r="C76" s="348" t="s">
        <v>251</v>
      </c>
      <c r="D76" s="108">
        <v>119</v>
      </c>
      <c r="E76" s="108">
        <v>108</v>
      </c>
      <c r="F76" s="108">
        <v>120</v>
      </c>
      <c r="G76" s="108">
        <v>139</v>
      </c>
      <c r="H76" s="108">
        <v>93</v>
      </c>
      <c r="I76" s="108">
        <v>95</v>
      </c>
      <c r="J76" s="108">
        <v>139</v>
      </c>
      <c r="K76" s="108">
        <v>110</v>
      </c>
      <c r="L76" s="108">
        <v>190</v>
      </c>
      <c r="M76" s="108">
        <v>190</v>
      </c>
      <c r="N76" s="108">
        <v>97</v>
      </c>
      <c r="O76" s="108">
        <v>109</v>
      </c>
      <c r="P76" s="108">
        <v>1509</v>
      </c>
    </row>
    <row r="77" spans="1:16" x14ac:dyDescent="0.3">
      <c r="A77" s="280" t="s">
        <v>187</v>
      </c>
      <c r="B77" s="348" t="s">
        <v>188</v>
      </c>
      <c r="C77" s="348" t="s">
        <v>254</v>
      </c>
      <c r="D77" s="108">
        <v>925</v>
      </c>
      <c r="E77" s="108">
        <v>995</v>
      </c>
      <c r="F77" s="108">
        <v>936</v>
      </c>
      <c r="G77" s="108">
        <v>981</v>
      </c>
      <c r="H77" s="108">
        <v>795</v>
      </c>
      <c r="I77" s="108">
        <v>813</v>
      </c>
      <c r="J77" s="108">
        <v>1027</v>
      </c>
      <c r="K77" s="108">
        <v>820</v>
      </c>
      <c r="L77" s="108">
        <v>1628</v>
      </c>
      <c r="M77" s="108">
        <v>2287</v>
      </c>
      <c r="N77" s="108">
        <v>1183</v>
      </c>
      <c r="O77" s="108">
        <v>914</v>
      </c>
      <c r="P77" s="108">
        <v>13304</v>
      </c>
    </row>
    <row r="78" spans="1:16" x14ac:dyDescent="0.3">
      <c r="A78" s="280" t="s">
        <v>189</v>
      </c>
      <c r="B78" s="348" t="s">
        <v>190</v>
      </c>
      <c r="C78" s="348" t="s">
        <v>255</v>
      </c>
      <c r="D78" s="108">
        <v>173</v>
      </c>
      <c r="E78" s="108">
        <v>157</v>
      </c>
      <c r="F78" s="108">
        <v>139</v>
      </c>
      <c r="G78" s="108">
        <v>159</v>
      </c>
      <c r="H78" s="108">
        <v>128</v>
      </c>
      <c r="I78" s="108">
        <v>126</v>
      </c>
      <c r="J78" s="108">
        <v>144</v>
      </c>
      <c r="K78" s="108">
        <v>148</v>
      </c>
      <c r="L78" s="108">
        <v>182</v>
      </c>
      <c r="M78" s="108">
        <v>164</v>
      </c>
      <c r="N78" s="108">
        <v>96</v>
      </c>
      <c r="O78" s="108">
        <v>115</v>
      </c>
      <c r="P78" s="108">
        <v>1731</v>
      </c>
    </row>
    <row r="79" spans="1:16" x14ac:dyDescent="0.3">
      <c r="A79" s="280" t="s">
        <v>193</v>
      </c>
      <c r="B79" s="348" t="s">
        <v>194</v>
      </c>
      <c r="C79" s="348" t="s">
        <v>254</v>
      </c>
      <c r="D79" s="108">
        <v>16</v>
      </c>
      <c r="E79" s="108">
        <v>11</v>
      </c>
      <c r="F79" s="108">
        <v>15</v>
      </c>
      <c r="G79" s="108">
        <v>10</v>
      </c>
      <c r="H79" s="108">
        <v>11</v>
      </c>
      <c r="I79" s="108">
        <v>13</v>
      </c>
      <c r="J79" s="108">
        <v>12</v>
      </c>
      <c r="K79" s="108">
        <v>7</v>
      </c>
      <c r="L79" s="108">
        <v>14</v>
      </c>
      <c r="M79" s="108">
        <v>21</v>
      </c>
      <c r="N79" s="108">
        <v>10</v>
      </c>
      <c r="O79" s="108">
        <v>11</v>
      </c>
      <c r="P79" s="108">
        <v>151</v>
      </c>
    </row>
    <row r="80" spans="1:16" x14ac:dyDescent="0.3">
      <c r="A80" s="280" t="s">
        <v>197</v>
      </c>
      <c r="B80" s="348" t="s">
        <v>259</v>
      </c>
      <c r="C80" s="348" t="s">
        <v>253</v>
      </c>
      <c r="D80" s="108">
        <v>22</v>
      </c>
      <c r="E80" s="108">
        <v>32</v>
      </c>
      <c r="F80" s="108">
        <v>21</v>
      </c>
      <c r="G80" s="108">
        <v>23</v>
      </c>
      <c r="H80" s="108">
        <v>20</v>
      </c>
      <c r="I80" s="108">
        <v>20</v>
      </c>
      <c r="J80" s="108">
        <v>30</v>
      </c>
      <c r="K80" s="108">
        <v>28</v>
      </c>
      <c r="L80" s="108">
        <v>42</v>
      </c>
      <c r="M80" s="108">
        <v>44</v>
      </c>
      <c r="N80" s="108">
        <v>36</v>
      </c>
      <c r="O80" s="108">
        <v>18</v>
      </c>
      <c r="P80" s="108">
        <v>336</v>
      </c>
    </row>
    <row r="81" spans="1:16" x14ac:dyDescent="0.3">
      <c r="A81" s="280" t="s">
        <v>201</v>
      </c>
      <c r="B81" s="348" t="s">
        <v>276</v>
      </c>
      <c r="C81" s="348" t="s">
        <v>252</v>
      </c>
      <c r="D81" s="108">
        <v>289</v>
      </c>
      <c r="E81" s="108">
        <v>238</v>
      </c>
      <c r="F81" s="108">
        <v>210</v>
      </c>
      <c r="G81" s="108">
        <v>251</v>
      </c>
      <c r="H81" s="108">
        <v>205</v>
      </c>
      <c r="I81" s="108">
        <v>229</v>
      </c>
      <c r="J81" s="108">
        <v>258</v>
      </c>
      <c r="K81" s="108">
        <v>249</v>
      </c>
      <c r="L81" s="108">
        <v>392</v>
      </c>
      <c r="M81" s="108">
        <v>426</v>
      </c>
      <c r="N81" s="108">
        <v>189</v>
      </c>
      <c r="O81" s="108">
        <v>226</v>
      </c>
      <c r="P81" s="108">
        <v>3162</v>
      </c>
    </row>
    <row r="82" spans="1:16" x14ac:dyDescent="0.3">
      <c r="A82" s="280" t="s">
        <v>203</v>
      </c>
      <c r="B82" s="348" t="s">
        <v>269</v>
      </c>
      <c r="C82" s="348" t="s">
        <v>252</v>
      </c>
      <c r="D82" s="108">
        <v>89</v>
      </c>
      <c r="E82" s="108">
        <v>89</v>
      </c>
      <c r="F82" s="108">
        <v>107</v>
      </c>
      <c r="G82" s="108">
        <v>102</v>
      </c>
      <c r="H82" s="108">
        <v>93</v>
      </c>
      <c r="I82" s="108">
        <v>81</v>
      </c>
      <c r="J82" s="108">
        <v>100</v>
      </c>
      <c r="K82" s="108">
        <v>79</v>
      </c>
      <c r="L82" s="108">
        <v>132</v>
      </c>
      <c r="M82" s="108">
        <v>141</v>
      </c>
      <c r="N82" s="108">
        <v>74</v>
      </c>
      <c r="O82" s="108">
        <v>79</v>
      </c>
      <c r="P82" s="108">
        <v>1166</v>
      </c>
    </row>
    <row r="83" spans="1:16" x14ac:dyDescent="0.3">
      <c r="A83" s="280" t="s">
        <v>205</v>
      </c>
      <c r="B83" s="348" t="s">
        <v>270</v>
      </c>
      <c r="C83" s="348" t="s">
        <v>254</v>
      </c>
      <c r="D83" s="108">
        <v>294</v>
      </c>
      <c r="E83" s="108">
        <v>321</v>
      </c>
      <c r="F83" s="108">
        <v>276</v>
      </c>
      <c r="G83" s="108">
        <v>350</v>
      </c>
      <c r="H83" s="108">
        <v>241</v>
      </c>
      <c r="I83" s="108">
        <v>290</v>
      </c>
      <c r="J83" s="108">
        <v>345</v>
      </c>
      <c r="K83" s="108">
        <v>201</v>
      </c>
      <c r="L83" s="108">
        <v>358</v>
      </c>
      <c r="M83" s="108">
        <v>437</v>
      </c>
      <c r="N83" s="108">
        <v>230</v>
      </c>
      <c r="O83" s="108">
        <v>224</v>
      </c>
      <c r="P83" s="108">
        <v>3567</v>
      </c>
    </row>
    <row r="84" spans="1:16" x14ac:dyDescent="0.3">
      <c r="A84" s="280" t="s">
        <v>207</v>
      </c>
      <c r="B84" s="348" t="s">
        <v>208</v>
      </c>
      <c r="C84" s="348" t="s">
        <v>255</v>
      </c>
      <c r="D84" s="108">
        <v>133</v>
      </c>
      <c r="E84" s="108">
        <v>121</v>
      </c>
      <c r="F84" s="108">
        <v>119</v>
      </c>
      <c r="G84" s="108">
        <v>130</v>
      </c>
      <c r="H84" s="108">
        <v>122</v>
      </c>
      <c r="I84" s="108">
        <v>93</v>
      </c>
      <c r="J84" s="108">
        <v>129</v>
      </c>
      <c r="K84" s="108">
        <v>94</v>
      </c>
      <c r="L84" s="108">
        <v>162</v>
      </c>
      <c r="M84" s="108">
        <v>175</v>
      </c>
      <c r="N84" s="108">
        <v>69</v>
      </c>
      <c r="O84" s="108">
        <v>73</v>
      </c>
      <c r="P84" s="108">
        <v>1420</v>
      </c>
    </row>
    <row r="85" spans="1:16" x14ac:dyDescent="0.3">
      <c r="A85" s="280" t="s">
        <v>209</v>
      </c>
      <c r="B85" s="348" t="s">
        <v>210</v>
      </c>
      <c r="C85" s="348" t="s">
        <v>255</v>
      </c>
      <c r="D85" s="108">
        <v>91</v>
      </c>
      <c r="E85" s="108">
        <v>84</v>
      </c>
      <c r="F85" s="108">
        <v>88</v>
      </c>
      <c r="G85" s="108">
        <v>95</v>
      </c>
      <c r="H85" s="108">
        <v>88</v>
      </c>
      <c r="I85" s="108">
        <v>78</v>
      </c>
      <c r="J85" s="108">
        <v>89</v>
      </c>
      <c r="K85" s="108">
        <v>56</v>
      </c>
      <c r="L85" s="108">
        <v>101</v>
      </c>
      <c r="M85" s="108">
        <v>106</v>
      </c>
      <c r="N85" s="108">
        <v>61</v>
      </c>
      <c r="O85" s="108">
        <v>57</v>
      </c>
      <c r="P85" s="108">
        <v>994</v>
      </c>
    </row>
    <row r="86" spans="1:16" x14ac:dyDescent="0.3">
      <c r="A86" s="280" t="s">
        <v>211</v>
      </c>
      <c r="B86" s="348" t="s">
        <v>212</v>
      </c>
      <c r="C86" s="348" t="s">
        <v>254</v>
      </c>
      <c r="D86" s="108">
        <v>158</v>
      </c>
      <c r="E86" s="108">
        <v>145</v>
      </c>
      <c r="F86" s="108">
        <v>149</v>
      </c>
      <c r="G86" s="108">
        <v>160</v>
      </c>
      <c r="H86" s="108">
        <v>118</v>
      </c>
      <c r="I86" s="108">
        <v>136</v>
      </c>
      <c r="J86" s="108">
        <v>166</v>
      </c>
      <c r="K86" s="108">
        <v>131</v>
      </c>
      <c r="L86" s="108">
        <v>182</v>
      </c>
      <c r="M86" s="108">
        <v>175</v>
      </c>
      <c r="N86" s="108">
        <v>109</v>
      </c>
      <c r="O86" s="108">
        <v>114</v>
      </c>
      <c r="P86" s="108">
        <v>1743</v>
      </c>
    </row>
    <row r="87" spans="1:16" x14ac:dyDescent="0.3">
      <c r="A87" s="280" t="s">
        <v>213</v>
      </c>
      <c r="B87" s="348" t="s">
        <v>214</v>
      </c>
      <c r="C87" s="348" t="s">
        <v>255</v>
      </c>
      <c r="D87" s="108">
        <v>144</v>
      </c>
      <c r="E87" s="108">
        <v>154</v>
      </c>
      <c r="F87" s="108">
        <v>124</v>
      </c>
      <c r="G87" s="108">
        <v>159</v>
      </c>
      <c r="H87" s="108">
        <v>139</v>
      </c>
      <c r="I87" s="108">
        <v>140</v>
      </c>
      <c r="J87" s="108">
        <v>131</v>
      </c>
      <c r="K87" s="108">
        <v>97</v>
      </c>
      <c r="L87" s="108">
        <v>165</v>
      </c>
      <c r="M87" s="108">
        <v>185</v>
      </c>
      <c r="N87" s="108">
        <v>98</v>
      </c>
      <c r="O87" s="108">
        <v>146</v>
      </c>
      <c r="P87" s="108">
        <v>1682</v>
      </c>
    </row>
    <row r="88" spans="1:16" x14ac:dyDescent="0.3">
      <c r="A88" s="280" t="s">
        <v>215</v>
      </c>
      <c r="B88" s="348" t="s">
        <v>216</v>
      </c>
      <c r="C88" s="348" t="s">
        <v>251</v>
      </c>
      <c r="D88" s="108">
        <v>83</v>
      </c>
      <c r="E88" s="108">
        <v>78</v>
      </c>
      <c r="F88" s="108">
        <v>67</v>
      </c>
      <c r="G88" s="108">
        <v>67</v>
      </c>
      <c r="H88" s="108">
        <v>53</v>
      </c>
      <c r="I88" s="108">
        <v>56</v>
      </c>
      <c r="J88" s="108">
        <v>78</v>
      </c>
      <c r="K88" s="108">
        <v>53</v>
      </c>
      <c r="L88" s="108">
        <v>103</v>
      </c>
      <c r="M88" s="108">
        <v>115</v>
      </c>
      <c r="N88" s="108">
        <v>64</v>
      </c>
      <c r="O88" s="108">
        <v>63</v>
      </c>
      <c r="P88" s="108">
        <v>880</v>
      </c>
    </row>
    <row r="89" spans="1:16" x14ac:dyDescent="0.3">
      <c r="A89" s="280" t="s">
        <v>217</v>
      </c>
      <c r="B89" s="348" t="s">
        <v>218</v>
      </c>
      <c r="C89" s="348" t="s">
        <v>254</v>
      </c>
      <c r="D89" s="108">
        <v>376</v>
      </c>
      <c r="E89" s="108">
        <v>394</v>
      </c>
      <c r="F89" s="108">
        <v>330</v>
      </c>
      <c r="G89" s="108">
        <v>425</v>
      </c>
      <c r="H89" s="108">
        <v>317</v>
      </c>
      <c r="I89" s="108">
        <v>322</v>
      </c>
      <c r="J89" s="108">
        <v>400</v>
      </c>
      <c r="K89" s="108">
        <v>316</v>
      </c>
      <c r="L89" s="108">
        <v>521</v>
      </c>
      <c r="M89" s="108">
        <v>707</v>
      </c>
      <c r="N89" s="108">
        <v>342</v>
      </c>
      <c r="O89" s="108">
        <v>287</v>
      </c>
      <c r="P89" s="108">
        <v>4737</v>
      </c>
    </row>
    <row r="90" spans="1:16" x14ac:dyDescent="0.3">
      <c r="A90" s="280" t="s">
        <v>219</v>
      </c>
      <c r="B90" s="348" t="s">
        <v>220</v>
      </c>
      <c r="C90" s="348" t="s">
        <v>254</v>
      </c>
      <c r="D90" s="108">
        <v>297</v>
      </c>
      <c r="E90" s="108">
        <v>336</v>
      </c>
      <c r="F90" s="108">
        <v>302</v>
      </c>
      <c r="G90" s="108">
        <v>342</v>
      </c>
      <c r="H90" s="108">
        <v>256</v>
      </c>
      <c r="I90" s="108">
        <v>270</v>
      </c>
      <c r="J90" s="108">
        <v>321</v>
      </c>
      <c r="K90" s="108">
        <v>290</v>
      </c>
      <c r="L90" s="108">
        <v>453</v>
      </c>
      <c r="M90" s="108">
        <v>546</v>
      </c>
      <c r="N90" s="108">
        <v>300</v>
      </c>
      <c r="O90" s="108">
        <v>282</v>
      </c>
      <c r="P90" s="108">
        <v>3995</v>
      </c>
    </row>
    <row r="91" spans="1:16" x14ac:dyDescent="0.3">
      <c r="A91" s="280" t="s">
        <v>223</v>
      </c>
      <c r="B91" s="348" t="s">
        <v>224</v>
      </c>
      <c r="C91" s="348" t="s">
        <v>251</v>
      </c>
      <c r="D91" s="108">
        <v>24</v>
      </c>
      <c r="E91" s="108">
        <v>27</v>
      </c>
      <c r="F91" s="108">
        <v>18</v>
      </c>
      <c r="G91" s="108">
        <v>21</v>
      </c>
      <c r="H91" s="108">
        <v>16</v>
      </c>
      <c r="I91" s="108">
        <v>21</v>
      </c>
      <c r="J91" s="108">
        <v>21</v>
      </c>
      <c r="K91" s="108">
        <v>20</v>
      </c>
      <c r="L91" s="108">
        <v>35</v>
      </c>
      <c r="M91" s="108">
        <v>45</v>
      </c>
      <c r="N91" s="108">
        <v>16</v>
      </c>
      <c r="O91" s="108">
        <v>25</v>
      </c>
      <c r="P91" s="108">
        <v>289</v>
      </c>
    </row>
    <row r="92" spans="1:16" x14ac:dyDescent="0.3">
      <c r="A92" s="280" t="s">
        <v>225</v>
      </c>
      <c r="B92" s="348" t="s">
        <v>226</v>
      </c>
      <c r="C92" s="348" t="s">
        <v>251</v>
      </c>
      <c r="D92" s="108">
        <v>54</v>
      </c>
      <c r="E92" s="108">
        <v>61</v>
      </c>
      <c r="F92" s="108">
        <v>52</v>
      </c>
      <c r="G92" s="108">
        <v>50</v>
      </c>
      <c r="H92" s="108">
        <v>47</v>
      </c>
      <c r="I92" s="108">
        <v>40</v>
      </c>
      <c r="J92" s="108">
        <v>54</v>
      </c>
      <c r="K92" s="108">
        <v>38</v>
      </c>
      <c r="L92" s="108">
        <v>75</v>
      </c>
      <c r="M92" s="108">
        <v>90</v>
      </c>
      <c r="N92" s="108">
        <v>40</v>
      </c>
      <c r="O92" s="108">
        <v>48</v>
      </c>
      <c r="P92" s="108">
        <v>649</v>
      </c>
    </row>
    <row r="93" spans="1:16" x14ac:dyDescent="0.3">
      <c r="A93" s="280" t="s">
        <v>227</v>
      </c>
      <c r="B93" s="348" t="s">
        <v>228</v>
      </c>
      <c r="C93" s="348" t="s">
        <v>255</v>
      </c>
      <c r="D93" s="108">
        <v>199</v>
      </c>
      <c r="E93" s="108">
        <v>204</v>
      </c>
      <c r="F93" s="108">
        <v>194</v>
      </c>
      <c r="G93" s="108">
        <v>238</v>
      </c>
      <c r="H93" s="108">
        <v>177</v>
      </c>
      <c r="I93" s="108">
        <v>152</v>
      </c>
      <c r="J93" s="108">
        <v>213</v>
      </c>
      <c r="K93" s="108">
        <v>169</v>
      </c>
      <c r="L93" s="108">
        <v>253</v>
      </c>
      <c r="M93" s="108">
        <v>254</v>
      </c>
      <c r="N93" s="108">
        <v>139</v>
      </c>
      <c r="O93" s="108">
        <v>137</v>
      </c>
      <c r="P93" s="108">
        <v>2329</v>
      </c>
    </row>
    <row r="94" spans="1:16" x14ac:dyDescent="0.3">
      <c r="A94" s="280" t="s">
        <v>231</v>
      </c>
      <c r="B94" s="348" t="s">
        <v>232</v>
      </c>
      <c r="C94" s="348" t="s">
        <v>254</v>
      </c>
      <c r="D94" s="108">
        <v>112</v>
      </c>
      <c r="E94" s="108">
        <v>129</v>
      </c>
      <c r="F94" s="108">
        <v>95</v>
      </c>
      <c r="G94" s="108">
        <v>112</v>
      </c>
      <c r="H94" s="108">
        <v>115</v>
      </c>
      <c r="I94" s="108">
        <v>72</v>
      </c>
      <c r="J94" s="108">
        <v>107</v>
      </c>
      <c r="K94" s="108">
        <v>100</v>
      </c>
      <c r="L94" s="108">
        <v>174</v>
      </c>
      <c r="M94" s="108">
        <v>163</v>
      </c>
      <c r="N94" s="108">
        <v>88</v>
      </c>
      <c r="O94" s="108">
        <v>92</v>
      </c>
      <c r="P94" s="108">
        <v>1359</v>
      </c>
    </row>
    <row r="95" spans="1:16" x14ac:dyDescent="0.3">
      <c r="A95" s="280" t="s">
        <v>233</v>
      </c>
      <c r="B95" s="348" t="s">
        <v>234</v>
      </c>
      <c r="C95" s="348" t="s">
        <v>255</v>
      </c>
      <c r="D95" s="108">
        <v>200</v>
      </c>
      <c r="E95" s="108">
        <v>179</v>
      </c>
      <c r="F95" s="108">
        <v>170</v>
      </c>
      <c r="G95" s="108">
        <v>213</v>
      </c>
      <c r="H95" s="108">
        <v>159</v>
      </c>
      <c r="I95" s="108">
        <v>145</v>
      </c>
      <c r="J95" s="108">
        <v>215</v>
      </c>
      <c r="K95" s="108">
        <v>135</v>
      </c>
      <c r="L95" s="108">
        <v>258</v>
      </c>
      <c r="M95" s="108">
        <v>275</v>
      </c>
      <c r="N95" s="108">
        <v>153</v>
      </c>
      <c r="O95" s="108">
        <v>147</v>
      </c>
      <c r="P95" s="108">
        <v>2249</v>
      </c>
    </row>
    <row r="96" spans="1:16" x14ac:dyDescent="0.3">
      <c r="A96" s="280" t="s">
        <v>235</v>
      </c>
      <c r="B96" s="348" t="s">
        <v>236</v>
      </c>
      <c r="C96" s="348" t="s">
        <v>253</v>
      </c>
      <c r="D96" s="108">
        <v>60</v>
      </c>
      <c r="E96" s="108">
        <v>60</v>
      </c>
      <c r="F96" s="108">
        <v>59</v>
      </c>
      <c r="G96" s="108">
        <v>68</v>
      </c>
      <c r="H96" s="108">
        <v>76</v>
      </c>
      <c r="I96" s="108">
        <v>46</v>
      </c>
      <c r="J96" s="108">
        <v>64</v>
      </c>
      <c r="K96" s="108">
        <v>66</v>
      </c>
      <c r="L96" s="108">
        <v>105</v>
      </c>
      <c r="M96" s="108">
        <v>91</v>
      </c>
      <c r="N96" s="108">
        <v>62</v>
      </c>
      <c r="O96" s="108">
        <v>56</v>
      </c>
      <c r="P96" s="108">
        <v>813</v>
      </c>
    </row>
    <row r="97" spans="1:16" x14ac:dyDescent="0.3">
      <c r="A97" s="280" t="s">
        <v>241</v>
      </c>
      <c r="B97" s="348" t="s">
        <v>242</v>
      </c>
      <c r="C97" s="348" t="s">
        <v>255</v>
      </c>
      <c r="D97" s="108">
        <v>196</v>
      </c>
      <c r="E97" s="108">
        <v>187</v>
      </c>
      <c r="F97" s="108">
        <v>199</v>
      </c>
      <c r="G97" s="108">
        <v>183</v>
      </c>
      <c r="H97" s="108">
        <v>159</v>
      </c>
      <c r="I97" s="108">
        <v>143</v>
      </c>
      <c r="J97" s="108">
        <v>185</v>
      </c>
      <c r="K97" s="108">
        <v>173</v>
      </c>
      <c r="L97" s="108">
        <v>270</v>
      </c>
      <c r="M97" s="108">
        <v>287</v>
      </c>
      <c r="N97" s="108">
        <v>149</v>
      </c>
      <c r="O97" s="108">
        <v>142</v>
      </c>
      <c r="P97" s="108">
        <v>2273</v>
      </c>
    </row>
    <row r="98" spans="1:16" x14ac:dyDescent="0.3">
      <c r="A98" s="280" t="s">
        <v>243</v>
      </c>
      <c r="B98" s="348" t="s">
        <v>244</v>
      </c>
      <c r="C98" s="348" t="s">
        <v>255</v>
      </c>
      <c r="D98" s="108">
        <v>142</v>
      </c>
      <c r="E98" s="108">
        <v>132</v>
      </c>
      <c r="F98" s="108">
        <v>120</v>
      </c>
      <c r="G98" s="108">
        <v>133</v>
      </c>
      <c r="H98" s="108">
        <v>113</v>
      </c>
      <c r="I98" s="108">
        <v>113</v>
      </c>
      <c r="J98" s="108">
        <v>123</v>
      </c>
      <c r="K98" s="108">
        <v>95</v>
      </c>
      <c r="L98" s="108">
        <v>162</v>
      </c>
      <c r="M98" s="108">
        <v>172</v>
      </c>
      <c r="N98" s="108">
        <v>98</v>
      </c>
      <c r="O98" s="108">
        <v>78</v>
      </c>
      <c r="P98" s="108">
        <v>1481</v>
      </c>
    </row>
    <row r="99" spans="1:16" x14ac:dyDescent="0.3">
      <c r="A99" s="280" t="s">
        <v>245</v>
      </c>
      <c r="B99" s="348" t="s">
        <v>246</v>
      </c>
      <c r="C99" s="348" t="s">
        <v>251</v>
      </c>
      <c r="D99" s="108">
        <v>120</v>
      </c>
      <c r="E99" s="108">
        <v>94</v>
      </c>
      <c r="F99" s="108">
        <v>116</v>
      </c>
      <c r="G99" s="108">
        <v>138</v>
      </c>
      <c r="H99" s="108">
        <v>93</v>
      </c>
      <c r="I99" s="108">
        <v>85</v>
      </c>
      <c r="J99" s="108">
        <v>114</v>
      </c>
      <c r="K99" s="108">
        <v>113</v>
      </c>
      <c r="L99" s="108">
        <v>240</v>
      </c>
      <c r="M99" s="108">
        <v>227</v>
      </c>
      <c r="N99" s="108">
        <v>111</v>
      </c>
      <c r="O99" s="108">
        <v>107</v>
      </c>
      <c r="P99" s="108">
        <v>1558</v>
      </c>
    </row>
    <row r="100" spans="1:16" x14ac:dyDescent="0.3">
      <c r="A100" s="280" t="s">
        <v>13</v>
      </c>
      <c r="B100" s="348" t="s">
        <v>14</v>
      </c>
      <c r="C100" s="348" t="s">
        <v>254</v>
      </c>
      <c r="D100" s="108">
        <v>283</v>
      </c>
      <c r="E100" s="108">
        <v>260</v>
      </c>
      <c r="F100" s="108">
        <v>257</v>
      </c>
      <c r="G100" s="108">
        <v>272</v>
      </c>
      <c r="H100" s="108">
        <v>255</v>
      </c>
      <c r="I100" s="108">
        <v>247</v>
      </c>
      <c r="J100" s="108">
        <v>315</v>
      </c>
      <c r="K100" s="108">
        <v>250</v>
      </c>
      <c r="L100" s="108">
        <v>562</v>
      </c>
      <c r="M100" s="108">
        <v>752</v>
      </c>
      <c r="N100" s="108">
        <v>486</v>
      </c>
      <c r="O100" s="108">
        <v>286</v>
      </c>
      <c r="P100" s="108">
        <v>4225</v>
      </c>
    </row>
    <row r="101" spans="1:16" x14ac:dyDescent="0.3">
      <c r="A101" s="280" t="s">
        <v>33</v>
      </c>
      <c r="B101" s="348" t="s">
        <v>34</v>
      </c>
      <c r="C101" s="348" t="s">
        <v>255</v>
      </c>
      <c r="D101" s="108">
        <v>141</v>
      </c>
      <c r="E101" s="108">
        <v>116</v>
      </c>
      <c r="F101" s="108">
        <v>122</v>
      </c>
      <c r="G101" s="108">
        <v>106</v>
      </c>
      <c r="H101" s="108">
        <v>126</v>
      </c>
      <c r="I101" s="108">
        <v>108</v>
      </c>
      <c r="J101" s="108">
        <v>144</v>
      </c>
      <c r="K101" s="108">
        <v>105</v>
      </c>
      <c r="L101" s="108">
        <v>185</v>
      </c>
      <c r="M101" s="108">
        <v>171</v>
      </c>
      <c r="N101" s="108">
        <v>88</v>
      </c>
      <c r="O101" s="108">
        <v>83</v>
      </c>
      <c r="P101" s="108">
        <v>1495</v>
      </c>
    </row>
    <row r="102" spans="1:16" x14ac:dyDescent="0.3">
      <c r="A102" s="280" t="s">
        <v>51</v>
      </c>
      <c r="B102" s="348" t="s">
        <v>52</v>
      </c>
      <c r="C102" s="348" t="s">
        <v>252</v>
      </c>
      <c r="D102" s="108">
        <v>157</v>
      </c>
      <c r="E102" s="108">
        <v>152</v>
      </c>
      <c r="F102" s="108">
        <v>124</v>
      </c>
      <c r="G102" s="108">
        <v>146</v>
      </c>
      <c r="H102" s="108">
        <v>107</v>
      </c>
      <c r="I102" s="108">
        <v>137</v>
      </c>
      <c r="J102" s="108">
        <v>115</v>
      </c>
      <c r="K102" s="108">
        <v>115</v>
      </c>
      <c r="L102" s="108">
        <v>258</v>
      </c>
      <c r="M102" s="108">
        <v>301</v>
      </c>
      <c r="N102" s="108">
        <v>135</v>
      </c>
      <c r="O102" s="108">
        <v>107</v>
      </c>
      <c r="P102" s="108">
        <v>1854</v>
      </c>
    </row>
    <row r="103" spans="1:16" x14ac:dyDescent="0.3">
      <c r="A103" s="280" t="s">
        <v>53</v>
      </c>
      <c r="B103" s="348" t="s">
        <v>54</v>
      </c>
      <c r="C103" s="348" t="s">
        <v>251</v>
      </c>
      <c r="D103" s="108">
        <v>834</v>
      </c>
      <c r="E103" s="108">
        <v>773</v>
      </c>
      <c r="F103" s="108">
        <v>705</v>
      </c>
      <c r="G103" s="108">
        <v>745</v>
      </c>
      <c r="H103" s="108">
        <v>612</v>
      </c>
      <c r="I103" s="108">
        <v>583</v>
      </c>
      <c r="J103" s="108">
        <v>811</v>
      </c>
      <c r="K103" s="108">
        <v>644</v>
      </c>
      <c r="L103" s="108">
        <v>1421</v>
      </c>
      <c r="M103" s="108">
        <v>1429</v>
      </c>
      <c r="N103" s="108">
        <v>757</v>
      </c>
      <c r="O103" s="108">
        <v>643</v>
      </c>
      <c r="P103" s="108">
        <v>9957</v>
      </c>
    </row>
    <row r="104" spans="1:16" x14ac:dyDescent="0.3">
      <c r="A104" s="280" t="s">
        <v>65</v>
      </c>
      <c r="B104" s="348" t="s">
        <v>66</v>
      </c>
      <c r="C104" s="348" t="s">
        <v>252</v>
      </c>
      <c r="D104" s="108">
        <v>324</v>
      </c>
      <c r="E104" s="108">
        <v>301</v>
      </c>
      <c r="F104" s="108">
        <v>279</v>
      </c>
      <c r="G104" s="108">
        <v>309</v>
      </c>
      <c r="H104" s="108">
        <v>247</v>
      </c>
      <c r="I104" s="108">
        <v>309</v>
      </c>
      <c r="J104" s="108">
        <v>320</v>
      </c>
      <c r="K104" s="108">
        <v>236</v>
      </c>
      <c r="L104" s="108">
        <v>425</v>
      </c>
      <c r="M104" s="108">
        <v>391</v>
      </c>
      <c r="N104" s="108">
        <v>245</v>
      </c>
      <c r="O104" s="108">
        <v>234</v>
      </c>
      <c r="P104" s="108">
        <v>3620</v>
      </c>
    </row>
    <row r="105" spans="1:16" x14ac:dyDescent="0.3">
      <c r="A105" s="280" t="s">
        <v>81</v>
      </c>
      <c r="B105" s="348" t="s">
        <v>82</v>
      </c>
      <c r="C105" s="348" t="s">
        <v>251</v>
      </c>
      <c r="D105" s="108">
        <v>80</v>
      </c>
      <c r="E105" s="108">
        <v>63</v>
      </c>
      <c r="F105" s="108">
        <v>53</v>
      </c>
      <c r="G105" s="108">
        <v>56</v>
      </c>
      <c r="H105" s="108">
        <v>61</v>
      </c>
      <c r="I105" s="108">
        <v>48</v>
      </c>
      <c r="J105" s="108">
        <v>63</v>
      </c>
      <c r="K105" s="108">
        <v>42</v>
      </c>
      <c r="L105" s="108">
        <v>94</v>
      </c>
      <c r="M105" s="108">
        <v>89</v>
      </c>
      <c r="N105" s="108">
        <v>42</v>
      </c>
      <c r="O105" s="108">
        <v>49</v>
      </c>
      <c r="P105" s="108">
        <v>740</v>
      </c>
    </row>
    <row r="106" spans="1:16" x14ac:dyDescent="0.3">
      <c r="A106" s="280" t="s">
        <v>87</v>
      </c>
      <c r="B106" s="348" t="s">
        <v>88</v>
      </c>
      <c r="C106" s="348" t="s">
        <v>254</v>
      </c>
      <c r="D106" s="108">
        <v>196</v>
      </c>
      <c r="E106" s="108">
        <v>160</v>
      </c>
      <c r="F106" s="108">
        <v>158</v>
      </c>
      <c r="G106" s="108">
        <v>161</v>
      </c>
      <c r="H106" s="108">
        <v>137</v>
      </c>
      <c r="I106" s="108">
        <v>161</v>
      </c>
      <c r="J106" s="108">
        <v>166</v>
      </c>
      <c r="K106" s="108">
        <v>145</v>
      </c>
      <c r="L106" s="108">
        <v>201</v>
      </c>
      <c r="M106" s="108">
        <v>263</v>
      </c>
      <c r="N106" s="108">
        <v>126</v>
      </c>
      <c r="O106" s="108">
        <v>125</v>
      </c>
      <c r="P106" s="108">
        <v>1999</v>
      </c>
    </row>
    <row r="107" spans="1:16" x14ac:dyDescent="0.3">
      <c r="A107" s="280" t="s">
        <v>89</v>
      </c>
      <c r="B107" s="348" t="s">
        <v>90</v>
      </c>
      <c r="C107" s="348" t="s">
        <v>255</v>
      </c>
      <c r="D107" s="108">
        <v>38</v>
      </c>
      <c r="E107" s="108">
        <v>54</v>
      </c>
      <c r="F107" s="108">
        <v>43</v>
      </c>
      <c r="G107" s="108">
        <v>46</v>
      </c>
      <c r="H107" s="108">
        <v>40</v>
      </c>
      <c r="I107" s="108">
        <v>30</v>
      </c>
      <c r="J107" s="108">
        <v>34</v>
      </c>
      <c r="K107" s="108">
        <v>31</v>
      </c>
      <c r="L107" s="108">
        <v>51</v>
      </c>
      <c r="M107" s="108">
        <v>41</v>
      </c>
      <c r="N107" s="108">
        <v>23</v>
      </c>
      <c r="O107" s="108">
        <v>30</v>
      </c>
      <c r="P107" s="108">
        <v>461</v>
      </c>
    </row>
    <row r="108" spans="1:16" x14ac:dyDescent="0.3">
      <c r="A108" s="280" t="s">
        <v>105</v>
      </c>
      <c r="B108" s="348" t="s">
        <v>106</v>
      </c>
      <c r="C108" s="348" t="s">
        <v>251</v>
      </c>
      <c r="D108" s="108">
        <v>739</v>
      </c>
      <c r="E108" s="108">
        <v>732</v>
      </c>
      <c r="F108" s="108">
        <v>705</v>
      </c>
      <c r="G108" s="108">
        <v>713</v>
      </c>
      <c r="H108" s="108">
        <v>598</v>
      </c>
      <c r="I108" s="108">
        <v>581</v>
      </c>
      <c r="J108" s="108">
        <v>786</v>
      </c>
      <c r="K108" s="108">
        <v>593</v>
      </c>
      <c r="L108" s="108">
        <v>1314</v>
      </c>
      <c r="M108" s="108">
        <v>1361</v>
      </c>
      <c r="N108" s="108">
        <v>675</v>
      </c>
      <c r="O108" s="108">
        <v>521</v>
      </c>
      <c r="P108" s="108">
        <v>9318</v>
      </c>
    </row>
    <row r="109" spans="1:16" x14ac:dyDescent="0.3">
      <c r="A109" s="280" t="s">
        <v>115</v>
      </c>
      <c r="B109" s="348" t="s">
        <v>116</v>
      </c>
      <c r="C109" s="348" t="s">
        <v>253</v>
      </c>
      <c r="D109" s="108">
        <v>213</v>
      </c>
      <c r="E109" s="108">
        <v>182</v>
      </c>
      <c r="F109" s="108">
        <v>193</v>
      </c>
      <c r="G109" s="108">
        <v>188</v>
      </c>
      <c r="H109" s="108">
        <v>126</v>
      </c>
      <c r="I109" s="108">
        <v>154</v>
      </c>
      <c r="J109" s="108">
        <v>193</v>
      </c>
      <c r="K109" s="108">
        <v>166</v>
      </c>
      <c r="L109" s="108">
        <v>302</v>
      </c>
      <c r="M109" s="108">
        <v>264</v>
      </c>
      <c r="N109" s="108">
        <v>153</v>
      </c>
      <c r="O109" s="108">
        <v>144</v>
      </c>
      <c r="P109" s="108">
        <v>2278</v>
      </c>
    </row>
    <row r="110" spans="1:16" x14ac:dyDescent="0.3">
      <c r="A110" s="280" t="s">
        <v>137</v>
      </c>
      <c r="B110" s="348" t="s">
        <v>138</v>
      </c>
      <c r="C110" s="348" t="s">
        <v>252</v>
      </c>
      <c r="D110" s="108">
        <v>388</v>
      </c>
      <c r="E110" s="108">
        <v>378</v>
      </c>
      <c r="F110" s="108">
        <v>397</v>
      </c>
      <c r="G110" s="108">
        <v>384</v>
      </c>
      <c r="H110" s="108">
        <v>327</v>
      </c>
      <c r="I110" s="108">
        <v>364</v>
      </c>
      <c r="J110" s="108">
        <v>398</v>
      </c>
      <c r="K110" s="108">
        <v>259</v>
      </c>
      <c r="L110" s="108">
        <v>556</v>
      </c>
      <c r="M110" s="108">
        <v>510</v>
      </c>
      <c r="N110" s="108">
        <v>288</v>
      </c>
      <c r="O110" s="108">
        <v>276</v>
      </c>
      <c r="P110" s="108">
        <v>4525</v>
      </c>
    </row>
    <row r="111" spans="1:16" x14ac:dyDescent="0.3">
      <c r="A111" s="280" t="s">
        <v>141</v>
      </c>
      <c r="B111" s="348" t="s">
        <v>142</v>
      </c>
      <c r="C111" s="348" t="s">
        <v>254</v>
      </c>
      <c r="D111" s="108">
        <v>80</v>
      </c>
      <c r="E111" s="108">
        <v>92</v>
      </c>
      <c r="F111" s="108">
        <v>97</v>
      </c>
      <c r="G111" s="108">
        <v>97</v>
      </c>
      <c r="H111" s="108">
        <v>79</v>
      </c>
      <c r="I111" s="108">
        <v>72</v>
      </c>
      <c r="J111" s="108">
        <v>102</v>
      </c>
      <c r="K111" s="108">
        <v>76</v>
      </c>
      <c r="L111" s="108">
        <v>143</v>
      </c>
      <c r="M111" s="108">
        <v>210</v>
      </c>
      <c r="N111" s="108">
        <v>113</v>
      </c>
      <c r="O111" s="108">
        <v>107</v>
      </c>
      <c r="P111" s="108">
        <v>1268</v>
      </c>
    </row>
    <row r="112" spans="1:16" x14ac:dyDescent="0.3">
      <c r="A112" s="280" t="s">
        <v>143</v>
      </c>
      <c r="B112" s="348" t="s">
        <v>144</v>
      </c>
      <c r="C112" s="348" t="s">
        <v>254</v>
      </c>
      <c r="D112" s="108">
        <v>27</v>
      </c>
      <c r="E112" s="108">
        <v>28</v>
      </c>
      <c r="F112" s="108">
        <v>31</v>
      </c>
      <c r="G112" s="108">
        <v>36</v>
      </c>
      <c r="H112" s="108">
        <v>32</v>
      </c>
      <c r="I112" s="108">
        <v>29</v>
      </c>
      <c r="J112" s="108">
        <v>22</v>
      </c>
      <c r="K112" s="108">
        <v>20</v>
      </c>
      <c r="L112" s="108">
        <v>48</v>
      </c>
      <c r="M112" s="108">
        <v>62</v>
      </c>
      <c r="N112" s="108">
        <v>43</v>
      </c>
      <c r="O112" s="108">
        <v>29</v>
      </c>
      <c r="P112" s="108">
        <v>407</v>
      </c>
    </row>
    <row r="113" spans="1:16" x14ac:dyDescent="0.3">
      <c r="A113" s="280" t="s">
        <v>157</v>
      </c>
      <c r="B113" s="348" t="s">
        <v>158</v>
      </c>
      <c r="C113" s="348" t="s">
        <v>251</v>
      </c>
      <c r="D113" s="108">
        <v>1284</v>
      </c>
      <c r="E113" s="108">
        <v>1184</v>
      </c>
      <c r="F113" s="108">
        <v>1109</v>
      </c>
      <c r="G113" s="108">
        <v>1127</v>
      </c>
      <c r="H113" s="108">
        <v>897</v>
      </c>
      <c r="I113" s="108">
        <v>1001</v>
      </c>
      <c r="J113" s="108">
        <v>1244</v>
      </c>
      <c r="K113" s="108">
        <v>844</v>
      </c>
      <c r="L113" s="108">
        <v>2244</v>
      </c>
      <c r="M113" s="108">
        <v>2170</v>
      </c>
      <c r="N113" s="108">
        <v>1071</v>
      </c>
      <c r="O113" s="108">
        <v>903</v>
      </c>
      <c r="P113" s="108">
        <v>15078</v>
      </c>
    </row>
    <row r="114" spans="1:16" x14ac:dyDescent="0.3">
      <c r="A114" s="280" t="s">
        <v>159</v>
      </c>
      <c r="B114" s="348" t="s">
        <v>160</v>
      </c>
      <c r="C114" s="348" t="s">
        <v>251</v>
      </c>
      <c r="D114" s="108">
        <v>1429</v>
      </c>
      <c r="E114" s="108">
        <v>1344</v>
      </c>
      <c r="F114" s="108">
        <v>1220</v>
      </c>
      <c r="G114" s="108">
        <v>1390</v>
      </c>
      <c r="H114" s="108">
        <v>1141</v>
      </c>
      <c r="I114" s="108">
        <v>1070</v>
      </c>
      <c r="J114" s="108">
        <v>1498</v>
      </c>
      <c r="K114" s="108">
        <v>1124</v>
      </c>
      <c r="L114" s="108">
        <v>2673</v>
      </c>
      <c r="M114" s="108">
        <v>2520</v>
      </c>
      <c r="N114" s="108">
        <v>1373</v>
      </c>
      <c r="O114" s="108">
        <v>1042</v>
      </c>
      <c r="P114" s="108">
        <v>17824</v>
      </c>
    </row>
    <row r="115" spans="1:16" x14ac:dyDescent="0.3">
      <c r="A115" s="280" t="s">
        <v>165</v>
      </c>
      <c r="B115" s="348" t="s">
        <v>166</v>
      </c>
      <c r="C115" s="348" t="s">
        <v>255</v>
      </c>
      <c r="D115" s="108">
        <v>21</v>
      </c>
      <c r="E115" s="108">
        <v>31</v>
      </c>
      <c r="F115" s="108">
        <v>19</v>
      </c>
      <c r="G115" s="108">
        <v>27</v>
      </c>
      <c r="H115" s="108">
        <v>7</v>
      </c>
      <c r="I115" s="108">
        <v>14</v>
      </c>
      <c r="J115" s="108">
        <v>24</v>
      </c>
      <c r="K115" s="108">
        <v>12</v>
      </c>
      <c r="L115" s="108">
        <v>30</v>
      </c>
      <c r="M115" s="108">
        <v>40</v>
      </c>
      <c r="N115" s="108">
        <v>16</v>
      </c>
      <c r="O115" s="108">
        <v>20</v>
      </c>
      <c r="P115" s="108">
        <v>261</v>
      </c>
    </row>
    <row r="116" spans="1:16" x14ac:dyDescent="0.3">
      <c r="A116" s="280" t="s">
        <v>175</v>
      </c>
      <c r="B116" s="348" t="s">
        <v>176</v>
      </c>
      <c r="C116" s="348" t="s">
        <v>253</v>
      </c>
      <c r="D116" s="108">
        <v>386</v>
      </c>
      <c r="E116" s="108">
        <v>398</v>
      </c>
      <c r="F116" s="108">
        <v>335</v>
      </c>
      <c r="G116" s="108">
        <v>355</v>
      </c>
      <c r="H116" s="108">
        <v>305</v>
      </c>
      <c r="I116" s="108">
        <v>295</v>
      </c>
      <c r="J116" s="108">
        <v>353</v>
      </c>
      <c r="K116" s="108">
        <v>338</v>
      </c>
      <c r="L116" s="108">
        <v>512</v>
      </c>
      <c r="M116" s="108">
        <v>547</v>
      </c>
      <c r="N116" s="108">
        <v>343</v>
      </c>
      <c r="O116" s="108">
        <v>296</v>
      </c>
      <c r="P116" s="108">
        <v>4463</v>
      </c>
    </row>
    <row r="117" spans="1:16" x14ac:dyDescent="0.3">
      <c r="A117" s="280" t="s">
        <v>179</v>
      </c>
      <c r="B117" s="348" t="s">
        <v>180</v>
      </c>
      <c r="C117" s="348" t="s">
        <v>251</v>
      </c>
      <c r="D117" s="108">
        <v>718</v>
      </c>
      <c r="E117" s="108">
        <v>647</v>
      </c>
      <c r="F117" s="108">
        <v>566</v>
      </c>
      <c r="G117" s="108">
        <v>635</v>
      </c>
      <c r="H117" s="108">
        <v>489</v>
      </c>
      <c r="I117" s="108">
        <v>521</v>
      </c>
      <c r="J117" s="108">
        <v>695</v>
      </c>
      <c r="K117" s="108">
        <v>512</v>
      </c>
      <c r="L117" s="108">
        <v>1065</v>
      </c>
      <c r="M117" s="108">
        <v>1023</v>
      </c>
      <c r="N117" s="108">
        <v>619</v>
      </c>
      <c r="O117" s="108">
        <v>501</v>
      </c>
      <c r="P117" s="108">
        <v>7991</v>
      </c>
    </row>
    <row r="118" spans="1:16" x14ac:dyDescent="0.3">
      <c r="A118" s="280" t="s">
        <v>191</v>
      </c>
      <c r="B118" s="348" t="s">
        <v>192</v>
      </c>
      <c r="C118" s="348" t="s">
        <v>255</v>
      </c>
      <c r="D118" s="108">
        <v>41</v>
      </c>
      <c r="E118" s="108">
        <v>54</v>
      </c>
      <c r="F118" s="108">
        <v>54</v>
      </c>
      <c r="G118" s="108">
        <v>62</v>
      </c>
      <c r="H118" s="108">
        <v>47</v>
      </c>
      <c r="I118" s="108">
        <v>43</v>
      </c>
      <c r="J118" s="108">
        <v>56</v>
      </c>
      <c r="K118" s="108">
        <v>32</v>
      </c>
      <c r="L118" s="108">
        <v>81</v>
      </c>
      <c r="M118" s="108">
        <v>78</v>
      </c>
      <c r="N118" s="108">
        <v>46</v>
      </c>
      <c r="O118" s="108">
        <v>38</v>
      </c>
      <c r="P118" s="108">
        <v>632</v>
      </c>
    </row>
    <row r="119" spans="1:16" x14ac:dyDescent="0.3">
      <c r="A119" s="280" t="s">
        <v>195</v>
      </c>
      <c r="B119" s="348" t="s">
        <v>196</v>
      </c>
      <c r="C119" s="348" t="s">
        <v>253</v>
      </c>
      <c r="D119" s="108">
        <v>1705</v>
      </c>
      <c r="E119" s="108">
        <v>1632</v>
      </c>
      <c r="F119" s="108">
        <v>1401</v>
      </c>
      <c r="G119" s="108">
        <v>1470</v>
      </c>
      <c r="H119" s="108">
        <v>1245</v>
      </c>
      <c r="I119" s="108">
        <v>1270</v>
      </c>
      <c r="J119" s="108">
        <v>1521</v>
      </c>
      <c r="K119" s="108">
        <v>1255</v>
      </c>
      <c r="L119" s="108">
        <v>2632</v>
      </c>
      <c r="M119" s="108">
        <v>2670</v>
      </c>
      <c r="N119" s="108">
        <v>1625</v>
      </c>
      <c r="O119" s="108">
        <v>1172</v>
      </c>
      <c r="P119" s="108">
        <v>19598</v>
      </c>
    </row>
    <row r="120" spans="1:16" x14ac:dyDescent="0.3">
      <c r="A120" s="280" t="s">
        <v>199</v>
      </c>
      <c r="B120" s="348" t="s">
        <v>200</v>
      </c>
      <c r="C120" s="348" t="s">
        <v>252</v>
      </c>
      <c r="D120" s="108">
        <v>705</v>
      </c>
      <c r="E120" s="108">
        <v>684</v>
      </c>
      <c r="F120" s="108">
        <v>650</v>
      </c>
      <c r="G120" s="108">
        <v>641</v>
      </c>
      <c r="H120" s="108">
        <v>530</v>
      </c>
      <c r="I120" s="108">
        <v>529</v>
      </c>
      <c r="J120" s="108">
        <v>711</v>
      </c>
      <c r="K120" s="108">
        <v>560</v>
      </c>
      <c r="L120" s="108">
        <v>863</v>
      </c>
      <c r="M120" s="108">
        <v>998</v>
      </c>
      <c r="N120" s="108">
        <v>557</v>
      </c>
      <c r="O120" s="108">
        <v>517</v>
      </c>
      <c r="P120" s="108">
        <v>7945</v>
      </c>
    </row>
    <row r="121" spans="1:16" x14ac:dyDescent="0.3">
      <c r="A121" s="280" t="s">
        <v>221</v>
      </c>
      <c r="B121" s="348" t="s">
        <v>222</v>
      </c>
      <c r="C121" s="348" t="s">
        <v>251</v>
      </c>
      <c r="D121" s="108">
        <v>348</v>
      </c>
      <c r="E121" s="108">
        <v>353</v>
      </c>
      <c r="F121" s="108">
        <v>304</v>
      </c>
      <c r="G121" s="108">
        <v>321</v>
      </c>
      <c r="H121" s="108">
        <v>297</v>
      </c>
      <c r="I121" s="108">
        <v>302</v>
      </c>
      <c r="J121" s="108">
        <v>347</v>
      </c>
      <c r="K121" s="108">
        <v>259</v>
      </c>
      <c r="L121" s="108">
        <v>588</v>
      </c>
      <c r="M121" s="108">
        <v>625</v>
      </c>
      <c r="N121" s="108">
        <v>314</v>
      </c>
      <c r="O121" s="108">
        <v>260</v>
      </c>
      <c r="P121" s="108">
        <v>4318</v>
      </c>
    </row>
    <row r="122" spans="1:16" x14ac:dyDescent="0.3">
      <c r="A122" s="280" t="s">
        <v>229</v>
      </c>
      <c r="B122" s="348" t="s">
        <v>230</v>
      </c>
      <c r="C122" s="348" t="s">
        <v>251</v>
      </c>
      <c r="D122" s="108">
        <v>1371</v>
      </c>
      <c r="E122" s="108">
        <v>1199</v>
      </c>
      <c r="F122" s="108">
        <v>1273</v>
      </c>
      <c r="G122" s="108">
        <v>1396</v>
      </c>
      <c r="H122" s="108">
        <v>1131</v>
      </c>
      <c r="I122" s="108">
        <v>1089</v>
      </c>
      <c r="J122" s="108">
        <v>1410</v>
      </c>
      <c r="K122" s="108">
        <v>1140</v>
      </c>
      <c r="L122" s="108">
        <v>2643</v>
      </c>
      <c r="M122" s="108">
        <v>2646</v>
      </c>
      <c r="N122" s="108">
        <v>1181</v>
      </c>
      <c r="O122" s="108">
        <v>1044</v>
      </c>
      <c r="P122" s="108">
        <v>17523</v>
      </c>
    </row>
    <row r="123" spans="1:16" x14ac:dyDescent="0.3">
      <c r="A123" s="280" t="s">
        <v>237</v>
      </c>
      <c r="B123" s="348" t="s">
        <v>238</v>
      </c>
      <c r="C123" s="348" t="s">
        <v>251</v>
      </c>
      <c r="D123" s="108">
        <v>49</v>
      </c>
      <c r="E123" s="108">
        <v>49</v>
      </c>
      <c r="F123" s="108">
        <v>60</v>
      </c>
      <c r="G123" s="108">
        <v>63</v>
      </c>
      <c r="H123" s="108">
        <v>57</v>
      </c>
      <c r="I123" s="108">
        <v>43</v>
      </c>
      <c r="J123" s="108">
        <v>71</v>
      </c>
      <c r="K123" s="108">
        <v>44</v>
      </c>
      <c r="L123" s="108">
        <v>81</v>
      </c>
      <c r="M123" s="108">
        <v>80</v>
      </c>
      <c r="N123" s="108">
        <v>35</v>
      </c>
      <c r="O123" s="108">
        <v>36</v>
      </c>
      <c r="P123" s="108">
        <v>668</v>
      </c>
    </row>
    <row r="124" spans="1:16" x14ac:dyDescent="0.3">
      <c r="A124" s="281" t="s">
        <v>239</v>
      </c>
      <c r="B124" s="282" t="s">
        <v>240</v>
      </c>
      <c r="C124" s="282" t="s">
        <v>254</v>
      </c>
      <c r="D124" s="108">
        <v>135</v>
      </c>
      <c r="E124" s="108">
        <v>160</v>
      </c>
      <c r="F124" s="108">
        <v>128</v>
      </c>
      <c r="G124" s="108">
        <v>147</v>
      </c>
      <c r="H124" s="108">
        <v>115</v>
      </c>
      <c r="I124" s="108">
        <v>114</v>
      </c>
      <c r="J124" s="108">
        <v>174</v>
      </c>
      <c r="K124" s="108">
        <v>120</v>
      </c>
      <c r="L124" s="108">
        <v>179</v>
      </c>
      <c r="M124" s="108">
        <v>203</v>
      </c>
      <c r="N124" s="108">
        <v>112</v>
      </c>
      <c r="O124" s="108">
        <v>108</v>
      </c>
      <c r="P124" s="108">
        <v>1695</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8" activePane="bottomRight" state="frozen"/>
      <selection pane="topRight" activeCell="D1" sqref="D1"/>
      <selection pane="bottomLeft" activeCell="A5" sqref="A5"/>
      <selection pane="bottomRight" activeCell="J126" sqref="J126"/>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879</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25257</v>
      </c>
      <c r="E4" s="1106">
        <f t="shared" ref="E4:P4" si="0">SUM(E5:E124)</f>
        <v>25891</v>
      </c>
      <c r="F4" s="1106">
        <f t="shared" si="0"/>
        <v>23725</v>
      </c>
      <c r="G4" s="1106">
        <f t="shared" si="0"/>
        <v>25604</v>
      </c>
      <c r="H4" s="1107">
        <f t="shared" si="0"/>
        <v>22956</v>
      </c>
      <c r="I4" s="1107">
        <f t="shared" si="0"/>
        <v>22337</v>
      </c>
      <c r="J4" s="1107">
        <f t="shared" si="0"/>
        <v>24147</v>
      </c>
      <c r="K4" s="1107">
        <f t="shared" si="0"/>
        <v>22092</v>
      </c>
      <c r="L4" s="1107">
        <f t="shared" si="0"/>
        <v>26222</v>
      </c>
      <c r="M4" s="1107">
        <f t="shared" si="0"/>
        <v>58563</v>
      </c>
      <c r="N4" s="1107">
        <f t="shared" si="0"/>
        <v>29681</v>
      </c>
      <c r="O4" s="1107">
        <f t="shared" si="0"/>
        <v>22341</v>
      </c>
      <c r="P4" s="1107">
        <f t="shared" si="0"/>
        <v>328816</v>
      </c>
    </row>
    <row r="5" spans="1:16" x14ac:dyDescent="0.3">
      <c r="A5" s="279" t="s">
        <v>9</v>
      </c>
      <c r="B5" s="324" t="s">
        <v>10</v>
      </c>
      <c r="C5" s="324" t="s">
        <v>251</v>
      </c>
      <c r="D5" s="108">
        <v>128</v>
      </c>
      <c r="E5" s="108">
        <v>130</v>
      </c>
      <c r="F5" s="108">
        <v>122</v>
      </c>
      <c r="G5" s="108">
        <v>162</v>
      </c>
      <c r="H5" s="108">
        <v>139</v>
      </c>
      <c r="I5" s="108">
        <v>158</v>
      </c>
      <c r="J5" s="108">
        <v>127</v>
      </c>
      <c r="K5" s="108">
        <v>128</v>
      </c>
      <c r="L5" s="108">
        <v>179</v>
      </c>
      <c r="M5" s="108">
        <v>243</v>
      </c>
      <c r="N5" s="108">
        <v>158</v>
      </c>
      <c r="O5" s="108">
        <v>118</v>
      </c>
      <c r="P5" s="108">
        <v>1792</v>
      </c>
    </row>
    <row r="6" spans="1:16" x14ac:dyDescent="0.3">
      <c r="A6" s="280" t="s">
        <v>11</v>
      </c>
      <c r="B6" s="348" t="s">
        <v>12</v>
      </c>
      <c r="C6" s="348" t="s">
        <v>252</v>
      </c>
      <c r="D6" s="108">
        <v>191</v>
      </c>
      <c r="E6" s="108">
        <v>201</v>
      </c>
      <c r="F6" s="108">
        <v>162</v>
      </c>
      <c r="G6" s="108">
        <v>211</v>
      </c>
      <c r="H6" s="108">
        <v>187</v>
      </c>
      <c r="I6" s="108">
        <v>168</v>
      </c>
      <c r="J6" s="108">
        <v>172</v>
      </c>
      <c r="K6" s="108">
        <v>167</v>
      </c>
      <c r="L6" s="108">
        <v>252</v>
      </c>
      <c r="M6" s="108">
        <v>487</v>
      </c>
      <c r="N6" s="108">
        <v>225</v>
      </c>
      <c r="O6" s="108">
        <v>170</v>
      </c>
      <c r="P6" s="108">
        <v>2593</v>
      </c>
    </row>
    <row r="7" spans="1:16" x14ac:dyDescent="0.3">
      <c r="A7" s="280" t="s">
        <v>15</v>
      </c>
      <c r="B7" s="348" t="s">
        <v>273</v>
      </c>
      <c r="C7" s="348" t="s">
        <v>252</v>
      </c>
      <c r="D7" s="108">
        <v>71</v>
      </c>
      <c r="E7" s="108">
        <v>85</v>
      </c>
      <c r="F7" s="108">
        <v>75</v>
      </c>
      <c r="G7" s="108">
        <v>86</v>
      </c>
      <c r="H7" s="108">
        <v>72</v>
      </c>
      <c r="I7" s="108">
        <v>77</v>
      </c>
      <c r="J7" s="108">
        <v>87</v>
      </c>
      <c r="K7" s="108">
        <v>72</v>
      </c>
      <c r="L7" s="108">
        <v>77</v>
      </c>
      <c r="M7" s="108">
        <v>132</v>
      </c>
      <c r="N7" s="108">
        <v>47</v>
      </c>
      <c r="O7" s="108">
        <v>56</v>
      </c>
      <c r="P7" s="108">
        <v>937</v>
      </c>
    </row>
    <row r="8" spans="1:16" x14ac:dyDescent="0.3">
      <c r="A8" s="280" t="s">
        <v>17</v>
      </c>
      <c r="B8" s="348" t="s">
        <v>18</v>
      </c>
      <c r="C8" s="348" t="s">
        <v>253</v>
      </c>
      <c r="D8" s="108">
        <v>33</v>
      </c>
      <c r="E8" s="108">
        <v>41</v>
      </c>
      <c r="F8" s="108">
        <v>29</v>
      </c>
      <c r="G8" s="108">
        <v>30</v>
      </c>
      <c r="H8" s="108">
        <v>40</v>
      </c>
      <c r="I8" s="108">
        <v>38</v>
      </c>
      <c r="J8" s="108">
        <v>34</v>
      </c>
      <c r="K8" s="108">
        <v>37</v>
      </c>
      <c r="L8" s="108">
        <v>50</v>
      </c>
      <c r="M8" s="108">
        <v>72</v>
      </c>
      <c r="N8" s="108">
        <v>39</v>
      </c>
      <c r="O8" s="108">
        <v>40</v>
      </c>
      <c r="P8" s="108">
        <v>483</v>
      </c>
    </row>
    <row r="9" spans="1:16" x14ac:dyDescent="0.3">
      <c r="A9" s="280" t="s">
        <v>19</v>
      </c>
      <c r="B9" s="348" t="s">
        <v>20</v>
      </c>
      <c r="C9" s="348" t="s">
        <v>252</v>
      </c>
      <c r="D9" s="108">
        <v>91</v>
      </c>
      <c r="E9" s="108">
        <v>119</v>
      </c>
      <c r="F9" s="108">
        <v>94</v>
      </c>
      <c r="G9" s="108">
        <v>108</v>
      </c>
      <c r="H9" s="108">
        <v>92</v>
      </c>
      <c r="I9" s="108">
        <v>97</v>
      </c>
      <c r="J9" s="108">
        <v>102</v>
      </c>
      <c r="K9" s="108">
        <v>77</v>
      </c>
      <c r="L9" s="108">
        <v>99</v>
      </c>
      <c r="M9" s="108">
        <v>180</v>
      </c>
      <c r="N9" s="108">
        <v>96</v>
      </c>
      <c r="O9" s="108">
        <v>92</v>
      </c>
      <c r="P9" s="108">
        <v>1247</v>
      </c>
    </row>
    <row r="10" spans="1:16" x14ac:dyDescent="0.3">
      <c r="A10" s="280" t="s">
        <v>21</v>
      </c>
      <c r="B10" s="348" t="s">
        <v>22</v>
      </c>
      <c r="C10" s="348" t="s">
        <v>252</v>
      </c>
      <c r="D10" s="108">
        <v>73</v>
      </c>
      <c r="E10" s="108">
        <v>63</v>
      </c>
      <c r="F10" s="108">
        <v>46</v>
      </c>
      <c r="G10" s="108">
        <v>43</v>
      </c>
      <c r="H10" s="108">
        <v>54</v>
      </c>
      <c r="I10" s="108">
        <v>42</v>
      </c>
      <c r="J10" s="108">
        <v>78</v>
      </c>
      <c r="K10" s="108">
        <v>56</v>
      </c>
      <c r="L10" s="108">
        <v>61</v>
      </c>
      <c r="M10" s="108">
        <v>81</v>
      </c>
      <c r="N10" s="108">
        <v>39</v>
      </c>
      <c r="O10" s="108">
        <v>29</v>
      </c>
      <c r="P10" s="108">
        <v>665</v>
      </c>
    </row>
    <row r="11" spans="1:16" x14ac:dyDescent="0.3">
      <c r="A11" s="280" t="s">
        <v>23</v>
      </c>
      <c r="B11" s="348" t="s">
        <v>24</v>
      </c>
      <c r="C11" s="348" t="s">
        <v>254</v>
      </c>
      <c r="D11" s="108">
        <v>205</v>
      </c>
      <c r="E11" s="108">
        <v>211</v>
      </c>
      <c r="F11" s="108">
        <v>185</v>
      </c>
      <c r="G11" s="108">
        <v>219</v>
      </c>
      <c r="H11" s="108">
        <v>196</v>
      </c>
      <c r="I11" s="108">
        <v>213</v>
      </c>
      <c r="J11" s="108">
        <v>214</v>
      </c>
      <c r="K11" s="108">
        <v>201</v>
      </c>
      <c r="L11" s="108">
        <v>245</v>
      </c>
      <c r="M11" s="108">
        <v>651</v>
      </c>
      <c r="N11" s="108">
        <v>448</v>
      </c>
      <c r="O11" s="108">
        <v>322</v>
      </c>
      <c r="P11" s="108">
        <v>3310</v>
      </c>
    </row>
    <row r="12" spans="1:16" x14ac:dyDescent="0.3">
      <c r="A12" s="280" t="s">
        <v>25</v>
      </c>
      <c r="B12" s="348" t="s">
        <v>444</v>
      </c>
      <c r="C12" s="348" t="s">
        <v>252</v>
      </c>
      <c r="D12" s="108">
        <v>376</v>
      </c>
      <c r="E12" s="108">
        <v>386</v>
      </c>
      <c r="F12" s="108">
        <v>349</v>
      </c>
      <c r="G12" s="108">
        <v>385</v>
      </c>
      <c r="H12" s="108">
        <v>348</v>
      </c>
      <c r="I12" s="108">
        <v>323</v>
      </c>
      <c r="J12" s="108">
        <v>387</v>
      </c>
      <c r="K12" s="108">
        <v>295</v>
      </c>
      <c r="L12" s="108">
        <v>364</v>
      </c>
      <c r="M12" s="108">
        <v>738</v>
      </c>
      <c r="N12" s="108">
        <v>356</v>
      </c>
      <c r="O12" s="108">
        <v>306</v>
      </c>
      <c r="P12" s="108">
        <v>4613</v>
      </c>
    </row>
    <row r="13" spans="1:16" x14ac:dyDescent="0.3">
      <c r="A13" s="280" t="s">
        <v>26</v>
      </c>
      <c r="B13" s="348" t="s">
        <v>27</v>
      </c>
      <c r="C13" s="348" t="s">
        <v>252</v>
      </c>
      <c r="D13" s="108">
        <v>7</v>
      </c>
      <c r="E13" s="108">
        <v>9</v>
      </c>
      <c r="F13" s="108">
        <v>11</v>
      </c>
      <c r="G13" s="108">
        <v>8</v>
      </c>
      <c r="H13" s="108">
        <v>7</v>
      </c>
      <c r="I13" s="108">
        <v>11</v>
      </c>
      <c r="J13" s="108">
        <v>12</v>
      </c>
      <c r="K13" s="108">
        <v>4</v>
      </c>
      <c r="L13" s="108">
        <v>22</v>
      </c>
      <c r="M13" s="108">
        <v>31</v>
      </c>
      <c r="N13" s="108">
        <v>11</v>
      </c>
      <c r="O13" s="108">
        <v>6</v>
      </c>
      <c r="P13" s="108">
        <v>139</v>
      </c>
    </row>
    <row r="14" spans="1:16" x14ac:dyDescent="0.3">
      <c r="A14" s="280" t="s">
        <v>28</v>
      </c>
      <c r="B14" s="348" t="s">
        <v>568</v>
      </c>
      <c r="C14" s="348" t="s">
        <v>252</v>
      </c>
      <c r="D14" s="108">
        <v>201</v>
      </c>
      <c r="E14" s="108">
        <v>176</v>
      </c>
      <c r="F14" s="108">
        <v>187</v>
      </c>
      <c r="G14" s="108">
        <v>184</v>
      </c>
      <c r="H14" s="108">
        <v>193</v>
      </c>
      <c r="I14" s="108">
        <v>157</v>
      </c>
      <c r="J14" s="108">
        <v>172</v>
      </c>
      <c r="K14" s="108">
        <v>158</v>
      </c>
      <c r="L14" s="108">
        <v>195</v>
      </c>
      <c r="M14" s="108">
        <v>347</v>
      </c>
      <c r="N14" s="108">
        <v>198</v>
      </c>
      <c r="O14" s="108">
        <v>168</v>
      </c>
      <c r="P14" s="108">
        <v>2336</v>
      </c>
    </row>
    <row r="15" spans="1:16" x14ac:dyDescent="0.3">
      <c r="A15" s="280" t="s">
        <v>29</v>
      </c>
      <c r="B15" s="348" t="s">
        <v>30</v>
      </c>
      <c r="C15" s="348" t="s">
        <v>255</v>
      </c>
      <c r="D15" s="108">
        <v>12</v>
      </c>
      <c r="E15" s="108">
        <v>19</v>
      </c>
      <c r="F15" s="108">
        <v>9</v>
      </c>
      <c r="G15" s="108">
        <v>12</v>
      </c>
      <c r="H15" s="108">
        <v>14</v>
      </c>
      <c r="I15" s="108">
        <v>22</v>
      </c>
      <c r="J15" s="108">
        <v>15</v>
      </c>
      <c r="K15" s="108">
        <v>6</v>
      </c>
      <c r="L15" s="108">
        <v>11</v>
      </c>
      <c r="M15" s="108">
        <v>33</v>
      </c>
      <c r="N15" s="108">
        <v>11</v>
      </c>
      <c r="O15" s="108">
        <v>12</v>
      </c>
      <c r="P15" s="108">
        <v>176</v>
      </c>
    </row>
    <row r="16" spans="1:16" x14ac:dyDescent="0.3">
      <c r="A16" s="280" t="s">
        <v>31</v>
      </c>
      <c r="B16" s="348" t="s">
        <v>32</v>
      </c>
      <c r="C16" s="348" t="s">
        <v>252</v>
      </c>
      <c r="D16" s="108">
        <v>49</v>
      </c>
      <c r="E16" s="108">
        <v>58</v>
      </c>
      <c r="F16" s="108">
        <v>61</v>
      </c>
      <c r="G16" s="108">
        <v>53</v>
      </c>
      <c r="H16" s="108">
        <v>41</v>
      </c>
      <c r="I16" s="108">
        <v>37</v>
      </c>
      <c r="J16" s="108">
        <v>43</v>
      </c>
      <c r="K16" s="108">
        <v>38</v>
      </c>
      <c r="L16" s="108">
        <v>53</v>
      </c>
      <c r="M16" s="108">
        <v>74</v>
      </c>
      <c r="N16" s="108">
        <v>47</v>
      </c>
      <c r="O16" s="108">
        <v>45</v>
      </c>
      <c r="P16" s="108">
        <v>599</v>
      </c>
    </row>
    <row r="17" spans="1:16" x14ac:dyDescent="0.3">
      <c r="A17" s="280" t="s">
        <v>35</v>
      </c>
      <c r="B17" s="348" t="s">
        <v>36</v>
      </c>
      <c r="C17" s="348" t="s">
        <v>251</v>
      </c>
      <c r="D17" s="108">
        <v>78</v>
      </c>
      <c r="E17" s="108">
        <v>92</v>
      </c>
      <c r="F17" s="108">
        <v>69</v>
      </c>
      <c r="G17" s="108">
        <v>70</v>
      </c>
      <c r="H17" s="108">
        <v>77</v>
      </c>
      <c r="I17" s="108">
        <v>53</v>
      </c>
      <c r="J17" s="108">
        <v>76</v>
      </c>
      <c r="K17" s="108">
        <v>69</v>
      </c>
      <c r="L17" s="108">
        <v>85</v>
      </c>
      <c r="M17" s="108">
        <v>125</v>
      </c>
      <c r="N17" s="108">
        <v>78</v>
      </c>
      <c r="O17" s="108">
        <v>63</v>
      </c>
      <c r="P17" s="108">
        <v>935</v>
      </c>
    </row>
    <row r="18" spans="1:16" x14ac:dyDescent="0.3">
      <c r="A18" s="280" t="s">
        <v>37</v>
      </c>
      <c r="B18" s="348" t="s">
        <v>38</v>
      </c>
      <c r="C18" s="348" t="s">
        <v>255</v>
      </c>
      <c r="D18" s="108">
        <v>116</v>
      </c>
      <c r="E18" s="108">
        <v>99</v>
      </c>
      <c r="F18" s="108">
        <v>84</v>
      </c>
      <c r="G18" s="108">
        <v>106</v>
      </c>
      <c r="H18" s="108">
        <v>69</v>
      </c>
      <c r="I18" s="108">
        <v>84</v>
      </c>
      <c r="J18" s="108">
        <v>93</v>
      </c>
      <c r="K18" s="108">
        <v>86</v>
      </c>
      <c r="L18" s="108">
        <v>80</v>
      </c>
      <c r="M18" s="108">
        <v>177</v>
      </c>
      <c r="N18" s="108">
        <v>79</v>
      </c>
      <c r="O18" s="108">
        <v>75</v>
      </c>
      <c r="P18" s="108">
        <v>1148</v>
      </c>
    </row>
    <row r="19" spans="1:16" x14ac:dyDescent="0.3">
      <c r="A19" s="280" t="s">
        <v>39</v>
      </c>
      <c r="B19" s="348" t="s">
        <v>40</v>
      </c>
      <c r="C19" s="348" t="s">
        <v>253</v>
      </c>
      <c r="D19" s="108">
        <v>66</v>
      </c>
      <c r="E19" s="108">
        <v>79</v>
      </c>
      <c r="F19" s="108">
        <v>64</v>
      </c>
      <c r="G19" s="108">
        <v>71</v>
      </c>
      <c r="H19" s="108">
        <v>72</v>
      </c>
      <c r="I19" s="108">
        <v>52</v>
      </c>
      <c r="J19" s="108">
        <v>59</v>
      </c>
      <c r="K19" s="108">
        <v>47</v>
      </c>
      <c r="L19" s="108">
        <v>79</v>
      </c>
      <c r="M19" s="108">
        <v>103</v>
      </c>
      <c r="N19" s="108">
        <v>71</v>
      </c>
      <c r="O19" s="108">
        <v>51</v>
      </c>
      <c r="P19" s="108">
        <v>814</v>
      </c>
    </row>
    <row r="20" spans="1:16" x14ac:dyDescent="0.3">
      <c r="A20" s="280" t="s">
        <v>41</v>
      </c>
      <c r="B20" s="348" t="s">
        <v>42</v>
      </c>
      <c r="C20" s="348" t="s">
        <v>252</v>
      </c>
      <c r="D20" s="108">
        <v>168</v>
      </c>
      <c r="E20" s="108">
        <v>166</v>
      </c>
      <c r="F20" s="108">
        <v>175</v>
      </c>
      <c r="G20" s="108">
        <v>192</v>
      </c>
      <c r="H20" s="108">
        <v>161</v>
      </c>
      <c r="I20" s="108">
        <v>152</v>
      </c>
      <c r="J20" s="108">
        <v>156</v>
      </c>
      <c r="K20" s="108">
        <v>144</v>
      </c>
      <c r="L20" s="108">
        <v>185</v>
      </c>
      <c r="M20" s="108">
        <v>316</v>
      </c>
      <c r="N20" s="108">
        <v>169</v>
      </c>
      <c r="O20" s="108">
        <v>178</v>
      </c>
      <c r="P20" s="108">
        <v>2162</v>
      </c>
    </row>
    <row r="21" spans="1:16" x14ac:dyDescent="0.3">
      <c r="A21" s="280" t="s">
        <v>43</v>
      </c>
      <c r="B21" s="348" t="s">
        <v>44</v>
      </c>
      <c r="C21" s="348" t="s">
        <v>253</v>
      </c>
      <c r="D21" s="108">
        <v>116</v>
      </c>
      <c r="E21" s="108">
        <v>119</v>
      </c>
      <c r="F21" s="108">
        <v>104</v>
      </c>
      <c r="G21" s="108">
        <v>133</v>
      </c>
      <c r="H21" s="108">
        <v>100</v>
      </c>
      <c r="I21" s="108">
        <v>85</v>
      </c>
      <c r="J21" s="108">
        <v>109</v>
      </c>
      <c r="K21" s="108">
        <v>76</v>
      </c>
      <c r="L21" s="108">
        <v>128</v>
      </c>
      <c r="M21" s="108">
        <v>235</v>
      </c>
      <c r="N21" s="108">
        <v>130</v>
      </c>
      <c r="O21" s="108">
        <v>98</v>
      </c>
      <c r="P21" s="108">
        <v>1433</v>
      </c>
    </row>
    <row r="22" spans="1:16" x14ac:dyDescent="0.3">
      <c r="A22" s="280" t="s">
        <v>45</v>
      </c>
      <c r="B22" s="348" t="s">
        <v>46</v>
      </c>
      <c r="C22" s="348" t="s">
        <v>255</v>
      </c>
      <c r="D22" s="108">
        <v>96</v>
      </c>
      <c r="E22" s="108">
        <v>105</v>
      </c>
      <c r="F22" s="108">
        <v>100</v>
      </c>
      <c r="G22" s="108">
        <v>113</v>
      </c>
      <c r="H22" s="108">
        <v>116</v>
      </c>
      <c r="I22" s="108">
        <v>95</v>
      </c>
      <c r="J22" s="108">
        <v>98</v>
      </c>
      <c r="K22" s="108">
        <v>97</v>
      </c>
      <c r="L22" s="108">
        <v>100</v>
      </c>
      <c r="M22" s="108">
        <v>214</v>
      </c>
      <c r="N22" s="108">
        <v>84</v>
      </c>
      <c r="O22" s="108">
        <v>80</v>
      </c>
      <c r="P22" s="108">
        <v>1298</v>
      </c>
    </row>
    <row r="23" spans="1:16" x14ac:dyDescent="0.3">
      <c r="A23" s="280" t="s">
        <v>47</v>
      </c>
      <c r="B23" s="348" t="s">
        <v>256</v>
      </c>
      <c r="C23" s="348" t="s">
        <v>253</v>
      </c>
      <c r="D23" s="108">
        <v>19</v>
      </c>
      <c r="E23" s="108">
        <v>23</v>
      </c>
      <c r="F23" s="108">
        <v>18</v>
      </c>
      <c r="G23" s="108">
        <v>14</v>
      </c>
      <c r="H23" s="108">
        <v>23</v>
      </c>
      <c r="I23" s="108">
        <v>25</v>
      </c>
      <c r="J23" s="108">
        <v>18</v>
      </c>
      <c r="K23" s="108">
        <v>30</v>
      </c>
      <c r="L23" s="108">
        <v>16</v>
      </c>
      <c r="M23" s="108">
        <v>68</v>
      </c>
      <c r="N23" s="108">
        <v>33</v>
      </c>
      <c r="O23" s="108">
        <v>16</v>
      </c>
      <c r="P23" s="108">
        <v>303</v>
      </c>
    </row>
    <row r="24" spans="1:16" x14ac:dyDescent="0.3">
      <c r="A24" s="280" t="s">
        <v>49</v>
      </c>
      <c r="B24" s="348" t="s">
        <v>50</v>
      </c>
      <c r="C24" s="348" t="s">
        <v>252</v>
      </c>
      <c r="D24" s="108">
        <v>45</v>
      </c>
      <c r="E24" s="108">
        <v>38</v>
      </c>
      <c r="F24" s="108">
        <v>40</v>
      </c>
      <c r="G24" s="108">
        <v>43</v>
      </c>
      <c r="H24" s="108">
        <v>42</v>
      </c>
      <c r="I24" s="108">
        <v>22</v>
      </c>
      <c r="J24" s="108">
        <v>37</v>
      </c>
      <c r="K24" s="108">
        <v>35</v>
      </c>
      <c r="L24" s="108">
        <v>32</v>
      </c>
      <c r="M24" s="108">
        <v>67</v>
      </c>
      <c r="N24" s="108">
        <v>31</v>
      </c>
      <c r="O24" s="108">
        <v>35</v>
      </c>
      <c r="P24" s="108">
        <v>467</v>
      </c>
    </row>
    <row r="25" spans="1:16" x14ac:dyDescent="0.3">
      <c r="A25" s="280" t="s">
        <v>55</v>
      </c>
      <c r="B25" s="348" t="s">
        <v>271</v>
      </c>
      <c r="C25" s="348" t="s">
        <v>253</v>
      </c>
      <c r="D25" s="108">
        <v>1018</v>
      </c>
      <c r="E25" s="108">
        <v>1066</v>
      </c>
      <c r="F25" s="108">
        <v>862</v>
      </c>
      <c r="G25" s="108">
        <v>1061</v>
      </c>
      <c r="H25" s="108">
        <v>898</v>
      </c>
      <c r="I25" s="108">
        <v>901</v>
      </c>
      <c r="J25" s="108">
        <v>873</v>
      </c>
      <c r="K25" s="108">
        <v>899</v>
      </c>
      <c r="L25" s="108">
        <v>945</v>
      </c>
      <c r="M25" s="108">
        <v>2593</v>
      </c>
      <c r="N25" s="108">
        <v>1224</v>
      </c>
      <c r="O25" s="108">
        <v>890</v>
      </c>
      <c r="P25" s="108">
        <v>13230</v>
      </c>
    </row>
    <row r="26" spans="1:16" x14ac:dyDescent="0.3">
      <c r="A26" s="280" t="s">
        <v>57</v>
      </c>
      <c r="B26" s="348" t="s">
        <v>58</v>
      </c>
      <c r="C26" s="348" t="s">
        <v>254</v>
      </c>
      <c r="D26" s="108">
        <v>19</v>
      </c>
      <c r="E26" s="108">
        <v>16</v>
      </c>
      <c r="F26" s="108">
        <v>29</v>
      </c>
      <c r="G26" s="108">
        <v>21</v>
      </c>
      <c r="H26" s="108">
        <v>24</v>
      </c>
      <c r="I26" s="108">
        <v>20</v>
      </c>
      <c r="J26" s="108">
        <v>24</v>
      </c>
      <c r="K26" s="108">
        <v>19</v>
      </c>
      <c r="L26" s="108">
        <v>20</v>
      </c>
      <c r="M26" s="108">
        <v>31</v>
      </c>
      <c r="N26" s="108">
        <v>19</v>
      </c>
      <c r="O26" s="108">
        <v>15</v>
      </c>
      <c r="P26" s="108">
        <v>257</v>
      </c>
    </row>
    <row r="27" spans="1:16" x14ac:dyDescent="0.3">
      <c r="A27" s="280" t="s">
        <v>59</v>
      </c>
      <c r="B27" s="348" t="s">
        <v>60</v>
      </c>
      <c r="C27" s="348" t="s">
        <v>252</v>
      </c>
      <c r="D27" s="108">
        <v>13</v>
      </c>
      <c r="E27" s="108">
        <v>20</v>
      </c>
      <c r="F27" s="108">
        <v>14</v>
      </c>
      <c r="G27" s="108">
        <v>22</v>
      </c>
      <c r="H27" s="108">
        <v>16</v>
      </c>
      <c r="I27" s="108">
        <v>16</v>
      </c>
      <c r="J27" s="108">
        <v>12</v>
      </c>
      <c r="K27" s="108">
        <v>20</v>
      </c>
      <c r="L27" s="108">
        <v>9</v>
      </c>
      <c r="M27" s="108">
        <v>22</v>
      </c>
      <c r="N27" s="108">
        <v>6</v>
      </c>
      <c r="O27" s="108">
        <v>20</v>
      </c>
      <c r="P27" s="108">
        <v>190</v>
      </c>
    </row>
    <row r="28" spans="1:16" x14ac:dyDescent="0.3">
      <c r="A28" s="280" t="s">
        <v>61</v>
      </c>
      <c r="B28" s="348" t="s">
        <v>62</v>
      </c>
      <c r="C28" s="348" t="s">
        <v>254</v>
      </c>
      <c r="D28" s="108">
        <v>111</v>
      </c>
      <c r="E28" s="108">
        <v>140</v>
      </c>
      <c r="F28" s="108">
        <v>143</v>
      </c>
      <c r="G28" s="108">
        <v>129</v>
      </c>
      <c r="H28" s="108">
        <v>142</v>
      </c>
      <c r="I28" s="108">
        <v>124</v>
      </c>
      <c r="J28" s="108">
        <v>107</v>
      </c>
      <c r="K28" s="108">
        <v>125</v>
      </c>
      <c r="L28" s="108">
        <v>129</v>
      </c>
      <c r="M28" s="108">
        <v>235</v>
      </c>
      <c r="N28" s="108">
        <v>119</v>
      </c>
      <c r="O28" s="108">
        <v>133</v>
      </c>
      <c r="P28" s="108">
        <v>1637</v>
      </c>
    </row>
    <row r="29" spans="1:16" x14ac:dyDescent="0.3">
      <c r="A29" s="280" t="s">
        <v>63</v>
      </c>
      <c r="B29" s="348" t="s">
        <v>64</v>
      </c>
      <c r="C29" s="348" t="s">
        <v>253</v>
      </c>
      <c r="D29" s="108">
        <v>55</v>
      </c>
      <c r="E29" s="108">
        <v>40</v>
      </c>
      <c r="F29" s="108">
        <v>37</v>
      </c>
      <c r="G29" s="108">
        <v>50</v>
      </c>
      <c r="H29" s="108">
        <v>48</v>
      </c>
      <c r="I29" s="108">
        <v>32</v>
      </c>
      <c r="J29" s="108">
        <v>51</v>
      </c>
      <c r="K29" s="108">
        <v>45</v>
      </c>
      <c r="L29" s="108">
        <v>50</v>
      </c>
      <c r="M29" s="108">
        <v>72</v>
      </c>
      <c r="N29" s="108">
        <v>32</v>
      </c>
      <c r="O29" s="108">
        <v>20</v>
      </c>
      <c r="P29" s="108">
        <v>532</v>
      </c>
    </row>
    <row r="30" spans="1:16" x14ac:dyDescent="0.3">
      <c r="A30" s="280" t="s">
        <v>67</v>
      </c>
      <c r="B30" s="348" t="s">
        <v>68</v>
      </c>
      <c r="C30" s="348" t="s">
        <v>255</v>
      </c>
      <c r="D30" s="108">
        <v>67</v>
      </c>
      <c r="E30" s="108">
        <v>52</v>
      </c>
      <c r="F30" s="108">
        <v>60</v>
      </c>
      <c r="G30" s="108">
        <v>76</v>
      </c>
      <c r="H30" s="108">
        <v>60</v>
      </c>
      <c r="I30" s="108">
        <v>57</v>
      </c>
      <c r="J30" s="108">
        <v>60</v>
      </c>
      <c r="K30" s="108">
        <v>62</v>
      </c>
      <c r="L30" s="108">
        <v>49</v>
      </c>
      <c r="M30" s="108">
        <v>124</v>
      </c>
      <c r="N30" s="108">
        <v>56</v>
      </c>
      <c r="O30" s="108">
        <v>51</v>
      </c>
      <c r="P30" s="108">
        <v>774</v>
      </c>
    </row>
    <row r="31" spans="1:16" x14ac:dyDescent="0.3">
      <c r="A31" s="280" t="s">
        <v>69</v>
      </c>
      <c r="B31" s="348" t="s">
        <v>70</v>
      </c>
      <c r="C31" s="348" t="s">
        <v>251</v>
      </c>
      <c r="D31" s="108">
        <v>103</v>
      </c>
      <c r="E31" s="108">
        <v>97</v>
      </c>
      <c r="F31" s="108">
        <v>104</v>
      </c>
      <c r="G31" s="108">
        <v>123</v>
      </c>
      <c r="H31" s="108">
        <v>96</v>
      </c>
      <c r="I31" s="108">
        <v>96</v>
      </c>
      <c r="J31" s="108">
        <v>107</v>
      </c>
      <c r="K31" s="108">
        <v>84</v>
      </c>
      <c r="L31" s="108">
        <v>107</v>
      </c>
      <c r="M31" s="108">
        <v>237</v>
      </c>
      <c r="N31" s="108">
        <v>109</v>
      </c>
      <c r="O31" s="108">
        <v>87</v>
      </c>
      <c r="P31" s="108">
        <v>1350</v>
      </c>
    </row>
    <row r="32" spans="1:16" x14ac:dyDescent="0.3">
      <c r="A32" s="280" t="s">
        <v>71</v>
      </c>
      <c r="B32" s="348" t="s">
        <v>72</v>
      </c>
      <c r="C32" s="348" t="s">
        <v>253</v>
      </c>
      <c r="D32" s="108">
        <v>54</v>
      </c>
      <c r="E32" s="108">
        <v>66</v>
      </c>
      <c r="F32" s="108">
        <v>39</v>
      </c>
      <c r="G32" s="108">
        <v>53</v>
      </c>
      <c r="H32" s="108">
        <v>55</v>
      </c>
      <c r="I32" s="108">
        <v>46</v>
      </c>
      <c r="J32" s="108">
        <v>53</v>
      </c>
      <c r="K32" s="108">
        <v>44</v>
      </c>
      <c r="L32" s="108">
        <v>53</v>
      </c>
      <c r="M32" s="108">
        <v>109</v>
      </c>
      <c r="N32" s="108">
        <v>45</v>
      </c>
      <c r="O32" s="108">
        <v>43</v>
      </c>
      <c r="P32" s="108">
        <v>660</v>
      </c>
    </row>
    <row r="33" spans="1:16" x14ac:dyDescent="0.3">
      <c r="A33" s="280" t="s">
        <v>73</v>
      </c>
      <c r="B33" s="348" t="s">
        <v>272</v>
      </c>
      <c r="C33" s="348" t="s">
        <v>254</v>
      </c>
      <c r="D33" s="108">
        <v>1507</v>
      </c>
      <c r="E33" s="108">
        <v>1720</v>
      </c>
      <c r="F33" s="108">
        <v>1402</v>
      </c>
      <c r="G33" s="108">
        <v>1519</v>
      </c>
      <c r="H33" s="108">
        <v>1311</v>
      </c>
      <c r="I33" s="108">
        <v>1438</v>
      </c>
      <c r="J33" s="108">
        <v>1521</v>
      </c>
      <c r="K33" s="108">
        <v>1491</v>
      </c>
      <c r="L33" s="108">
        <v>1770</v>
      </c>
      <c r="M33" s="108">
        <v>4353</v>
      </c>
      <c r="N33" s="108">
        <v>2372</v>
      </c>
      <c r="O33" s="108">
        <v>1783</v>
      </c>
      <c r="P33" s="108">
        <v>22187</v>
      </c>
    </row>
    <row r="34" spans="1:16" x14ac:dyDescent="0.3">
      <c r="A34" s="280" t="s">
        <v>75</v>
      </c>
      <c r="B34" s="348" t="s">
        <v>76</v>
      </c>
      <c r="C34" s="348" t="s">
        <v>254</v>
      </c>
      <c r="D34" s="108">
        <v>112</v>
      </c>
      <c r="E34" s="108">
        <v>112</v>
      </c>
      <c r="F34" s="108">
        <v>102</v>
      </c>
      <c r="G34" s="108">
        <v>110</v>
      </c>
      <c r="H34" s="108">
        <v>92</v>
      </c>
      <c r="I34" s="108">
        <v>97</v>
      </c>
      <c r="J34" s="108">
        <v>108</v>
      </c>
      <c r="K34" s="108">
        <v>95</v>
      </c>
      <c r="L34" s="108">
        <v>126</v>
      </c>
      <c r="M34" s="108">
        <v>249</v>
      </c>
      <c r="N34" s="108">
        <v>86</v>
      </c>
      <c r="O34" s="108">
        <v>84</v>
      </c>
      <c r="P34" s="108">
        <v>1373</v>
      </c>
    </row>
    <row r="35" spans="1:16" x14ac:dyDescent="0.3">
      <c r="A35" s="280" t="s">
        <v>77</v>
      </c>
      <c r="B35" s="348" t="s">
        <v>78</v>
      </c>
      <c r="C35" s="348" t="s">
        <v>255</v>
      </c>
      <c r="D35" s="108">
        <v>49</v>
      </c>
      <c r="E35" s="108">
        <v>43</v>
      </c>
      <c r="F35" s="108">
        <v>54</v>
      </c>
      <c r="G35" s="108">
        <v>53</v>
      </c>
      <c r="H35" s="108">
        <v>51</v>
      </c>
      <c r="I35" s="108">
        <v>41</v>
      </c>
      <c r="J35" s="108">
        <v>38</v>
      </c>
      <c r="K35" s="108">
        <v>42</v>
      </c>
      <c r="L35" s="108">
        <v>52</v>
      </c>
      <c r="M35" s="108">
        <v>78</v>
      </c>
      <c r="N35" s="108">
        <v>35</v>
      </c>
      <c r="O35" s="108">
        <v>28</v>
      </c>
      <c r="P35" s="108">
        <v>564</v>
      </c>
    </row>
    <row r="36" spans="1:16" x14ac:dyDescent="0.3">
      <c r="A36" s="280" t="s">
        <v>79</v>
      </c>
      <c r="B36" s="348" t="s">
        <v>80</v>
      </c>
      <c r="C36" s="348" t="s">
        <v>253</v>
      </c>
      <c r="D36" s="108">
        <v>56</v>
      </c>
      <c r="E36" s="108">
        <v>53</v>
      </c>
      <c r="F36" s="108">
        <v>53</v>
      </c>
      <c r="G36" s="108">
        <v>45</v>
      </c>
      <c r="H36" s="108">
        <v>61</v>
      </c>
      <c r="I36" s="108">
        <v>47</v>
      </c>
      <c r="J36" s="108">
        <v>43</v>
      </c>
      <c r="K36" s="108">
        <v>35</v>
      </c>
      <c r="L36" s="108">
        <v>41</v>
      </c>
      <c r="M36" s="108">
        <v>127</v>
      </c>
      <c r="N36" s="108">
        <v>54</v>
      </c>
      <c r="O36" s="108">
        <v>39</v>
      </c>
      <c r="P36" s="108">
        <v>654</v>
      </c>
    </row>
    <row r="37" spans="1:16" x14ac:dyDescent="0.3">
      <c r="A37" s="280" t="s">
        <v>83</v>
      </c>
      <c r="B37" s="348" t="s">
        <v>84</v>
      </c>
      <c r="C37" s="348" t="s">
        <v>252</v>
      </c>
      <c r="D37" s="108">
        <v>165</v>
      </c>
      <c r="E37" s="108">
        <v>166</v>
      </c>
      <c r="F37" s="108">
        <v>162</v>
      </c>
      <c r="G37" s="108">
        <v>186</v>
      </c>
      <c r="H37" s="108">
        <v>143</v>
      </c>
      <c r="I37" s="108">
        <v>144</v>
      </c>
      <c r="J37" s="108">
        <v>133</v>
      </c>
      <c r="K37" s="108">
        <v>151</v>
      </c>
      <c r="L37" s="108">
        <v>210</v>
      </c>
      <c r="M37" s="108">
        <v>271</v>
      </c>
      <c r="N37" s="108">
        <v>156</v>
      </c>
      <c r="O37" s="108">
        <v>153</v>
      </c>
      <c r="P37" s="108">
        <v>2040</v>
      </c>
    </row>
    <row r="38" spans="1:16" x14ac:dyDescent="0.3">
      <c r="A38" s="280" t="s">
        <v>85</v>
      </c>
      <c r="B38" s="348" t="s">
        <v>86</v>
      </c>
      <c r="C38" s="348" t="s">
        <v>254</v>
      </c>
      <c r="D38" s="108">
        <v>156</v>
      </c>
      <c r="E38" s="108">
        <v>163</v>
      </c>
      <c r="F38" s="108">
        <v>195</v>
      </c>
      <c r="G38" s="108">
        <v>171</v>
      </c>
      <c r="H38" s="108">
        <v>163</v>
      </c>
      <c r="I38" s="108">
        <v>171</v>
      </c>
      <c r="J38" s="108">
        <v>182</v>
      </c>
      <c r="K38" s="108">
        <v>160</v>
      </c>
      <c r="L38" s="108">
        <v>157</v>
      </c>
      <c r="M38" s="108">
        <v>336</v>
      </c>
      <c r="N38" s="108">
        <v>172</v>
      </c>
      <c r="O38" s="108">
        <v>132</v>
      </c>
      <c r="P38" s="108">
        <v>2158</v>
      </c>
    </row>
    <row r="39" spans="1:16" x14ac:dyDescent="0.3">
      <c r="A39" s="280" t="s">
        <v>91</v>
      </c>
      <c r="B39" s="348" t="s">
        <v>92</v>
      </c>
      <c r="C39" s="348" t="s">
        <v>255</v>
      </c>
      <c r="D39" s="108">
        <v>61</v>
      </c>
      <c r="E39" s="108">
        <v>65</v>
      </c>
      <c r="F39" s="108">
        <v>60</v>
      </c>
      <c r="G39" s="108">
        <v>65</v>
      </c>
      <c r="H39" s="108">
        <v>75</v>
      </c>
      <c r="I39" s="108">
        <v>58</v>
      </c>
      <c r="J39" s="108">
        <v>46</v>
      </c>
      <c r="K39" s="108">
        <v>48</v>
      </c>
      <c r="L39" s="108">
        <v>60</v>
      </c>
      <c r="M39" s="108">
        <v>93</v>
      </c>
      <c r="N39" s="108">
        <v>31</v>
      </c>
      <c r="O39" s="108">
        <v>54</v>
      </c>
      <c r="P39" s="108">
        <v>716</v>
      </c>
    </row>
    <row r="40" spans="1:16" x14ac:dyDescent="0.3">
      <c r="A40" s="280" t="s">
        <v>93</v>
      </c>
      <c r="B40" s="348" t="s">
        <v>94</v>
      </c>
      <c r="C40" s="348" t="s">
        <v>251</v>
      </c>
      <c r="D40" s="108">
        <v>107</v>
      </c>
      <c r="E40" s="108">
        <v>108</v>
      </c>
      <c r="F40" s="108">
        <v>106</v>
      </c>
      <c r="G40" s="108">
        <v>97</v>
      </c>
      <c r="H40" s="108">
        <v>98</v>
      </c>
      <c r="I40" s="108">
        <v>95</v>
      </c>
      <c r="J40" s="108">
        <v>104</v>
      </c>
      <c r="K40" s="108">
        <v>110</v>
      </c>
      <c r="L40" s="108">
        <v>130</v>
      </c>
      <c r="M40" s="108">
        <v>255</v>
      </c>
      <c r="N40" s="108">
        <v>92</v>
      </c>
      <c r="O40" s="108">
        <v>93</v>
      </c>
      <c r="P40" s="108">
        <v>1395</v>
      </c>
    </row>
    <row r="41" spans="1:16" x14ac:dyDescent="0.3">
      <c r="A41" s="280" t="s">
        <v>95</v>
      </c>
      <c r="B41" s="348" t="s">
        <v>96</v>
      </c>
      <c r="C41" s="348" t="s">
        <v>253</v>
      </c>
      <c r="D41" s="108">
        <v>37</v>
      </c>
      <c r="E41" s="108">
        <v>36</v>
      </c>
      <c r="F41" s="108">
        <v>31</v>
      </c>
      <c r="G41" s="108">
        <v>31</v>
      </c>
      <c r="H41" s="108">
        <v>31</v>
      </c>
      <c r="I41" s="108">
        <v>27</v>
      </c>
      <c r="J41" s="108">
        <v>31</v>
      </c>
      <c r="K41" s="108">
        <v>27</v>
      </c>
      <c r="L41" s="108">
        <v>32</v>
      </c>
      <c r="M41" s="108">
        <v>72</v>
      </c>
      <c r="N41" s="108">
        <v>38</v>
      </c>
      <c r="O41" s="108">
        <v>32</v>
      </c>
      <c r="P41" s="108">
        <v>425</v>
      </c>
    </row>
    <row r="42" spans="1:16" x14ac:dyDescent="0.3">
      <c r="A42" s="280" t="s">
        <v>97</v>
      </c>
      <c r="B42" s="348" t="s">
        <v>98</v>
      </c>
      <c r="C42" s="348" t="s">
        <v>255</v>
      </c>
      <c r="D42" s="108">
        <v>50</v>
      </c>
      <c r="E42" s="108">
        <v>54</v>
      </c>
      <c r="F42" s="108">
        <v>47</v>
      </c>
      <c r="G42" s="108">
        <v>55</v>
      </c>
      <c r="H42" s="108">
        <v>54</v>
      </c>
      <c r="I42" s="108">
        <v>38</v>
      </c>
      <c r="J42" s="108">
        <v>50</v>
      </c>
      <c r="K42" s="108">
        <v>42</v>
      </c>
      <c r="L42" s="108">
        <v>52</v>
      </c>
      <c r="M42" s="108">
        <v>88</v>
      </c>
      <c r="N42" s="108">
        <v>37</v>
      </c>
      <c r="O42" s="108">
        <v>48</v>
      </c>
      <c r="P42" s="108">
        <v>615</v>
      </c>
    </row>
    <row r="43" spans="1:16" x14ac:dyDescent="0.3">
      <c r="A43" s="280" t="s">
        <v>99</v>
      </c>
      <c r="B43" s="348" t="s">
        <v>100</v>
      </c>
      <c r="C43" s="348" t="s">
        <v>254</v>
      </c>
      <c r="D43" s="108">
        <v>35</v>
      </c>
      <c r="E43" s="108">
        <v>40</v>
      </c>
      <c r="F43" s="108">
        <v>41</v>
      </c>
      <c r="G43" s="108">
        <v>41</v>
      </c>
      <c r="H43" s="108">
        <v>42</v>
      </c>
      <c r="I43" s="108">
        <v>30</v>
      </c>
      <c r="J43" s="108">
        <v>31</v>
      </c>
      <c r="K43" s="108">
        <v>42</v>
      </c>
      <c r="L43" s="108">
        <v>60</v>
      </c>
      <c r="M43" s="108">
        <v>84</v>
      </c>
      <c r="N43" s="108">
        <v>40</v>
      </c>
      <c r="O43" s="108">
        <v>49</v>
      </c>
      <c r="P43" s="108">
        <v>535</v>
      </c>
    </row>
    <row r="44" spans="1:16" x14ac:dyDescent="0.3">
      <c r="A44" s="280" t="s">
        <v>101</v>
      </c>
      <c r="B44" s="348" t="s">
        <v>263</v>
      </c>
      <c r="C44" s="348" t="s">
        <v>251</v>
      </c>
      <c r="D44" s="108">
        <v>76</v>
      </c>
      <c r="E44" s="108">
        <v>82</v>
      </c>
      <c r="F44" s="108">
        <v>85</v>
      </c>
      <c r="G44" s="108">
        <v>103</v>
      </c>
      <c r="H44" s="108">
        <v>104</v>
      </c>
      <c r="I44" s="108">
        <v>75</v>
      </c>
      <c r="J44" s="108">
        <v>81</v>
      </c>
      <c r="K44" s="108">
        <v>90</v>
      </c>
      <c r="L44" s="108">
        <v>82</v>
      </c>
      <c r="M44" s="108">
        <v>178</v>
      </c>
      <c r="N44" s="108">
        <v>101</v>
      </c>
      <c r="O44" s="108">
        <v>70</v>
      </c>
      <c r="P44" s="108">
        <v>1127</v>
      </c>
    </row>
    <row r="45" spans="1:16" x14ac:dyDescent="0.3">
      <c r="A45" s="280" t="s">
        <v>103</v>
      </c>
      <c r="B45" s="348" t="s">
        <v>104</v>
      </c>
      <c r="C45" s="348" t="s">
        <v>252</v>
      </c>
      <c r="D45" s="108">
        <v>174</v>
      </c>
      <c r="E45" s="108">
        <v>152</v>
      </c>
      <c r="F45" s="108">
        <v>123</v>
      </c>
      <c r="G45" s="108">
        <v>140</v>
      </c>
      <c r="H45" s="108">
        <v>128</v>
      </c>
      <c r="I45" s="108">
        <v>149</v>
      </c>
      <c r="J45" s="108">
        <v>152</v>
      </c>
      <c r="K45" s="108">
        <v>138</v>
      </c>
      <c r="L45" s="108">
        <v>112</v>
      </c>
      <c r="M45" s="108">
        <v>252</v>
      </c>
      <c r="N45" s="108">
        <v>170</v>
      </c>
      <c r="O45" s="108">
        <v>129</v>
      </c>
      <c r="P45" s="108">
        <v>1819</v>
      </c>
    </row>
    <row r="46" spans="1:16" x14ac:dyDescent="0.3">
      <c r="A46" s="280" t="s">
        <v>107</v>
      </c>
      <c r="B46" s="348" t="s">
        <v>108</v>
      </c>
      <c r="C46" s="348" t="s">
        <v>253</v>
      </c>
      <c r="D46" s="108">
        <v>166</v>
      </c>
      <c r="E46" s="108">
        <v>185</v>
      </c>
      <c r="F46" s="108">
        <v>164</v>
      </c>
      <c r="G46" s="108">
        <v>184</v>
      </c>
      <c r="H46" s="108">
        <v>154</v>
      </c>
      <c r="I46" s="108">
        <v>153</v>
      </c>
      <c r="J46" s="108">
        <v>167</v>
      </c>
      <c r="K46" s="108">
        <v>144</v>
      </c>
      <c r="L46" s="108">
        <v>218</v>
      </c>
      <c r="M46" s="108">
        <v>406</v>
      </c>
      <c r="N46" s="108">
        <v>187</v>
      </c>
      <c r="O46" s="108">
        <v>138</v>
      </c>
      <c r="P46" s="108">
        <v>2266</v>
      </c>
    </row>
    <row r="47" spans="1:16" x14ac:dyDescent="0.3">
      <c r="A47" s="280" t="s">
        <v>109</v>
      </c>
      <c r="B47" s="348" t="s">
        <v>110</v>
      </c>
      <c r="C47" s="348" t="s">
        <v>253</v>
      </c>
      <c r="D47" s="108">
        <v>1155</v>
      </c>
      <c r="E47" s="108">
        <v>1252</v>
      </c>
      <c r="F47" s="108">
        <v>1070</v>
      </c>
      <c r="G47" s="108">
        <v>1116</v>
      </c>
      <c r="H47" s="108">
        <v>942</v>
      </c>
      <c r="I47" s="108">
        <v>965</v>
      </c>
      <c r="J47" s="108">
        <v>1083</v>
      </c>
      <c r="K47" s="108">
        <v>993</v>
      </c>
      <c r="L47" s="108">
        <v>1189</v>
      </c>
      <c r="M47" s="108">
        <v>3475</v>
      </c>
      <c r="N47" s="108">
        <v>1472</v>
      </c>
      <c r="O47" s="108">
        <v>951</v>
      </c>
      <c r="P47" s="108">
        <v>15663</v>
      </c>
    </row>
    <row r="48" spans="1:16" x14ac:dyDescent="0.3">
      <c r="A48" s="280" t="s">
        <v>111</v>
      </c>
      <c r="B48" s="348" t="s">
        <v>275</v>
      </c>
      <c r="C48" s="348" t="s">
        <v>252</v>
      </c>
      <c r="D48" s="108">
        <v>342</v>
      </c>
      <c r="E48" s="108">
        <v>349</v>
      </c>
      <c r="F48" s="108">
        <v>334</v>
      </c>
      <c r="G48" s="108">
        <v>345</v>
      </c>
      <c r="H48" s="108">
        <v>352</v>
      </c>
      <c r="I48" s="108">
        <v>338</v>
      </c>
      <c r="J48" s="108">
        <v>373</v>
      </c>
      <c r="K48" s="108">
        <v>342</v>
      </c>
      <c r="L48" s="108">
        <v>338</v>
      </c>
      <c r="M48" s="108">
        <v>686</v>
      </c>
      <c r="N48" s="108">
        <v>302</v>
      </c>
      <c r="O48" s="108">
        <v>267</v>
      </c>
      <c r="P48" s="108">
        <v>4368</v>
      </c>
    </row>
    <row r="49" spans="1:16" x14ac:dyDescent="0.3">
      <c r="A49" s="280" t="s">
        <v>113</v>
      </c>
      <c r="B49" s="348" t="s">
        <v>114</v>
      </c>
      <c r="C49" s="348" t="s">
        <v>252</v>
      </c>
      <c r="D49" s="108">
        <v>2</v>
      </c>
      <c r="E49" s="108">
        <v>1</v>
      </c>
      <c r="F49" s="108">
        <v>2</v>
      </c>
      <c r="G49" s="108">
        <v>4</v>
      </c>
      <c r="H49" s="108">
        <v>5</v>
      </c>
      <c r="I49" s="108">
        <v>3</v>
      </c>
      <c r="J49" s="108">
        <v>8</v>
      </c>
      <c r="K49" s="108">
        <v>4</v>
      </c>
      <c r="L49" s="108">
        <v>4</v>
      </c>
      <c r="M49" s="108">
        <v>13</v>
      </c>
      <c r="N49" s="108">
        <v>3</v>
      </c>
      <c r="O49" s="108">
        <v>6</v>
      </c>
      <c r="P49" s="108">
        <v>55</v>
      </c>
    </row>
    <row r="50" spans="1:16" x14ac:dyDescent="0.3">
      <c r="A50" s="280" t="s">
        <v>117</v>
      </c>
      <c r="B50" s="348" t="s">
        <v>257</v>
      </c>
      <c r="C50" s="348" t="s">
        <v>251</v>
      </c>
      <c r="D50" s="108">
        <v>84</v>
      </c>
      <c r="E50" s="108">
        <v>90</v>
      </c>
      <c r="F50" s="108">
        <v>92</v>
      </c>
      <c r="G50" s="108">
        <v>97</v>
      </c>
      <c r="H50" s="108">
        <v>85</v>
      </c>
      <c r="I50" s="108">
        <v>87</v>
      </c>
      <c r="J50" s="108">
        <v>95</v>
      </c>
      <c r="K50" s="108">
        <v>92</v>
      </c>
      <c r="L50" s="108">
        <v>104</v>
      </c>
      <c r="M50" s="108">
        <v>235</v>
      </c>
      <c r="N50" s="108">
        <v>114</v>
      </c>
      <c r="O50" s="108">
        <v>77</v>
      </c>
      <c r="P50" s="108">
        <v>1252</v>
      </c>
    </row>
    <row r="51" spans="1:16" x14ac:dyDescent="0.3">
      <c r="A51" s="280" t="s">
        <v>119</v>
      </c>
      <c r="B51" s="348" t="s">
        <v>120</v>
      </c>
      <c r="C51" s="348" t="s">
        <v>251</v>
      </c>
      <c r="D51" s="108">
        <v>157</v>
      </c>
      <c r="E51" s="108">
        <v>165</v>
      </c>
      <c r="F51" s="108">
        <v>136</v>
      </c>
      <c r="G51" s="108">
        <v>170</v>
      </c>
      <c r="H51" s="108">
        <v>130</v>
      </c>
      <c r="I51" s="108">
        <v>131</v>
      </c>
      <c r="J51" s="108">
        <v>141</v>
      </c>
      <c r="K51" s="108">
        <v>140</v>
      </c>
      <c r="L51" s="108">
        <v>152</v>
      </c>
      <c r="M51" s="108">
        <v>437</v>
      </c>
      <c r="N51" s="108">
        <v>191</v>
      </c>
      <c r="O51" s="108">
        <v>128</v>
      </c>
      <c r="P51" s="108">
        <v>2078</v>
      </c>
    </row>
    <row r="52" spans="1:16" x14ac:dyDescent="0.3">
      <c r="A52" s="280" t="s">
        <v>121</v>
      </c>
      <c r="B52" s="348" t="s">
        <v>268</v>
      </c>
      <c r="C52" s="348" t="s">
        <v>253</v>
      </c>
      <c r="D52" s="108">
        <v>17</v>
      </c>
      <c r="E52" s="108">
        <v>23</v>
      </c>
      <c r="F52" s="108">
        <v>17</v>
      </c>
      <c r="G52" s="108">
        <v>30</v>
      </c>
      <c r="H52" s="108">
        <v>19</v>
      </c>
      <c r="I52" s="108">
        <v>20</v>
      </c>
      <c r="J52" s="108">
        <v>25</v>
      </c>
      <c r="K52" s="108">
        <v>21</v>
      </c>
      <c r="L52" s="108">
        <v>35</v>
      </c>
      <c r="M52" s="108">
        <v>40</v>
      </c>
      <c r="N52" s="108">
        <v>28</v>
      </c>
      <c r="O52" s="108">
        <v>16</v>
      </c>
      <c r="P52" s="108">
        <v>291</v>
      </c>
    </row>
    <row r="53" spans="1:16" x14ac:dyDescent="0.3">
      <c r="A53" s="280" t="s">
        <v>123</v>
      </c>
      <c r="B53" s="348" t="s">
        <v>124</v>
      </c>
      <c r="C53" s="348" t="s">
        <v>254</v>
      </c>
      <c r="D53" s="108">
        <v>72</v>
      </c>
      <c r="E53" s="108">
        <v>51</v>
      </c>
      <c r="F53" s="108">
        <v>54</v>
      </c>
      <c r="G53" s="108">
        <v>55</v>
      </c>
      <c r="H53" s="108">
        <v>62</v>
      </c>
      <c r="I53" s="108">
        <v>66</v>
      </c>
      <c r="J53" s="108">
        <v>49</v>
      </c>
      <c r="K53" s="108">
        <v>58</v>
      </c>
      <c r="L53" s="108">
        <v>83</v>
      </c>
      <c r="M53" s="108">
        <v>97</v>
      </c>
      <c r="N53" s="108">
        <v>72</v>
      </c>
      <c r="O53" s="108">
        <v>50</v>
      </c>
      <c r="P53" s="108">
        <v>769</v>
      </c>
    </row>
    <row r="54" spans="1:16" x14ac:dyDescent="0.3">
      <c r="A54" s="280" t="s">
        <v>125</v>
      </c>
      <c r="B54" s="348" t="s">
        <v>126</v>
      </c>
      <c r="C54" s="348" t="s">
        <v>253</v>
      </c>
      <c r="D54" s="108">
        <v>52</v>
      </c>
      <c r="E54" s="108">
        <v>42</v>
      </c>
      <c r="F54" s="108">
        <v>42</v>
      </c>
      <c r="G54" s="108">
        <v>53</v>
      </c>
      <c r="H54" s="108">
        <v>34</v>
      </c>
      <c r="I54" s="108">
        <v>44</v>
      </c>
      <c r="J54" s="108">
        <v>44</v>
      </c>
      <c r="K54" s="108">
        <v>30</v>
      </c>
      <c r="L54" s="108">
        <v>56</v>
      </c>
      <c r="M54" s="108">
        <v>84</v>
      </c>
      <c r="N54" s="108">
        <v>36</v>
      </c>
      <c r="O54" s="108">
        <v>29</v>
      </c>
      <c r="P54" s="108">
        <v>546</v>
      </c>
    </row>
    <row r="55" spans="1:16" x14ac:dyDescent="0.3">
      <c r="A55" s="280" t="s">
        <v>127</v>
      </c>
      <c r="B55" s="348" t="s">
        <v>128</v>
      </c>
      <c r="C55" s="348" t="s">
        <v>253</v>
      </c>
      <c r="D55" s="108">
        <v>36</v>
      </c>
      <c r="E55" s="108">
        <v>30</v>
      </c>
      <c r="F55" s="108">
        <v>27</v>
      </c>
      <c r="G55" s="108">
        <v>30</v>
      </c>
      <c r="H55" s="108">
        <v>24</v>
      </c>
      <c r="I55" s="108">
        <v>30</v>
      </c>
      <c r="J55" s="108">
        <v>35</v>
      </c>
      <c r="K55" s="108">
        <v>29</v>
      </c>
      <c r="L55" s="108">
        <v>35</v>
      </c>
      <c r="M55" s="108">
        <v>77</v>
      </c>
      <c r="N55" s="108">
        <v>31</v>
      </c>
      <c r="O55" s="108">
        <v>19</v>
      </c>
      <c r="P55" s="108">
        <v>403</v>
      </c>
    </row>
    <row r="56" spans="1:16" x14ac:dyDescent="0.3">
      <c r="A56" s="280" t="s">
        <v>129</v>
      </c>
      <c r="B56" s="348" t="s">
        <v>130</v>
      </c>
      <c r="C56" s="348" t="s">
        <v>255</v>
      </c>
      <c r="D56" s="108">
        <v>107</v>
      </c>
      <c r="E56" s="108">
        <v>112</v>
      </c>
      <c r="F56" s="108">
        <v>101</v>
      </c>
      <c r="G56" s="108">
        <v>127</v>
      </c>
      <c r="H56" s="108">
        <v>90</v>
      </c>
      <c r="I56" s="108">
        <v>85</v>
      </c>
      <c r="J56" s="108">
        <v>83</v>
      </c>
      <c r="K56" s="108">
        <v>81</v>
      </c>
      <c r="L56" s="108">
        <v>115</v>
      </c>
      <c r="M56" s="108">
        <v>174</v>
      </c>
      <c r="N56" s="108">
        <v>85</v>
      </c>
      <c r="O56" s="108">
        <v>69</v>
      </c>
      <c r="P56" s="108">
        <v>1229</v>
      </c>
    </row>
    <row r="57" spans="1:16" x14ac:dyDescent="0.3">
      <c r="A57" s="280" t="s">
        <v>131</v>
      </c>
      <c r="B57" s="348" t="s">
        <v>132</v>
      </c>
      <c r="C57" s="348" t="s">
        <v>254</v>
      </c>
      <c r="D57" s="108">
        <v>329</v>
      </c>
      <c r="E57" s="108">
        <v>319</v>
      </c>
      <c r="F57" s="108">
        <v>343</v>
      </c>
      <c r="G57" s="108">
        <v>304</v>
      </c>
      <c r="H57" s="108">
        <v>304</v>
      </c>
      <c r="I57" s="108">
        <v>273</v>
      </c>
      <c r="J57" s="108">
        <v>348</v>
      </c>
      <c r="K57" s="108">
        <v>285</v>
      </c>
      <c r="L57" s="108">
        <v>467</v>
      </c>
      <c r="M57" s="108">
        <v>1046</v>
      </c>
      <c r="N57" s="108">
        <v>500</v>
      </c>
      <c r="O57" s="108">
        <v>388</v>
      </c>
      <c r="P57" s="108">
        <v>4906</v>
      </c>
    </row>
    <row r="58" spans="1:16" x14ac:dyDescent="0.3">
      <c r="A58" s="280" t="s">
        <v>133</v>
      </c>
      <c r="B58" s="348" t="s">
        <v>134</v>
      </c>
      <c r="C58" s="348" t="s">
        <v>254</v>
      </c>
      <c r="D58" s="108">
        <v>135</v>
      </c>
      <c r="E58" s="108">
        <v>120</v>
      </c>
      <c r="F58" s="108">
        <v>113</v>
      </c>
      <c r="G58" s="108">
        <v>121</v>
      </c>
      <c r="H58" s="108">
        <v>111</v>
      </c>
      <c r="I58" s="108">
        <v>125</v>
      </c>
      <c r="J58" s="108">
        <v>123</v>
      </c>
      <c r="K58" s="108">
        <v>125</v>
      </c>
      <c r="L58" s="108">
        <v>118</v>
      </c>
      <c r="M58" s="108">
        <v>240</v>
      </c>
      <c r="N58" s="108">
        <v>156</v>
      </c>
      <c r="O58" s="108">
        <v>117</v>
      </c>
      <c r="P58" s="108">
        <v>1604</v>
      </c>
    </row>
    <row r="59" spans="1:16" x14ac:dyDescent="0.3">
      <c r="A59" s="280" t="s">
        <v>135</v>
      </c>
      <c r="B59" s="348" t="s">
        <v>136</v>
      </c>
      <c r="C59" s="348" t="s">
        <v>253</v>
      </c>
      <c r="D59" s="108">
        <v>68</v>
      </c>
      <c r="E59" s="108">
        <v>58</v>
      </c>
      <c r="F59" s="108">
        <v>45</v>
      </c>
      <c r="G59" s="108">
        <v>50</v>
      </c>
      <c r="H59" s="108">
        <v>39</v>
      </c>
      <c r="I59" s="108">
        <v>42</v>
      </c>
      <c r="J59" s="108">
        <v>39</v>
      </c>
      <c r="K59" s="108">
        <v>49</v>
      </c>
      <c r="L59" s="108">
        <v>42</v>
      </c>
      <c r="M59" s="108">
        <v>63</v>
      </c>
      <c r="N59" s="108">
        <v>48</v>
      </c>
      <c r="O59" s="108">
        <v>44</v>
      </c>
      <c r="P59" s="108">
        <v>587</v>
      </c>
    </row>
    <row r="60" spans="1:16" x14ac:dyDescent="0.3">
      <c r="A60" s="280" t="s">
        <v>139</v>
      </c>
      <c r="B60" s="348" t="s">
        <v>140</v>
      </c>
      <c r="C60" s="348" t="s">
        <v>254</v>
      </c>
      <c r="D60" s="108">
        <v>28</v>
      </c>
      <c r="E60" s="108">
        <v>27</v>
      </c>
      <c r="F60" s="108">
        <v>29</v>
      </c>
      <c r="G60" s="108">
        <v>31</v>
      </c>
      <c r="H60" s="108">
        <v>35</v>
      </c>
      <c r="I60" s="108">
        <v>27</v>
      </c>
      <c r="J60" s="108">
        <v>24</v>
      </c>
      <c r="K60" s="108">
        <v>27</v>
      </c>
      <c r="L60" s="108">
        <v>32</v>
      </c>
      <c r="M60" s="108">
        <v>68</v>
      </c>
      <c r="N60" s="108">
        <v>24</v>
      </c>
      <c r="O60" s="108">
        <v>16</v>
      </c>
      <c r="P60" s="108">
        <v>368</v>
      </c>
    </row>
    <row r="61" spans="1:16" x14ac:dyDescent="0.3">
      <c r="A61" s="280" t="s">
        <v>145</v>
      </c>
      <c r="B61" s="348" t="s">
        <v>146</v>
      </c>
      <c r="C61" s="348" t="s">
        <v>251</v>
      </c>
      <c r="D61" s="108">
        <v>33</v>
      </c>
      <c r="E61" s="108">
        <v>27</v>
      </c>
      <c r="F61" s="108">
        <v>32</v>
      </c>
      <c r="G61" s="108">
        <v>30</v>
      </c>
      <c r="H61" s="108">
        <v>24</v>
      </c>
      <c r="I61" s="108">
        <v>31</v>
      </c>
      <c r="J61" s="108">
        <v>23</v>
      </c>
      <c r="K61" s="108">
        <v>17</v>
      </c>
      <c r="L61" s="108">
        <v>20</v>
      </c>
      <c r="M61" s="108">
        <v>35</v>
      </c>
      <c r="N61" s="108">
        <v>21</v>
      </c>
      <c r="O61" s="108">
        <v>17</v>
      </c>
      <c r="P61" s="108">
        <v>310</v>
      </c>
    </row>
    <row r="62" spans="1:16" x14ac:dyDescent="0.3">
      <c r="A62" s="280" t="s">
        <v>147</v>
      </c>
      <c r="B62" s="348" t="s">
        <v>148</v>
      </c>
      <c r="C62" s="348" t="s">
        <v>252</v>
      </c>
      <c r="D62" s="108">
        <v>128</v>
      </c>
      <c r="E62" s="108">
        <v>117</v>
      </c>
      <c r="F62" s="108">
        <v>111</v>
      </c>
      <c r="G62" s="108">
        <v>111</v>
      </c>
      <c r="H62" s="108">
        <v>94</v>
      </c>
      <c r="I62" s="108">
        <v>108</v>
      </c>
      <c r="J62" s="108">
        <v>104</v>
      </c>
      <c r="K62" s="108">
        <v>87</v>
      </c>
      <c r="L62" s="108">
        <v>110</v>
      </c>
      <c r="M62" s="108">
        <v>201</v>
      </c>
      <c r="N62" s="108">
        <v>121</v>
      </c>
      <c r="O62" s="108">
        <v>117</v>
      </c>
      <c r="P62" s="108">
        <v>1409</v>
      </c>
    </row>
    <row r="63" spans="1:16" x14ac:dyDescent="0.3">
      <c r="A63" s="280" t="s">
        <v>149</v>
      </c>
      <c r="B63" s="348" t="s">
        <v>150</v>
      </c>
      <c r="C63" s="348" t="s">
        <v>253</v>
      </c>
      <c r="D63" s="108">
        <v>29</v>
      </c>
      <c r="E63" s="108">
        <v>34</v>
      </c>
      <c r="F63" s="108">
        <v>43</v>
      </c>
      <c r="G63" s="108">
        <v>35</v>
      </c>
      <c r="H63" s="108">
        <v>49</v>
      </c>
      <c r="I63" s="108">
        <v>34</v>
      </c>
      <c r="J63" s="108">
        <v>33</v>
      </c>
      <c r="K63" s="108">
        <v>26</v>
      </c>
      <c r="L63" s="108">
        <v>46</v>
      </c>
      <c r="M63" s="108">
        <v>62</v>
      </c>
      <c r="N63" s="108">
        <v>39</v>
      </c>
      <c r="O63" s="108">
        <v>17</v>
      </c>
      <c r="P63" s="108">
        <v>447</v>
      </c>
    </row>
    <row r="64" spans="1:16" x14ac:dyDescent="0.3">
      <c r="A64" s="280" t="s">
        <v>151</v>
      </c>
      <c r="B64" s="348" t="s">
        <v>152</v>
      </c>
      <c r="C64" s="348" t="s">
        <v>255</v>
      </c>
      <c r="D64" s="108">
        <v>175</v>
      </c>
      <c r="E64" s="108">
        <v>183</v>
      </c>
      <c r="F64" s="108">
        <v>186</v>
      </c>
      <c r="G64" s="108">
        <v>196</v>
      </c>
      <c r="H64" s="108">
        <v>160</v>
      </c>
      <c r="I64" s="108">
        <v>166</v>
      </c>
      <c r="J64" s="108">
        <v>196</v>
      </c>
      <c r="K64" s="108">
        <v>168</v>
      </c>
      <c r="L64" s="108">
        <v>189</v>
      </c>
      <c r="M64" s="108">
        <v>319</v>
      </c>
      <c r="N64" s="108">
        <v>188</v>
      </c>
      <c r="O64" s="108">
        <v>137</v>
      </c>
      <c r="P64" s="108">
        <v>2263</v>
      </c>
    </row>
    <row r="65" spans="1:16" x14ac:dyDescent="0.3">
      <c r="A65" s="280" t="s">
        <v>153</v>
      </c>
      <c r="B65" s="348" t="s">
        <v>154</v>
      </c>
      <c r="C65" s="348" t="s">
        <v>252</v>
      </c>
      <c r="D65" s="108">
        <v>29</v>
      </c>
      <c r="E65" s="108">
        <v>48</v>
      </c>
      <c r="F65" s="108">
        <v>41</v>
      </c>
      <c r="G65" s="108">
        <v>30</v>
      </c>
      <c r="H65" s="108">
        <v>47</v>
      </c>
      <c r="I65" s="108">
        <v>26</v>
      </c>
      <c r="J65" s="108">
        <v>39</v>
      </c>
      <c r="K65" s="108">
        <v>33</v>
      </c>
      <c r="L65" s="108">
        <v>48</v>
      </c>
      <c r="M65" s="108">
        <v>79</v>
      </c>
      <c r="N65" s="108">
        <v>26</v>
      </c>
      <c r="O65" s="108">
        <v>20</v>
      </c>
      <c r="P65" s="108">
        <v>466</v>
      </c>
    </row>
    <row r="66" spans="1:16" x14ac:dyDescent="0.3">
      <c r="A66" s="280" t="s">
        <v>155</v>
      </c>
      <c r="B66" s="348" t="s">
        <v>156</v>
      </c>
      <c r="C66" s="348" t="s">
        <v>253</v>
      </c>
      <c r="D66" s="108">
        <v>42</v>
      </c>
      <c r="E66" s="108">
        <v>25</v>
      </c>
      <c r="F66" s="108">
        <v>27</v>
      </c>
      <c r="G66" s="108">
        <v>32</v>
      </c>
      <c r="H66" s="108">
        <v>43</v>
      </c>
      <c r="I66" s="108">
        <v>25</v>
      </c>
      <c r="J66" s="108">
        <v>34</v>
      </c>
      <c r="K66" s="108">
        <v>20</v>
      </c>
      <c r="L66" s="108">
        <v>36</v>
      </c>
      <c r="M66" s="108">
        <v>102</v>
      </c>
      <c r="N66" s="108">
        <v>30</v>
      </c>
      <c r="O66" s="108">
        <v>27</v>
      </c>
      <c r="P66" s="108">
        <v>443</v>
      </c>
    </row>
    <row r="67" spans="1:16" x14ac:dyDescent="0.3">
      <c r="A67" s="280" t="s">
        <v>161</v>
      </c>
      <c r="B67" s="348" t="s">
        <v>162</v>
      </c>
      <c r="C67" s="348" t="s">
        <v>251</v>
      </c>
      <c r="D67" s="108">
        <v>41</v>
      </c>
      <c r="E67" s="108">
        <v>48</v>
      </c>
      <c r="F67" s="108">
        <v>45</v>
      </c>
      <c r="G67" s="108">
        <v>57</v>
      </c>
      <c r="H67" s="108">
        <v>67</v>
      </c>
      <c r="I67" s="108">
        <v>49</v>
      </c>
      <c r="J67" s="108">
        <v>68</v>
      </c>
      <c r="K67" s="108">
        <v>45</v>
      </c>
      <c r="L67" s="108">
        <v>47</v>
      </c>
      <c r="M67" s="108">
        <v>126</v>
      </c>
      <c r="N67" s="108">
        <v>59</v>
      </c>
      <c r="O67" s="108">
        <v>42</v>
      </c>
      <c r="P67" s="108">
        <v>694</v>
      </c>
    </row>
    <row r="68" spans="1:16" x14ac:dyDescent="0.3">
      <c r="A68" s="280" t="s">
        <v>163</v>
      </c>
      <c r="B68" s="348" t="s">
        <v>164</v>
      </c>
      <c r="C68" s="348" t="s">
        <v>253</v>
      </c>
      <c r="D68" s="108">
        <v>33</v>
      </c>
      <c r="E68" s="108">
        <v>34</v>
      </c>
      <c r="F68" s="108">
        <v>25</v>
      </c>
      <c r="G68" s="108">
        <v>41</v>
      </c>
      <c r="H68" s="108">
        <v>39</v>
      </c>
      <c r="I68" s="108">
        <v>28</v>
      </c>
      <c r="J68" s="108">
        <v>40</v>
      </c>
      <c r="K68" s="108">
        <v>36</v>
      </c>
      <c r="L68" s="108">
        <v>36</v>
      </c>
      <c r="M68" s="108">
        <v>72</v>
      </c>
      <c r="N68" s="108">
        <v>31</v>
      </c>
      <c r="O68" s="108">
        <v>18</v>
      </c>
      <c r="P68" s="108">
        <v>433</v>
      </c>
    </row>
    <row r="69" spans="1:16" x14ac:dyDescent="0.3">
      <c r="A69" s="280" t="s">
        <v>167</v>
      </c>
      <c r="B69" s="348" t="s">
        <v>168</v>
      </c>
      <c r="C69" s="348" t="s">
        <v>253</v>
      </c>
      <c r="D69" s="108">
        <v>71</v>
      </c>
      <c r="E69" s="108">
        <v>54</v>
      </c>
      <c r="F69" s="108">
        <v>59</v>
      </c>
      <c r="G69" s="108">
        <v>63</v>
      </c>
      <c r="H69" s="108">
        <v>58</v>
      </c>
      <c r="I69" s="108">
        <v>60</v>
      </c>
      <c r="J69" s="108">
        <v>52</v>
      </c>
      <c r="K69" s="108">
        <v>46</v>
      </c>
      <c r="L69" s="108">
        <v>74</v>
      </c>
      <c r="M69" s="108">
        <v>116</v>
      </c>
      <c r="N69" s="108">
        <v>55</v>
      </c>
      <c r="O69" s="108">
        <v>44</v>
      </c>
      <c r="P69" s="108">
        <v>752</v>
      </c>
    </row>
    <row r="70" spans="1:16" x14ac:dyDescent="0.3">
      <c r="A70" s="280" t="s">
        <v>169</v>
      </c>
      <c r="B70" s="348" t="s">
        <v>170</v>
      </c>
      <c r="C70" s="348" t="s">
        <v>254</v>
      </c>
      <c r="D70" s="108">
        <v>91</v>
      </c>
      <c r="E70" s="108">
        <v>84</v>
      </c>
      <c r="F70" s="108">
        <v>91</v>
      </c>
      <c r="G70" s="108">
        <v>104</v>
      </c>
      <c r="H70" s="108">
        <v>94</v>
      </c>
      <c r="I70" s="108">
        <v>84</v>
      </c>
      <c r="J70" s="108">
        <v>90</v>
      </c>
      <c r="K70" s="108">
        <v>86</v>
      </c>
      <c r="L70" s="108">
        <v>82</v>
      </c>
      <c r="M70" s="108">
        <v>196</v>
      </c>
      <c r="N70" s="108">
        <v>98</v>
      </c>
      <c r="O70" s="108">
        <v>79</v>
      </c>
      <c r="P70" s="108">
        <v>1179</v>
      </c>
    </row>
    <row r="71" spans="1:16" x14ac:dyDescent="0.3">
      <c r="A71" s="280" t="s">
        <v>171</v>
      </c>
      <c r="B71" s="348" t="s">
        <v>172</v>
      </c>
      <c r="C71" s="348" t="s">
        <v>254</v>
      </c>
      <c r="D71" s="108">
        <v>99</v>
      </c>
      <c r="E71" s="108">
        <v>94</v>
      </c>
      <c r="F71" s="108">
        <v>71</v>
      </c>
      <c r="G71" s="108">
        <v>102</v>
      </c>
      <c r="H71" s="108">
        <v>93</v>
      </c>
      <c r="I71" s="108">
        <v>83</v>
      </c>
      <c r="J71" s="108">
        <v>120</v>
      </c>
      <c r="K71" s="108">
        <v>67</v>
      </c>
      <c r="L71" s="108">
        <v>75</v>
      </c>
      <c r="M71" s="108">
        <v>157</v>
      </c>
      <c r="N71" s="108">
        <v>82</v>
      </c>
      <c r="O71" s="108">
        <v>61</v>
      </c>
      <c r="P71" s="108">
        <v>1104</v>
      </c>
    </row>
    <row r="72" spans="1:16" x14ac:dyDescent="0.3">
      <c r="A72" s="280" t="s">
        <v>173</v>
      </c>
      <c r="B72" s="348" t="s">
        <v>174</v>
      </c>
      <c r="C72" s="348" t="s">
        <v>255</v>
      </c>
      <c r="D72" s="108">
        <v>65</v>
      </c>
      <c r="E72" s="108">
        <v>61</v>
      </c>
      <c r="F72" s="108">
        <v>56</v>
      </c>
      <c r="G72" s="108">
        <v>51</v>
      </c>
      <c r="H72" s="108">
        <v>63</v>
      </c>
      <c r="I72" s="108">
        <v>57</v>
      </c>
      <c r="J72" s="108">
        <v>53</v>
      </c>
      <c r="K72" s="108">
        <v>49</v>
      </c>
      <c r="L72" s="108">
        <v>74</v>
      </c>
      <c r="M72" s="108">
        <v>92</v>
      </c>
      <c r="N72" s="108">
        <v>33</v>
      </c>
      <c r="O72" s="108">
        <v>25</v>
      </c>
      <c r="P72" s="108">
        <v>679</v>
      </c>
    </row>
    <row r="73" spans="1:16" x14ac:dyDescent="0.3">
      <c r="A73" s="280" t="s">
        <v>177</v>
      </c>
      <c r="B73" s="348" t="s">
        <v>178</v>
      </c>
      <c r="C73" s="348" t="s">
        <v>252</v>
      </c>
      <c r="D73" s="108">
        <v>220</v>
      </c>
      <c r="E73" s="108">
        <v>228</v>
      </c>
      <c r="F73" s="108">
        <v>224</v>
      </c>
      <c r="G73" s="108">
        <v>255</v>
      </c>
      <c r="H73" s="108">
        <v>198</v>
      </c>
      <c r="I73" s="108">
        <v>186</v>
      </c>
      <c r="J73" s="108">
        <v>228</v>
      </c>
      <c r="K73" s="108">
        <v>189</v>
      </c>
      <c r="L73" s="108">
        <v>189</v>
      </c>
      <c r="M73" s="108">
        <v>398</v>
      </c>
      <c r="N73" s="108">
        <v>202</v>
      </c>
      <c r="O73" s="108">
        <v>198</v>
      </c>
      <c r="P73" s="108">
        <v>2715</v>
      </c>
    </row>
    <row r="74" spans="1:16" x14ac:dyDescent="0.3">
      <c r="A74" s="280" t="s">
        <v>181</v>
      </c>
      <c r="B74" s="348" t="s">
        <v>182</v>
      </c>
      <c r="C74" s="348" t="s">
        <v>253</v>
      </c>
      <c r="D74" s="108">
        <v>65</v>
      </c>
      <c r="E74" s="108">
        <v>48</v>
      </c>
      <c r="F74" s="108">
        <v>43</v>
      </c>
      <c r="G74" s="108">
        <v>58</v>
      </c>
      <c r="H74" s="108">
        <v>31</v>
      </c>
      <c r="I74" s="108">
        <v>37</v>
      </c>
      <c r="J74" s="108">
        <v>34</v>
      </c>
      <c r="K74" s="108">
        <v>33</v>
      </c>
      <c r="L74" s="108">
        <v>54</v>
      </c>
      <c r="M74" s="108">
        <v>90</v>
      </c>
      <c r="N74" s="108">
        <v>31</v>
      </c>
      <c r="O74" s="108">
        <v>35</v>
      </c>
      <c r="P74" s="108">
        <v>559</v>
      </c>
    </row>
    <row r="75" spans="1:16" x14ac:dyDescent="0.3">
      <c r="A75" s="280" t="s">
        <v>183</v>
      </c>
      <c r="B75" s="348" t="s">
        <v>184</v>
      </c>
      <c r="C75" s="348" t="s">
        <v>253</v>
      </c>
      <c r="D75" s="108">
        <v>96</v>
      </c>
      <c r="E75" s="108">
        <v>87</v>
      </c>
      <c r="F75" s="108">
        <v>68</v>
      </c>
      <c r="G75" s="108">
        <v>72</v>
      </c>
      <c r="H75" s="108">
        <v>71</v>
      </c>
      <c r="I75" s="108">
        <v>78</v>
      </c>
      <c r="J75" s="108">
        <v>95</v>
      </c>
      <c r="K75" s="108">
        <v>59</v>
      </c>
      <c r="L75" s="108">
        <v>95</v>
      </c>
      <c r="M75" s="108">
        <v>136</v>
      </c>
      <c r="N75" s="108">
        <v>73</v>
      </c>
      <c r="O75" s="108">
        <v>68</v>
      </c>
      <c r="P75" s="108">
        <v>998</v>
      </c>
    </row>
    <row r="76" spans="1:16" x14ac:dyDescent="0.3">
      <c r="A76" s="280" t="s">
        <v>185</v>
      </c>
      <c r="B76" s="348" t="s">
        <v>186</v>
      </c>
      <c r="C76" s="348" t="s">
        <v>251</v>
      </c>
      <c r="D76" s="108">
        <v>107</v>
      </c>
      <c r="E76" s="108">
        <v>115</v>
      </c>
      <c r="F76" s="108">
        <v>118</v>
      </c>
      <c r="G76" s="108">
        <v>116</v>
      </c>
      <c r="H76" s="108">
        <v>125</v>
      </c>
      <c r="I76" s="108">
        <v>104</v>
      </c>
      <c r="J76" s="108">
        <v>123</v>
      </c>
      <c r="K76" s="108">
        <v>109</v>
      </c>
      <c r="L76" s="108">
        <v>137</v>
      </c>
      <c r="M76" s="108">
        <v>285</v>
      </c>
      <c r="N76" s="108">
        <v>98</v>
      </c>
      <c r="O76" s="108">
        <v>97</v>
      </c>
      <c r="P76" s="108">
        <v>1534</v>
      </c>
    </row>
    <row r="77" spans="1:16" x14ac:dyDescent="0.3">
      <c r="A77" s="280" t="s">
        <v>187</v>
      </c>
      <c r="B77" s="348" t="s">
        <v>188</v>
      </c>
      <c r="C77" s="348" t="s">
        <v>254</v>
      </c>
      <c r="D77" s="108">
        <v>878</v>
      </c>
      <c r="E77" s="108">
        <v>899</v>
      </c>
      <c r="F77" s="108">
        <v>914</v>
      </c>
      <c r="G77" s="108">
        <v>981</v>
      </c>
      <c r="H77" s="108">
        <v>929</v>
      </c>
      <c r="I77" s="108">
        <v>827</v>
      </c>
      <c r="J77" s="108">
        <v>958</v>
      </c>
      <c r="K77" s="108">
        <v>818</v>
      </c>
      <c r="L77" s="108">
        <v>1001</v>
      </c>
      <c r="M77" s="108">
        <v>2622</v>
      </c>
      <c r="N77" s="108">
        <v>1505</v>
      </c>
      <c r="O77" s="108">
        <v>1018</v>
      </c>
      <c r="P77" s="108">
        <v>13350</v>
      </c>
    </row>
    <row r="78" spans="1:16" x14ac:dyDescent="0.3">
      <c r="A78" s="280" t="s">
        <v>189</v>
      </c>
      <c r="B78" s="348" t="s">
        <v>190</v>
      </c>
      <c r="C78" s="348" t="s">
        <v>255</v>
      </c>
      <c r="D78" s="108">
        <v>148</v>
      </c>
      <c r="E78" s="108">
        <v>163</v>
      </c>
      <c r="F78" s="108">
        <v>137</v>
      </c>
      <c r="G78" s="108">
        <v>151</v>
      </c>
      <c r="H78" s="108">
        <v>153</v>
      </c>
      <c r="I78" s="108">
        <v>140</v>
      </c>
      <c r="J78" s="108">
        <v>114</v>
      </c>
      <c r="K78" s="108">
        <v>136</v>
      </c>
      <c r="L78" s="108">
        <v>159</v>
      </c>
      <c r="M78" s="108">
        <v>219</v>
      </c>
      <c r="N78" s="108">
        <v>103</v>
      </c>
      <c r="O78" s="108">
        <v>106</v>
      </c>
      <c r="P78" s="108">
        <v>1729</v>
      </c>
    </row>
    <row r="79" spans="1:16" x14ac:dyDescent="0.3">
      <c r="A79" s="280" t="s">
        <v>193</v>
      </c>
      <c r="B79" s="348" t="s">
        <v>194</v>
      </c>
      <c r="C79" s="348" t="s">
        <v>254</v>
      </c>
      <c r="D79" s="108">
        <v>14</v>
      </c>
      <c r="E79" s="108">
        <v>13</v>
      </c>
      <c r="F79" s="108">
        <v>16</v>
      </c>
      <c r="G79" s="108">
        <v>13</v>
      </c>
      <c r="H79" s="108">
        <v>8</v>
      </c>
      <c r="I79" s="108">
        <v>7</v>
      </c>
      <c r="J79" s="108">
        <v>19</v>
      </c>
      <c r="K79" s="108">
        <v>10</v>
      </c>
      <c r="L79" s="108">
        <v>8</v>
      </c>
      <c r="M79" s="108">
        <v>25</v>
      </c>
      <c r="N79" s="108">
        <v>12</v>
      </c>
      <c r="O79" s="108">
        <v>9</v>
      </c>
      <c r="P79" s="108">
        <v>154</v>
      </c>
    </row>
    <row r="80" spans="1:16" x14ac:dyDescent="0.3">
      <c r="A80" s="280" t="s">
        <v>197</v>
      </c>
      <c r="B80" s="348" t="s">
        <v>259</v>
      </c>
      <c r="C80" s="348" t="s">
        <v>253</v>
      </c>
      <c r="D80" s="108">
        <v>21</v>
      </c>
      <c r="E80" s="108">
        <v>29</v>
      </c>
      <c r="F80" s="108">
        <v>26</v>
      </c>
      <c r="G80" s="108">
        <v>20</v>
      </c>
      <c r="H80" s="108">
        <v>19</v>
      </c>
      <c r="I80" s="108">
        <v>26</v>
      </c>
      <c r="J80" s="108">
        <v>26</v>
      </c>
      <c r="K80" s="108">
        <v>27</v>
      </c>
      <c r="L80" s="108">
        <v>26</v>
      </c>
      <c r="M80" s="108">
        <v>54</v>
      </c>
      <c r="N80" s="108">
        <v>36</v>
      </c>
      <c r="O80" s="108">
        <v>24</v>
      </c>
      <c r="P80" s="108">
        <v>334</v>
      </c>
    </row>
    <row r="81" spans="1:16" x14ac:dyDescent="0.3">
      <c r="A81" s="280" t="s">
        <v>201</v>
      </c>
      <c r="B81" s="348" t="s">
        <v>276</v>
      </c>
      <c r="C81" s="348" t="s">
        <v>252</v>
      </c>
      <c r="D81" s="108">
        <v>292</v>
      </c>
      <c r="E81" s="108">
        <v>251</v>
      </c>
      <c r="F81" s="108">
        <v>202</v>
      </c>
      <c r="G81" s="108">
        <v>238</v>
      </c>
      <c r="H81" s="108">
        <v>207</v>
      </c>
      <c r="I81" s="108">
        <v>245</v>
      </c>
      <c r="J81" s="108">
        <v>246</v>
      </c>
      <c r="K81" s="108">
        <v>221</v>
      </c>
      <c r="L81" s="108">
        <v>307</v>
      </c>
      <c r="M81" s="108">
        <v>555</v>
      </c>
      <c r="N81" s="108">
        <v>221</v>
      </c>
      <c r="O81" s="108">
        <v>238</v>
      </c>
      <c r="P81" s="108">
        <v>3223</v>
      </c>
    </row>
    <row r="82" spans="1:16" x14ac:dyDescent="0.3">
      <c r="A82" s="280" t="s">
        <v>203</v>
      </c>
      <c r="B82" s="348" t="s">
        <v>269</v>
      </c>
      <c r="C82" s="348" t="s">
        <v>252</v>
      </c>
      <c r="D82" s="108">
        <v>92</v>
      </c>
      <c r="E82" s="108">
        <v>81</v>
      </c>
      <c r="F82" s="108">
        <v>106</v>
      </c>
      <c r="G82" s="108">
        <v>86</v>
      </c>
      <c r="H82" s="108">
        <v>102</v>
      </c>
      <c r="I82" s="108">
        <v>97</v>
      </c>
      <c r="J82" s="108">
        <v>100</v>
      </c>
      <c r="K82" s="108">
        <v>75</v>
      </c>
      <c r="L82" s="108">
        <v>99</v>
      </c>
      <c r="M82" s="108">
        <v>171</v>
      </c>
      <c r="N82" s="108">
        <v>97</v>
      </c>
      <c r="O82" s="108">
        <v>64</v>
      </c>
      <c r="P82" s="108">
        <v>1170</v>
      </c>
    </row>
    <row r="83" spans="1:16" x14ac:dyDescent="0.3">
      <c r="A83" s="280" t="s">
        <v>205</v>
      </c>
      <c r="B83" s="348" t="s">
        <v>270</v>
      </c>
      <c r="C83" s="348" t="s">
        <v>254</v>
      </c>
      <c r="D83" s="108">
        <v>287</v>
      </c>
      <c r="E83" s="108">
        <v>316</v>
      </c>
      <c r="F83" s="108">
        <v>268</v>
      </c>
      <c r="G83" s="108">
        <v>335</v>
      </c>
      <c r="H83" s="108">
        <v>283</v>
      </c>
      <c r="I83" s="108">
        <v>277</v>
      </c>
      <c r="J83" s="108">
        <v>315</v>
      </c>
      <c r="K83" s="108">
        <v>279</v>
      </c>
      <c r="L83" s="108">
        <v>268</v>
      </c>
      <c r="M83" s="108">
        <v>491</v>
      </c>
      <c r="N83" s="108">
        <v>254</v>
      </c>
      <c r="O83" s="108">
        <v>241</v>
      </c>
      <c r="P83" s="108">
        <v>3614</v>
      </c>
    </row>
    <row r="84" spans="1:16" x14ac:dyDescent="0.3">
      <c r="A84" s="280" t="s">
        <v>207</v>
      </c>
      <c r="B84" s="348" t="s">
        <v>208</v>
      </c>
      <c r="C84" s="348" t="s">
        <v>255</v>
      </c>
      <c r="D84" s="108">
        <v>130</v>
      </c>
      <c r="E84" s="108">
        <v>110</v>
      </c>
      <c r="F84" s="108">
        <v>119</v>
      </c>
      <c r="G84" s="108">
        <v>128</v>
      </c>
      <c r="H84" s="108">
        <v>126</v>
      </c>
      <c r="I84" s="108">
        <v>99</v>
      </c>
      <c r="J84" s="108">
        <v>128</v>
      </c>
      <c r="K84" s="108">
        <v>101</v>
      </c>
      <c r="L84" s="108">
        <v>120</v>
      </c>
      <c r="M84" s="108">
        <v>200</v>
      </c>
      <c r="N84" s="108">
        <v>88</v>
      </c>
      <c r="O84" s="108">
        <v>69</v>
      </c>
      <c r="P84" s="108">
        <v>1418</v>
      </c>
    </row>
    <row r="85" spans="1:16" x14ac:dyDescent="0.3">
      <c r="A85" s="280" t="s">
        <v>209</v>
      </c>
      <c r="B85" s="348" t="s">
        <v>210</v>
      </c>
      <c r="C85" s="348" t="s">
        <v>255</v>
      </c>
      <c r="D85" s="108">
        <v>89</v>
      </c>
      <c r="E85" s="108">
        <v>94</v>
      </c>
      <c r="F85" s="108">
        <v>74</v>
      </c>
      <c r="G85" s="108">
        <v>87</v>
      </c>
      <c r="H85" s="108">
        <v>103</v>
      </c>
      <c r="I85" s="108">
        <v>79</v>
      </c>
      <c r="J85" s="108">
        <v>74</v>
      </c>
      <c r="K85" s="108">
        <v>75</v>
      </c>
      <c r="L85" s="108">
        <v>86</v>
      </c>
      <c r="M85" s="108">
        <v>122</v>
      </c>
      <c r="N85" s="108">
        <v>62</v>
      </c>
      <c r="O85" s="108">
        <v>63</v>
      </c>
      <c r="P85" s="108">
        <v>1008</v>
      </c>
    </row>
    <row r="86" spans="1:16" x14ac:dyDescent="0.3">
      <c r="A86" s="280" t="s">
        <v>211</v>
      </c>
      <c r="B86" s="348" t="s">
        <v>212</v>
      </c>
      <c r="C86" s="348" t="s">
        <v>254</v>
      </c>
      <c r="D86" s="108">
        <v>141</v>
      </c>
      <c r="E86" s="108">
        <v>155</v>
      </c>
      <c r="F86" s="108">
        <v>150</v>
      </c>
      <c r="G86" s="108">
        <v>132</v>
      </c>
      <c r="H86" s="108">
        <v>140</v>
      </c>
      <c r="I86" s="108">
        <v>146</v>
      </c>
      <c r="J86" s="108">
        <v>156</v>
      </c>
      <c r="K86" s="108">
        <v>134</v>
      </c>
      <c r="L86" s="108">
        <v>169</v>
      </c>
      <c r="M86" s="108">
        <v>200</v>
      </c>
      <c r="N86" s="108">
        <v>121</v>
      </c>
      <c r="O86" s="108">
        <v>113</v>
      </c>
      <c r="P86" s="108">
        <v>1757</v>
      </c>
    </row>
    <row r="87" spans="1:16" x14ac:dyDescent="0.3">
      <c r="A87" s="280" t="s">
        <v>213</v>
      </c>
      <c r="B87" s="348" t="s">
        <v>214</v>
      </c>
      <c r="C87" s="348" t="s">
        <v>255</v>
      </c>
      <c r="D87" s="108">
        <v>155</v>
      </c>
      <c r="E87" s="108">
        <v>136</v>
      </c>
      <c r="F87" s="108">
        <v>132</v>
      </c>
      <c r="G87" s="108">
        <v>158</v>
      </c>
      <c r="H87" s="108">
        <v>149</v>
      </c>
      <c r="I87" s="108">
        <v>132</v>
      </c>
      <c r="J87" s="108">
        <v>146</v>
      </c>
      <c r="K87" s="108">
        <v>98</v>
      </c>
      <c r="L87" s="108">
        <v>137</v>
      </c>
      <c r="M87" s="108">
        <v>224</v>
      </c>
      <c r="N87" s="108">
        <v>106</v>
      </c>
      <c r="O87" s="108">
        <v>124</v>
      </c>
      <c r="P87" s="108">
        <v>1697</v>
      </c>
    </row>
    <row r="88" spans="1:16" x14ac:dyDescent="0.3">
      <c r="A88" s="280" t="s">
        <v>215</v>
      </c>
      <c r="B88" s="348" t="s">
        <v>216</v>
      </c>
      <c r="C88" s="348" t="s">
        <v>251</v>
      </c>
      <c r="D88" s="108">
        <v>86</v>
      </c>
      <c r="E88" s="108">
        <v>77</v>
      </c>
      <c r="F88" s="108">
        <v>77</v>
      </c>
      <c r="G88" s="108">
        <v>62</v>
      </c>
      <c r="H88" s="108">
        <v>54</v>
      </c>
      <c r="I88" s="108">
        <v>66</v>
      </c>
      <c r="J88" s="108">
        <v>65</v>
      </c>
      <c r="K88" s="108">
        <v>54</v>
      </c>
      <c r="L88" s="108">
        <v>59</v>
      </c>
      <c r="M88" s="108">
        <v>152</v>
      </c>
      <c r="N88" s="108">
        <v>76</v>
      </c>
      <c r="O88" s="108">
        <v>67</v>
      </c>
      <c r="P88" s="108">
        <v>895</v>
      </c>
    </row>
    <row r="89" spans="1:16" x14ac:dyDescent="0.3">
      <c r="A89" s="280" t="s">
        <v>217</v>
      </c>
      <c r="B89" s="348" t="s">
        <v>218</v>
      </c>
      <c r="C89" s="348" t="s">
        <v>254</v>
      </c>
      <c r="D89" s="108">
        <v>354</v>
      </c>
      <c r="E89" s="108">
        <v>356</v>
      </c>
      <c r="F89" s="108">
        <v>369</v>
      </c>
      <c r="G89" s="108">
        <v>408</v>
      </c>
      <c r="H89" s="108">
        <v>363</v>
      </c>
      <c r="I89" s="108">
        <v>336</v>
      </c>
      <c r="J89" s="108">
        <v>359</v>
      </c>
      <c r="K89" s="108">
        <v>324</v>
      </c>
      <c r="L89" s="108">
        <v>358</v>
      </c>
      <c r="M89" s="108">
        <v>794</v>
      </c>
      <c r="N89" s="108">
        <v>495</v>
      </c>
      <c r="O89" s="108">
        <v>315</v>
      </c>
      <c r="P89" s="108">
        <v>4831</v>
      </c>
    </row>
    <row r="90" spans="1:16" x14ac:dyDescent="0.3">
      <c r="A90" s="280" t="s">
        <v>219</v>
      </c>
      <c r="B90" s="348" t="s">
        <v>220</v>
      </c>
      <c r="C90" s="348" t="s">
        <v>254</v>
      </c>
      <c r="D90" s="108">
        <v>262</v>
      </c>
      <c r="E90" s="108">
        <v>311</v>
      </c>
      <c r="F90" s="108">
        <v>285</v>
      </c>
      <c r="G90" s="108">
        <v>330</v>
      </c>
      <c r="H90" s="108">
        <v>298</v>
      </c>
      <c r="I90" s="108">
        <v>305</v>
      </c>
      <c r="J90" s="108">
        <v>297</v>
      </c>
      <c r="K90" s="108">
        <v>254</v>
      </c>
      <c r="L90" s="108">
        <v>368</v>
      </c>
      <c r="M90" s="108">
        <v>647</v>
      </c>
      <c r="N90" s="108">
        <v>397</v>
      </c>
      <c r="O90" s="108">
        <v>281</v>
      </c>
      <c r="P90" s="108">
        <v>4035</v>
      </c>
    </row>
    <row r="91" spans="1:16" x14ac:dyDescent="0.3">
      <c r="A91" s="280" t="s">
        <v>223</v>
      </c>
      <c r="B91" s="348" t="s">
        <v>224</v>
      </c>
      <c r="C91" s="348" t="s">
        <v>251</v>
      </c>
      <c r="D91" s="108">
        <v>23</v>
      </c>
      <c r="E91" s="108">
        <v>31</v>
      </c>
      <c r="F91" s="108">
        <v>14</v>
      </c>
      <c r="G91" s="108">
        <v>26</v>
      </c>
      <c r="H91" s="108">
        <v>18</v>
      </c>
      <c r="I91" s="108">
        <v>20</v>
      </c>
      <c r="J91" s="108">
        <v>21</v>
      </c>
      <c r="K91" s="108">
        <v>20</v>
      </c>
      <c r="L91" s="108">
        <v>25</v>
      </c>
      <c r="M91" s="108">
        <v>53</v>
      </c>
      <c r="N91" s="108">
        <v>21</v>
      </c>
      <c r="O91" s="108">
        <v>21</v>
      </c>
      <c r="P91" s="108">
        <v>293</v>
      </c>
    </row>
    <row r="92" spans="1:16" x14ac:dyDescent="0.3">
      <c r="A92" s="280" t="s">
        <v>225</v>
      </c>
      <c r="B92" s="348" t="s">
        <v>226</v>
      </c>
      <c r="C92" s="348" t="s">
        <v>251</v>
      </c>
      <c r="D92" s="108">
        <v>59</v>
      </c>
      <c r="E92" s="108">
        <v>53</v>
      </c>
      <c r="F92" s="108">
        <v>49</v>
      </c>
      <c r="G92" s="108">
        <v>56</v>
      </c>
      <c r="H92" s="108">
        <v>42</v>
      </c>
      <c r="I92" s="108">
        <v>35</v>
      </c>
      <c r="J92" s="108">
        <v>55</v>
      </c>
      <c r="K92" s="108">
        <v>43</v>
      </c>
      <c r="L92" s="108">
        <v>56</v>
      </c>
      <c r="M92" s="108">
        <v>105</v>
      </c>
      <c r="N92" s="108">
        <v>52</v>
      </c>
      <c r="O92" s="108">
        <v>48</v>
      </c>
      <c r="P92" s="108">
        <v>653</v>
      </c>
    </row>
    <row r="93" spans="1:16" x14ac:dyDescent="0.3">
      <c r="A93" s="280" t="s">
        <v>227</v>
      </c>
      <c r="B93" s="348" t="s">
        <v>228</v>
      </c>
      <c r="C93" s="348" t="s">
        <v>255</v>
      </c>
      <c r="D93" s="108">
        <v>194</v>
      </c>
      <c r="E93" s="108">
        <v>190</v>
      </c>
      <c r="F93" s="108">
        <v>203</v>
      </c>
      <c r="G93" s="108">
        <v>242</v>
      </c>
      <c r="H93" s="108">
        <v>188</v>
      </c>
      <c r="I93" s="108">
        <v>178</v>
      </c>
      <c r="J93" s="108">
        <v>197</v>
      </c>
      <c r="K93" s="108">
        <v>154</v>
      </c>
      <c r="L93" s="108">
        <v>211</v>
      </c>
      <c r="M93" s="108">
        <v>280</v>
      </c>
      <c r="N93" s="108">
        <v>161</v>
      </c>
      <c r="O93" s="108">
        <v>144</v>
      </c>
      <c r="P93" s="108">
        <v>2342</v>
      </c>
    </row>
    <row r="94" spans="1:16" x14ac:dyDescent="0.3">
      <c r="A94" s="280" t="s">
        <v>231</v>
      </c>
      <c r="B94" s="348" t="s">
        <v>232</v>
      </c>
      <c r="C94" s="348" t="s">
        <v>254</v>
      </c>
      <c r="D94" s="108">
        <v>115</v>
      </c>
      <c r="E94" s="108">
        <v>102</v>
      </c>
      <c r="F94" s="108">
        <v>106</v>
      </c>
      <c r="G94" s="108">
        <v>110</v>
      </c>
      <c r="H94" s="108">
        <v>110</v>
      </c>
      <c r="I94" s="108">
        <v>97</v>
      </c>
      <c r="J94" s="108">
        <v>106</v>
      </c>
      <c r="K94" s="108">
        <v>92</v>
      </c>
      <c r="L94" s="108">
        <v>116</v>
      </c>
      <c r="M94" s="108">
        <v>209</v>
      </c>
      <c r="N94" s="108">
        <v>126</v>
      </c>
      <c r="O94" s="108">
        <v>90</v>
      </c>
      <c r="P94" s="108">
        <v>1379</v>
      </c>
    </row>
    <row r="95" spans="1:16" x14ac:dyDescent="0.3">
      <c r="A95" s="280" t="s">
        <v>233</v>
      </c>
      <c r="B95" s="348" t="s">
        <v>234</v>
      </c>
      <c r="C95" s="348" t="s">
        <v>255</v>
      </c>
      <c r="D95" s="108">
        <v>191</v>
      </c>
      <c r="E95" s="108">
        <v>183</v>
      </c>
      <c r="F95" s="108">
        <v>165</v>
      </c>
      <c r="G95" s="108">
        <v>183</v>
      </c>
      <c r="H95" s="108">
        <v>177</v>
      </c>
      <c r="I95" s="108">
        <v>160</v>
      </c>
      <c r="J95" s="108">
        <v>199</v>
      </c>
      <c r="K95" s="108">
        <v>137</v>
      </c>
      <c r="L95" s="108">
        <v>204</v>
      </c>
      <c r="M95" s="108">
        <v>337</v>
      </c>
      <c r="N95" s="108">
        <v>168</v>
      </c>
      <c r="O95" s="108">
        <v>149</v>
      </c>
      <c r="P95" s="108">
        <v>2253</v>
      </c>
    </row>
    <row r="96" spans="1:16" x14ac:dyDescent="0.3">
      <c r="A96" s="280" t="s">
        <v>235</v>
      </c>
      <c r="B96" s="348" t="s">
        <v>236</v>
      </c>
      <c r="C96" s="348" t="s">
        <v>253</v>
      </c>
      <c r="D96" s="108">
        <v>60</v>
      </c>
      <c r="E96" s="108">
        <v>64</v>
      </c>
      <c r="F96" s="108">
        <v>50</v>
      </c>
      <c r="G96" s="108">
        <v>66</v>
      </c>
      <c r="H96" s="108">
        <v>85</v>
      </c>
      <c r="I96" s="108">
        <v>46</v>
      </c>
      <c r="J96" s="108">
        <v>65</v>
      </c>
      <c r="K96" s="108">
        <v>69</v>
      </c>
      <c r="L96" s="108">
        <v>75</v>
      </c>
      <c r="M96" s="108">
        <v>122</v>
      </c>
      <c r="N96" s="108">
        <v>67</v>
      </c>
      <c r="O96" s="108">
        <v>56</v>
      </c>
      <c r="P96" s="108">
        <v>825</v>
      </c>
    </row>
    <row r="97" spans="1:16" x14ac:dyDescent="0.3">
      <c r="A97" s="280" t="s">
        <v>241</v>
      </c>
      <c r="B97" s="348" t="s">
        <v>242</v>
      </c>
      <c r="C97" s="348" t="s">
        <v>255</v>
      </c>
      <c r="D97" s="108">
        <v>193</v>
      </c>
      <c r="E97" s="108">
        <v>183</v>
      </c>
      <c r="F97" s="108">
        <v>191</v>
      </c>
      <c r="G97" s="108">
        <v>191</v>
      </c>
      <c r="H97" s="108">
        <v>166</v>
      </c>
      <c r="I97" s="108">
        <v>137</v>
      </c>
      <c r="J97" s="108">
        <v>169</v>
      </c>
      <c r="K97" s="108">
        <v>157</v>
      </c>
      <c r="L97" s="108">
        <v>192</v>
      </c>
      <c r="M97" s="108">
        <v>384</v>
      </c>
      <c r="N97" s="108">
        <v>191</v>
      </c>
      <c r="O97" s="108">
        <v>126</v>
      </c>
      <c r="P97" s="108">
        <v>2280</v>
      </c>
    </row>
    <row r="98" spans="1:16" x14ac:dyDescent="0.3">
      <c r="A98" s="280" t="s">
        <v>243</v>
      </c>
      <c r="B98" s="348" t="s">
        <v>244</v>
      </c>
      <c r="C98" s="348" t="s">
        <v>255</v>
      </c>
      <c r="D98" s="108">
        <v>126</v>
      </c>
      <c r="E98" s="108">
        <v>132</v>
      </c>
      <c r="F98" s="108">
        <v>114</v>
      </c>
      <c r="G98" s="108">
        <v>128</v>
      </c>
      <c r="H98" s="108">
        <v>139</v>
      </c>
      <c r="I98" s="108">
        <v>102</v>
      </c>
      <c r="J98" s="108">
        <v>126</v>
      </c>
      <c r="K98" s="108">
        <v>91</v>
      </c>
      <c r="L98" s="108">
        <v>121</v>
      </c>
      <c r="M98" s="108">
        <v>232</v>
      </c>
      <c r="N98" s="108">
        <v>103</v>
      </c>
      <c r="O98" s="108">
        <v>81</v>
      </c>
      <c r="P98" s="108">
        <v>1495</v>
      </c>
    </row>
    <row r="99" spans="1:16" x14ac:dyDescent="0.3">
      <c r="A99" s="280" t="s">
        <v>245</v>
      </c>
      <c r="B99" s="348" t="s">
        <v>246</v>
      </c>
      <c r="C99" s="348" t="s">
        <v>251</v>
      </c>
      <c r="D99" s="108">
        <v>114</v>
      </c>
      <c r="E99" s="108">
        <v>119</v>
      </c>
      <c r="F99" s="108">
        <v>103</v>
      </c>
      <c r="G99" s="108">
        <v>118</v>
      </c>
      <c r="H99" s="108">
        <v>115</v>
      </c>
      <c r="I99" s="108">
        <v>103</v>
      </c>
      <c r="J99" s="108">
        <v>94</v>
      </c>
      <c r="K99" s="108">
        <v>103</v>
      </c>
      <c r="L99" s="108">
        <v>140</v>
      </c>
      <c r="M99" s="108">
        <v>337</v>
      </c>
      <c r="N99" s="108">
        <v>120</v>
      </c>
      <c r="O99" s="108">
        <v>119</v>
      </c>
      <c r="P99" s="108">
        <v>1585</v>
      </c>
    </row>
    <row r="100" spans="1:16" x14ac:dyDescent="0.3">
      <c r="A100" s="280" t="s">
        <v>13</v>
      </c>
      <c r="B100" s="348" t="s">
        <v>14</v>
      </c>
      <c r="C100" s="348" t="s">
        <v>254</v>
      </c>
      <c r="D100" s="108">
        <v>287</v>
      </c>
      <c r="E100" s="108">
        <v>247</v>
      </c>
      <c r="F100" s="108">
        <v>242</v>
      </c>
      <c r="G100" s="108">
        <v>263</v>
      </c>
      <c r="H100" s="108">
        <v>269</v>
      </c>
      <c r="I100" s="108">
        <v>259</v>
      </c>
      <c r="J100" s="108">
        <v>257</v>
      </c>
      <c r="K100" s="108">
        <v>260</v>
      </c>
      <c r="L100" s="108">
        <v>386</v>
      </c>
      <c r="M100" s="108">
        <v>841</v>
      </c>
      <c r="N100" s="108">
        <v>583</v>
      </c>
      <c r="O100" s="108">
        <v>342</v>
      </c>
      <c r="P100" s="108">
        <v>4236</v>
      </c>
    </row>
    <row r="101" spans="1:16" x14ac:dyDescent="0.3">
      <c r="A101" s="280" t="s">
        <v>33</v>
      </c>
      <c r="B101" s="348" t="s">
        <v>34</v>
      </c>
      <c r="C101" s="348" t="s">
        <v>255</v>
      </c>
      <c r="D101" s="108">
        <v>146</v>
      </c>
      <c r="E101" s="108">
        <v>107</v>
      </c>
      <c r="F101" s="108">
        <v>127</v>
      </c>
      <c r="G101" s="108">
        <v>115</v>
      </c>
      <c r="H101" s="108">
        <v>123</v>
      </c>
      <c r="I101" s="108">
        <v>102</v>
      </c>
      <c r="J101" s="108">
        <v>138</v>
      </c>
      <c r="K101" s="108">
        <v>112</v>
      </c>
      <c r="L101" s="108">
        <v>145</v>
      </c>
      <c r="M101" s="108">
        <v>217</v>
      </c>
      <c r="N101" s="108">
        <v>100</v>
      </c>
      <c r="O101" s="108">
        <v>82</v>
      </c>
      <c r="P101" s="108">
        <v>1514</v>
      </c>
    </row>
    <row r="102" spans="1:16" x14ac:dyDescent="0.3">
      <c r="A102" s="280" t="s">
        <v>51</v>
      </c>
      <c r="B102" s="348" t="s">
        <v>52</v>
      </c>
      <c r="C102" s="348" t="s">
        <v>252</v>
      </c>
      <c r="D102" s="108">
        <v>173</v>
      </c>
      <c r="E102" s="108">
        <v>151</v>
      </c>
      <c r="F102" s="108">
        <v>135</v>
      </c>
      <c r="G102" s="108">
        <v>142</v>
      </c>
      <c r="H102" s="108">
        <v>120</v>
      </c>
      <c r="I102" s="108">
        <v>121</v>
      </c>
      <c r="J102" s="108">
        <v>138</v>
      </c>
      <c r="K102" s="108">
        <v>109</v>
      </c>
      <c r="L102" s="108">
        <v>151</v>
      </c>
      <c r="M102" s="108">
        <v>403</v>
      </c>
      <c r="N102" s="108">
        <v>155</v>
      </c>
      <c r="O102" s="108">
        <v>99</v>
      </c>
      <c r="P102" s="108">
        <v>1897</v>
      </c>
    </row>
    <row r="103" spans="1:16" x14ac:dyDescent="0.3">
      <c r="A103" s="280" t="s">
        <v>53</v>
      </c>
      <c r="B103" s="348" t="s">
        <v>54</v>
      </c>
      <c r="C103" s="348" t="s">
        <v>251</v>
      </c>
      <c r="D103" s="108">
        <v>744</v>
      </c>
      <c r="E103" s="108">
        <v>783</v>
      </c>
      <c r="F103" s="108">
        <v>717</v>
      </c>
      <c r="G103" s="108">
        <v>774</v>
      </c>
      <c r="H103" s="108">
        <v>615</v>
      </c>
      <c r="I103" s="108">
        <v>652</v>
      </c>
      <c r="J103" s="108">
        <v>667</v>
      </c>
      <c r="K103" s="108">
        <v>660</v>
      </c>
      <c r="L103" s="108">
        <v>763</v>
      </c>
      <c r="M103" s="108">
        <v>1912</v>
      </c>
      <c r="N103" s="108">
        <v>1099</v>
      </c>
      <c r="O103" s="108">
        <v>716</v>
      </c>
      <c r="P103" s="108">
        <v>10102</v>
      </c>
    </row>
    <row r="104" spans="1:16" x14ac:dyDescent="0.3">
      <c r="A104" s="280" t="s">
        <v>65</v>
      </c>
      <c r="B104" s="348" t="s">
        <v>66</v>
      </c>
      <c r="C104" s="348" t="s">
        <v>252</v>
      </c>
      <c r="D104" s="108">
        <v>322</v>
      </c>
      <c r="E104" s="108">
        <v>287</v>
      </c>
      <c r="F104" s="108">
        <v>291</v>
      </c>
      <c r="G104" s="108">
        <v>290</v>
      </c>
      <c r="H104" s="108">
        <v>277</v>
      </c>
      <c r="I104" s="108">
        <v>294</v>
      </c>
      <c r="J104" s="108">
        <v>299</v>
      </c>
      <c r="K104" s="108">
        <v>265</v>
      </c>
      <c r="L104" s="108">
        <v>356</v>
      </c>
      <c r="M104" s="108">
        <v>480</v>
      </c>
      <c r="N104" s="108">
        <v>244</v>
      </c>
      <c r="O104" s="108">
        <v>229</v>
      </c>
      <c r="P104" s="108">
        <v>3634</v>
      </c>
    </row>
    <row r="105" spans="1:16" x14ac:dyDescent="0.3">
      <c r="A105" s="280" t="s">
        <v>81</v>
      </c>
      <c r="B105" s="348" t="s">
        <v>82</v>
      </c>
      <c r="C105" s="348" t="s">
        <v>251</v>
      </c>
      <c r="D105" s="108">
        <v>63</v>
      </c>
      <c r="E105" s="108">
        <v>73</v>
      </c>
      <c r="F105" s="108">
        <v>52</v>
      </c>
      <c r="G105" s="108">
        <v>61</v>
      </c>
      <c r="H105" s="108">
        <v>52</v>
      </c>
      <c r="I105" s="108">
        <v>63</v>
      </c>
      <c r="J105" s="108">
        <v>55</v>
      </c>
      <c r="K105" s="108">
        <v>51</v>
      </c>
      <c r="L105" s="108">
        <v>63</v>
      </c>
      <c r="M105" s="108">
        <v>105</v>
      </c>
      <c r="N105" s="108">
        <v>64</v>
      </c>
      <c r="O105" s="108">
        <v>53</v>
      </c>
      <c r="P105" s="108">
        <v>755</v>
      </c>
    </row>
    <row r="106" spans="1:16" x14ac:dyDescent="0.3">
      <c r="A106" s="280" t="s">
        <v>87</v>
      </c>
      <c r="B106" s="348" t="s">
        <v>88</v>
      </c>
      <c r="C106" s="348" t="s">
        <v>254</v>
      </c>
      <c r="D106" s="108">
        <v>176</v>
      </c>
      <c r="E106" s="108">
        <v>176</v>
      </c>
      <c r="F106" s="108">
        <v>146</v>
      </c>
      <c r="G106" s="108">
        <v>162</v>
      </c>
      <c r="H106" s="108">
        <v>146</v>
      </c>
      <c r="I106" s="108">
        <v>158</v>
      </c>
      <c r="J106" s="108">
        <v>165</v>
      </c>
      <c r="K106" s="108">
        <v>145</v>
      </c>
      <c r="L106" s="108">
        <v>183</v>
      </c>
      <c r="M106" s="108">
        <v>298</v>
      </c>
      <c r="N106" s="108">
        <v>141</v>
      </c>
      <c r="O106" s="108">
        <v>137</v>
      </c>
      <c r="P106" s="108">
        <v>2033</v>
      </c>
    </row>
    <row r="107" spans="1:16" x14ac:dyDescent="0.3">
      <c r="A107" s="280" t="s">
        <v>89</v>
      </c>
      <c r="B107" s="348" t="s">
        <v>90</v>
      </c>
      <c r="C107" s="348" t="s">
        <v>255</v>
      </c>
      <c r="D107" s="108">
        <v>35</v>
      </c>
      <c r="E107" s="108">
        <v>53</v>
      </c>
      <c r="F107" s="108">
        <v>47</v>
      </c>
      <c r="G107" s="108">
        <v>52</v>
      </c>
      <c r="H107" s="108">
        <v>35</v>
      </c>
      <c r="I107" s="108">
        <v>32</v>
      </c>
      <c r="J107" s="108">
        <v>31</v>
      </c>
      <c r="K107" s="108">
        <v>33</v>
      </c>
      <c r="L107" s="108">
        <v>34</v>
      </c>
      <c r="M107" s="108">
        <v>55</v>
      </c>
      <c r="N107" s="108">
        <v>26</v>
      </c>
      <c r="O107" s="108">
        <v>28</v>
      </c>
      <c r="P107" s="108">
        <v>461</v>
      </c>
    </row>
    <row r="108" spans="1:16" x14ac:dyDescent="0.3">
      <c r="A108" s="280" t="s">
        <v>105</v>
      </c>
      <c r="B108" s="348" t="s">
        <v>106</v>
      </c>
      <c r="C108" s="348" t="s">
        <v>251</v>
      </c>
      <c r="D108" s="108">
        <v>727</v>
      </c>
      <c r="E108" s="108">
        <v>664</v>
      </c>
      <c r="F108" s="108">
        <v>682</v>
      </c>
      <c r="G108" s="108">
        <v>739</v>
      </c>
      <c r="H108" s="108">
        <v>681</v>
      </c>
      <c r="I108" s="108">
        <v>625</v>
      </c>
      <c r="J108" s="108">
        <v>639</v>
      </c>
      <c r="K108" s="108">
        <v>647</v>
      </c>
      <c r="L108" s="108">
        <v>680</v>
      </c>
      <c r="M108" s="108">
        <v>1944</v>
      </c>
      <c r="N108" s="108">
        <v>781</v>
      </c>
      <c r="O108" s="108">
        <v>641</v>
      </c>
      <c r="P108" s="108">
        <v>9450</v>
      </c>
    </row>
    <row r="109" spans="1:16" x14ac:dyDescent="0.3">
      <c r="A109" s="280" t="s">
        <v>115</v>
      </c>
      <c r="B109" s="348" t="s">
        <v>116</v>
      </c>
      <c r="C109" s="348" t="s">
        <v>253</v>
      </c>
      <c r="D109" s="108">
        <v>224</v>
      </c>
      <c r="E109" s="108">
        <v>182</v>
      </c>
      <c r="F109" s="108">
        <v>174</v>
      </c>
      <c r="G109" s="108">
        <v>198</v>
      </c>
      <c r="H109" s="108">
        <v>148</v>
      </c>
      <c r="I109" s="108">
        <v>144</v>
      </c>
      <c r="J109" s="108">
        <v>177</v>
      </c>
      <c r="K109" s="108">
        <v>165</v>
      </c>
      <c r="L109" s="108">
        <v>179</v>
      </c>
      <c r="M109" s="108">
        <v>358</v>
      </c>
      <c r="N109" s="108">
        <v>200</v>
      </c>
      <c r="O109" s="108">
        <v>154</v>
      </c>
      <c r="P109" s="108">
        <v>2303</v>
      </c>
    </row>
    <row r="110" spans="1:16" x14ac:dyDescent="0.3">
      <c r="A110" s="280" t="s">
        <v>137</v>
      </c>
      <c r="B110" s="348" t="s">
        <v>138</v>
      </c>
      <c r="C110" s="348" t="s">
        <v>252</v>
      </c>
      <c r="D110" s="108">
        <v>374</v>
      </c>
      <c r="E110" s="108">
        <v>372</v>
      </c>
      <c r="F110" s="108">
        <v>377</v>
      </c>
      <c r="G110" s="108">
        <v>396</v>
      </c>
      <c r="H110" s="108">
        <v>344</v>
      </c>
      <c r="I110" s="108">
        <v>357</v>
      </c>
      <c r="J110" s="108">
        <v>416</v>
      </c>
      <c r="K110" s="108">
        <v>260</v>
      </c>
      <c r="L110" s="108">
        <v>411</v>
      </c>
      <c r="M110" s="108">
        <v>698</v>
      </c>
      <c r="N110" s="108">
        <v>284</v>
      </c>
      <c r="O110" s="108">
        <v>301</v>
      </c>
      <c r="P110" s="108">
        <v>4590</v>
      </c>
    </row>
    <row r="111" spans="1:16" x14ac:dyDescent="0.3">
      <c r="A111" s="280" t="s">
        <v>141</v>
      </c>
      <c r="B111" s="348" t="s">
        <v>142</v>
      </c>
      <c r="C111" s="348" t="s">
        <v>254</v>
      </c>
      <c r="D111" s="108">
        <v>68</v>
      </c>
      <c r="E111" s="108">
        <v>99</v>
      </c>
      <c r="F111" s="108">
        <v>92</v>
      </c>
      <c r="G111" s="108">
        <v>103</v>
      </c>
      <c r="H111" s="108">
        <v>95</v>
      </c>
      <c r="I111" s="108">
        <v>76</v>
      </c>
      <c r="J111" s="108">
        <v>89</v>
      </c>
      <c r="K111" s="108">
        <v>75</v>
      </c>
      <c r="L111" s="108">
        <v>96</v>
      </c>
      <c r="M111" s="108">
        <v>247</v>
      </c>
      <c r="N111" s="108">
        <v>114</v>
      </c>
      <c r="O111" s="108">
        <v>110</v>
      </c>
      <c r="P111" s="108">
        <v>1264</v>
      </c>
    </row>
    <row r="112" spans="1:16" x14ac:dyDescent="0.3">
      <c r="A112" s="280" t="s">
        <v>143</v>
      </c>
      <c r="B112" s="348" t="s">
        <v>144</v>
      </c>
      <c r="C112" s="348" t="s">
        <v>254</v>
      </c>
      <c r="D112" s="108">
        <v>22</v>
      </c>
      <c r="E112" s="108">
        <v>38</v>
      </c>
      <c r="F112" s="108">
        <v>24</v>
      </c>
      <c r="G112" s="108">
        <v>34</v>
      </c>
      <c r="H112" s="108">
        <v>31</v>
      </c>
      <c r="I112" s="108">
        <v>39</v>
      </c>
      <c r="J112" s="108">
        <v>27</v>
      </c>
      <c r="K112" s="108">
        <v>20</v>
      </c>
      <c r="L112" s="108">
        <v>34</v>
      </c>
      <c r="M112" s="108">
        <v>71</v>
      </c>
      <c r="N112" s="108">
        <v>33</v>
      </c>
      <c r="O112" s="108">
        <v>38</v>
      </c>
      <c r="P112" s="108">
        <v>411</v>
      </c>
    </row>
    <row r="113" spans="1:16" x14ac:dyDescent="0.3">
      <c r="A113" s="280" t="s">
        <v>157</v>
      </c>
      <c r="B113" s="348" t="s">
        <v>158</v>
      </c>
      <c r="C113" s="348" t="s">
        <v>251</v>
      </c>
      <c r="D113" s="108">
        <v>1218</v>
      </c>
      <c r="E113" s="108">
        <v>1222</v>
      </c>
      <c r="F113" s="108">
        <v>1159</v>
      </c>
      <c r="G113" s="108">
        <v>1169</v>
      </c>
      <c r="H113" s="108">
        <v>955</v>
      </c>
      <c r="I113" s="108">
        <v>996</v>
      </c>
      <c r="J113" s="108">
        <v>1104</v>
      </c>
      <c r="K113" s="108">
        <v>990</v>
      </c>
      <c r="L113" s="108">
        <v>1027</v>
      </c>
      <c r="M113" s="108">
        <v>3022</v>
      </c>
      <c r="N113" s="108">
        <v>1443</v>
      </c>
      <c r="O113" s="108">
        <v>1052</v>
      </c>
      <c r="P113" s="108">
        <v>15357</v>
      </c>
    </row>
    <row r="114" spans="1:16" x14ac:dyDescent="0.3">
      <c r="A114" s="280" t="s">
        <v>159</v>
      </c>
      <c r="B114" s="348" t="s">
        <v>160</v>
      </c>
      <c r="C114" s="348" t="s">
        <v>251</v>
      </c>
      <c r="D114" s="108">
        <v>1330</v>
      </c>
      <c r="E114" s="108">
        <v>1477</v>
      </c>
      <c r="F114" s="108">
        <v>1202</v>
      </c>
      <c r="G114" s="108">
        <v>1332</v>
      </c>
      <c r="H114" s="108">
        <v>1194</v>
      </c>
      <c r="I114" s="108">
        <v>1148</v>
      </c>
      <c r="J114" s="108">
        <v>1328</v>
      </c>
      <c r="K114" s="108">
        <v>1221</v>
      </c>
      <c r="L114" s="108">
        <v>1204</v>
      </c>
      <c r="M114" s="108">
        <v>3615</v>
      </c>
      <c r="N114" s="108">
        <v>1946</v>
      </c>
      <c r="O114" s="108">
        <v>1247</v>
      </c>
      <c r="P114" s="108">
        <v>18244</v>
      </c>
    </row>
    <row r="115" spans="1:16" x14ac:dyDescent="0.3">
      <c r="A115" s="280" t="s">
        <v>165</v>
      </c>
      <c r="B115" s="348" t="s">
        <v>166</v>
      </c>
      <c r="C115" s="348" t="s">
        <v>255</v>
      </c>
      <c r="D115" s="108">
        <v>14</v>
      </c>
      <c r="E115" s="108">
        <v>32</v>
      </c>
      <c r="F115" s="108">
        <v>24</v>
      </c>
      <c r="G115" s="108">
        <v>26</v>
      </c>
      <c r="H115" s="108">
        <v>13</v>
      </c>
      <c r="I115" s="108">
        <v>10</v>
      </c>
      <c r="J115" s="108">
        <v>20</v>
      </c>
      <c r="K115" s="108">
        <v>17</v>
      </c>
      <c r="L115" s="108">
        <v>18</v>
      </c>
      <c r="M115" s="108">
        <v>50</v>
      </c>
      <c r="N115" s="108">
        <v>20</v>
      </c>
      <c r="O115" s="108">
        <v>16</v>
      </c>
      <c r="P115" s="108">
        <v>260</v>
      </c>
    </row>
    <row r="116" spans="1:16" x14ac:dyDescent="0.3">
      <c r="A116" s="280" t="s">
        <v>175</v>
      </c>
      <c r="B116" s="348" t="s">
        <v>176</v>
      </c>
      <c r="C116" s="348" t="s">
        <v>253</v>
      </c>
      <c r="D116" s="108">
        <v>433</v>
      </c>
      <c r="E116" s="108">
        <v>390</v>
      </c>
      <c r="F116" s="108">
        <v>378</v>
      </c>
      <c r="G116" s="108">
        <v>330</v>
      </c>
      <c r="H116" s="108">
        <v>309</v>
      </c>
      <c r="I116" s="108">
        <v>347</v>
      </c>
      <c r="J116" s="108">
        <v>349</v>
      </c>
      <c r="K116" s="108">
        <v>313</v>
      </c>
      <c r="L116" s="108">
        <v>377</v>
      </c>
      <c r="M116" s="108">
        <v>676</v>
      </c>
      <c r="N116" s="108">
        <v>370</v>
      </c>
      <c r="O116" s="108">
        <v>303</v>
      </c>
      <c r="P116" s="108">
        <v>4575</v>
      </c>
    </row>
    <row r="117" spans="1:16" x14ac:dyDescent="0.3">
      <c r="A117" s="280" t="s">
        <v>179</v>
      </c>
      <c r="B117" s="348" t="s">
        <v>180</v>
      </c>
      <c r="C117" s="348" t="s">
        <v>251</v>
      </c>
      <c r="D117" s="108">
        <v>651</v>
      </c>
      <c r="E117" s="108">
        <v>661</v>
      </c>
      <c r="F117" s="108">
        <v>618</v>
      </c>
      <c r="G117" s="108">
        <v>638</v>
      </c>
      <c r="H117" s="108">
        <v>551</v>
      </c>
      <c r="I117" s="108">
        <v>503</v>
      </c>
      <c r="J117" s="108">
        <v>587</v>
      </c>
      <c r="K117" s="108">
        <v>547</v>
      </c>
      <c r="L117" s="108">
        <v>613</v>
      </c>
      <c r="M117" s="108">
        <v>1351</v>
      </c>
      <c r="N117" s="108">
        <v>816</v>
      </c>
      <c r="O117" s="108">
        <v>581</v>
      </c>
      <c r="P117" s="108">
        <v>8117</v>
      </c>
    </row>
    <row r="118" spans="1:16" x14ac:dyDescent="0.3">
      <c r="A118" s="280" t="s">
        <v>191</v>
      </c>
      <c r="B118" s="348" t="s">
        <v>192</v>
      </c>
      <c r="C118" s="348" t="s">
        <v>255</v>
      </c>
      <c r="D118" s="108">
        <v>43</v>
      </c>
      <c r="E118" s="108">
        <v>44</v>
      </c>
      <c r="F118" s="108">
        <v>54</v>
      </c>
      <c r="G118" s="108">
        <v>61</v>
      </c>
      <c r="H118" s="108">
        <v>51</v>
      </c>
      <c r="I118" s="108">
        <v>47</v>
      </c>
      <c r="J118" s="108">
        <v>49</v>
      </c>
      <c r="K118" s="108">
        <v>40</v>
      </c>
      <c r="L118" s="108">
        <v>51</v>
      </c>
      <c r="M118" s="108">
        <v>112</v>
      </c>
      <c r="N118" s="108">
        <v>45</v>
      </c>
      <c r="O118" s="108">
        <v>39</v>
      </c>
      <c r="P118" s="108">
        <v>636</v>
      </c>
    </row>
    <row r="119" spans="1:16" x14ac:dyDescent="0.3">
      <c r="A119" s="280" t="s">
        <v>195</v>
      </c>
      <c r="B119" s="348" t="s">
        <v>196</v>
      </c>
      <c r="C119" s="348" t="s">
        <v>253</v>
      </c>
      <c r="D119" s="108">
        <v>1474</v>
      </c>
      <c r="E119" s="108">
        <v>1692</v>
      </c>
      <c r="F119" s="108">
        <v>1505</v>
      </c>
      <c r="G119" s="108">
        <v>1480</v>
      </c>
      <c r="H119" s="108">
        <v>1338</v>
      </c>
      <c r="I119" s="108">
        <v>1363</v>
      </c>
      <c r="J119" s="108">
        <v>1325</v>
      </c>
      <c r="K119" s="108">
        <v>1383</v>
      </c>
      <c r="L119" s="108">
        <v>1610</v>
      </c>
      <c r="M119" s="108">
        <v>3867</v>
      </c>
      <c r="N119" s="108">
        <v>1728</v>
      </c>
      <c r="O119" s="108">
        <v>1213</v>
      </c>
      <c r="P119" s="108">
        <v>19978</v>
      </c>
    </row>
    <row r="120" spans="1:16" x14ac:dyDescent="0.3">
      <c r="A120" s="280" t="s">
        <v>199</v>
      </c>
      <c r="B120" s="348" t="s">
        <v>200</v>
      </c>
      <c r="C120" s="348" t="s">
        <v>252</v>
      </c>
      <c r="D120" s="108">
        <v>689</v>
      </c>
      <c r="E120" s="108">
        <v>666</v>
      </c>
      <c r="F120" s="108">
        <v>648</v>
      </c>
      <c r="G120" s="108">
        <v>667</v>
      </c>
      <c r="H120" s="108">
        <v>553</v>
      </c>
      <c r="I120" s="108">
        <v>549</v>
      </c>
      <c r="J120" s="108">
        <v>636</v>
      </c>
      <c r="K120" s="108">
        <v>581</v>
      </c>
      <c r="L120" s="108">
        <v>671</v>
      </c>
      <c r="M120" s="108">
        <v>1158</v>
      </c>
      <c r="N120" s="108">
        <v>692</v>
      </c>
      <c r="O120" s="108">
        <v>549</v>
      </c>
      <c r="P120" s="108">
        <v>8059</v>
      </c>
    </row>
    <row r="121" spans="1:16" x14ac:dyDescent="0.3">
      <c r="A121" s="280" t="s">
        <v>221</v>
      </c>
      <c r="B121" s="348" t="s">
        <v>222</v>
      </c>
      <c r="C121" s="348" t="s">
        <v>251</v>
      </c>
      <c r="D121" s="108">
        <v>351</v>
      </c>
      <c r="E121" s="108">
        <v>327</v>
      </c>
      <c r="F121" s="108">
        <v>304</v>
      </c>
      <c r="G121" s="108">
        <v>317</v>
      </c>
      <c r="H121" s="108">
        <v>300</v>
      </c>
      <c r="I121" s="108">
        <v>323</v>
      </c>
      <c r="J121" s="108">
        <v>289</v>
      </c>
      <c r="K121" s="108">
        <v>275</v>
      </c>
      <c r="L121" s="108">
        <v>323</v>
      </c>
      <c r="M121" s="108">
        <v>790</v>
      </c>
      <c r="N121" s="108">
        <v>467</v>
      </c>
      <c r="O121" s="108">
        <v>305</v>
      </c>
      <c r="P121" s="108">
        <v>4371</v>
      </c>
    </row>
    <row r="122" spans="1:16" x14ac:dyDescent="0.3">
      <c r="A122" s="280" t="s">
        <v>229</v>
      </c>
      <c r="B122" s="348" t="s">
        <v>230</v>
      </c>
      <c r="C122" s="348" t="s">
        <v>251</v>
      </c>
      <c r="D122" s="108">
        <v>1256</v>
      </c>
      <c r="E122" s="108">
        <v>1289</v>
      </c>
      <c r="F122" s="108">
        <v>1138</v>
      </c>
      <c r="G122" s="108">
        <v>1352</v>
      </c>
      <c r="H122" s="108">
        <v>1185</v>
      </c>
      <c r="I122" s="108">
        <v>1149</v>
      </c>
      <c r="J122" s="108">
        <v>1257</v>
      </c>
      <c r="K122" s="108">
        <v>1173</v>
      </c>
      <c r="L122" s="108">
        <v>1491</v>
      </c>
      <c r="M122" s="108">
        <v>3564</v>
      </c>
      <c r="N122" s="108">
        <v>1808</v>
      </c>
      <c r="O122" s="108">
        <v>1170</v>
      </c>
      <c r="P122" s="108">
        <v>17832</v>
      </c>
    </row>
    <row r="123" spans="1:16" x14ac:dyDescent="0.3">
      <c r="A123" s="280" t="s">
        <v>237</v>
      </c>
      <c r="B123" s="348" t="s">
        <v>238</v>
      </c>
      <c r="C123" s="348" t="s">
        <v>251</v>
      </c>
      <c r="D123" s="108">
        <v>48</v>
      </c>
      <c r="E123" s="108">
        <v>42</v>
      </c>
      <c r="F123" s="108">
        <v>44</v>
      </c>
      <c r="G123" s="108">
        <v>50</v>
      </c>
      <c r="H123" s="108">
        <v>74</v>
      </c>
      <c r="I123" s="108">
        <v>53</v>
      </c>
      <c r="J123" s="108">
        <v>63</v>
      </c>
      <c r="K123" s="108">
        <v>51</v>
      </c>
      <c r="L123" s="108">
        <v>58</v>
      </c>
      <c r="M123" s="108">
        <v>108</v>
      </c>
      <c r="N123" s="108">
        <v>33</v>
      </c>
      <c r="O123" s="108">
        <v>36</v>
      </c>
      <c r="P123" s="108">
        <v>660</v>
      </c>
    </row>
    <row r="124" spans="1:16" x14ac:dyDescent="0.3">
      <c r="A124" s="281" t="s">
        <v>239</v>
      </c>
      <c r="B124" s="282" t="s">
        <v>240</v>
      </c>
      <c r="C124" s="282" t="s">
        <v>254</v>
      </c>
      <c r="D124" s="108">
        <v>125</v>
      </c>
      <c r="E124" s="108">
        <v>148</v>
      </c>
      <c r="F124" s="108">
        <v>133</v>
      </c>
      <c r="G124" s="108">
        <v>140</v>
      </c>
      <c r="H124" s="108">
        <v>146</v>
      </c>
      <c r="I124" s="108">
        <v>109</v>
      </c>
      <c r="J124" s="108">
        <v>142</v>
      </c>
      <c r="K124" s="108">
        <v>145</v>
      </c>
      <c r="L124" s="108">
        <v>134</v>
      </c>
      <c r="M124" s="108">
        <v>246</v>
      </c>
      <c r="N124" s="108">
        <v>127</v>
      </c>
      <c r="O124" s="108">
        <v>104</v>
      </c>
      <c r="P124" s="108">
        <v>1699</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7" zoomScaleNormal="87" workbookViewId="0">
      <pane xSplit="3" ySplit="4" topLeftCell="D114" activePane="bottomRight" state="frozen"/>
      <selection pane="topRight" activeCell="D1" sqref="D1"/>
      <selection pane="bottomLeft" activeCell="A5" sqref="A5"/>
      <selection pane="bottomRight" activeCell="Q126" sqref="Q126"/>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880</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5227</v>
      </c>
      <c r="E4" s="1106">
        <f t="shared" ref="E4:P4" si="0">SUM(E5:E124)</f>
        <v>5062</v>
      </c>
      <c r="F4" s="1106">
        <f t="shared" si="0"/>
        <v>4701</v>
      </c>
      <c r="G4" s="1106">
        <f t="shared" si="0"/>
        <v>4782</v>
      </c>
      <c r="H4" s="1107">
        <f t="shared" si="0"/>
        <v>3938</v>
      </c>
      <c r="I4" s="1107">
        <f t="shared" si="0"/>
        <v>3841</v>
      </c>
      <c r="J4" s="1107">
        <f t="shared" si="0"/>
        <v>4607</v>
      </c>
      <c r="K4" s="1107">
        <f t="shared" si="0"/>
        <v>3169</v>
      </c>
      <c r="L4" s="1107">
        <f t="shared" si="0"/>
        <v>5607</v>
      </c>
      <c r="M4" s="1107">
        <f t="shared" si="0"/>
        <v>5464</v>
      </c>
      <c r="N4" s="1107">
        <f t="shared" si="0"/>
        <v>3248</v>
      </c>
      <c r="O4" s="1107">
        <f t="shared" si="0"/>
        <v>3289</v>
      </c>
      <c r="P4" s="1107">
        <f t="shared" si="0"/>
        <v>52935</v>
      </c>
    </row>
    <row r="5" spans="1:16" x14ac:dyDescent="0.3">
      <c r="A5" s="279" t="s">
        <v>9</v>
      </c>
      <c r="B5" s="324" t="s">
        <v>10</v>
      </c>
      <c r="C5" s="324" t="s">
        <v>251</v>
      </c>
      <c r="D5" s="108">
        <v>22</v>
      </c>
      <c r="E5" s="108">
        <v>20</v>
      </c>
      <c r="F5" s="108">
        <v>30</v>
      </c>
      <c r="G5" s="108">
        <v>30</v>
      </c>
      <c r="H5" s="108">
        <v>20</v>
      </c>
      <c r="I5" s="108">
        <v>17</v>
      </c>
      <c r="J5" s="108">
        <v>29</v>
      </c>
      <c r="K5" s="108">
        <v>13</v>
      </c>
      <c r="L5" s="108">
        <v>19</v>
      </c>
      <c r="M5" s="108">
        <v>17</v>
      </c>
      <c r="N5" s="108">
        <v>14</v>
      </c>
      <c r="O5" s="108">
        <v>14</v>
      </c>
      <c r="P5" s="108">
        <v>245</v>
      </c>
    </row>
    <row r="6" spans="1:16" x14ac:dyDescent="0.3">
      <c r="A6" s="280" t="s">
        <v>11</v>
      </c>
      <c r="B6" s="348" t="s">
        <v>12</v>
      </c>
      <c r="C6" s="348" t="s">
        <v>252</v>
      </c>
      <c r="D6" s="108">
        <v>41</v>
      </c>
      <c r="E6" s="108">
        <v>36</v>
      </c>
      <c r="F6" s="108">
        <v>34</v>
      </c>
      <c r="G6" s="108">
        <v>27</v>
      </c>
      <c r="H6" s="108">
        <v>25</v>
      </c>
      <c r="I6" s="108">
        <v>21</v>
      </c>
      <c r="J6" s="108">
        <v>31</v>
      </c>
      <c r="K6" s="108">
        <v>32</v>
      </c>
      <c r="L6" s="108">
        <v>52</v>
      </c>
      <c r="M6" s="108">
        <v>44</v>
      </c>
      <c r="N6" s="108">
        <v>33</v>
      </c>
      <c r="O6" s="108">
        <v>28</v>
      </c>
      <c r="P6" s="108">
        <v>404</v>
      </c>
    </row>
    <row r="7" spans="1:16" x14ac:dyDescent="0.3">
      <c r="A7" s="280" t="s">
        <v>15</v>
      </c>
      <c r="B7" s="348" t="s">
        <v>273</v>
      </c>
      <c r="C7" s="348" t="s">
        <v>252</v>
      </c>
      <c r="D7" s="108">
        <v>9</v>
      </c>
      <c r="E7" s="108">
        <v>14</v>
      </c>
      <c r="F7" s="108">
        <v>10</v>
      </c>
      <c r="G7" s="108">
        <v>13</v>
      </c>
      <c r="H7" s="108">
        <v>11</v>
      </c>
      <c r="I7" s="108">
        <v>14</v>
      </c>
      <c r="J7" s="108">
        <v>6</v>
      </c>
      <c r="K7" s="108">
        <v>11</v>
      </c>
      <c r="L7" s="108">
        <v>10</v>
      </c>
      <c r="M7" s="108">
        <v>12</v>
      </c>
      <c r="N7" s="108">
        <v>10</v>
      </c>
      <c r="O7" s="108">
        <v>12</v>
      </c>
      <c r="P7" s="108">
        <v>132</v>
      </c>
    </row>
    <row r="8" spans="1:16" x14ac:dyDescent="0.3">
      <c r="A8" s="280" t="s">
        <v>17</v>
      </c>
      <c r="B8" s="348" t="s">
        <v>18</v>
      </c>
      <c r="C8" s="348" t="s">
        <v>253</v>
      </c>
      <c r="D8" s="108">
        <v>9</v>
      </c>
      <c r="E8" s="108">
        <v>5</v>
      </c>
      <c r="F8" s="108">
        <v>6</v>
      </c>
      <c r="G8" s="108">
        <v>7</v>
      </c>
      <c r="H8" s="108">
        <v>6</v>
      </c>
      <c r="I8" s="108">
        <v>1</v>
      </c>
      <c r="J8" s="108">
        <v>7</v>
      </c>
      <c r="K8" s="108">
        <v>2</v>
      </c>
      <c r="L8" s="108">
        <v>13</v>
      </c>
      <c r="M8" s="108">
        <v>10</v>
      </c>
      <c r="N8" s="108">
        <v>2</v>
      </c>
      <c r="O8" s="108">
        <v>6</v>
      </c>
      <c r="P8" s="108">
        <v>74</v>
      </c>
    </row>
    <row r="9" spans="1:16" x14ac:dyDescent="0.3">
      <c r="A9" s="280" t="s">
        <v>19</v>
      </c>
      <c r="B9" s="348" t="s">
        <v>20</v>
      </c>
      <c r="C9" s="348" t="s">
        <v>252</v>
      </c>
      <c r="D9" s="108">
        <v>17</v>
      </c>
      <c r="E9" s="108">
        <v>18</v>
      </c>
      <c r="F9" s="108">
        <v>16</v>
      </c>
      <c r="G9" s="108">
        <v>18</v>
      </c>
      <c r="H9" s="108">
        <v>15</v>
      </c>
      <c r="I9" s="108">
        <v>8</v>
      </c>
      <c r="J9" s="108">
        <v>16</v>
      </c>
      <c r="K9" s="108">
        <v>12</v>
      </c>
      <c r="L9" s="108">
        <v>14</v>
      </c>
      <c r="M9" s="108">
        <v>13</v>
      </c>
      <c r="N9" s="108">
        <v>8</v>
      </c>
      <c r="O9" s="108">
        <v>19</v>
      </c>
      <c r="P9" s="108">
        <v>174</v>
      </c>
    </row>
    <row r="10" spans="1:16" x14ac:dyDescent="0.3">
      <c r="A10" s="280" t="s">
        <v>21</v>
      </c>
      <c r="B10" s="348" t="s">
        <v>22</v>
      </c>
      <c r="C10" s="348" t="s">
        <v>252</v>
      </c>
      <c r="D10" s="108">
        <v>10</v>
      </c>
      <c r="E10" s="108">
        <v>5</v>
      </c>
      <c r="F10" s="108">
        <v>2</v>
      </c>
      <c r="G10" s="108">
        <v>6</v>
      </c>
      <c r="H10" s="108">
        <v>5</v>
      </c>
      <c r="I10" s="108">
        <v>5</v>
      </c>
      <c r="J10" s="108">
        <v>9</v>
      </c>
      <c r="K10" s="108">
        <v>5</v>
      </c>
      <c r="L10" s="108">
        <v>8</v>
      </c>
      <c r="M10" s="108">
        <v>4</v>
      </c>
      <c r="N10" s="108">
        <v>5</v>
      </c>
      <c r="O10" s="108">
        <v>7</v>
      </c>
      <c r="P10" s="108">
        <v>71</v>
      </c>
    </row>
    <row r="11" spans="1:16" x14ac:dyDescent="0.3">
      <c r="A11" s="280" t="s">
        <v>23</v>
      </c>
      <c r="B11" s="348" t="s">
        <v>24</v>
      </c>
      <c r="C11" s="348" t="s">
        <v>254</v>
      </c>
      <c r="D11" s="108">
        <v>33</v>
      </c>
      <c r="E11" s="108">
        <v>35</v>
      </c>
      <c r="F11" s="108">
        <v>28</v>
      </c>
      <c r="G11" s="108">
        <v>27</v>
      </c>
      <c r="H11" s="108">
        <v>26</v>
      </c>
      <c r="I11" s="108">
        <v>31</v>
      </c>
      <c r="J11" s="108">
        <v>44</v>
      </c>
      <c r="K11" s="108">
        <v>30</v>
      </c>
      <c r="L11" s="108">
        <v>82</v>
      </c>
      <c r="M11" s="108">
        <v>109</v>
      </c>
      <c r="N11" s="108">
        <v>48</v>
      </c>
      <c r="O11" s="108">
        <v>41</v>
      </c>
      <c r="P11" s="108">
        <v>534</v>
      </c>
    </row>
    <row r="12" spans="1:16" x14ac:dyDescent="0.3">
      <c r="A12" s="280" t="s">
        <v>25</v>
      </c>
      <c r="B12" s="348" t="s">
        <v>444</v>
      </c>
      <c r="C12" s="348" t="s">
        <v>252</v>
      </c>
      <c r="D12" s="108">
        <v>67</v>
      </c>
      <c r="E12" s="108">
        <v>99</v>
      </c>
      <c r="F12" s="108">
        <v>75</v>
      </c>
      <c r="G12" s="108">
        <v>69</v>
      </c>
      <c r="H12" s="108">
        <v>73</v>
      </c>
      <c r="I12" s="108">
        <v>53</v>
      </c>
      <c r="J12" s="108">
        <v>84</v>
      </c>
      <c r="K12" s="108">
        <v>56</v>
      </c>
      <c r="L12" s="108">
        <v>64</v>
      </c>
      <c r="M12" s="108">
        <v>69</v>
      </c>
      <c r="N12" s="108">
        <v>58</v>
      </c>
      <c r="O12" s="108">
        <v>62</v>
      </c>
      <c r="P12" s="108">
        <v>829</v>
      </c>
    </row>
    <row r="13" spans="1:16" x14ac:dyDescent="0.3">
      <c r="A13" s="280" t="s">
        <v>26</v>
      </c>
      <c r="B13" s="348" t="s">
        <v>27</v>
      </c>
      <c r="C13" s="348" t="s">
        <v>252</v>
      </c>
      <c r="D13" s="108"/>
      <c r="E13" s="108"/>
      <c r="F13" s="108">
        <v>3</v>
      </c>
      <c r="G13" s="108">
        <v>1</v>
      </c>
      <c r="H13" s="108">
        <v>3</v>
      </c>
      <c r="I13" s="108">
        <v>1</v>
      </c>
      <c r="J13" s="108"/>
      <c r="K13" s="108">
        <v>1</v>
      </c>
      <c r="L13" s="108">
        <v>6</v>
      </c>
      <c r="M13" s="108">
        <v>1</v>
      </c>
      <c r="N13" s="108">
        <v>1</v>
      </c>
      <c r="O13" s="108">
        <v>4</v>
      </c>
      <c r="P13" s="108">
        <v>21</v>
      </c>
    </row>
    <row r="14" spans="1:16" x14ac:dyDescent="0.3">
      <c r="A14" s="280" t="s">
        <v>28</v>
      </c>
      <c r="B14" s="348" t="s">
        <v>568</v>
      </c>
      <c r="C14" s="348" t="s">
        <v>252</v>
      </c>
      <c r="D14" s="108">
        <v>39</v>
      </c>
      <c r="E14" s="108">
        <v>48</v>
      </c>
      <c r="F14" s="108">
        <v>31</v>
      </c>
      <c r="G14" s="108">
        <v>28</v>
      </c>
      <c r="H14" s="108">
        <v>36</v>
      </c>
      <c r="I14" s="108">
        <v>27</v>
      </c>
      <c r="J14" s="108">
        <v>42</v>
      </c>
      <c r="K14" s="108">
        <v>31</v>
      </c>
      <c r="L14" s="108">
        <v>34</v>
      </c>
      <c r="M14" s="108">
        <v>42</v>
      </c>
      <c r="N14" s="108">
        <v>30</v>
      </c>
      <c r="O14" s="108">
        <v>18</v>
      </c>
      <c r="P14" s="108">
        <v>406</v>
      </c>
    </row>
    <row r="15" spans="1:16" x14ac:dyDescent="0.3">
      <c r="A15" s="280" t="s">
        <v>29</v>
      </c>
      <c r="B15" s="348" t="s">
        <v>30</v>
      </c>
      <c r="C15" s="348" t="s">
        <v>255</v>
      </c>
      <c r="D15" s="108">
        <v>2</v>
      </c>
      <c r="E15" s="108">
        <v>1</v>
      </c>
      <c r="F15" s="108">
        <v>1</v>
      </c>
      <c r="G15" s="108">
        <v>2</v>
      </c>
      <c r="H15" s="108">
        <v>2</v>
      </c>
      <c r="I15" s="108">
        <v>3</v>
      </c>
      <c r="J15" s="108">
        <v>3</v>
      </c>
      <c r="K15" s="108">
        <v>1</v>
      </c>
      <c r="L15" s="108">
        <v>2</v>
      </c>
      <c r="M15" s="108">
        <v>2</v>
      </c>
      <c r="N15" s="108">
        <v>2</v>
      </c>
      <c r="O15" s="108">
        <v>1</v>
      </c>
      <c r="P15" s="108">
        <v>22</v>
      </c>
    </row>
    <row r="16" spans="1:16" x14ac:dyDescent="0.3">
      <c r="A16" s="280" t="s">
        <v>31</v>
      </c>
      <c r="B16" s="348" t="s">
        <v>32</v>
      </c>
      <c r="C16" s="348" t="s">
        <v>252</v>
      </c>
      <c r="D16" s="108">
        <v>13</v>
      </c>
      <c r="E16" s="108">
        <v>7</v>
      </c>
      <c r="F16" s="108">
        <v>7</v>
      </c>
      <c r="G16" s="108">
        <v>12</v>
      </c>
      <c r="H16" s="108">
        <v>7</v>
      </c>
      <c r="I16" s="108">
        <v>5</v>
      </c>
      <c r="J16" s="108">
        <v>8</v>
      </c>
      <c r="K16" s="108">
        <v>4</v>
      </c>
      <c r="L16" s="108">
        <v>12</v>
      </c>
      <c r="M16" s="108">
        <v>13</v>
      </c>
      <c r="N16" s="108">
        <v>11</v>
      </c>
      <c r="O16" s="108">
        <v>2</v>
      </c>
      <c r="P16" s="108">
        <v>101</v>
      </c>
    </row>
    <row r="17" spans="1:16" x14ac:dyDescent="0.3">
      <c r="A17" s="280" t="s">
        <v>35</v>
      </c>
      <c r="B17" s="348" t="s">
        <v>36</v>
      </c>
      <c r="C17" s="348" t="s">
        <v>251</v>
      </c>
      <c r="D17" s="108">
        <v>10</v>
      </c>
      <c r="E17" s="108">
        <v>14</v>
      </c>
      <c r="F17" s="108">
        <v>12</v>
      </c>
      <c r="G17" s="108">
        <v>11</v>
      </c>
      <c r="H17" s="108">
        <v>9</v>
      </c>
      <c r="I17" s="108">
        <v>13</v>
      </c>
      <c r="J17" s="108">
        <v>10</v>
      </c>
      <c r="K17" s="108">
        <v>4</v>
      </c>
      <c r="L17" s="108">
        <v>7</v>
      </c>
      <c r="M17" s="108">
        <v>5</v>
      </c>
      <c r="N17" s="108">
        <v>8</v>
      </c>
      <c r="O17" s="108">
        <v>6</v>
      </c>
      <c r="P17" s="108">
        <v>109</v>
      </c>
    </row>
    <row r="18" spans="1:16" x14ac:dyDescent="0.3">
      <c r="A18" s="280" t="s">
        <v>37</v>
      </c>
      <c r="B18" s="348" t="s">
        <v>38</v>
      </c>
      <c r="C18" s="348" t="s">
        <v>255</v>
      </c>
      <c r="D18" s="108">
        <v>9</v>
      </c>
      <c r="E18" s="108">
        <v>10</v>
      </c>
      <c r="F18" s="108">
        <v>10</v>
      </c>
      <c r="G18" s="108">
        <v>6</v>
      </c>
      <c r="H18" s="108">
        <v>7</v>
      </c>
      <c r="I18" s="108">
        <v>7</v>
      </c>
      <c r="J18" s="108">
        <v>11</v>
      </c>
      <c r="K18" s="108">
        <v>2</v>
      </c>
      <c r="L18" s="108">
        <v>5</v>
      </c>
      <c r="M18" s="108">
        <v>10</v>
      </c>
      <c r="N18" s="108">
        <v>1</v>
      </c>
      <c r="O18" s="108">
        <v>4</v>
      </c>
      <c r="P18" s="108">
        <v>82</v>
      </c>
    </row>
    <row r="19" spans="1:16" x14ac:dyDescent="0.3">
      <c r="A19" s="280" t="s">
        <v>39</v>
      </c>
      <c r="B19" s="348" t="s">
        <v>40</v>
      </c>
      <c r="C19" s="348" t="s">
        <v>253</v>
      </c>
      <c r="D19" s="108">
        <v>5</v>
      </c>
      <c r="E19" s="108">
        <v>10</v>
      </c>
      <c r="F19" s="108">
        <v>7</v>
      </c>
      <c r="G19" s="108">
        <v>6</v>
      </c>
      <c r="H19" s="108">
        <v>8</v>
      </c>
      <c r="I19" s="108">
        <v>1</v>
      </c>
      <c r="J19" s="108">
        <v>4</v>
      </c>
      <c r="K19" s="108">
        <v>5</v>
      </c>
      <c r="L19" s="108">
        <v>5</v>
      </c>
      <c r="M19" s="108">
        <v>4</v>
      </c>
      <c r="N19" s="108">
        <v>6</v>
      </c>
      <c r="O19" s="108">
        <v>6</v>
      </c>
      <c r="P19" s="108">
        <v>67</v>
      </c>
    </row>
    <row r="20" spans="1:16" x14ac:dyDescent="0.3">
      <c r="A20" s="280" t="s">
        <v>41</v>
      </c>
      <c r="B20" s="348" t="s">
        <v>42</v>
      </c>
      <c r="C20" s="348" t="s">
        <v>252</v>
      </c>
      <c r="D20" s="108">
        <v>35</v>
      </c>
      <c r="E20" s="108">
        <v>33</v>
      </c>
      <c r="F20" s="108">
        <v>17</v>
      </c>
      <c r="G20" s="108">
        <v>26</v>
      </c>
      <c r="H20" s="108">
        <v>26</v>
      </c>
      <c r="I20" s="108">
        <v>25</v>
      </c>
      <c r="J20" s="108">
        <v>30</v>
      </c>
      <c r="K20" s="108">
        <v>25</v>
      </c>
      <c r="L20" s="108">
        <v>51</v>
      </c>
      <c r="M20" s="108">
        <v>29</v>
      </c>
      <c r="N20" s="108">
        <v>18</v>
      </c>
      <c r="O20" s="108">
        <v>25</v>
      </c>
      <c r="P20" s="108">
        <v>340</v>
      </c>
    </row>
    <row r="21" spans="1:16" x14ac:dyDescent="0.3">
      <c r="A21" s="280" t="s">
        <v>43</v>
      </c>
      <c r="B21" s="348" t="s">
        <v>44</v>
      </c>
      <c r="C21" s="348" t="s">
        <v>253</v>
      </c>
      <c r="D21" s="108">
        <v>14</v>
      </c>
      <c r="E21" s="108">
        <v>19</v>
      </c>
      <c r="F21" s="108">
        <v>16</v>
      </c>
      <c r="G21" s="108">
        <v>21</v>
      </c>
      <c r="H21" s="108">
        <v>10</v>
      </c>
      <c r="I21" s="108">
        <v>10</v>
      </c>
      <c r="J21" s="108">
        <v>27</v>
      </c>
      <c r="K21" s="108">
        <v>7</v>
      </c>
      <c r="L21" s="108">
        <v>26</v>
      </c>
      <c r="M21" s="108">
        <v>20</v>
      </c>
      <c r="N21" s="108">
        <v>15</v>
      </c>
      <c r="O21" s="108">
        <v>17</v>
      </c>
      <c r="P21" s="108">
        <v>202</v>
      </c>
    </row>
    <row r="22" spans="1:16" x14ac:dyDescent="0.3">
      <c r="A22" s="280" t="s">
        <v>45</v>
      </c>
      <c r="B22" s="348" t="s">
        <v>46</v>
      </c>
      <c r="C22" s="348" t="s">
        <v>255</v>
      </c>
      <c r="D22" s="108">
        <v>13</v>
      </c>
      <c r="E22" s="108">
        <v>12</v>
      </c>
      <c r="F22" s="108">
        <v>12</v>
      </c>
      <c r="G22" s="108">
        <v>20</v>
      </c>
      <c r="H22" s="108">
        <v>12</v>
      </c>
      <c r="I22" s="108">
        <v>4</v>
      </c>
      <c r="J22" s="108">
        <v>14</v>
      </c>
      <c r="K22" s="108">
        <v>7</v>
      </c>
      <c r="L22" s="108">
        <v>9</v>
      </c>
      <c r="M22" s="108">
        <v>11</v>
      </c>
      <c r="N22" s="108">
        <v>9</v>
      </c>
      <c r="O22" s="108">
        <v>7</v>
      </c>
      <c r="P22" s="108">
        <v>130</v>
      </c>
    </row>
    <row r="23" spans="1:16" x14ac:dyDescent="0.3">
      <c r="A23" s="280" t="s">
        <v>47</v>
      </c>
      <c r="B23" s="348" t="s">
        <v>256</v>
      </c>
      <c r="C23" s="348" t="s">
        <v>253</v>
      </c>
      <c r="D23" s="108">
        <v>3</v>
      </c>
      <c r="E23" s="108"/>
      <c r="F23" s="108">
        <v>1</v>
      </c>
      <c r="G23" s="108">
        <v>4</v>
      </c>
      <c r="H23" s="108"/>
      <c r="I23" s="108"/>
      <c r="J23" s="108">
        <v>4</v>
      </c>
      <c r="K23" s="108">
        <v>3</v>
      </c>
      <c r="L23" s="108">
        <v>4</v>
      </c>
      <c r="M23" s="108">
        <v>3</v>
      </c>
      <c r="N23" s="108">
        <v>3</v>
      </c>
      <c r="O23" s="108">
        <v>1</v>
      </c>
      <c r="P23" s="108">
        <v>26</v>
      </c>
    </row>
    <row r="24" spans="1:16" x14ac:dyDescent="0.3">
      <c r="A24" s="280" t="s">
        <v>49</v>
      </c>
      <c r="B24" s="348" t="s">
        <v>50</v>
      </c>
      <c r="C24" s="348" t="s">
        <v>252</v>
      </c>
      <c r="D24" s="108">
        <v>9</v>
      </c>
      <c r="E24" s="108">
        <v>5</v>
      </c>
      <c r="F24" s="108">
        <v>8</v>
      </c>
      <c r="G24" s="108">
        <v>8</v>
      </c>
      <c r="H24" s="108">
        <v>5</v>
      </c>
      <c r="I24" s="108">
        <v>3</v>
      </c>
      <c r="J24" s="108">
        <v>10</v>
      </c>
      <c r="K24" s="108">
        <v>2</v>
      </c>
      <c r="L24" s="108">
        <v>8</v>
      </c>
      <c r="M24" s="108">
        <v>5</v>
      </c>
      <c r="N24" s="108">
        <v>1</v>
      </c>
      <c r="O24" s="108">
        <v>5</v>
      </c>
      <c r="P24" s="108">
        <v>69</v>
      </c>
    </row>
    <row r="25" spans="1:16" x14ac:dyDescent="0.3">
      <c r="A25" s="280" t="s">
        <v>55</v>
      </c>
      <c r="B25" s="348" t="s">
        <v>271</v>
      </c>
      <c r="C25" s="348" t="s">
        <v>253</v>
      </c>
      <c r="D25" s="108">
        <v>216</v>
      </c>
      <c r="E25" s="108">
        <v>200</v>
      </c>
      <c r="F25" s="108">
        <v>213</v>
      </c>
      <c r="G25" s="108">
        <v>211</v>
      </c>
      <c r="H25" s="108">
        <v>164</v>
      </c>
      <c r="I25" s="108">
        <v>174</v>
      </c>
      <c r="J25" s="108">
        <v>186</v>
      </c>
      <c r="K25" s="108">
        <v>134</v>
      </c>
      <c r="L25" s="108">
        <v>237</v>
      </c>
      <c r="M25" s="108">
        <v>177</v>
      </c>
      <c r="N25" s="108">
        <v>111</v>
      </c>
      <c r="O25" s="108">
        <v>122</v>
      </c>
      <c r="P25" s="108">
        <v>2145</v>
      </c>
    </row>
    <row r="26" spans="1:16" x14ac:dyDescent="0.3">
      <c r="A26" s="280" t="s">
        <v>57</v>
      </c>
      <c r="B26" s="348" t="s">
        <v>58</v>
      </c>
      <c r="C26" s="348" t="s">
        <v>254</v>
      </c>
      <c r="D26" s="108">
        <v>5</v>
      </c>
      <c r="E26" s="108">
        <v>5</v>
      </c>
      <c r="F26" s="108">
        <v>4</v>
      </c>
      <c r="G26" s="108">
        <v>7</v>
      </c>
      <c r="H26" s="108">
        <v>6</v>
      </c>
      <c r="I26" s="108">
        <v>5</v>
      </c>
      <c r="J26" s="108">
        <v>3</v>
      </c>
      <c r="K26" s="108">
        <v>6</v>
      </c>
      <c r="L26" s="108">
        <v>5</v>
      </c>
      <c r="M26" s="108">
        <v>4</v>
      </c>
      <c r="N26" s="108">
        <v>5</v>
      </c>
      <c r="O26" s="108">
        <v>4</v>
      </c>
      <c r="P26" s="108">
        <v>59</v>
      </c>
    </row>
    <row r="27" spans="1:16" x14ac:dyDescent="0.3">
      <c r="A27" s="280" t="s">
        <v>59</v>
      </c>
      <c r="B27" s="348" t="s">
        <v>60</v>
      </c>
      <c r="C27" s="348" t="s">
        <v>252</v>
      </c>
      <c r="D27" s="108">
        <v>5</v>
      </c>
      <c r="E27" s="108">
        <v>5</v>
      </c>
      <c r="F27" s="108">
        <v>3</v>
      </c>
      <c r="G27" s="108">
        <v>2</v>
      </c>
      <c r="H27" s="108">
        <v>2</v>
      </c>
      <c r="I27" s="108">
        <v>1</v>
      </c>
      <c r="J27" s="108"/>
      <c r="K27" s="108">
        <v>7</v>
      </c>
      <c r="L27" s="108">
        <v>3</v>
      </c>
      <c r="M27" s="108">
        <v>1</v>
      </c>
      <c r="N27" s="108">
        <v>2</v>
      </c>
      <c r="O27" s="108">
        <v>3</v>
      </c>
      <c r="P27" s="108">
        <v>34</v>
      </c>
    </row>
    <row r="28" spans="1:16" x14ac:dyDescent="0.3">
      <c r="A28" s="280" t="s">
        <v>61</v>
      </c>
      <c r="B28" s="348" t="s">
        <v>62</v>
      </c>
      <c r="C28" s="348" t="s">
        <v>254</v>
      </c>
      <c r="D28" s="108">
        <v>41</v>
      </c>
      <c r="E28" s="108">
        <v>25</v>
      </c>
      <c r="F28" s="108">
        <v>35</v>
      </c>
      <c r="G28" s="108">
        <v>22</v>
      </c>
      <c r="H28" s="108">
        <v>25</v>
      </c>
      <c r="I28" s="108">
        <v>21</v>
      </c>
      <c r="J28" s="108">
        <v>26</v>
      </c>
      <c r="K28" s="108">
        <v>21</v>
      </c>
      <c r="L28" s="108">
        <v>23</v>
      </c>
      <c r="M28" s="108">
        <v>19</v>
      </c>
      <c r="N28" s="108">
        <v>11</v>
      </c>
      <c r="O28" s="108">
        <v>11</v>
      </c>
      <c r="P28" s="108">
        <v>280</v>
      </c>
    </row>
    <row r="29" spans="1:16" x14ac:dyDescent="0.3">
      <c r="A29" s="280" t="s">
        <v>63</v>
      </c>
      <c r="B29" s="348" t="s">
        <v>64</v>
      </c>
      <c r="C29" s="348" t="s">
        <v>253</v>
      </c>
      <c r="D29" s="108">
        <v>11</v>
      </c>
      <c r="E29" s="108">
        <v>11</v>
      </c>
      <c r="F29" s="108">
        <v>7</v>
      </c>
      <c r="G29" s="108">
        <v>7</v>
      </c>
      <c r="H29" s="108">
        <v>10</v>
      </c>
      <c r="I29" s="108">
        <v>4</v>
      </c>
      <c r="J29" s="108">
        <v>5</v>
      </c>
      <c r="K29" s="108">
        <v>3</v>
      </c>
      <c r="L29" s="108">
        <v>4</v>
      </c>
      <c r="M29" s="108">
        <v>7</v>
      </c>
      <c r="N29" s="108">
        <v>4</v>
      </c>
      <c r="O29" s="108">
        <v>2</v>
      </c>
      <c r="P29" s="108">
        <v>75</v>
      </c>
    </row>
    <row r="30" spans="1:16" x14ac:dyDescent="0.3">
      <c r="A30" s="280" t="s">
        <v>67</v>
      </c>
      <c r="B30" s="348" t="s">
        <v>68</v>
      </c>
      <c r="C30" s="348" t="s">
        <v>255</v>
      </c>
      <c r="D30" s="108">
        <v>3</v>
      </c>
      <c r="E30" s="108">
        <v>5</v>
      </c>
      <c r="F30" s="108">
        <v>4</v>
      </c>
      <c r="G30" s="108">
        <v>6</v>
      </c>
      <c r="H30" s="108">
        <v>1</v>
      </c>
      <c r="I30" s="108">
        <v>3</v>
      </c>
      <c r="J30" s="108">
        <v>6</v>
      </c>
      <c r="K30" s="108">
        <v>2</v>
      </c>
      <c r="L30" s="108">
        <v>4</v>
      </c>
      <c r="M30" s="108">
        <v>8</v>
      </c>
      <c r="N30" s="108">
        <v>5</v>
      </c>
      <c r="O30" s="108">
        <v>11</v>
      </c>
      <c r="P30" s="108">
        <v>58</v>
      </c>
    </row>
    <row r="31" spans="1:16" x14ac:dyDescent="0.3">
      <c r="A31" s="280" t="s">
        <v>69</v>
      </c>
      <c r="B31" s="348" t="s">
        <v>70</v>
      </c>
      <c r="C31" s="348" t="s">
        <v>251</v>
      </c>
      <c r="D31" s="108">
        <v>19</v>
      </c>
      <c r="E31" s="108">
        <v>19</v>
      </c>
      <c r="F31" s="108">
        <v>21</v>
      </c>
      <c r="G31" s="108">
        <v>17</v>
      </c>
      <c r="H31" s="108">
        <v>9</v>
      </c>
      <c r="I31" s="108">
        <v>11</v>
      </c>
      <c r="J31" s="108">
        <v>19</v>
      </c>
      <c r="K31" s="108">
        <v>11</v>
      </c>
      <c r="L31" s="108">
        <v>14</v>
      </c>
      <c r="M31" s="108">
        <v>11</v>
      </c>
      <c r="N31" s="108">
        <v>4</v>
      </c>
      <c r="O31" s="108">
        <v>10</v>
      </c>
      <c r="P31" s="108">
        <v>165</v>
      </c>
    </row>
    <row r="32" spans="1:16" x14ac:dyDescent="0.3">
      <c r="A32" s="280" t="s">
        <v>71</v>
      </c>
      <c r="B32" s="348" t="s">
        <v>72</v>
      </c>
      <c r="C32" s="348" t="s">
        <v>253</v>
      </c>
      <c r="D32" s="108">
        <v>7</v>
      </c>
      <c r="E32" s="108">
        <v>11</v>
      </c>
      <c r="F32" s="108">
        <v>4</v>
      </c>
      <c r="G32" s="108">
        <v>15</v>
      </c>
      <c r="H32" s="108">
        <v>7</v>
      </c>
      <c r="I32" s="108">
        <v>10</v>
      </c>
      <c r="J32" s="108">
        <v>5</v>
      </c>
      <c r="K32" s="108">
        <v>9</v>
      </c>
      <c r="L32" s="108">
        <v>9</v>
      </c>
      <c r="M32" s="108">
        <v>2</v>
      </c>
      <c r="N32" s="108">
        <v>2</v>
      </c>
      <c r="O32" s="108">
        <v>6</v>
      </c>
      <c r="P32" s="108">
        <v>87</v>
      </c>
    </row>
    <row r="33" spans="1:16" x14ac:dyDescent="0.3">
      <c r="A33" s="280" t="s">
        <v>73</v>
      </c>
      <c r="B33" s="348" t="s">
        <v>272</v>
      </c>
      <c r="C33" s="348" t="s">
        <v>254</v>
      </c>
      <c r="D33" s="108">
        <v>354</v>
      </c>
      <c r="E33" s="108">
        <v>363</v>
      </c>
      <c r="F33" s="108">
        <v>326</v>
      </c>
      <c r="G33" s="108">
        <v>325</v>
      </c>
      <c r="H33" s="108">
        <v>274</v>
      </c>
      <c r="I33" s="108">
        <v>270</v>
      </c>
      <c r="J33" s="108">
        <v>330</v>
      </c>
      <c r="K33" s="108">
        <v>275</v>
      </c>
      <c r="L33" s="108">
        <v>634</v>
      </c>
      <c r="M33" s="108">
        <v>828</v>
      </c>
      <c r="N33" s="108">
        <v>435</v>
      </c>
      <c r="O33" s="108">
        <v>280</v>
      </c>
      <c r="P33" s="108">
        <v>4694</v>
      </c>
    </row>
    <row r="34" spans="1:16" x14ac:dyDescent="0.3">
      <c r="A34" s="280" t="s">
        <v>75</v>
      </c>
      <c r="B34" s="348" t="s">
        <v>76</v>
      </c>
      <c r="C34" s="348" t="s">
        <v>254</v>
      </c>
      <c r="D34" s="108">
        <v>18</v>
      </c>
      <c r="E34" s="108">
        <v>23</v>
      </c>
      <c r="F34" s="108">
        <v>19</v>
      </c>
      <c r="G34" s="108">
        <v>17</v>
      </c>
      <c r="H34" s="108">
        <v>26</v>
      </c>
      <c r="I34" s="108">
        <v>22</v>
      </c>
      <c r="J34" s="108">
        <v>17</v>
      </c>
      <c r="K34" s="108">
        <v>14</v>
      </c>
      <c r="L34" s="108">
        <v>37</v>
      </c>
      <c r="M34" s="108">
        <v>19</v>
      </c>
      <c r="N34" s="108">
        <v>13</v>
      </c>
      <c r="O34" s="108">
        <v>12</v>
      </c>
      <c r="P34" s="108">
        <v>237</v>
      </c>
    </row>
    <row r="35" spans="1:16" x14ac:dyDescent="0.3">
      <c r="A35" s="280" t="s">
        <v>77</v>
      </c>
      <c r="B35" s="348" t="s">
        <v>78</v>
      </c>
      <c r="C35" s="348" t="s">
        <v>255</v>
      </c>
      <c r="D35" s="108">
        <v>1</v>
      </c>
      <c r="E35" s="108">
        <v>7</v>
      </c>
      <c r="F35" s="108">
        <v>10</v>
      </c>
      <c r="G35" s="108">
        <v>8</v>
      </c>
      <c r="H35" s="108">
        <v>4</v>
      </c>
      <c r="I35" s="108">
        <v>5</v>
      </c>
      <c r="J35" s="108">
        <v>16</v>
      </c>
      <c r="K35" s="108">
        <v>6</v>
      </c>
      <c r="L35" s="108">
        <v>9</v>
      </c>
      <c r="M35" s="108">
        <v>6</v>
      </c>
      <c r="N35" s="108">
        <v>6</v>
      </c>
      <c r="O35" s="108">
        <v>1</v>
      </c>
      <c r="P35" s="108">
        <v>79</v>
      </c>
    </row>
    <row r="36" spans="1:16" x14ac:dyDescent="0.3">
      <c r="A36" s="280" t="s">
        <v>79</v>
      </c>
      <c r="B36" s="348" t="s">
        <v>80</v>
      </c>
      <c r="C36" s="348" t="s">
        <v>253</v>
      </c>
      <c r="D36" s="108">
        <v>10</v>
      </c>
      <c r="E36" s="108">
        <v>11</v>
      </c>
      <c r="F36" s="108">
        <v>2</v>
      </c>
      <c r="G36" s="108">
        <v>11</v>
      </c>
      <c r="H36" s="108">
        <v>5</v>
      </c>
      <c r="I36" s="108">
        <v>5</v>
      </c>
      <c r="J36" s="108">
        <v>7</v>
      </c>
      <c r="K36" s="108">
        <v>3</v>
      </c>
      <c r="L36" s="108">
        <v>9</v>
      </c>
      <c r="M36" s="108">
        <v>15</v>
      </c>
      <c r="N36" s="108">
        <v>4</v>
      </c>
      <c r="O36" s="108">
        <v>4</v>
      </c>
      <c r="P36" s="108">
        <v>86</v>
      </c>
    </row>
    <row r="37" spans="1:16" x14ac:dyDescent="0.3">
      <c r="A37" s="280" t="s">
        <v>83</v>
      </c>
      <c r="B37" s="348" t="s">
        <v>84</v>
      </c>
      <c r="C37" s="348" t="s">
        <v>252</v>
      </c>
      <c r="D37" s="108">
        <v>35</v>
      </c>
      <c r="E37" s="108">
        <v>31</v>
      </c>
      <c r="F37" s="108">
        <v>20</v>
      </c>
      <c r="G37" s="108">
        <v>26</v>
      </c>
      <c r="H37" s="108">
        <v>22</v>
      </c>
      <c r="I37" s="108">
        <v>21</v>
      </c>
      <c r="J37" s="108">
        <v>25</v>
      </c>
      <c r="K37" s="108">
        <v>13</v>
      </c>
      <c r="L37" s="108">
        <v>30</v>
      </c>
      <c r="M37" s="108">
        <v>22</v>
      </c>
      <c r="N37" s="108">
        <v>20</v>
      </c>
      <c r="O37" s="108">
        <v>22</v>
      </c>
      <c r="P37" s="108">
        <v>287</v>
      </c>
    </row>
    <row r="38" spans="1:16" x14ac:dyDescent="0.3">
      <c r="A38" s="280" t="s">
        <v>85</v>
      </c>
      <c r="B38" s="348" t="s">
        <v>86</v>
      </c>
      <c r="C38" s="348" t="s">
        <v>254</v>
      </c>
      <c r="D38" s="108">
        <v>47</v>
      </c>
      <c r="E38" s="108">
        <v>46</v>
      </c>
      <c r="F38" s="108">
        <v>35</v>
      </c>
      <c r="G38" s="108">
        <v>20</v>
      </c>
      <c r="H38" s="108">
        <v>27</v>
      </c>
      <c r="I38" s="108">
        <v>34</v>
      </c>
      <c r="J38" s="108">
        <v>41</v>
      </c>
      <c r="K38" s="108">
        <v>20</v>
      </c>
      <c r="L38" s="108">
        <v>43</v>
      </c>
      <c r="M38" s="108">
        <v>47</v>
      </c>
      <c r="N38" s="108">
        <v>22</v>
      </c>
      <c r="O38" s="108">
        <v>32</v>
      </c>
      <c r="P38" s="108">
        <v>414</v>
      </c>
    </row>
    <row r="39" spans="1:16" x14ac:dyDescent="0.3">
      <c r="A39" s="280" t="s">
        <v>91</v>
      </c>
      <c r="B39" s="348" t="s">
        <v>92</v>
      </c>
      <c r="C39" s="348" t="s">
        <v>255</v>
      </c>
      <c r="D39" s="108">
        <v>17</v>
      </c>
      <c r="E39" s="108">
        <v>11</v>
      </c>
      <c r="F39" s="108">
        <v>8</v>
      </c>
      <c r="G39" s="108">
        <v>14</v>
      </c>
      <c r="H39" s="108">
        <v>13</v>
      </c>
      <c r="I39" s="108">
        <v>7</v>
      </c>
      <c r="J39" s="108">
        <v>10</v>
      </c>
      <c r="K39" s="108">
        <v>7</v>
      </c>
      <c r="L39" s="108">
        <v>10</v>
      </c>
      <c r="M39" s="108">
        <v>2</v>
      </c>
      <c r="N39" s="108">
        <v>9</v>
      </c>
      <c r="O39" s="108">
        <v>13</v>
      </c>
      <c r="P39" s="108">
        <v>121</v>
      </c>
    </row>
    <row r="40" spans="1:16" x14ac:dyDescent="0.3">
      <c r="A40" s="280" t="s">
        <v>93</v>
      </c>
      <c r="B40" s="348" t="s">
        <v>94</v>
      </c>
      <c r="C40" s="348" t="s">
        <v>251</v>
      </c>
      <c r="D40" s="108">
        <v>11</v>
      </c>
      <c r="E40" s="108">
        <v>27</v>
      </c>
      <c r="F40" s="108">
        <v>19</v>
      </c>
      <c r="G40" s="108">
        <v>22</v>
      </c>
      <c r="H40" s="108">
        <v>22</v>
      </c>
      <c r="I40" s="108">
        <v>16</v>
      </c>
      <c r="J40" s="108">
        <v>15</v>
      </c>
      <c r="K40" s="108">
        <v>11</v>
      </c>
      <c r="L40" s="108">
        <v>18</v>
      </c>
      <c r="M40" s="108">
        <v>34</v>
      </c>
      <c r="N40" s="108">
        <v>8</v>
      </c>
      <c r="O40" s="108">
        <v>11</v>
      </c>
      <c r="P40" s="108">
        <v>214</v>
      </c>
    </row>
    <row r="41" spans="1:16" x14ac:dyDescent="0.3">
      <c r="A41" s="280" t="s">
        <v>95</v>
      </c>
      <c r="B41" s="348" t="s">
        <v>96</v>
      </c>
      <c r="C41" s="348" t="s">
        <v>253</v>
      </c>
      <c r="D41" s="108">
        <v>5</v>
      </c>
      <c r="E41" s="108">
        <v>4</v>
      </c>
      <c r="F41" s="108">
        <v>8</v>
      </c>
      <c r="G41" s="108">
        <v>9</v>
      </c>
      <c r="H41" s="108">
        <v>5</v>
      </c>
      <c r="I41" s="108">
        <v>1</v>
      </c>
      <c r="J41" s="108">
        <v>6</v>
      </c>
      <c r="K41" s="108">
        <v>3</v>
      </c>
      <c r="L41" s="108">
        <v>1</v>
      </c>
      <c r="M41" s="108">
        <v>6</v>
      </c>
      <c r="N41" s="108">
        <v>1</v>
      </c>
      <c r="O41" s="108">
        <v>4</v>
      </c>
      <c r="P41" s="108">
        <v>53</v>
      </c>
    </row>
    <row r="42" spans="1:16" x14ac:dyDescent="0.3">
      <c r="A42" s="280" t="s">
        <v>97</v>
      </c>
      <c r="B42" s="348" t="s">
        <v>98</v>
      </c>
      <c r="C42" s="348" t="s">
        <v>255</v>
      </c>
      <c r="D42" s="108">
        <v>6</v>
      </c>
      <c r="E42" s="108">
        <v>9</v>
      </c>
      <c r="F42" s="108">
        <v>4</v>
      </c>
      <c r="G42" s="108">
        <v>6</v>
      </c>
      <c r="H42" s="108">
        <v>6</v>
      </c>
      <c r="I42" s="108">
        <v>4</v>
      </c>
      <c r="J42" s="108">
        <v>2</v>
      </c>
      <c r="K42" s="108">
        <v>10</v>
      </c>
      <c r="L42" s="108">
        <v>6</v>
      </c>
      <c r="M42" s="108">
        <v>4</v>
      </c>
      <c r="N42" s="108">
        <v>2</v>
      </c>
      <c r="O42" s="108">
        <v>2</v>
      </c>
      <c r="P42" s="108">
        <v>61</v>
      </c>
    </row>
    <row r="43" spans="1:16" x14ac:dyDescent="0.3">
      <c r="A43" s="280" t="s">
        <v>99</v>
      </c>
      <c r="B43" s="348" t="s">
        <v>100</v>
      </c>
      <c r="C43" s="348" t="s">
        <v>254</v>
      </c>
      <c r="D43" s="108">
        <v>9</v>
      </c>
      <c r="E43" s="108">
        <v>12</v>
      </c>
      <c r="F43" s="108">
        <v>11</v>
      </c>
      <c r="G43" s="108">
        <v>8</v>
      </c>
      <c r="H43" s="108">
        <v>8</v>
      </c>
      <c r="I43" s="108">
        <v>11</v>
      </c>
      <c r="J43" s="108">
        <v>18</v>
      </c>
      <c r="K43" s="108">
        <v>7</v>
      </c>
      <c r="L43" s="108">
        <v>11</v>
      </c>
      <c r="M43" s="108">
        <v>8</v>
      </c>
      <c r="N43" s="108">
        <v>6</v>
      </c>
      <c r="O43" s="108">
        <v>6</v>
      </c>
      <c r="P43" s="108">
        <v>115</v>
      </c>
    </row>
    <row r="44" spans="1:16" x14ac:dyDescent="0.3">
      <c r="A44" s="280" t="s">
        <v>101</v>
      </c>
      <c r="B44" s="348" t="s">
        <v>263</v>
      </c>
      <c r="C44" s="348" t="s">
        <v>251</v>
      </c>
      <c r="D44" s="108">
        <v>23</v>
      </c>
      <c r="E44" s="108">
        <v>14</v>
      </c>
      <c r="F44" s="108">
        <v>18</v>
      </c>
      <c r="G44" s="108">
        <v>18</v>
      </c>
      <c r="H44" s="108">
        <v>13</v>
      </c>
      <c r="I44" s="108">
        <v>19</v>
      </c>
      <c r="J44" s="108">
        <v>23</v>
      </c>
      <c r="K44" s="108">
        <v>13</v>
      </c>
      <c r="L44" s="108">
        <v>15</v>
      </c>
      <c r="M44" s="108">
        <v>13</v>
      </c>
      <c r="N44" s="108">
        <v>8</v>
      </c>
      <c r="O44" s="108">
        <v>10</v>
      </c>
      <c r="P44" s="108">
        <v>187</v>
      </c>
    </row>
    <row r="45" spans="1:16" x14ac:dyDescent="0.3">
      <c r="A45" s="280" t="s">
        <v>103</v>
      </c>
      <c r="B45" s="348" t="s">
        <v>104</v>
      </c>
      <c r="C45" s="348" t="s">
        <v>252</v>
      </c>
      <c r="D45" s="108">
        <v>30</v>
      </c>
      <c r="E45" s="108">
        <v>20</v>
      </c>
      <c r="F45" s="108">
        <v>21</v>
      </c>
      <c r="G45" s="108">
        <v>27</v>
      </c>
      <c r="H45" s="108">
        <v>22</v>
      </c>
      <c r="I45" s="108">
        <v>21</v>
      </c>
      <c r="J45" s="108">
        <v>27</v>
      </c>
      <c r="K45" s="108">
        <v>21</v>
      </c>
      <c r="L45" s="108">
        <v>13</v>
      </c>
      <c r="M45" s="108">
        <v>15</v>
      </c>
      <c r="N45" s="108">
        <v>13</v>
      </c>
      <c r="O45" s="108">
        <v>24</v>
      </c>
      <c r="P45" s="108">
        <v>254</v>
      </c>
    </row>
    <row r="46" spans="1:16" x14ac:dyDescent="0.3">
      <c r="A46" s="280" t="s">
        <v>107</v>
      </c>
      <c r="B46" s="348" t="s">
        <v>108</v>
      </c>
      <c r="C46" s="348" t="s">
        <v>253</v>
      </c>
      <c r="D46" s="108">
        <v>37</v>
      </c>
      <c r="E46" s="108">
        <v>40</v>
      </c>
      <c r="F46" s="108">
        <v>35</v>
      </c>
      <c r="G46" s="108">
        <v>50</v>
      </c>
      <c r="H46" s="108">
        <v>25</v>
      </c>
      <c r="I46" s="108">
        <v>26</v>
      </c>
      <c r="J46" s="108">
        <v>30</v>
      </c>
      <c r="K46" s="108">
        <v>20</v>
      </c>
      <c r="L46" s="108">
        <v>39</v>
      </c>
      <c r="M46" s="108">
        <v>37</v>
      </c>
      <c r="N46" s="108">
        <v>19</v>
      </c>
      <c r="O46" s="108">
        <v>36</v>
      </c>
      <c r="P46" s="108">
        <v>394</v>
      </c>
    </row>
    <row r="47" spans="1:16" x14ac:dyDescent="0.3">
      <c r="A47" s="280" t="s">
        <v>109</v>
      </c>
      <c r="B47" s="348" t="s">
        <v>110</v>
      </c>
      <c r="C47" s="348" t="s">
        <v>253</v>
      </c>
      <c r="D47" s="108">
        <v>285</v>
      </c>
      <c r="E47" s="108">
        <v>251</v>
      </c>
      <c r="F47" s="108">
        <v>226</v>
      </c>
      <c r="G47" s="108">
        <v>230</v>
      </c>
      <c r="H47" s="108">
        <v>168</v>
      </c>
      <c r="I47" s="108">
        <v>171</v>
      </c>
      <c r="J47" s="108">
        <v>202</v>
      </c>
      <c r="K47" s="108">
        <v>159</v>
      </c>
      <c r="L47" s="108">
        <v>302</v>
      </c>
      <c r="M47" s="108">
        <v>226</v>
      </c>
      <c r="N47" s="108">
        <v>122</v>
      </c>
      <c r="O47" s="108">
        <v>130</v>
      </c>
      <c r="P47" s="108">
        <v>2472</v>
      </c>
    </row>
    <row r="48" spans="1:16" x14ac:dyDescent="0.3">
      <c r="A48" s="280" t="s">
        <v>111</v>
      </c>
      <c r="B48" s="348" t="s">
        <v>275</v>
      </c>
      <c r="C48" s="348" t="s">
        <v>252</v>
      </c>
      <c r="D48" s="108">
        <v>53</v>
      </c>
      <c r="E48" s="108">
        <v>47</v>
      </c>
      <c r="F48" s="108">
        <v>45</v>
      </c>
      <c r="G48" s="108">
        <v>42</v>
      </c>
      <c r="H48" s="108">
        <v>31</v>
      </c>
      <c r="I48" s="108">
        <v>39</v>
      </c>
      <c r="J48" s="108">
        <v>38</v>
      </c>
      <c r="K48" s="108">
        <v>29</v>
      </c>
      <c r="L48" s="108">
        <v>50</v>
      </c>
      <c r="M48" s="108">
        <v>31</v>
      </c>
      <c r="N48" s="108">
        <v>24</v>
      </c>
      <c r="O48" s="108">
        <v>30</v>
      </c>
      <c r="P48" s="108">
        <v>459</v>
      </c>
    </row>
    <row r="49" spans="1:16" x14ac:dyDescent="0.3">
      <c r="A49" s="280" t="s">
        <v>113</v>
      </c>
      <c r="B49" s="348" t="s">
        <v>114</v>
      </c>
      <c r="C49" s="348" t="s">
        <v>252</v>
      </c>
      <c r="D49" s="108"/>
      <c r="E49" s="108"/>
      <c r="F49" s="108"/>
      <c r="G49" s="108">
        <v>1</v>
      </c>
      <c r="H49" s="108">
        <v>1</v>
      </c>
      <c r="I49" s="108"/>
      <c r="J49" s="108"/>
      <c r="K49" s="108"/>
      <c r="L49" s="108"/>
      <c r="M49" s="108">
        <v>2</v>
      </c>
      <c r="N49" s="108"/>
      <c r="O49" s="108">
        <v>1</v>
      </c>
      <c r="P49" s="108">
        <v>5</v>
      </c>
    </row>
    <row r="50" spans="1:16" x14ac:dyDescent="0.3">
      <c r="A50" s="280" t="s">
        <v>117</v>
      </c>
      <c r="B50" s="348" t="s">
        <v>257</v>
      </c>
      <c r="C50" s="348" t="s">
        <v>251</v>
      </c>
      <c r="D50" s="108">
        <v>13</v>
      </c>
      <c r="E50" s="108">
        <v>6</v>
      </c>
      <c r="F50" s="108">
        <v>26</v>
      </c>
      <c r="G50" s="108">
        <v>10</v>
      </c>
      <c r="H50" s="108">
        <v>12</v>
      </c>
      <c r="I50" s="108">
        <v>11</v>
      </c>
      <c r="J50" s="108">
        <v>18</v>
      </c>
      <c r="K50" s="108">
        <v>7</v>
      </c>
      <c r="L50" s="108">
        <v>16</v>
      </c>
      <c r="M50" s="108">
        <v>10</v>
      </c>
      <c r="N50" s="108">
        <v>14</v>
      </c>
      <c r="O50" s="108">
        <v>11</v>
      </c>
      <c r="P50" s="108">
        <v>154</v>
      </c>
    </row>
    <row r="51" spans="1:16" x14ac:dyDescent="0.3">
      <c r="A51" s="280" t="s">
        <v>119</v>
      </c>
      <c r="B51" s="348" t="s">
        <v>120</v>
      </c>
      <c r="C51" s="348" t="s">
        <v>251</v>
      </c>
      <c r="D51" s="108">
        <v>22</v>
      </c>
      <c r="E51" s="108">
        <v>33</v>
      </c>
      <c r="F51" s="108">
        <v>33</v>
      </c>
      <c r="G51" s="108">
        <v>41</v>
      </c>
      <c r="H51" s="108">
        <v>21</v>
      </c>
      <c r="I51" s="108">
        <v>24</v>
      </c>
      <c r="J51" s="108">
        <v>39</v>
      </c>
      <c r="K51" s="108">
        <v>26</v>
      </c>
      <c r="L51" s="108">
        <v>35</v>
      </c>
      <c r="M51" s="108">
        <v>32</v>
      </c>
      <c r="N51" s="108">
        <v>24</v>
      </c>
      <c r="O51" s="108">
        <v>22</v>
      </c>
      <c r="P51" s="108">
        <v>352</v>
      </c>
    </row>
    <row r="52" spans="1:16" x14ac:dyDescent="0.3">
      <c r="A52" s="280" t="s">
        <v>121</v>
      </c>
      <c r="B52" s="348" t="s">
        <v>268</v>
      </c>
      <c r="C52" s="348" t="s">
        <v>253</v>
      </c>
      <c r="D52" s="108">
        <v>3</v>
      </c>
      <c r="E52" s="108">
        <v>3</v>
      </c>
      <c r="F52" s="108">
        <v>4</v>
      </c>
      <c r="G52" s="108">
        <v>6</v>
      </c>
      <c r="H52" s="108">
        <v>4</v>
      </c>
      <c r="I52" s="108">
        <v>1</v>
      </c>
      <c r="J52" s="108">
        <v>2</v>
      </c>
      <c r="K52" s="108">
        <v>4</v>
      </c>
      <c r="L52" s="108">
        <v>5</v>
      </c>
      <c r="M52" s="108">
        <v>4</v>
      </c>
      <c r="N52" s="108">
        <v>6</v>
      </c>
      <c r="O52" s="108">
        <v>3</v>
      </c>
      <c r="P52" s="108">
        <v>45</v>
      </c>
    </row>
    <row r="53" spans="1:16" x14ac:dyDescent="0.3">
      <c r="A53" s="280" t="s">
        <v>123</v>
      </c>
      <c r="B53" s="348" t="s">
        <v>124</v>
      </c>
      <c r="C53" s="348" t="s">
        <v>254</v>
      </c>
      <c r="D53" s="108">
        <v>7</v>
      </c>
      <c r="E53" s="108">
        <v>7</v>
      </c>
      <c r="F53" s="108">
        <v>10</v>
      </c>
      <c r="G53" s="108">
        <v>11</v>
      </c>
      <c r="H53" s="108">
        <v>4</v>
      </c>
      <c r="I53" s="108">
        <v>8</v>
      </c>
      <c r="J53" s="108">
        <v>11</v>
      </c>
      <c r="K53" s="108">
        <v>9</v>
      </c>
      <c r="L53" s="108">
        <v>10</v>
      </c>
      <c r="M53" s="108">
        <v>14</v>
      </c>
      <c r="N53" s="108">
        <v>7</v>
      </c>
      <c r="O53" s="108">
        <v>4</v>
      </c>
      <c r="P53" s="108">
        <v>102</v>
      </c>
    </row>
    <row r="54" spans="1:16" x14ac:dyDescent="0.3">
      <c r="A54" s="280" t="s">
        <v>125</v>
      </c>
      <c r="B54" s="348" t="s">
        <v>126</v>
      </c>
      <c r="C54" s="348" t="s">
        <v>253</v>
      </c>
      <c r="D54" s="108">
        <v>7</v>
      </c>
      <c r="E54" s="108">
        <v>7</v>
      </c>
      <c r="F54" s="108">
        <v>7</v>
      </c>
      <c r="G54" s="108">
        <v>3</v>
      </c>
      <c r="H54" s="108">
        <v>7</v>
      </c>
      <c r="I54" s="108">
        <v>2</v>
      </c>
      <c r="J54" s="108">
        <v>8</v>
      </c>
      <c r="K54" s="108">
        <v>4</v>
      </c>
      <c r="L54" s="108">
        <v>8</v>
      </c>
      <c r="M54" s="108">
        <v>7</v>
      </c>
      <c r="N54" s="108">
        <v>4</v>
      </c>
      <c r="O54" s="108">
        <v>4</v>
      </c>
      <c r="P54" s="108">
        <v>68</v>
      </c>
    </row>
    <row r="55" spans="1:16" x14ac:dyDescent="0.3">
      <c r="A55" s="280" t="s">
        <v>127</v>
      </c>
      <c r="B55" s="348" t="s">
        <v>128</v>
      </c>
      <c r="C55" s="348" t="s">
        <v>253</v>
      </c>
      <c r="D55" s="108">
        <v>6</v>
      </c>
      <c r="E55" s="108">
        <v>2</v>
      </c>
      <c r="F55" s="108">
        <v>8</v>
      </c>
      <c r="G55" s="108">
        <v>5</v>
      </c>
      <c r="H55" s="108">
        <v>5</v>
      </c>
      <c r="I55" s="108">
        <v>6</v>
      </c>
      <c r="J55" s="108">
        <v>3</v>
      </c>
      <c r="K55" s="108"/>
      <c r="L55" s="108">
        <v>4</v>
      </c>
      <c r="M55" s="108">
        <v>5</v>
      </c>
      <c r="N55" s="108">
        <v>3</v>
      </c>
      <c r="O55" s="108">
        <v>1</v>
      </c>
      <c r="P55" s="108">
        <v>48</v>
      </c>
    </row>
    <row r="56" spans="1:16" x14ac:dyDescent="0.3">
      <c r="A56" s="280" t="s">
        <v>129</v>
      </c>
      <c r="B56" s="348" t="s">
        <v>130</v>
      </c>
      <c r="C56" s="348" t="s">
        <v>255</v>
      </c>
      <c r="D56" s="108">
        <v>19</v>
      </c>
      <c r="E56" s="108">
        <v>29</v>
      </c>
      <c r="F56" s="108">
        <v>18</v>
      </c>
      <c r="G56" s="108">
        <v>21</v>
      </c>
      <c r="H56" s="108">
        <v>14</v>
      </c>
      <c r="I56" s="108">
        <v>13</v>
      </c>
      <c r="J56" s="108">
        <v>10</v>
      </c>
      <c r="K56" s="108">
        <v>8</v>
      </c>
      <c r="L56" s="108">
        <v>12</v>
      </c>
      <c r="M56" s="108">
        <v>13</v>
      </c>
      <c r="N56" s="108">
        <v>14</v>
      </c>
      <c r="O56" s="108">
        <v>13</v>
      </c>
      <c r="P56" s="108">
        <v>184</v>
      </c>
    </row>
    <row r="57" spans="1:16" x14ac:dyDescent="0.3">
      <c r="A57" s="280" t="s">
        <v>131</v>
      </c>
      <c r="B57" s="348" t="s">
        <v>132</v>
      </c>
      <c r="C57" s="348" t="s">
        <v>254</v>
      </c>
      <c r="D57" s="108">
        <v>113</v>
      </c>
      <c r="E57" s="108">
        <v>86</v>
      </c>
      <c r="F57" s="108">
        <v>79</v>
      </c>
      <c r="G57" s="108">
        <v>83</v>
      </c>
      <c r="H57" s="108">
        <v>79</v>
      </c>
      <c r="I57" s="108">
        <v>67</v>
      </c>
      <c r="J57" s="108">
        <v>76</v>
      </c>
      <c r="K57" s="108">
        <v>57</v>
      </c>
      <c r="L57" s="108">
        <v>163</v>
      </c>
      <c r="M57" s="108">
        <v>222</v>
      </c>
      <c r="N57" s="108">
        <v>87</v>
      </c>
      <c r="O57" s="108">
        <v>91</v>
      </c>
      <c r="P57" s="108">
        <v>1203</v>
      </c>
    </row>
    <row r="58" spans="1:16" x14ac:dyDescent="0.3">
      <c r="A58" s="280" t="s">
        <v>133</v>
      </c>
      <c r="B58" s="348" t="s">
        <v>134</v>
      </c>
      <c r="C58" s="348" t="s">
        <v>254</v>
      </c>
      <c r="D58" s="108">
        <v>23</v>
      </c>
      <c r="E58" s="108">
        <v>6</v>
      </c>
      <c r="F58" s="108">
        <v>25</v>
      </c>
      <c r="G58" s="108">
        <v>12</v>
      </c>
      <c r="H58" s="108">
        <v>18</v>
      </c>
      <c r="I58" s="108">
        <v>15</v>
      </c>
      <c r="J58" s="108">
        <v>11</v>
      </c>
      <c r="K58" s="108">
        <v>11</v>
      </c>
      <c r="L58" s="108">
        <v>22</v>
      </c>
      <c r="M58" s="108">
        <v>15</v>
      </c>
      <c r="N58" s="108">
        <v>13</v>
      </c>
      <c r="O58" s="108">
        <v>21</v>
      </c>
      <c r="P58" s="108">
        <v>192</v>
      </c>
    </row>
    <row r="59" spans="1:16" x14ac:dyDescent="0.3">
      <c r="A59" s="280" t="s">
        <v>135</v>
      </c>
      <c r="B59" s="348" t="s">
        <v>136</v>
      </c>
      <c r="C59" s="348" t="s">
        <v>253</v>
      </c>
      <c r="D59" s="108">
        <v>11</v>
      </c>
      <c r="E59" s="108">
        <v>9</v>
      </c>
      <c r="F59" s="108">
        <v>9</v>
      </c>
      <c r="G59" s="108">
        <v>5</v>
      </c>
      <c r="H59" s="108">
        <v>6</v>
      </c>
      <c r="I59" s="108">
        <v>13</v>
      </c>
      <c r="J59" s="108">
        <v>8</v>
      </c>
      <c r="K59" s="108">
        <v>2</v>
      </c>
      <c r="L59" s="108">
        <v>13</v>
      </c>
      <c r="M59" s="108">
        <v>3</v>
      </c>
      <c r="N59" s="108">
        <v>2</v>
      </c>
      <c r="O59" s="108">
        <v>6</v>
      </c>
      <c r="P59" s="108">
        <v>87</v>
      </c>
    </row>
    <row r="60" spans="1:16" x14ac:dyDescent="0.3">
      <c r="A60" s="280" t="s">
        <v>139</v>
      </c>
      <c r="B60" s="348" t="s">
        <v>140</v>
      </c>
      <c r="C60" s="348" t="s">
        <v>254</v>
      </c>
      <c r="D60" s="108">
        <v>4</v>
      </c>
      <c r="E60" s="108">
        <v>2</v>
      </c>
      <c r="F60" s="108"/>
      <c r="G60" s="108">
        <v>9</v>
      </c>
      <c r="H60" s="108">
        <v>5</v>
      </c>
      <c r="I60" s="108">
        <v>3</v>
      </c>
      <c r="J60" s="108">
        <v>6</v>
      </c>
      <c r="K60" s="108">
        <v>2</v>
      </c>
      <c r="L60" s="108">
        <v>1</v>
      </c>
      <c r="M60" s="108">
        <v>6</v>
      </c>
      <c r="N60" s="108">
        <v>1</v>
      </c>
      <c r="O60" s="108">
        <v>2</v>
      </c>
      <c r="P60" s="108">
        <v>41</v>
      </c>
    </row>
    <row r="61" spans="1:16" x14ac:dyDescent="0.3">
      <c r="A61" s="280" t="s">
        <v>145</v>
      </c>
      <c r="B61" s="348" t="s">
        <v>146</v>
      </c>
      <c r="C61" s="348" t="s">
        <v>251</v>
      </c>
      <c r="D61" s="108">
        <v>1</v>
      </c>
      <c r="E61" s="108">
        <v>5</v>
      </c>
      <c r="F61" s="108">
        <v>4</v>
      </c>
      <c r="G61" s="108">
        <v>2</v>
      </c>
      <c r="H61" s="108">
        <v>1</v>
      </c>
      <c r="I61" s="108">
        <v>4</v>
      </c>
      <c r="J61" s="108">
        <v>3</v>
      </c>
      <c r="K61" s="108">
        <v>3</v>
      </c>
      <c r="L61" s="108">
        <v>6</v>
      </c>
      <c r="M61" s="108">
        <v>4</v>
      </c>
      <c r="N61" s="108">
        <v>3</v>
      </c>
      <c r="O61" s="108">
        <v>4</v>
      </c>
      <c r="P61" s="108">
        <v>40</v>
      </c>
    </row>
    <row r="62" spans="1:16" x14ac:dyDescent="0.3">
      <c r="A62" s="280" t="s">
        <v>147</v>
      </c>
      <c r="B62" s="348" t="s">
        <v>148</v>
      </c>
      <c r="C62" s="348" t="s">
        <v>252</v>
      </c>
      <c r="D62" s="108">
        <v>20</v>
      </c>
      <c r="E62" s="108">
        <v>11</v>
      </c>
      <c r="F62" s="108">
        <v>18</v>
      </c>
      <c r="G62" s="108">
        <v>17</v>
      </c>
      <c r="H62" s="108">
        <v>22</v>
      </c>
      <c r="I62" s="108">
        <v>9</v>
      </c>
      <c r="J62" s="108">
        <v>16</v>
      </c>
      <c r="K62" s="108">
        <v>10</v>
      </c>
      <c r="L62" s="108">
        <v>18</v>
      </c>
      <c r="M62" s="108">
        <v>5</v>
      </c>
      <c r="N62" s="108">
        <v>8</v>
      </c>
      <c r="O62" s="108">
        <v>13</v>
      </c>
      <c r="P62" s="108">
        <v>167</v>
      </c>
    </row>
    <row r="63" spans="1:16" x14ac:dyDescent="0.3">
      <c r="A63" s="280" t="s">
        <v>149</v>
      </c>
      <c r="B63" s="348" t="s">
        <v>150</v>
      </c>
      <c r="C63" s="348" t="s">
        <v>253</v>
      </c>
      <c r="D63" s="108">
        <v>6</v>
      </c>
      <c r="E63" s="108">
        <v>7</v>
      </c>
      <c r="F63" s="108">
        <v>12</v>
      </c>
      <c r="G63" s="108">
        <v>10</v>
      </c>
      <c r="H63" s="108">
        <v>7</v>
      </c>
      <c r="I63" s="108">
        <v>6</v>
      </c>
      <c r="J63" s="108">
        <v>7</v>
      </c>
      <c r="K63" s="108">
        <v>3</v>
      </c>
      <c r="L63" s="108">
        <v>10</v>
      </c>
      <c r="M63" s="108">
        <v>13</v>
      </c>
      <c r="N63" s="108">
        <v>1</v>
      </c>
      <c r="O63" s="108">
        <v>2</v>
      </c>
      <c r="P63" s="108">
        <v>84</v>
      </c>
    </row>
    <row r="64" spans="1:16" x14ac:dyDescent="0.3">
      <c r="A64" s="280" t="s">
        <v>151</v>
      </c>
      <c r="B64" s="348" t="s">
        <v>152</v>
      </c>
      <c r="C64" s="348" t="s">
        <v>255</v>
      </c>
      <c r="D64" s="108">
        <v>38</v>
      </c>
      <c r="E64" s="108">
        <v>45</v>
      </c>
      <c r="F64" s="108">
        <v>31</v>
      </c>
      <c r="G64" s="108">
        <v>46</v>
      </c>
      <c r="H64" s="108">
        <v>36</v>
      </c>
      <c r="I64" s="108">
        <v>32</v>
      </c>
      <c r="J64" s="108">
        <v>28</v>
      </c>
      <c r="K64" s="108">
        <v>20</v>
      </c>
      <c r="L64" s="108">
        <v>37</v>
      </c>
      <c r="M64" s="108">
        <v>27</v>
      </c>
      <c r="N64" s="108">
        <v>36</v>
      </c>
      <c r="O64" s="108">
        <v>35</v>
      </c>
      <c r="P64" s="108">
        <v>411</v>
      </c>
    </row>
    <row r="65" spans="1:16" x14ac:dyDescent="0.3">
      <c r="A65" s="280" t="s">
        <v>153</v>
      </c>
      <c r="B65" s="348" t="s">
        <v>154</v>
      </c>
      <c r="C65" s="348" t="s">
        <v>252</v>
      </c>
      <c r="D65" s="108">
        <v>6</v>
      </c>
      <c r="E65" s="108">
        <v>13</v>
      </c>
      <c r="F65" s="108">
        <v>4</v>
      </c>
      <c r="G65" s="108">
        <v>2</v>
      </c>
      <c r="H65" s="108">
        <v>6</v>
      </c>
      <c r="I65" s="108">
        <v>4</v>
      </c>
      <c r="J65" s="108">
        <v>3</v>
      </c>
      <c r="K65" s="108">
        <v>4</v>
      </c>
      <c r="L65" s="108">
        <v>2</v>
      </c>
      <c r="M65" s="108">
        <v>4</v>
      </c>
      <c r="N65" s="108">
        <v>6</v>
      </c>
      <c r="O65" s="108">
        <v>5</v>
      </c>
      <c r="P65" s="108">
        <v>59</v>
      </c>
    </row>
    <row r="66" spans="1:16" x14ac:dyDescent="0.3">
      <c r="A66" s="280" t="s">
        <v>155</v>
      </c>
      <c r="B66" s="348" t="s">
        <v>156</v>
      </c>
      <c r="C66" s="348" t="s">
        <v>253</v>
      </c>
      <c r="D66" s="108">
        <v>7</v>
      </c>
      <c r="E66" s="108">
        <v>6</v>
      </c>
      <c r="F66" s="108">
        <v>15</v>
      </c>
      <c r="G66" s="108">
        <v>9</v>
      </c>
      <c r="H66" s="108">
        <v>8</v>
      </c>
      <c r="I66" s="108">
        <v>9</v>
      </c>
      <c r="J66" s="108">
        <v>7</v>
      </c>
      <c r="K66" s="108">
        <v>3</v>
      </c>
      <c r="L66" s="108">
        <v>9</v>
      </c>
      <c r="M66" s="108">
        <v>16</v>
      </c>
      <c r="N66" s="108">
        <v>3</v>
      </c>
      <c r="O66" s="108">
        <v>2</v>
      </c>
      <c r="P66" s="108">
        <v>94</v>
      </c>
    </row>
    <row r="67" spans="1:16" x14ac:dyDescent="0.3">
      <c r="A67" s="280" t="s">
        <v>161</v>
      </c>
      <c r="B67" s="348" t="s">
        <v>162</v>
      </c>
      <c r="C67" s="348" t="s">
        <v>251</v>
      </c>
      <c r="D67" s="108">
        <v>8</v>
      </c>
      <c r="E67" s="108">
        <v>9</v>
      </c>
      <c r="F67" s="108">
        <v>8</v>
      </c>
      <c r="G67" s="108">
        <v>8</v>
      </c>
      <c r="H67" s="108">
        <v>5</v>
      </c>
      <c r="I67" s="108">
        <v>11</v>
      </c>
      <c r="J67" s="108">
        <v>8</v>
      </c>
      <c r="K67" s="108">
        <v>3</v>
      </c>
      <c r="L67" s="108">
        <v>9</v>
      </c>
      <c r="M67" s="108">
        <v>6</v>
      </c>
      <c r="N67" s="108">
        <v>1</v>
      </c>
      <c r="O67" s="108">
        <v>2</v>
      </c>
      <c r="P67" s="108">
        <v>78</v>
      </c>
    </row>
    <row r="68" spans="1:16" x14ac:dyDescent="0.3">
      <c r="A68" s="280" t="s">
        <v>163</v>
      </c>
      <c r="B68" s="348" t="s">
        <v>164</v>
      </c>
      <c r="C68" s="348" t="s">
        <v>253</v>
      </c>
      <c r="D68" s="108">
        <v>3</v>
      </c>
      <c r="E68" s="108">
        <v>4</v>
      </c>
      <c r="F68" s="108">
        <v>2</v>
      </c>
      <c r="G68" s="108">
        <v>7</v>
      </c>
      <c r="H68" s="108">
        <v>2</v>
      </c>
      <c r="I68" s="108">
        <v>6</v>
      </c>
      <c r="J68" s="108">
        <v>3</v>
      </c>
      <c r="K68" s="108">
        <v>3</v>
      </c>
      <c r="L68" s="108">
        <v>7</v>
      </c>
      <c r="M68" s="108">
        <v>1</v>
      </c>
      <c r="N68" s="108"/>
      <c r="O68" s="108">
        <v>2</v>
      </c>
      <c r="P68" s="108">
        <v>40</v>
      </c>
    </row>
    <row r="69" spans="1:16" x14ac:dyDescent="0.3">
      <c r="A69" s="280" t="s">
        <v>167</v>
      </c>
      <c r="B69" s="348" t="s">
        <v>168</v>
      </c>
      <c r="C69" s="348" t="s">
        <v>253</v>
      </c>
      <c r="D69" s="108">
        <v>12</v>
      </c>
      <c r="E69" s="108">
        <v>9</v>
      </c>
      <c r="F69" s="108">
        <v>6</v>
      </c>
      <c r="G69" s="108">
        <v>7</v>
      </c>
      <c r="H69" s="108">
        <v>6</v>
      </c>
      <c r="I69" s="108">
        <v>10</v>
      </c>
      <c r="J69" s="108">
        <v>10</v>
      </c>
      <c r="K69" s="108">
        <v>2</v>
      </c>
      <c r="L69" s="108">
        <v>13</v>
      </c>
      <c r="M69" s="108">
        <v>7</v>
      </c>
      <c r="N69" s="108">
        <v>4</v>
      </c>
      <c r="O69" s="108">
        <v>5</v>
      </c>
      <c r="P69" s="108">
        <v>91</v>
      </c>
    </row>
    <row r="70" spans="1:16" x14ac:dyDescent="0.3">
      <c r="A70" s="280" t="s">
        <v>169</v>
      </c>
      <c r="B70" s="348" t="s">
        <v>170</v>
      </c>
      <c r="C70" s="348" t="s">
        <v>254</v>
      </c>
      <c r="D70" s="108">
        <v>20</v>
      </c>
      <c r="E70" s="108">
        <v>14</v>
      </c>
      <c r="F70" s="108">
        <v>22</v>
      </c>
      <c r="G70" s="108">
        <v>22</v>
      </c>
      <c r="H70" s="108">
        <v>15</v>
      </c>
      <c r="I70" s="108">
        <v>11</v>
      </c>
      <c r="J70" s="108">
        <v>12</v>
      </c>
      <c r="K70" s="108">
        <v>5</v>
      </c>
      <c r="L70" s="108">
        <v>27</v>
      </c>
      <c r="M70" s="108">
        <v>13</v>
      </c>
      <c r="N70" s="108">
        <v>13</v>
      </c>
      <c r="O70" s="108">
        <v>9</v>
      </c>
      <c r="P70" s="108">
        <v>183</v>
      </c>
    </row>
    <row r="71" spans="1:16" x14ac:dyDescent="0.3">
      <c r="A71" s="280" t="s">
        <v>171</v>
      </c>
      <c r="B71" s="348" t="s">
        <v>172</v>
      </c>
      <c r="C71" s="348" t="s">
        <v>254</v>
      </c>
      <c r="D71" s="108">
        <v>14</v>
      </c>
      <c r="E71" s="108">
        <v>14</v>
      </c>
      <c r="F71" s="108">
        <v>13</v>
      </c>
      <c r="G71" s="108">
        <v>10</v>
      </c>
      <c r="H71" s="108">
        <v>10</v>
      </c>
      <c r="I71" s="108">
        <v>11</v>
      </c>
      <c r="J71" s="108">
        <v>9</v>
      </c>
      <c r="K71" s="108">
        <v>8</v>
      </c>
      <c r="L71" s="108">
        <v>16</v>
      </c>
      <c r="M71" s="108">
        <v>10</v>
      </c>
      <c r="N71" s="108">
        <v>6</v>
      </c>
      <c r="O71" s="108">
        <v>8</v>
      </c>
      <c r="P71" s="108">
        <v>129</v>
      </c>
    </row>
    <row r="72" spans="1:16" x14ac:dyDescent="0.3">
      <c r="A72" s="280" t="s">
        <v>173</v>
      </c>
      <c r="B72" s="348" t="s">
        <v>174</v>
      </c>
      <c r="C72" s="348" t="s">
        <v>255</v>
      </c>
      <c r="D72" s="108">
        <v>11</v>
      </c>
      <c r="E72" s="108">
        <v>9</v>
      </c>
      <c r="F72" s="108">
        <v>11</v>
      </c>
      <c r="G72" s="108">
        <v>10</v>
      </c>
      <c r="H72" s="108">
        <v>5</v>
      </c>
      <c r="I72" s="108">
        <v>15</v>
      </c>
      <c r="J72" s="108">
        <v>5</v>
      </c>
      <c r="K72" s="108">
        <v>4</v>
      </c>
      <c r="L72" s="108">
        <v>3</v>
      </c>
      <c r="M72" s="108">
        <v>5</v>
      </c>
      <c r="N72" s="108">
        <v>3</v>
      </c>
      <c r="O72" s="108">
        <v>4</v>
      </c>
      <c r="P72" s="108">
        <v>85</v>
      </c>
    </row>
    <row r="73" spans="1:16" x14ac:dyDescent="0.3">
      <c r="A73" s="280" t="s">
        <v>177</v>
      </c>
      <c r="B73" s="348" t="s">
        <v>178</v>
      </c>
      <c r="C73" s="348" t="s">
        <v>252</v>
      </c>
      <c r="D73" s="108">
        <v>29</v>
      </c>
      <c r="E73" s="108">
        <v>54</v>
      </c>
      <c r="F73" s="108">
        <v>27</v>
      </c>
      <c r="G73" s="108">
        <v>31</v>
      </c>
      <c r="H73" s="108">
        <v>28</v>
      </c>
      <c r="I73" s="108">
        <v>28</v>
      </c>
      <c r="J73" s="108">
        <v>24</v>
      </c>
      <c r="K73" s="108">
        <v>23</v>
      </c>
      <c r="L73" s="108">
        <v>23</v>
      </c>
      <c r="M73" s="108">
        <v>21</v>
      </c>
      <c r="N73" s="108">
        <v>14</v>
      </c>
      <c r="O73" s="108">
        <v>18</v>
      </c>
      <c r="P73" s="108">
        <v>320</v>
      </c>
    </row>
    <row r="74" spans="1:16" x14ac:dyDescent="0.3">
      <c r="A74" s="280" t="s">
        <v>181</v>
      </c>
      <c r="B74" s="348" t="s">
        <v>182</v>
      </c>
      <c r="C74" s="348" t="s">
        <v>253</v>
      </c>
      <c r="D74" s="108">
        <v>15</v>
      </c>
      <c r="E74" s="108">
        <v>9</v>
      </c>
      <c r="F74" s="108">
        <v>6</v>
      </c>
      <c r="G74" s="108">
        <v>6</v>
      </c>
      <c r="H74" s="108">
        <v>6</v>
      </c>
      <c r="I74" s="108">
        <v>4</v>
      </c>
      <c r="J74" s="108">
        <v>6</v>
      </c>
      <c r="K74" s="108">
        <v>2</v>
      </c>
      <c r="L74" s="108">
        <v>4</v>
      </c>
      <c r="M74" s="108">
        <v>11</v>
      </c>
      <c r="N74" s="108">
        <v>5</v>
      </c>
      <c r="O74" s="108">
        <v>3</v>
      </c>
      <c r="P74" s="108">
        <v>77</v>
      </c>
    </row>
    <row r="75" spans="1:16" x14ac:dyDescent="0.3">
      <c r="A75" s="280" t="s">
        <v>183</v>
      </c>
      <c r="B75" s="348" t="s">
        <v>184</v>
      </c>
      <c r="C75" s="348" t="s">
        <v>253</v>
      </c>
      <c r="D75" s="108">
        <v>12</v>
      </c>
      <c r="E75" s="108">
        <v>16</v>
      </c>
      <c r="F75" s="108">
        <v>17</v>
      </c>
      <c r="G75" s="108">
        <v>12</v>
      </c>
      <c r="H75" s="108">
        <v>15</v>
      </c>
      <c r="I75" s="108">
        <v>6</v>
      </c>
      <c r="J75" s="108">
        <v>11</v>
      </c>
      <c r="K75" s="108">
        <v>6</v>
      </c>
      <c r="L75" s="108">
        <v>9</v>
      </c>
      <c r="M75" s="108">
        <v>7</v>
      </c>
      <c r="N75" s="108">
        <v>6</v>
      </c>
      <c r="O75" s="108">
        <v>9</v>
      </c>
      <c r="P75" s="108">
        <v>126</v>
      </c>
    </row>
    <row r="76" spans="1:16" x14ac:dyDescent="0.3">
      <c r="A76" s="280" t="s">
        <v>185</v>
      </c>
      <c r="B76" s="348" t="s">
        <v>186</v>
      </c>
      <c r="C76" s="348" t="s">
        <v>251</v>
      </c>
      <c r="D76" s="108">
        <v>16</v>
      </c>
      <c r="E76" s="108">
        <v>23</v>
      </c>
      <c r="F76" s="108">
        <v>29</v>
      </c>
      <c r="G76" s="108">
        <v>20</v>
      </c>
      <c r="H76" s="108">
        <v>14</v>
      </c>
      <c r="I76" s="108">
        <v>11</v>
      </c>
      <c r="J76" s="108">
        <v>17</v>
      </c>
      <c r="K76" s="108">
        <v>18</v>
      </c>
      <c r="L76" s="108">
        <v>26</v>
      </c>
      <c r="M76" s="108">
        <v>21</v>
      </c>
      <c r="N76" s="108">
        <v>11</v>
      </c>
      <c r="O76" s="108">
        <v>14</v>
      </c>
      <c r="P76" s="108">
        <v>220</v>
      </c>
    </row>
    <row r="77" spans="1:16" x14ac:dyDescent="0.3">
      <c r="A77" s="280" t="s">
        <v>187</v>
      </c>
      <c r="B77" s="348" t="s">
        <v>188</v>
      </c>
      <c r="C77" s="348" t="s">
        <v>254</v>
      </c>
      <c r="D77" s="108">
        <v>235</v>
      </c>
      <c r="E77" s="108">
        <v>261</v>
      </c>
      <c r="F77" s="108">
        <v>214</v>
      </c>
      <c r="G77" s="108">
        <v>229</v>
      </c>
      <c r="H77" s="108">
        <v>182</v>
      </c>
      <c r="I77" s="108">
        <v>190</v>
      </c>
      <c r="J77" s="108">
        <v>230</v>
      </c>
      <c r="K77" s="108">
        <v>150</v>
      </c>
      <c r="L77" s="108">
        <v>364</v>
      </c>
      <c r="M77" s="108">
        <v>380</v>
      </c>
      <c r="N77" s="108">
        <v>211</v>
      </c>
      <c r="O77" s="108">
        <v>184</v>
      </c>
      <c r="P77" s="108">
        <v>2830</v>
      </c>
    </row>
    <row r="78" spans="1:16" x14ac:dyDescent="0.3">
      <c r="A78" s="280" t="s">
        <v>189</v>
      </c>
      <c r="B78" s="348" t="s">
        <v>190</v>
      </c>
      <c r="C78" s="348" t="s">
        <v>255</v>
      </c>
      <c r="D78" s="108">
        <v>28</v>
      </c>
      <c r="E78" s="108">
        <v>17</v>
      </c>
      <c r="F78" s="108">
        <v>24</v>
      </c>
      <c r="G78" s="108">
        <v>20</v>
      </c>
      <c r="H78" s="108">
        <v>18</v>
      </c>
      <c r="I78" s="108">
        <v>16</v>
      </c>
      <c r="J78" s="108">
        <v>18</v>
      </c>
      <c r="K78" s="108">
        <v>8</v>
      </c>
      <c r="L78" s="108">
        <v>21</v>
      </c>
      <c r="M78" s="108">
        <v>11</v>
      </c>
      <c r="N78" s="108">
        <v>9</v>
      </c>
      <c r="O78" s="108">
        <v>21</v>
      </c>
      <c r="P78" s="108">
        <v>211</v>
      </c>
    </row>
    <row r="79" spans="1:16" x14ac:dyDescent="0.3">
      <c r="A79" s="280" t="s">
        <v>193</v>
      </c>
      <c r="B79" s="348" t="s">
        <v>194</v>
      </c>
      <c r="C79" s="348" t="s">
        <v>254</v>
      </c>
      <c r="D79" s="108"/>
      <c r="E79" s="108">
        <v>2</v>
      </c>
      <c r="F79" s="108">
        <v>1</v>
      </c>
      <c r="G79" s="108">
        <v>1</v>
      </c>
      <c r="H79" s="108">
        <v>1</v>
      </c>
      <c r="I79" s="108"/>
      <c r="J79" s="108">
        <v>2</v>
      </c>
      <c r="K79" s="108">
        <v>1</v>
      </c>
      <c r="L79" s="108">
        <v>4</v>
      </c>
      <c r="M79" s="108">
        <v>2</v>
      </c>
      <c r="N79" s="108"/>
      <c r="O79" s="108"/>
      <c r="P79" s="108">
        <v>14</v>
      </c>
    </row>
    <row r="80" spans="1:16" x14ac:dyDescent="0.3">
      <c r="A80" s="280" t="s">
        <v>197</v>
      </c>
      <c r="B80" s="348" t="s">
        <v>259</v>
      </c>
      <c r="C80" s="348" t="s">
        <v>253</v>
      </c>
      <c r="D80" s="108">
        <v>8</v>
      </c>
      <c r="E80" s="108">
        <v>2</v>
      </c>
      <c r="F80" s="108">
        <v>3</v>
      </c>
      <c r="G80" s="108">
        <v>3</v>
      </c>
      <c r="H80" s="108">
        <v>3</v>
      </c>
      <c r="I80" s="108">
        <v>6</v>
      </c>
      <c r="J80" s="108">
        <v>3</v>
      </c>
      <c r="K80" s="108">
        <v>1</v>
      </c>
      <c r="L80" s="108">
        <v>8</v>
      </c>
      <c r="M80" s="108">
        <v>4</v>
      </c>
      <c r="N80" s="108">
        <v>3</v>
      </c>
      <c r="O80" s="108">
        <v>2</v>
      </c>
      <c r="P80" s="108">
        <v>46</v>
      </c>
    </row>
    <row r="81" spans="1:16" x14ac:dyDescent="0.3">
      <c r="A81" s="280" t="s">
        <v>201</v>
      </c>
      <c r="B81" s="348" t="s">
        <v>276</v>
      </c>
      <c r="C81" s="348" t="s">
        <v>252</v>
      </c>
      <c r="D81" s="108">
        <v>58</v>
      </c>
      <c r="E81" s="108">
        <v>54</v>
      </c>
      <c r="F81" s="108">
        <v>41</v>
      </c>
      <c r="G81" s="108">
        <v>53</v>
      </c>
      <c r="H81" s="108">
        <v>43</v>
      </c>
      <c r="I81" s="108">
        <v>34</v>
      </c>
      <c r="J81" s="108">
        <v>54</v>
      </c>
      <c r="K81" s="108">
        <v>45</v>
      </c>
      <c r="L81" s="108">
        <v>57</v>
      </c>
      <c r="M81" s="108">
        <v>47</v>
      </c>
      <c r="N81" s="108">
        <v>27</v>
      </c>
      <c r="O81" s="108">
        <v>36</v>
      </c>
      <c r="P81" s="108">
        <v>549</v>
      </c>
    </row>
    <row r="82" spans="1:16" x14ac:dyDescent="0.3">
      <c r="A82" s="280" t="s">
        <v>203</v>
      </c>
      <c r="B82" s="348" t="s">
        <v>269</v>
      </c>
      <c r="C82" s="348" t="s">
        <v>252</v>
      </c>
      <c r="D82" s="108">
        <v>16</v>
      </c>
      <c r="E82" s="108">
        <v>12</v>
      </c>
      <c r="F82" s="108">
        <v>17</v>
      </c>
      <c r="G82" s="108">
        <v>18</v>
      </c>
      <c r="H82" s="108">
        <v>16</v>
      </c>
      <c r="I82" s="108">
        <v>10</v>
      </c>
      <c r="J82" s="108">
        <v>19</v>
      </c>
      <c r="K82" s="108">
        <v>13</v>
      </c>
      <c r="L82" s="108">
        <v>11</v>
      </c>
      <c r="M82" s="108">
        <v>11</v>
      </c>
      <c r="N82" s="108">
        <v>9</v>
      </c>
      <c r="O82" s="108">
        <v>11</v>
      </c>
      <c r="P82" s="108">
        <v>163</v>
      </c>
    </row>
    <row r="83" spans="1:16" x14ac:dyDescent="0.3">
      <c r="A83" s="280" t="s">
        <v>205</v>
      </c>
      <c r="B83" s="348" t="s">
        <v>270</v>
      </c>
      <c r="C83" s="348" t="s">
        <v>254</v>
      </c>
      <c r="D83" s="108">
        <v>58</v>
      </c>
      <c r="E83" s="108">
        <v>58</v>
      </c>
      <c r="F83" s="108">
        <v>58</v>
      </c>
      <c r="G83" s="108">
        <v>65</v>
      </c>
      <c r="H83" s="108">
        <v>41</v>
      </c>
      <c r="I83" s="108">
        <v>47</v>
      </c>
      <c r="J83" s="108">
        <v>50</v>
      </c>
      <c r="K83" s="108">
        <v>32</v>
      </c>
      <c r="L83" s="108">
        <v>75</v>
      </c>
      <c r="M83" s="108">
        <v>80</v>
      </c>
      <c r="N83" s="108">
        <v>30</v>
      </c>
      <c r="O83" s="108">
        <v>44</v>
      </c>
      <c r="P83" s="108">
        <v>638</v>
      </c>
    </row>
    <row r="84" spans="1:16" x14ac:dyDescent="0.3">
      <c r="A84" s="280" t="s">
        <v>207</v>
      </c>
      <c r="B84" s="348" t="s">
        <v>208</v>
      </c>
      <c r="C84" s="348" t="s">
        <v>255</v>
      </c>
      <c r="D84" s="108">
        <v>18</v>
      </c>
      <c r="E84" s="108">
        <v>14</v>
      </c>
      <c r="F84" s="108">
        <v>14</v>
      </c>
      <c r="G84" s="108">
        <v>7</v>
      </c>
      <c r="H84" s="108">
        <v>11</v>
      </c>
      <c r="I84" s="108">
        <v>5</v>
      </c>
      <c r="J84" s="108">
        <v>9</v>
      </c>
      <c r="K84" s="108">
        <v>7</v>
      </c>
      <c r="L84" s="108">
        <v>14</v>
      </c>
      <c r="M84" s="108">
        <v>5</v>
      </c>
      <c r="N84" s="108">
        <v>8</v>
      </c>
      <c r="O84" s="108">
        <v>9</v>
      </c>
      <c r="P84" s="108">
        <v>121</v>
      </c>
    </row>
    <row r="85" spans="1:16" x14ac:dyDescent="0.3">
      <c r="A85" s="280" t="s">
        <v>209</v>
      </c>
      <c r="B85" s="348" t="s">
        <v>210</v>
      </c>
      <c r="C85" s="348" t="s">
        <v>255</v>
      </c>
      <c r="D85" s="108">
        <v>15</v>
      </c>
      <c r="E85" s="108">
        <v>17</v>
      </c>
      <c r="F85" s="108">
        <v>14</v>
      </c>
      <c r="G85" s="108">
        <v>18</v>
      </c>
      <c r="H85" s="108">
        <v>16</v>
      </c>
      <c r="I85" s="108">
        <v>15</v>
      </c>
      <c r="J85" s="108">
        <v>15</v>
      </c>
      <c r="K85" s="108">
        <v>5</v>
      </c>
      <c r="L85" s="108">
        <v>16</v>
      </c>
      <c r="M85" s="108">
        <v>9</v>
      </c>
      <c r="N85" s="108">
        <v>9</v>
      </c>
      <c r="O85" s="108">
        <v>8</v>
      </c>
      <c r="P85" s="108">
        <v>157</v>
      </c>
    </row>
    <row r="86" spans="1:16" x14ac:dyDescent="0.3">
      <c r="A86" s="280" t="s">
        <v>211</v>
      </c>
      <c r="B86" s="348" t="s">
        <v>212</v>
      </c>
      <c r="C86" s="348" t="s">
        <v>254</v>
      </c>
      <c r="D86" s="108">
        <v>45</v>
      </c>
      <c r="E86" s="108">
        <v>54</v>
      </c>
      <c r="F86" s="108">
        <v>45</v>
      </c>
      <c r="G86" s="108">
        <v>39</v>
      </c>
      <c r="H86" s="108">
        <v>26</v>
      </c>
      <c r="I86" s="108">
        <v>28</v>
      </c>
      <c r="J86" s="108">
        <v>32</v>
      </c>
      <c r="K86" s="108">
        <v>19</v>
      </c>
      <c r="L86" s="108">
        <v>35</v>
      </c>
      <c r="M86" s="108">
        <v>30</v>
      </c>
      <c r="N86" s="108">
        <v>19</v>
      </c>
      <c r="O86" s="108">
        <v>22</v>
      </c>
      <c r="P86" s="108">
        <v>394</v>
      </c>
    </row>
    <row r="87" spans="1:16" x14ac:dyDescent="0.3">
      <c r="A87" s="280" t="s">
        <v>213</v>
      </c>
      <c r="B87" s="348" t="s">
        <v>214</v>
      </c>
      <c r="C87" s="348" t="s">
        <v>255</v>
      </c>
      <c r="D87" s="108">
        <v>28</v>
      </c>
      <c r="E87" s="108">
        <v>33</v>
      </c>
      <c r="F87" s="108">
        <v>16</v>
      </c>
      <c r="G87" s="108">
        <v>30</v>
      </c>
      <c r="H87" s="108">
        <v>13</v>
      </c>
      <c r="I87" s="108">
        <v>13</v>
      </c>
      <c r="J87" s="108">
        <v>14</v>
      </c>
      <c r="K87" s="108">
        <v>15</v>
      </c>
      <c r="L87" s="108">
        <v>17</v>
      </c>
      <c r="M87" s="108">
        <v>24</v>
      </c>
      <c r="N87" s="108">
        <v>13</v>
      </c>
      <c r="O87" s="108">
        <v>16</v>
      </c>
      <c r="P87" s="108">
        <v>232</v>
      </c>
    </row>
    <row r="88" spans="1:16" x14ac:dyDescent="0.3">
      <c r="A88" s="280" t="s">
        <v>215</v>
      </c>
      <c r="B88" s="348" t="s">
        <v>216</v>
      </c>
      <c r="C88" s="348" t="s">
        <v>251</v>
      </c>
      <c r="D88" s="108">
        <v>12</v>
      </c>
      <c r="E88" s="108">
        <v>13</v>
      </c>
      <c r="F88" s="108">
        <v>13</v>
      </c>
      <c r="G88" s="108">
        <v>10</v>
      </c>
      <c r="H88" s="108">
        <v>13</v>
      </c>
      <c r="I88" s="108">
        <v>9</v>
      </c>
      <c r="J88" s="108">
        <v>18</v>
      </c>
      <c r="K88" s="108">
        <v>12</v>
      </c>
      <c r="L88" s="108">
        <v>10</v>
      </c>
      <c r="M88" s="108">
        <v>8</v>
      </c>
      <c r="N88" s="108">
        <v>7</v>
      </c>
      <c r="O88" s="108">
        <v>10</v>
      </c>
      <c r="P88" s="108">
        <v>135</v>
      </c>
    </row>
    <row r="89" spans="1:16" x14ac:dyDescent="0.3">
      <c r="A89" s="280" t="s">
        <v>217</v>
      </c>
      <c r="B89" s="348" t="s">
        <v>218</v>
      </c>
      <c r="C89" s="348" t="s">
        <v>254</v>
      </c>
      <c r="D89" s="108">
        <v>78</v>
      </c>
      <c r="E89" s="108">
        <v>92</v>
      </c>
      <c r="F89" s="108">
        <v>73</v>
      </c>
      <c r="G89" s="108">
        <v>103</v>
      </c>
      <c r="H89" s="108">
        <v>68</v>
      </c>
      <c r="I89" s="108">
        <v>62</v>
      </c>
      <c r="J89" s="108">
        <v>85</v>
      </c>
      <c r="K89" s="108">
        <v>69</v>
      </c>
      <c r="L89" s="108">
        <v>100</v>
      </c>
      <c r="M89" s="108">
        <v>101</v>
      </c>
      <c r="N89" s="108">
        <v>61</v>
      </c>
      <c r="O89" s="108">
        <v>64</v>
      </c>
      <c r="P89" s="108">
        <v>956</v>
      </c>
    </row>
    <row r="90" spans="1:16" x14ac:dyDescent="0.3">
      <c r="A90" s="280" t="s">
        <v>219</v>
      </c>
      <c r="B90" s="348" t="s">
        <v>220</v>
      </c>
      <c r="C90" s="348" t="s">
        <v>254</v>
      </c>
      <c r="D90" s="108">
        <v>82</v>
      </c>
      <c r="E90" s="108">
        <v>82</v>
      </c>
      <c r="F90" s="108">
        <v>79</v>
      </c>
      <c r="G90" s="108">
        <v>81</v>
      </c>
      <c r="H90" s="108">
        <v>79</v>
      </c>
      <c r="I90" s="108">
        <v>53</v>
      </c>
      <c r="J90" s="108">
        <v>58</v>
      </c>
      <c r="K90" s="108">
        <v>65</v>
      </c>
      <c r="L90" s="108">
        <v>91</v>
      </c>
      <c r="M90" s="108">
        <v>84</v>
      </c>
      <c r="N90" s="108">
        <v>44</v>
      </c>
      <c r="O90" s="108">
        <v>65</v>
      </c>
      <c r="P90" s="108">
        <v>863</v>
      </c>
    </row>
    <row r="91" spans="1:16" x14ac:dyDescent="0.3">
      <c r="A91" s="280" t="s">
        <v>223</v>
      </c>
      <c r="B91" s="348" t="s">
        <v>224</v>
      </c>
      <c r="C91" s="348" t="s">
        <v>251</v>
      </c>
      <c r="D91" s="108">
        <v>2</v>
      </c>
      <c r="E91" s="108">
        <v>4</v>
      </c>
      <c r="F91" s="108">
        <v>1</v>
      </c>
      <c r="G91" s="108">
        <v>1</v>
      </c>
      <c r="H91" s="108">
        <v>3</v>
      </c>
      <c r="I91" s="108">
        <v>2</v>
      </c>
      <c r="J91" s="108">
        <v>1</v>
      </c>
      <c r="K91" s="108">
        <v>3</v>
      </c>
      <c r="L91" s="108">
        <v>1</v>
      </c>
      <c r="M91" s="108">
        <v>3</v>
      </c>
      <c r="N91" s="108">
        <v>1</v>
      </c>
      <c r="O91" s="108">
        <v>2</v>
      </c>
      <c r="P91" s="108">
        <v>24</v>
      </c>
    </row>
    <row r="92" spans="1:16" x14ac:dyDescent="0.3">
      <c r="A92" s="280" t="s">
        <v>225</v>
      </c>
      <c r="B92" s="348" t="s">
        <v>226</v>
      </c>
      <c r="C92" s="348" t="s">
        <v>251</v>
      </c>
      <c r="D92" s="108">
        <v>8</v>
      </c>
      <c r="E92" s="108">
        <v>13</v>
      </c>
      <c r="F92" s="108">
        <v>16</v>
      </c>
      <c r="G92" s="108">
        <v>12</v>
      </c>
      <c r="H92" s="108">
        <v>10</v>
      </c>
      <c r="I92" s="108">
        <v>11</v>
      </c>
      <c r="J92" s="108">
        <v>10</v>
      </c>
      <c r="K92" s="108"/>
      <c r="L92" s="108">
        <v>8</v>
      </c>
      <c r="M92" s="108">
        <v>6</v>
      </c>
      <c r="N92" s="108">
        <v>4</v>
      </c>
      <c r="O92" s="108">
        <v>3</v>
      </c>
      <c r="P92" s="108">
        <v>101</v>
      </c>
    </row>
    <row r="93" spans="1:16" x14ac:dyDescent="0.3">
      <c r="A93" s="280" t="s">
        <v>227</v>
      </c>
      <c r="B93" s="348" t="s">
        <v>228</v>
      </c>
      <c r="C93" s="348" t="s">
        <v>255</v>
      </c>
      <c r="D93" s="108">
        <v>20</v>
      </c>
      <c r="E93" s="108">
        <v>25</v>
      </c>
      <c r="F93" s="108">
        <v>43</v>
      </c>
      <c r="G93" s="108">
        <v>31</v>
      </c>
      <c r="H93" s="108">
        <v>21</v>
      </c>
      <c r="I93" s="108">
        <v>21</v>
      </c>
      <c r="J93" s="108">
        <v>20</v>
      </c>
      <c r="K93" s="108">
        <v>22</v>
      </c>
      <c r="L93" s="108">
        <v>35</v>
      </c>
      <c r="M93" s="108">
        <v>26</v>
      </c>
      <c r="N93" s="108">
        <v>18</v>
      </c>
      <c r="O93" s="108">
        <v>20</v>
      </c>
      <c r="P93" s="108">
        <v>302</v>
      </c>
    </row>
    <row r="94" spans="1:16" x14ac:dyDescent="0.3">
      <c r="A94" s="280" t="s">
        <v>231</v>
      </c>
      <c r="B94" s="348" t="s">
        <v>232</v>
      </c>
      <c r="C94" s="348" t="s">
        <v>254</v>
      </c>
      <c r="D94" s="108">
        <v>28</v>
      </c>
      <c r="E94" s="108">
        <v>27</v>
      </c>
      <c r="F94" s="108">
        <v>22</v>
      </c>
      <c r="G94" s="108">
        <v>19</v>
      </c>
      <c r="H94" s="108">
        <v>23</v>
      </c>
      <c r="I94" s="108">
        <v>24</v>
      </c>
      <c r="J94" s="108">
        <v>25</v>
      </c>
      <c r="K94" s="108">
        <v>20</v>
      </c>
      <c r="L94" s="108">
        <v>32</v>
      </c>
      <c r="M94" s="108">
        <v>18</v>
      </c>
      <c r="N94" s="108">
        <v>10</v>
      </c>
      <c r="O94" s="108">
        <v>20</v>
      </c>
      <c r="P94" s="108">
        <v>268</v>
      </c>
    </row>
    <row r="95" spans="1:16" x14ac:dyDescent="0.3">
      <c r="A95" s="280" t="s">
        <v>233</v>
      </c>
      <c r="B95" s="348" t="s">
        <v>234</v>
      </c>
      <c r="C95" s="348" t="s">
        <v>255</v>
      </c>
      <c r="D95" s="108">
        <v>42</v>
      </c>
      <c r="E95" s="108">
        <v>38</v>
      </c>
      <c r="F95" s="108">
        <v>31</v>
      </c>
      <c r="G95" s="108">
        <v>22</v>
      </c>
      <c r="H95" s="108">
        <v>34</v>
      </c>
      <c r="I95" s="108">
        <v>25</v>
      </c>
      <c r="J95" s="108">
        <v>37</v>
      </c>
      <c r="K95" s="108">
        <v>15</v>
      </c>
      <c r="L95" s="108">
        <v>36</v>
      </c>
      <c r="M95" s="108">
        <v>31</v>
      </c>
      <c r="N95" s="108">
        <v>20</v>
      </c>
      <c r="O95" s="108">
        <v>21</v>
      </c>
      <c r="P95" s="108">
        <v>352</v>
      </c>
    </row>
    <row r="96" spans="1:16" x14ac:dyDescent="0.3">
      <c r="A96" s="280" t="s">
        <v>235</v>
      </c>
      <c r="B96" s="348" t="s">
        <v>236</v>
      </c>
      <c r="C96" s="348" t="s">
        <v>253</v>
      </c>
      <c r="D96" s="108">
        <v>12</v>
      </c>
      <c r="E96" s="108">
        <v>15</v>
      </c>
      <c r="F96" s="108">
        <v>15</v>
      </c>
      <c r="G96" s="108">
        <v>15</v>
      </c>
      <c r="H96" s="108">
        <v>9</v>
      </c>
      <c r="I96" s="108">
        <v>13</v>
      </c>
      <c r="J96" s="108">
        <v>10</v>
      </c>
      <c r="K96" s="108">
        <v>7</v>
      </c>
      <c r="L96" s="108">
        <v>24</v>
      </c>
      <c r="M96" s="108">
        <v>8</v>
      </c>
      <c r="N96" s="108">
        <v>8</v>
      </c>
      <c r="O96" s="108">
        <v>9</v>
      </c>
      <c r="P96" s="108">
        <v>145</v>
      </c>
    </row>
    <row r="97" spans="1:16" x14ac:dyDescent="0.3">
      <c r="A97" s="280" t="s">
        <v>241</v>
      </c>
      <c r="B97" s="348" t="s">
        <v>242</v>
      </c>
      <c r="C97" s="348" t="s">
        <v>255</v>
      </c>
      <c r="D97" s="108">
        <v>35</v>
      </c>
      <c r="E97" s="108">
        <v>44</v>
      </c>
      <c r="F97" s="108">
        <v>28</v>
      </c>
      <c r="G97" s="108">
        <v>24</v>
      </c>
      <c r="H97" s="108">
        <v>23</v>
      </c>
      <c r="I97" s="108">
        <v>21</v>
      </c>
      <c r="J97" s="108">
        <v>45</v>
      </c>
      <c r="K97" s="108">
        <v>18</v>
      </c>
      <c r="L97" s="108">
        <v>22</v>
      </c>
      <c r="M97" s="108">
        <v>15</v>
      </c>
      <c r="N97" s="108">
        <v>9</v>
      </c>
      <c r="O97" s="108">
        <v>20</v>
      </c>
      <c r="P97" s="108">
        <v>304</v>
      </c>
    </row>
    <row r="98" spans="1:16" x14ac:dyDescent="0.3">
      <c r="A98" s="280" t="s">
        <v>243</v>
      </c>
      <c r="B98" s="348" t="s">
        <v>244</v>
      </c>
      <c r="C98" s="348" t="s">
        <v>255</v>
      </c>
      <c r="D98" s="108">
        <v>27</v>
      </c>
      <c r="E98" s="108">
        <v>23</v>
      </c>
      <c r="F98" s="108">
        <v>10</v>
      </c>
      <c r="G98" s="108">
        <v>22</v>
      </c>
      <c r="H98" s="108">
        <v>18</v>
      </c>
      <c r="I98" s="108">
        <v>22</v>
      </c>
      <c r="J98" s="108">
        <v>19</v>
      </c>
      <c r="K98" s="108">
        <v>11</v>
      </c>
      <c r="L98" s="108">
        <v>24</v>
      </c>
      <c r="M98" s="108">
        <v>21</v>
      </c>
      <c r="N98" s="108">
        <v>11</v>
      </c>
      <c r="O98" s="108">
        <v>9</v>
      </c>
      <c r="P98" s="108">
        <v>217</v>
      </c>
    </row>
    <row r="99" spans="1:16" x14ac:dyDescent="0.3">
      <c r="A99" s="280" t="s">
        <v>245</v>
      </c>
      <c r="B99" s="348" t="s">
        <v>246</v>
      </c>
      <c r="C99" s="348" t="s">
        <v>251</v>
      </c>
      <c r="D99" s="108">
        <v>23</v>
      </c>
      <c r="E99" s="108">
        <v>21</v>
      </c>
      <c r="F99" s="108">
        <v>30</v>
      </c>
      <c r="G99" s="108">
        <v>28</v>
      </c>
      <c r="H99" s="108">
        <v>17</v>
      </c>
      <c r="I99" s="108">
        <v>20</v>
      </c>
      <c r="J99" s="108">
        <v>24</v>
      </c>
      <c r="K99" s="108">
        <v>23</v>
      </c>
      <c r="L99" s="108">
        <v>34</v>
      </c>
      <c r="M99" s="108">
        <v>38</v>
      </c>
      <c r="N99" s="108">
        <v>22</v>
      </c>
      <c r="O99" s="108">
        <v>26</v>
      </c>
      <c r="P99" s="108">
        <v>306</v>
      </c>
    </row>
    <row r="100" spans="1:16" x14ac:dyDescent="0.3">
      <c r="A100" s="280" t="s">
        <v>13</v>
      </c>
      <c r="B100" s="348" t="s">
        <v>14</v>
      </c>
      <c r="C100" s="348" t="s">
        <v>254</v>
      </c>
      <c r="D100" s="108">
        <v>71</v>
      </c>
      <c r="E100" s="108">
        <v>61</v>
      </c>
      <c r="F100" s="108">
        <v>68</v>
      </c>
      <c r="G100" s="108">
        <v>68</v>
      </c>
      <c r="H100" s="108">
        <v>60</v>
      </c>
      <c r="I100" s="108">
        <v>63</v>
      </c>
      <c r="J100" s="108">
        <v>61</v>
      </c>
      <c r="K100" s="108">
        <v>38</v>
      </c>
      <c r="L100" s="108">
        <v>147</v>
      </c>
      <c r="M100" s="108">
        <v>173</v>
      </c>
      <c r="N100" s="108">
        <v>81</v>
      </c>
      <c r="O100" s="108">
        <v>66</v>
      </c>
      <c r="P100" s="108">
        <v>957</v>
      </c>
    </row>
    <row r="101" spans="1:16" x14ac:dyDescent="0.3">
      <c r="A101" s="280" t="s">
        <v>33</v>
      </c>
      <c r="B101" s="348" t="s">
        <v>34</v>
      </c>
      <c r="C101" s="348" t="s">
        <v>255</v>
      </c>
      <c r="D101" s="108">
        <v>26</v>
      </c>
      <c r="E101" s="108">
        <v>28</v>
      </c>
      <c r="F101" s="108">
        <v>33</v>
      </c>
      <c r="G101" s="108">
        <v>29</v>
      </c>
      <c r="H101" s="108">
        <v>26</v>
      </c>
      <c r="I101" s="108">
        <v>17</v>
      </c>
      <c r="J101" s="108">
        <v>23</v>
      </c>
      <c r="K101" s="108">
        <v>16</v>
      </c>
      <c r="L101" s="108">
        <v>37</v>
      </c>
      <c r="M101" s="108">
        <v>23</v>
      </c>
      <c r="N101" s="108">
        <v>22</v>
      </c>
      <c r="O101" s="108">
        <v>27</v>
      </c>
      <c r="P101" s="108">
        <v>307</v>
      </c>
    </row>
    <row r="102" spans="1:16" x14ac:dyDescent="0.3">
      <c r="A102" s="280" t="s">
        <v>51</v>
      </c>
      <c r="B102" s="348" t="s">
        <v>52</v>
      </c>
      <c r="C102" s="348" t="s">
        <v>252</v>
      </c>
      <c r="D102" s="108">
        <v>39</v>
      </c>
      <c r="E102" s="108">
        <v>35</v>
      </c>
      <c r="F102" s="108">
        <v>29</v>
      </c>
      <c r="G102" s="108">
        <v>38</v>
      </c>
      <c r="H102" s="108">
        <v>27</v>
      </c>
      <c r="I102" s="108">
        <v>30</v>
      </c>
      <c r="J102" s="108">
        <v>27</v>
      </c>
      <c r="K102" s="108">
        <v>16</v>
      </c>
      <c r="L102" s="108">
        <v>45</v>
      </c>
      <c r="M102" s="108">
        <v>54</v>
      </c>
      <c r="N102" s="108">
        <v>32</v>
      </c>
      <c r="O102" s="108">
        <v>32</v>
      </c>
      <c r="P102" s="108">
        <v>404</v>
      </c>
    </row>
    <row r="103" spans="1:16" x14ac:dyDescent="0.3">
      <c r="A103" s="280" t="s">
        <v>53</v>
      </c>
      <c r="B103" s="348" t="s">
        <v>54</v>
      </c>
      <c r="C103" s="348" t="s">
        <v>251</v>
      </c>
      <c r="D103" s="108">
        <v>194</v>
      </c>
      <c r="E103" s="108">
        <v>129</v>
      </c>
      <c r="F103" s="108">
        <v>145</v>
      </c>
      <c r="G103" s="108">
        <v>124</v>
      </c>
      <c r="H103" s="108">
        <v>120</v>
      </c>
      <c r="I103" s="108">
        <v>112</v>
      </c>
      <c r="J103" s="108">
        <v>144</v>
      </c>
      <c r="K103" s="108">
        <v>109</v>
      </c>
      <c r="L103" s="108">
        <v>180</v>
      </c>
      <c r="M103" s="108">
        <v>176</v>
      </c>
      <c r="N103" s="108">
        <v>99</v>
      </c>
      <c r="O103" s="108">
        <v>100</v>
      </c>
      <c r="P103" s="108">
        <v>1632</v>
      </c>
    </row>
    <row r="104" spans="1:16" x14ac:dyDescent="0.3">
      <c r="A104" s="280" t="s">
        <v>65</v>
      </c>
      <c r="B104" s="348" t="s">
        <v>66</v>
      </c>
      <c r="C104" s="348" t="s">
        <v>252</v>
      </c>
      <c r="D104" s="108">
        <v>39</v>
      </c>
      <c r="E104" s="108">
        <v>57</v>
      </c>
      <c r="F104" s="108">
        <v>48</v>
      </c>
      <c r="G104" s="108">
        <v>44</v>
      </c>
      <c r="H104" s="108">
        <v>45</v>
      </c>
      <c r="I104" s="108">
        <v>43</v>
      </c>
      <c r="J104" s="108">
        <v>38</v>
      </c>
      <c r="K104" s="108">
        <v>26</v>
      </c>
      <c r="L104" s="108">
        <v>23</v>
      </c>
      <c r="M104" s="108">
        <v>26</v>
      </c>
      <c r="N104" s="108">
        <v>26</v>
      </c>
      <c r="O104" s="108">
        <v>19</v>
      </c>
      <c r="P104" s="108">
        <v>434</v>
      </c>
    </row>
    <row r="105" spans="1:16" x14ac:dyDescent="0.3">
      <c r="A105" s="280" t="s">
        <v>81</v>
      </c>
      <c r="B105" s="348" t="s">
        <v>82</v>
      </c>
      <c r="C105" s="348" t="s">
        <v>251</v>
      </c>
      <c r="D105" s="108">
        <v>17</v>
      </c>
      <c r="E105" s="108">
        <v>13</v>
      </c>
      <c r="F105" s="108">
        <v>9</v>
      </c>
      <c r="G105" s="108">
        <v>11</v>
      </c>
      <c r="H105" s="108">
        <v>12</v>
      </c>
      <c r="I105" s="108">
        <v>16</v>
      </c>
      <c r="J105" s="108">
        <v>7</v>
      </c>
      <c r="K105" s="108">
        <v>5</v>
      </c>
      <c r="L105" s="108">
        <v>6</v>
      </c>
      <c r="M105" s="108">
        <v>9</v>
      </c>
      <c r="N105" s="108">
        <v>7</v>
      </c>
      <c r="O105" s="108">
        <v>7</v>
      </c>
      <c r="P105" s="108">
        <v>119</v>
      </c>
    </row>
    <row r="106" spans="1:16" x14ac:dyDescent="0.3">
      <c r="A106" s="280" t="s">
        <v>87</v>
      </c>
      <c r="B106" s="348" t="s">
        <v>88</v>
      </c>
      <c r="C106" s="348" t="s">
        <v>254</v>
      </c>
      <c r="D106" s="108">
        <v>36</v>
      </c>
      <c r="E106" s="108">
        <v>32</v>
      </c>
      <c r="F106" s="108">
        <v>29</v>
      </c>
      <c r="G106" s="108">
        <v>42</v>
      </c>
      <c r="H106" s="108">
        <v>30</v>
      </c>
      <c r="I106" s="108">
        <v>31</v>
      </c>
      <c r="J106" s="108">
        <v>29</v>
      </c>
      <c r="K106" s="108">
        <v>19</v>
      </c>
      <c r="L106" s="108">
        <v>34</v>
      </c>
      <c r="M106" s="108">
        <v>36</v>
      </c>
      <c r="N106" s="108">
        <v>13</v>
      </c>
      <c r="O106" s="108">
        <v>13</v>
      </c>
      <c r="P106" s="108">
        <v>344</v>
      </c>
    </row>
    <row r="107" spans="1:16" x14ac:dyDescent="0.3">
      <c r="A107" s="280" t="s">
        <v>89</v>
      </c>
      <c r="B107" s="348" t="s">
        <v>90</v>
      </c>
      <c r="C107" s="348" t="s">
        <v>255</v>
      </c>
      <c r="D107" s="108">
        <v>7</v>
      </c>
      <c r="E107" s="108">
        <v>7</v>
      </c>
      <c r="F107" s="108">
        <v>1</v>
      </c>
      <c r="G107" s="108">
        <v>3</v>
      </c>
      <c r="H107" s="108">
        <v>4</v>
      </c>
      <c r="I107" s="108">
        <v>3</v>
      </c>
      <c r="J107" s="108"/>
      <c r="K107" s="108"/>
      <c r="L107" s="108">
        <v>6</v>
      </c>
      <c r="M107" s="108">
        <v>3</v>
      </c>
      <c r="N107" s="108">
        <v>2</v>
      </c>
      <c r="O107" s="108">
        <v>2</v>
      </c>
      <c r="P107" s="108">
        <v>38</v>
      </c>
    </row>
    <row r="108" spans="1:16" x14ac:dyDescent="0.3">
      <c r="A108" s="280" t="s">
        <v>105</v>
      </c>
      <c r="B108" s="348" t="s">
        <v>106</v>
      </c>
      <c r="C108" s="348" t="s">
        <v>251</v>
      </c>
      <c r="D108" s="108">
        <v>155</v>
      </c>
      <c r="E108" s="108">
        <v>155</v>
      </c>
      <c r="F108" s="108">
        <v>124</v>
      </c>
      <c r="G108" s="108">
        <v>141</v>
      </c>
      <c r="H108" s="108">
        <v>101</v>
      </c>
      <c r="I108" s="108">
        <v>125</v>
      </c>
      <c r="J108" s="108">
        <v>132</v>
      </c>
      <c r="K108" s="108">
        <v>93</v>
      </c>
      <c r="L108" s="108">
        <v>155</v>
      </c>
      <c r="M108" s="108">
        <v>146</v>
      </c>
      <c r="N108" s="108">
        <v>85</v>
      </c>
      <c r="O108" s="108">
        <v>97</v>
      </c>
      <c r="P108" s="108">
        <v>1509</v>
      </c>
    </row>
    <row r="109" spans="1:16" x14ac:dyDescent="0.3">
      <c r="A109" s="280" t="s">
        <v>115</v>
      </c>
      <c r="B109" s="348" t="s">
        <v>116</v>
      </c>
      <c r="C109" s="348" t="s">
        <v>253</v>
      </c>
      <c r="D109" s="108">
        <v>36</v>
      </c>
      <c r="E109" s="108">
        <v>29</v>
      </c>
      <c r="F109" s="108">
        <v>31</v>
      </c>
      <c r="G109" s="108">
        <v>20</v>
      </c>
      <c r="H109" s="108">
        <v>16</v>
      </c>
      <c r="I109" s="108">
        <v>24</v>
      </c>
      <c r="J109" s="108">
        <v>19</v>
      </c>
      <c r="K109" s="108">
        <v>25</v>
      </c>
      <c r="L109" s="108">
        <v>32</v>
      </c>
      <c r="M109" s="108">
        <v>13</v>
      </c>
      <c r="N109" s="108">
        <v>11</v>
      </c>
      <c r="O109" s="108">
        <v>16</v>
      </c>
      <c r="P109" s="108">
        <v>272</v>
      </c>
    </row>
    <row r="110" spans="1:16" x14ac:dyDescent="0.3">
      <c r="A110" s="280" t="s">
        <v>137</v>
      </c>
      <c r="B110" s="348" t="s">
        <v>138</v>
      </c>
      <c r="C110" s="348" t="s">
        <v>252</v>
      </c>
      <c r="D110" s="108">
        <v>90</v>
      </c>
      <c r="E110" s="108">
        <v>59</v>
      </c>
      <c r="F110" s="108">
        <v>66</v>
      </c>
      <c r="G110" s="108">
        <v>86</v>
      </c>
      <c r="H110" s="108">
        <v>71</v>
      </c>
      <c r="I110" s="108">
        <v>54</v>
      </c>
      <c r="J110" s="108">
        <v>60</v>
      </c>
      <c r="K110" s="108">
        <v>40</v>
      </c>
      <c r="L110" s="108">
        <v>51</v>
      </c>
      <c r="M110" s="108">
        <v>49</v>
      </c>
      <c r="N110" s="108">
        <v>25</v>
      </c>
      <c r="O110" s="108">
        <v>48</v>
      </c>
      <c r="P110" s="108">
        <v>699</v>
      </c>
    </row>
    <row r="111" spans="1:16" x14ac:dyDescent="0.3">
      <c r="A111" s="280" t="s">
        <v>141</v>
      </c>
      <c r="B111" s="348" t="s">
        <v>142</v>
      </c>
      <c r="C111" s="348" t="s">
        <v>254</v>
      </c>
      <c r="D111" s="108">
        <v>14</v>
      </c>
      <c r="E111" s="108">
        <v>20</v>
      </c>
      <c r="F111" s="108">
        <v>21</v>
      </c>
      <c r="G111" s="108">
        <v>16</v>
      </c>
      <c r="H111" s="108">
        <v>9</v>
      </c>
      <c r="I111" s="108">
        <v>9</v>
      </c>
      <c r="J111" s="108">
        <v>24</v>
      </c>
      <c r="K111" s="108">
        <v>13</v>
      </c>
      <c r="L111" s="108">
        <v>27</v>
      </c>
      <c r="M111" s="108">
        <v>33</v>
      </c>
      <c r="N111" s="108">
        <v>17</v>
      </c>
      <c r="O111" s="108">
        <v>23</v>
      </c>
      <c r="P111" s="108">
        <v>226</v>
      </c>
    </row>
    <row r="112" spans="1:16" x14ac:dyDescent="0.3">
      <c r="A112" s="280" t="s">
        <v>143</v>
      </c>
      <c r="B112" s="348" t="s">
        <v>144</v>
      </c>
      <c r="C112" s="348" t="s">
        <v>254</v>
      </c>
      <c r="D112" s="108">
        <v>3</v>
      </c>
      <c r="E112" s="108">
        <v>7</v>
      </c>
      <c r="F112" s="108">
        <v>3</v>
      </c>
      <c r="G112" s="108">
        <v>5</v>
      </c>
      <c r="H112" s="108">
        <v>6</v>
      </c>
      <c r="I112" s="108">
        <v>8</v>
      </c>
      <c r="J112" s="108">
        <v>1</v>
      </c>
      <c r="K112" s="108">
        <v>3</v>
      </c>
      <c r="L112" s="108">
        <v>10</v>
      </c>
      <c r="M112" s="108">
        <v>9</v>
      </c>
      <c r="N112" s="108">
        <v>8</v>
      </c>
      <c r="O112" s="108">
        <v>3</v>
      </c>
      <c r="P112" s="108">
        <v>66</v>
      </c>
    </row>
    <row r="113" spans="1:16" x14ac:dyDescent="0.3">
      <c r="A113" s="280" t="s">
        <v>157</v>
      </c>
      <c r="B113" s="348" t="s">
        <v>158</v>
      </c>
      <c r="C113" s="348" t="s">
        <v>251</v>
      </c>
      <c r="D113" s="108">
        <v>310</v>
      </c>
      <c r="E113" s="108">
        <v>284</v>
      </c>
      <c r="F113" s="108">
        <v>279</v>
      </c>
      <c r="G113" s="108">
        <v>271</v>
      </c>
      <c r="H113" s="108">
        <v>191</v>
      </c>
      <c r="I113" s="108">
        <v>233</v>
      </c>
      <c r="J113" s="108">
        <v>246</v>
      </c>
      <c r="K113" s="108">
        <v>155</v>
      </c>
      <c r="L113" s="108">
        <v>242</v>
      </c>
      <c r="M113" s="108">
        <v>212</v>
      </c>
      <c r="N113" s="108">
        <v>138</v>
      </c>
      <c r="O113" s="108">
        <v>134</v>
      </c>
      <c r="P113" s="108">
        <v>2695</v>
      </c>
    </row>
    <row r="114" spans="1:16" x14ac:dyDescent="0.3">
      <c r="A114" s="280" t="s">
        <v>159</v>
      </c>
      <c r="B114" s="348" t="s">
        <v>160</v>
      </c>
      <c r="C114" s="348" t="s">
        <v>251</v>
      </c>
      <c r="D114" s="108">
        <v>275</v>
      </c>
      <c r="E114" s="108">
        <v>270</v>
      </c>
      <c r="F114" s="108">
        <v>233</v>
      </c>
      <c r="G114" s="108">
        <v>255</v>
      </c>
      <c r="H114" s="108">
        <v>228</v>
      </c>
      <c r="I114" s="108">
        <v>184</v>
      </c>
      <c r="J114" s="108">
        <v>246</v>
      </c>
      <c r="K114" s="108">
        <v>165</v>
      </c>
      <c r="L114" s="108">
        <v>238</v>
      </c>
      <c r="M114" s="108">
        <v>228</v>
      </c>
      <c r="N114" s="108">
        <v>180</v>
      </c>
      <c r="O114" s="108">
        <v>164</v>
      </c>
      <c r="P114" s="108">
        <v>2666</v>
      </c>
    </row>
    <row r="115" spans="1:16" x14ac:dyDescent="0.3">
      <c r="A115" s="280" t="s">
        <v>165</v>
      </c>
      <c r="B115" s="348" t="s">
        <v>166</v>
      </c>
      <c r="C115" s="348" t="s">
        <v>255</v>
      </c>
      <c r="D115" s="108">
        <v>5</v>
      </c>
      <c r="E115" s="108">
        <v>4</v>
      </c>
      <c r="F115" s="108">
        <v>3</v>
      </c>
      <c r="G115" s="108">
        <v>3</v>
      </c>
      <c r="H115" s="108">
        <v>3</v>
      </c>
      <c r="I115" s="108">
        <v>4</v>
      </c>
      <c r="J115" s="108">
        <v>1</v>
      </c>
      <c r="K115" s="108">
        <v>2</v>
      </c>
      <c r="L115" s="108">
        <v>4</v>
      </c>
      <c r="M115" s="108">
        <v>3</v>
      </c>
      <c r="N115" s="108">
        <v>3</v>
      </c>
      <c r="O115" s="108">
        <v>2</v>
      </c>
      <c r="P115" s="108">
        <v>37</v>
      </c>
    </row>
    <row r="116" spans="1:16" x14ac:dyDescent="0.3">
      <c r="A116" s="280" t="s">
        <v>175</v>
      </c>
      <c r="B116" s="348" t="s">
        <v>176</v>
      </c>
      <c r="C116" s="348" t="s">
        <v>253</v>
      </c>
      <c r="D116" s="108">
        <v>67</v>
      </c>
      <c r="E116" s="108">
        <v>64</v>
      </c>
      <c r="F116" s="108">
        <v>79</v>
      </c>
      <c r="G116" s="108">
        <v>66</v>
      </c>
      <c r="H116" s="108">
        <v>49</v>
      </c>
      <c r="I116" s="108">
        <v>51</v>
      </c>
      <c r="J116" s="108">
        <v>60</v>
      </c>
      <c r="K116" s="108">
        <v>43</v>
      </c>
      <c r="L116" s="108">
        <v>38</v>
      </c>
      <c r="M116" s="108">
        <v>32</v>
      </c>
      <c r="N116" s="108">
        <v>42</v>
      </c>
      <c r="O116" s="108">
        <v>45</v>
      </c>
      <c r="P116" s="108">
        <v>636</v>
      </c>
    </row>
    <row r="117" spans="1:16" x14ac:dyDescent="0.3">
      <c r="A117" s="280" t="s">
        <v>179</v>
      </c>
      <c r="B117" s="348" t="s">
        <v>180</v>
      </c>
      <c r="C117" s="348" t="s">
        <v>251</v>
      </c>
      <c r="D117" s="108">
        <v>118</v>
      </c>
      <c r="E117" s="108">
        <v>112</v>
      </c>
      <c r="F117" s="108">
        <v>104</v>
      </c>
      <c r="G117" s="108">
        <v>121</v>
      </c>
      <c r="H117" s="108">
        <v>97</v>
      </c>
      <c r="I117" s="108">
        <v>86</v>
      </c>
      <c r="J117" s="108">
        <v>127</v>
      </c>
      <c r="K117" s="108">
        <v>71</v>
      </c>
      <c r="L117" s="108">
        <v>87</v>
      </c>
      <c r="M117" s="108">
        <v>93</v>
      </c>
      <c r="N117" s="108">
        <v>82</v>
      </c>
      <c r="O117" s="108">
        <v>55</v>
      </c>
      <c r="P117" s="108">
        <v>1153</v>
      </c>
    </row>
    <row r="118" spans="1:16" x14ac:dyDescent="0.3">
      <c r="A118" s="280" t="s">
        <v>191</v>
      </c>
      <c r="B118" s="348" t="s">
        <v>192</v>
      </c>
      <c r="C118" s="348" t="s">
        <v>255</v>
      </c>
      <c r="D118" s="108">
        <v>4</v>
      </c>
      <c r="E118" s="108">
        <v>8</v>
      </c>
      <c r="F118" s="108">
        <v>11</v>
      </c>
      <c r="G118" s="108">
        <v>11</v>
      </c>
      <c r="H118" s="108">
        <v>10</v>
      </c>
      <c r="I118" s="108">
        <v>8</v>
      </c>
      <c r="J118" s="108">
        <v>15</v>
      </c>
      <c r="K118" s="108">
        <v>4</v>
      </c>
      <c r="L118" s="108">
        <v>9</v>
      </c>
      <c r="M118" s="108">
        <v>7</v>
      </c>
      <c r="N118" s="108">
        <v>2</v>
      </c>
      <c r="O118" s="108">
        <v>9</v>
      </c>
      <c r="P118" s="108">
        <v>98</v>
      </c>
    </row>
    <row r="119" spans="1:16" x14ac:dyDescent="0.3">
      <c r="A119" s="280" t="s">
        <v>195</v>
      </c>
      <c r="B119" s="348" t="s">
        <v>196</v>
      </c>
      <c r="C119" s="348" t="s">
        <v>253</v>
      </c>
      <c r="D119" s="108">
        <v>299</v>
      </c>
      <c r="E119" s="108">
        <v>299</v>
      </c>
      <c r="F119" s="108">
        <v>246</v>
      </c>
      <c r="G119" s="108">
        <v>255</v>
      </c>
      <c r="H119" s="108">
        <v>193</v>
      </c>
      <c r="I119" s="108">
        <v>212</v>
      </c>
      <c r="J119" s="108">
        <v>235</v>
      </c>
      <c r="K119" s="108">
        <v>160</v>
      </c>
      <c r="L119" s="108">
        <v>225</v>
      </c>
      <c r="M119" s="108">
        <v>189</v>
      </c>
      <c r="N119" s="108">
        <v>125</v>
      </c>
      <c r="O119" s="108">
        <v>144</v>
      </c>
      <c r="P119" s="108">
        <v>2582</v>
      </c>
    </row>
    <row r="120" spans="1:16" x14ac:dyDescent="0.3">
      <c r="A120" s="280" t="s">
        <v>199</v>
      </c>
      <c r="B120" s="348" t="s">
        <v>200</v>
      </c>
      <c r="C120" s="348" t="s">
        <v>252</v>
      </c>
      <c r="D120" s="108">
        <v>136</v>
      </c>
      <c r="E120" s="108">
        <v>113</v>
      </c>
      <c r="F120" s="108">
        <v>113</v>
      </c>
      <c r="G120" s="108">
        <v>118</v>
      </c>
      <c r="H120" s="108">
        <v>93</v>
      </c>
      <c r="I120" s="108">
        <v>85</v>
      </c>
      <c r="J120" s="108">
        <v>131</v>
      </c>
      <c r="K120" s="108">
        <v>88</v>
      </c>
      <c r="L120" s="108">
        <v>102</v>
      </c>
      <c r="M120" s="108">
        <v>110</v>
      </c>
      <c r="N120" s="108">
        <v>57</v>
      </c>
      <c r="O120" s="108">
        <v>83</v>
      </c>
      <c r="P120" s="108">
        <v>1229</v>
      </c>
    </row>
    <row r="121" spans="1:16" x14ac:dyDescent="0.3">
      <c r="A121" s="280" t="s">
        <v>221</v>
      </c>
      <c r="B121" s="348" t="s">
        <v>222</v>
      </c>
      <c r="C121" s="348" t="s">
        <v>251</v>
      </c>
      <c r="D121" s="108">
        <v>62</v>
      </c>
      <c r="E121" s="108">
        <v>75</v>
      </c>
      <c r="F121" s="108">
        <v>78</v>
      </c>
      <c r="G121" s="108">
        <v>51</v>
      </c>
      <c r="H121" s="108">
        <v>57</v>
      </c>
      <c r="I121" s="108">
        <v>61</v>
      </c>
      <c r="J121" s="108">
        <v>78</v>
      </c>
      <c r="K121" s="108">
        <v>30</v>
      </c>
      <c r="L121" s="108">
        <v>52</v>
      </c>
      <c r="M121" s="108">
        <v>42</v>
      </c>
      <c r="N121" s="108">
        <v>36</v>
      </c>
      <c r="O121" s="108">
        <v>26</v>
      </c>
      <c r="P121" s="108">
        <v>648</v>
      </c>
    </row>
    <row r="122" spans="1:16" x14ac:dyDescent="0.3">
      <c r="A122" s="280" t="s">
        <v>229</v>
      </c>
      <c r="B122" s="348" t="s">
        <v>230</v>
      </c>
      <c r="C122" s="348" t="s">
        <v>251</v>
      </c>
      <c r="D122" s="108">
        <v>257</v>
      </c>
      <c r="E122" s="108">
        <v>223</v>
      </c>
      <c r="F122" s="108">
        <v>241</v>
      </c>
      <c r="G122" s="108">
        <v>245</v>
      </c>
      <c r="H122" s="108">
        <v>214</v>
      </c>
      <c r="I122" s="108">
        <v>218</v>
      </c>
      <c r="J122" s="108">
        <v>263</v>
      </c>
      <c r="K122" s="108">
        <v>158</v>
      </c>
      <c r="L122" s="108">
        <v>325</v>
      </c>
      <c r="M122" s="108">
        <v>312</v>
      </c>
      <c r="N122" s="108">
        <v>142</v>
      </c>
      <c r="O122" s="108">
        <v>148</v>
      </c>
      <c r="P122" s="108">
        <v>2746</v>
      </c>
    </row>
    <row r="123" spans="1:16" x14ac:dyDescent="0.3">
      <c r="A123" s="280" t="s">
        <v>237</v>
      </c>
      <c r="B123" s="348" t="s">
        <v>238</v>
      </c>
      <c r="C123" s="348" t="s">
        <v>251</v>
      </c>
      <c r="D123" s="108">
        <v>9</v>
      </c>
      <c r="E123" s="108">
        <v>6</v>
      </c>
      <c r="F123" s="108">
        <v>16</v>
      </c>
      <c r="G123" s="108">
        <v>4</v>
      </c>
      <c r="H123" s="108">
        <v>7</v>
      </c>
      <c r="I123" s="108">
        <v>6</v>
      </c>
      <c r="J123" s="108">
        <v>14</v>
      </c>
      <c r="K123" s="108">
        <v>5</v>
      </c>
      <c r="L123" s="108">
        <v>9</v>
      </c>
      <c r="M123" s="108">
        <v>14</v>
      </c>
      <c r="N123" s="108">
        <v>7</v>
      </c>
      <c r="O123" s="108">
        <v>6</v>
      </c>
      <c r="P123" s="108">
        <v>103</v>
      </c>
    </row>
    <row r="124" spans="1:16" x14ac:dyDescent="0.3">
      <c r="A124" s="281" t="s">
        <v>239</v>
      </c>
      <c r="B124" s="282" t="s">
        <v>240</v>
      </c>
      <c r="C124" s="282" t="s">
        <v>254</v>
      </c>
      <c r="D124" s="108">
        <v>26</v>
      </c>
      <c r="E124" s="108">
        <v>25</v>
      </c>
      <c r="F124" s="108">
        <v>15</v>
      </c>
      <c r="G124" s="108">
        <v>16</v>
      </c>
      <c r="H124" s="108">
        <v>18</v>
      </c>
      <c r="I124" s="108">
        <v>21</v>
      </c>
      <c r="J124" s="108">
        <v>21</v>
      </c>
      <c r="K124" s="108">
        <v>20</v>
      </c>
      <c r="L124" s="108">
        <v>19</v>
      </c>
      <c r="M124" s="108">
        <v>41</v>
      </c>
      <c r="N124" s="108">
        <v>19</v>
      </c>
      <c r="O124" s="108">
        <v>13</v>
      </c>
      <c r="P124" s="108">
        <v>254</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6" zoomScaleNormal="86" workbookViewId="0">
      <pane xSplit="3" ySplit="4" topLeftCell="D114" activePane="bottomRight" state="frozen"/>
      <selection pane="topRight" activeCell="D1" sqref="D1"/>
      <selection pane="bottomLeft" activeCell="A5" sqref="A5"/>
      <selection pane="bottomRight" activeCell="A127" sqref="A127"/>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881</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4956</v>
      </c>
      <c r="E4" s="1106">
        <f t="shared" ref="E4:P4" si="0">SUM(E5:E124)</f>
        <v>5123</v>
      </c>
      <c r="F4" s="1106">
        <f t="shared" si="0"/>
        <v>4719</v>
      </c>
      <c r="G4" s="1106">
        <f t="shared" si="0"/>
        <v>5029</v>
      </c>
      <c r="H4" s="1107">
        <f t="shared" si="0"/>
        <v>4223</v>
      </c>
      <c r="I4" s="1107">
        <f t="shared" si="0"/>
        <v>4110</v>
      </c>
      <c r="J4" s="1107">
        <f t="shared" si="0"/>
        <v>4210</v>
      </c>
      <c r="K4" s="1107">
        <f t="shared" si="0"/>
        <v>3790</v>
      </c>
      <c r="L4" s="1107">
        <f t="shared" si="0"/>
        <v>3971</v>
      </c>
      <c r="M4" s="1107">
        <f t="shared" si="0"/>
        <v>6772</v>
      </c>
      <c r="N4" s="1107">
        <f t="shared" si="0"/>
        <v>4023</v>
      </c>
      <c r="O4" s="1107">
        <f t="shared" si="0"/>
        <v>3168</v>
      </c>
      <c r="P4" s="1107">
        <f t="shared" si="0"/>
        <v>54094</v>
      </c>
    </row>
    <row r="5" spans="1:16" x14ac:dyDescent="0.3">
      <c r="A5" s="279" t="s">
        <v>9</v>
      </c>
      <c r="B5" s="324" t="s">
        <v>10</v>
      </c>
      <c r="C5" s="324" t="s">
        <v>251</v>
      </c>
      <c r="D5" s="108">
        <v>19</v>
      </c>
      <c r="E5" s="108">
        <v>19</v>
      </c>
      <c r="F5" s="108">
        <v>23</v>
      </c>
      <c r="G5" s="108">
        <v>43</v>
      </c>
      <c r="H5" s="108">
        <v>14</v>
      </c>
      <c r="I5" s="108">
        <v>22</v>
      </c>
      <c r="J5" s="108">
        <v>30</v>
      </c>
      <c r="K5" s="108">
        <v>12</v>
      </c>
      <c r="L5" s="108">
        <v>17</v>
      </c>
      <c r="M5" s="108">
        <v>19</v>
      </c>
      <c r="N5" s="108">
        <v>18</v>
      </c>
      <c r="O5" s="108">
        <v>13</v>
      </c>
      <c r="P5" s="108">
        <v>249</v>
      </c>
    </row>
    <row r="6" spans="1:16" x14ac:dyDescent="0.3">
      <c r="A6" s="280" t="s">
        <v>11</v>
      </c>
      <c r="B6" s="348" t="s">
        <v>12</v>
      </c>
      <c r="C6" s="348" t="s">
        <v>252</v>
      </c>
      <c r="D6" s="108">
        <v>36</v>
      </c>
      <c r="E6" s="108">
        <v>41</v>
      </c>
      <c r="F6" s="108">
        <v>38</v>
      </c>
      <c r="G6" s="108">
        <v>29</v>
      </c>
      <c r="H6" s="108">
        <v>21</v>
      </c>
      <c r="I6" s="108">
        <v>26</v>
      </c>
      <c r="J6" s="108">
        <v>29</v>
      </c>
      <c r="K6" s="108">
        <v>28</v>
      </c>
      <c r="L6" s="108">
        <v>37</v>
      </c>
      <c r="M6" s="108">
        <v>66</v>
      </c>
      <c r="N6" s="108">
        <v>23</v>
      </c>
      <c r="O6" s="108">
        <v>38</v>
      </c>
      <c r="P6" s="108">
        <v>412</v>
      </c>
    </row>
    <row r="7" spans="1:16" x14ac:dyDescent="0.3">
      <c r="A7" s="280" t="s">
        <v>15</v>
      </c>
      <c r="B7" s="348" t="s">
        <v>273</v>
      </c>
      <c r="C7" s="348" t="s">
        <v>252</v>
      </c>
      <c r="D7" s="108">
        <v>18</v>
      </c>
      <c r="E7" s="108">
        <v>9</v>
      </c>
      <c r="F7" s="108">
        <v>13</v>
      </c>
      <c r="G7" s="108">
        <v>17</v>
      </c>
      <c r="H7" s="108">
        <v>8</v>
      </c>
      <c r="I7" s="108">
        <v>16</v>
      </c>
      <c r="J7" s="108">
        <v>7</v>
      </c>
      <c r="K7" s="108">
        <v>10</v>
      </c>
      <c r="L7" s="108">
        <v>7</v>
      </c>
      <c r="M7" s="108">
        <v>17</v>
      </c>
      <c r="N7" s="108">
        <v>7</v>
      </c>
      <c r="O7" s="108">
        <v>11</v>
      </c>
      <c r="P7" s="108">
        <v>140</v>
      </c>
    </row>
    <row r="8" spans="1:16" x14ac:dyDescent="0.3">
      <c r="A8" s="280" t="s">
        <v>17</v>
      </c>
      <c r="B8" s="348" t="s">
        <v>18</v>
      </c>
      <c r="C8" s="348" t="s">
        <v>253</v>
      </c>
      <c r="D8" s="108">
        <v>8</v>
      </c>
      <c r="E8" s="108">
        <v>7</v>
      </c>
      <c r="F8" s="108">
        <v>5</v>
      </c>
      <c r="G8" s="108">
        <v>6</v>
      </c>
      <c r="H8" s="108">
        <v>8</v>
      </c>
      <c r="I8" s="108">
        <v>2</v>
      </c>
      <c r="J8" s="108">
        <v>6</v>
      </c>
      <c r="K8" s="108">
        <v>3</v>
      </c>
      <c r="L8" s="108">
        <v>4</v>
      </c>
      <c r="M8" s="108">
        <v>18</v>
      </c>
      <c r="N8" s="108">
        <v>4</v>
      </c>
      <c r="O8" s="108">
        <v>4</v>
      </c>
      <c r="P8" s="108">
        <v>75</v>
      </c>
    </row>
    <row r="9" spans="1:16" x14ac:dyDescent="0.3">
      <c r="A9" s="280" t="s">
        <v>19</v>
      </c>
      <c r="B9" s="348" t="s">
        <v>20</v>
      </c>
      <c r="C9" s="348" t="s">
        <v>252</v>
      </c>
      <c r="D9" s="108">
        <v>21</v>
      </c>
      <c r="E9" s="108">
        <v>11</v>
      </c>
      <c r="F9" s="108">
        <v>18</v>
      </c>
      <c r="G9" s="108">
        <v>16</v>
      </c>
      <c r="H9" s="108">
        <v>18</v>
      </c>
      <c r="I9" s="108">
        <v>13</v>
      </c>
      <c r="J9" s="108">
        <v>16</v>
      </c>
      <c r="K9" s="108">
        <v>13</v>
      </c>
      <c r="L9" s="108">
        <v>11</v>
      </c>
      <c r="M9" s="108">
        <v>16</v>
      </c>
      <c r="N9" s="108">
        <v>7</v>
      </c>
      <c r="O9" s="108">
        <v>14</v>
      </c>
      <c r="P9" s="108">
        <v>174</v>
      </c>
    </row>
    <row r="10" spans="1:16" x14ac:dyDescent="0.3">
      <c r="A10" s="280" t="s">
        <v>21</v>
      </c>
      <c r="B10" s="348" t="s">
        <v>22</v>
      </c>
      <c r="C10" s="348" t="s">
        <v>252</v>
      </c>
      <c r="D10" s="108">
        <v>11</v>
      </c>
      <c r="E10" s="108">
        <v>4</v>
      </c>
      <c r="F10" s="108">
        <v>4</v>
      </c>
      <c r="G10" s="108">
        <v>3</v>
      </c>
      <c r="H10" s="108">
        <v>7</v>
      </c>
      <c r="I10" s="108">
        <v>3</v>
      </c>
      <c r="J10" s="108">
        <v>10</v>
      </c>
      <c r="K10" s="108">
        <v>6</v>
      </c>
      <c r="L10" s="108">
        <v>8</v>
      </c>
      <c r="M10" s="108">
        <v>2</v>
      </c>
      <c r="N10" s="108">
        <v>6</v>
      </c>
      <c r="O10" s="108">
        <v>2</v>
      </c>
      <c r="P10" s="108">
        <v>66</v>
      </c>
    </row>
    <row r="11" spans="1:16" x14ac:dyDescent="0.3">
      <c r="A11" s="280" t="s">
        <v>23</v>
      </c>
      <c r="B11" s="348" t="s">
        <v>24</v>
      </c>
      <c r="C11" s="348" t="s">
        <v>254</v>
      </c>
      <c r="D11" s="108">
        <v>25</v>
      </c>
      <c r="E11" s="108">
        <v>34</v>
      </c>
      <c r="F11" s="108">
        <v>32</v>
      </c>
      <c r="G11" s="108">
        <v>35</v>
      </c>
      <c r="H11" s="108">
        <v>24</v>
      </c>
      <c r="I11" s="108">
        <v>29</v>
      </c>
      <c r="J11" s="108">
        <v>37</v>
      </c>
      <c r="K11" s="108">
        <v>39</v>
      </c>
      <c r="L11" s="108">
        <v>35</v>
      </c>
      <c r="M11" s="108">
        <v>107</v>
      </c>
      <c r="N11" s="108">
        <v>86</v>
      </c>
      <c r="O11" s="108">
        <v>47</v>
      </c>
      <c r="P11" s="108">
        <v>530</v>
      </c>
    </row>
    <row r="12" spans="1:16" x14ac:dyDescent="0.3">
      <c r="A12" s="280" t="s">
        <v>25</v>
      </c>
      <c r="B12" s="348" t="s">
        <v>444</v>
      </c>
      <c r="C12" s="348" t="s">
        <v>252</v>
      </c>
      <c r="D12" s="108">
        <v>77</v>
      </c>
      <c r="E12" s="108">
        <v>93</v>
      </c>
      <c r="F12" s="108">
        <v>79</v>
      </c>
      <c r="G12" s="108">
        <v>74</v>
      </c>
      <c r="H12" s="108">
        <v>67</v>
      </c>
      <c r="I12" s="108">
        <v>66</v>
      </c>
      <c r="J12" s="108">
        <v>69</v>
      </c>
      <c r="K12" s="108">
        <v>68</v>
      </c>
      <c r="L12" s="108">
        <v>62</v>
      </c>
      <c r="M12" s="108">
        <v>73</v>
      </c>
      <c r="N12" s="108">
        <v>61</v>
      </c>
      <c r="O12" s="108">
        <v>64</v>
      </c>
      <c r="P12" s="108">
        <v>853</v>
      </c>
    </row>
    <row r="13" spans="1:16" x14ac:dyDescent="0.3">
      <c r="A13" s="280" t="s">
        <v>26</v>
      </c>
      <c r="B13" s="348" t="s">
        <v>27</v>
      </c>
      <c r="C13" s="348" t="s">
        <v>252</v>
      </c>
      <c r="D13" s="108">
        <v>2</v>
      </c>
      <c r="E13" s="108"/>
      <c r="F13" s="108">
        <v>1</v>
      </c>
      <c r="G13" s="108">
        <v>2</v>
      </c>
      <c r="H13" s="108">
        <v>3</v>
      </c>
      <c r="I13" s="108">
        <v>2</v>
      </c>
      <c r="J13" s="108"/>
      <c r="K13" s="108">
        <v>1</v>
      </c>
      <c r="L13" s="108">
        <v>1</v>
      </c>
      <c r="M13" s="108">
        <v>6</v>
      </c>
      <c r="N13" s="108">
        <v>1</v>
      </c>
      <c r="O13" s="108">
        <v>2</v>
      </c>
      <c r="P13" s="108">
        <v>21</v>
      </c>
    </row>
    <row r="14" spans="1:16" x14ac:dyDescent="0.3">
      <c r="A14" s="280" t="s">
        <v>28</v>
      </c>
      <c r="B14" s="348" t="s">
        <v>568</v>
      </c>
      <c r="C14" s="348" t="s">
        <v>252</v>
      </c>
      <c r="D14" s="108">
        <v>42</v>
      </c>
      <c r="E14" s="108">
        <v>45</v>
      </c>
      <c r="F14" s="108">
        <v>39</v>
      </c>
      <c r="G14" s="108">
        <v>32</v>
      </c>
      <c r="H14" s="108">
        <v>32</v>
      </c>
      <c r="I14" s="108">
        <v>26</v>
      </c>
      <c r="J14" s="108">
        <v>32</v>
      </c>
      <c r="K14" s="108">
        <v>42</v>
      </c>
      <c r="L14" s="108">
        <v>36</v>
      </c>
      <c r="M14" s="108">
        <v>29</v>
      </c>
      <c r="N14" s="108">
        <v>42</v>
      </c>
      <c r="O14" s="108">
        <v>23</v>
      </c>
      <c r="P14" s="108">
        <v>420</v>
      </c>
    </row>
    <row r="15" spans="1:16" x14ac:dyDescent="0.3">
      <c r="A15" s="280" t="s">
        <v>29</v>
      </c>
      <c r="B15" s="348" t="s">
        <v>30</v>
      </c>
      <c r="C15" s="348" t="s">
        <v>255</v>
      </c>
      <c r="D15" s="108">
        <v>1</v>
      </c>
      <c r="E15" s="108">
        <v>2</v>
      </c>
      <c r="F15" s="108">
        <v>1</v>
      </c>
      <c r="G15" s="108">
        <v>1</v>
      </c>
      <c r="H15" s="108">
        <v>2</v>
      </c>
      <c r="I15" s="108">
        <v>4</v>
      </c>
      <c r="J15" s="108">
        <v>2</v>
      </c>
      <c r="K15" s="108">
        <v>2</v>
      </c>
      <c r="L15" s="108">
        <v>1</v>
      </c>
      <c r="M15" s="108">
        <v>2</v>
      </c>
      <c r="N15" s="108"/>
      <c r="O15" s="108">
        <v>4</v>
      </c>
      <c r="P15" s="108">
        <v>22</v>
      </c>
    </row>
    <row r="16" spans="1:16" x14ac:dyDescent="0.3">
      <c r="A16" s="280" t="s">
        <v>31</v>
      </c>
      <c r="B16" s="348" t="s">
        <v>32</v>
      </c>
      <c r="C16" s="348" t="s">
        <v>252</v>
      </c>
      <c r="D16" s="108">
        <v>7</v>
      </c>
      <c r="E16" s="108">
        <v>11</v>
      </c>
      <c r="F16" s="108">
        <v>12</v>
      </c>
      <c r="G16" s="108">
        <v>8</v>
      </c>
      <c r="H16" s="108">
        <v>8</v>
      </c>
      <c r="I16" s="108">
        <v>5</v>
      </c>
      <c r="J16" s="108">
        <v>8</v>
      </c>
      <c r="K16" s="108">
        <v>4</v>
      </c>
      <c r="L16" s="108">
        <v>9</v>
      </c>
      <c r="M16" s="108">
        <v>12</v>
      </c>
      <c r="N16" s="108">
        <v>11</v>
      </c>
      <c r="O16" s="108">
        <v>9</v>
      </c>
      <c r="P16" s="108">
        <v>104</v>
      </c>
    </row>
    <row r="17" spans="1:16" x14ac:dyDescent="0.3">
      <c r="A17" s="280" t="s">
        <v>35</v>
      </c>
      <c r="B17" s="348" t="s">
        <v>36</v>
      </c>
      <c r="C17" s="348" t="s">
        <v>251</v>
      </c>
      <c r="D17" s="108">
        <v>11</v>
      </c>
      <c r="E17" s="108">
        <v>10</v>
      </c>
      <c r="F17" s="108">
        <v>15</v>
      </c>
      <c r="G17" s="108">
        <v>13</v>
      </c>
      <c r="H17" s="108">
        <v>7</v>
      </c>
      <c r="I17" s="108">
        <v>14</v>
      </c>
      <c r="J17" s="108">
        <v>11</v>
      </c>
      <c r="K17" s="108">
        <v>5</v>
      </c>
      <c r="L17" s="108">
        <v>8</v>
      </c>
      <c r="M17" s="108">
        <v>6</v>
      </c>
      <c r="N17" s="108">
        <v>3</v>
      </c>
      <c r="O17" s="108">
        <v>9</v>
      </c>
      <c r="P17" s="108">
        <v>112</v>
      </c>
    </row>
    <row r="18" spans="1:16" x14ac:dyDescent="0.3">
      <c r="A18" s="280" t="s">
        <v>37</v>
      </c>
      <c r="B18" s="348" t="s">
        <v>38</v>
      </c>
      <c r="C18" s="348" t="s">
        <v>255</v>
      </c>
      <c r="D18" s="108">
        <v>7</v>
      </c>
      <c r="E18" s="108">
        <v>10</v>
      </c>
      <c r="F18" s="108">
        <v>8</v>
      </c>
      <c r="G18" s="108">
        <v>8</v>
      </c>
      <c r="H18" s="108">
        <v>7</v>
      </c>
      <c r="I18" s="108">
        <v>8</v>
      </c>
      <c r="J18" s="108">
        <v>11</v>
      </c>
      <c r="K18" s="108">
        <v>4</v>
      </c>
      <c r="L18" s="108">
        <v>3</v>
      </c>
      <c r="M18" s="108">
        <v>9</v>
      </c>
      <c r="N18" s="108">
        <v>5</v>
      </c>
      <c r="O18" s="108">
        <v>3</v>
      </c>
      <c r="P18" s="108">
        <v>83</v>
      </c>
    </row>
    <row r="19" spans="1:16" x14ac:dyDescent="0.3">
      <c r="A19" s="280" t="s">
        <v>39</v>
      </c>
      <c r="B19" s="348" t="s">
        <v>40</v>
      </c>
      <c r="C19" s="348" t="s">
        <v>253</v>
      </c>
      <c r="D19" s="108">
        <v>7</v>
      </c>
      <c r="E19" s="108">
        <v>7</v>
      </c>
      <c r="F19" s="108">
        <v>8</v>
      </c>
      <c r="G19" s="108">
        <v>8</v>
      </c>
      <c r="H19" s="108">
        <v>4</v>
      </c>
      <c r="I19" s="108">
        <v>6</v>
      </c>
      <c r="J19" s="108">
        <v>3</v>
      </c>
      <c r="K19" s="108">
        <v>6</v>
      </c>
      <c r="L19" s="108">
        <v>4</v>
      </c>
      <c r="M19" s="108">
        <v>4</v>
      </c>
      <c r="N19" s="108">
        <v>5</v>
      </c>
      <c r="O19" s="108">
        <v>4</v>
      </c>
      <c r="P19" s="108">
        <v>66</v>
      </c>
    </row>
    <row r="20" spans="1:16" x14ac:dyDescent="0.3">
      <c r="A20" s="280" t="s">
        <v>41</v>
      </c>
      <c r="B20" s="348" t="s">
        <v>42</v>
      </c>
      <c r="C20" s="348" t="s">
        <v>252</v>
      </c>
      <c r="D20" s="108">
        <v>39</v>
      </c>
      <c r="E20" s="108">
        <v>25</v>
      </c>
      <c r="F20" s="108">
        <v>27</v>
      </c>
      <c r="G20" s="108">
        <v>25</v>
      </c>
      <c r="H20" s="108">
        <v>27</v>
      </c>
      <c r="I20" s="108">
        <v>25</v>
      </c>
      <c r="J20" s="108">
        <v>30</v>
      </c>
      <c r="K20" s="108">
        <v>24</v>
      </c>
      <c r="L20" s="108">
        <v>39</v>
      </c>
      <c r="M20" s="108">
        <v>43</v>
      </c>
      <c r="N20" s="108">
        <v>16</v>
      </c>
      <c r="O20" s="108">
        <v>27</v>
      </c>
      <c r="P20" s="108">
        <v>347</v>
      </c>
    </row>
    <row r="21" spans="1:16" x14ac:dyDescent="0.3">
      <c r="A21" s="280" t="s">
        <v>43</v>
      </c>
      <c r="B21" s="348" t="s">
        <v>44</v>
      </c>
      <c r="C21" s="348" t="s">
        <v>253</v>
      </c>
      <c r="D21" s="108">
        <v>20</v>
      </c>
      <c r="E21" s="108">
        <v>15</v>
      </c>
      <c r="F21" s="108">
        <v>18</v>
      </c>
      <c r="G21" s="108">
        <v>21</v>
      </c>
      <c r="H21" s="108">
        <v>13</v>
      </c>
      <c r="I21" s="108">
        <v>11</v>
      </c>
      <c r="J21" s="108">
        <v>16</v>
      </c>
      <c r="K21" s="108">
        <v>21</v>
      </c>
      <c r="L21" s="108">
        <v>10</v>
      </c>
      <c r="M21" s="108">
        <v>29</v>
      </c>
      <c r="N21" s="108">
        <v>20</v>
      </c>
      <c r="O21" s="108">
        <v>12</v>
      </c>
      <c r="P21" s="108">
        <v>206</v>
      </c>
    </row>
    <row r="22" spans="1:16" x14ac:dyDescent="0.3">
      <c r="A22" s="280" t="s">
        <v>45</v>
      </c>
      <c r="B22" s="348" t="s">
        <v>46</v>
      </c>
      <c r="C22" s="348" t="s">
        <v>255</v>
      </c>
      <c r="D22" s="108">
        <v>12</v>
      </c>
      <c r="E22" s="108">
        <v>13</v>
      </c>
      <c r="F22" s="108">
        <v>13</v>
      </c>
      <c r="G22" s="108">
        <v>13</v>
      </c>
      <c r="H22" s="108">
        <v>19</v>
      </c>
      <c r="I22" s="108">
        <v>9</v>
      </c>
      <c r="J22" s="108">
        <v>7</v>
      </c>
      <c r="K22" s="108">
        <v>12</v>
      </c>
      <c r="L22" s="108">
        <v>7</v>
      </c>
      <c r="M22" s="108">
        <v>11</v>
      </c>
      <c r="N22" s="108">
        <v>8</v>
      </c>
      <c r="O22" s="108">
        <v>10</v>
      </c>
      <c r="P22" s="108">
        <v>134</v>
      </c>
    </row>
    <row r="23" spans="1:16" x14ac:dyDescent="0.3">
      <c r="A23" s="280" t="s">
        <v>47</v>
      </c>
      <c r="B23" s="348" t="s">
        <v>256</v>
      </c>
      <c r="C23" s="348" t="s">
        <v>253</v>
      </c>
      <c r="D23" s="108">
        <v>3</v>
      </c>
      <c r="E23" s="108">
        <v>1</v>
      </c>
      <c r="F23" s="108">
        <v>1</v>
      </c>
      <c r="G23" s="108">
        <v>3</v>
      </c>
      <c r="H23" s="108">
        <v>1</v>
      </c>
      <c r="I23" s="108"/>
      <c r="J23" s="108"/>
      <c r="K23" s="108">
        <v>5</v>
      </c>
      <c r="L23" s="108">
        <v>3</v>
      </c>
      <c r="M23" s="108">
        <v>5</v>
      </c>
      <c r="N23" s="108">
        <v>2</v>
      </c>
      <c r="O23" s="108">
        <v>2</v>
      </c>
      <c r="P23" s="108">
        <v>26</v>
      </c>
    </row>
    <row r="24" spans="1:16" x14ac:dyDescent="0.3">
      <c r="A24" s="280" t="s">
        <v>49</v>
      </c>
      <c r="B24" s="348" t="s">
        <v>50</v>
      </c>
      <c r="C24" s="348" t="s">
        <v>252</v>
      </c>
      <c r="D24" s="108">
        <v>4</v>
      </c>
      <c r="E24" s="108">
        <v>8</v>
      </c>
      <c r="F24" s="108">
        <v>7</v>
      </c>
      <c r="G24" s="108">
        <v>9</v>
      </c>
      <c r="H24" s="108">
        <v>7</v>
      </c>
      <c r="I24" s="108">
        <v>3</v>
      </c>
      <c r="J24" s="108">
        <v>6</v>
      </c>
      <c r="K24" s="108">
        <v>6</v>
      </c>
      <c r="L24" s="108">
        <v>5</v>
      </c>
      <c r="M24" s="108">
        <v>6</v>
      </c>
      <c r="N24" s="108">
        <v>5</v>
      </c>
      <c r="O24" s="108">
        <v>2</v>
      </c>
      <c r="P24" s="108">
        <v>68</v>
      </c>
    </row>
    <row r="25" spans="1:16" x14ac:dyDescent="0.3">
      <c r="A25" s="280" t="s">
        <v>55</v>
      </c>
      <c r="B25" s="348" t="s">
        <v>271</v>
      </c>
      <c r="C25" s="348" t="s">
        <v>253</v>
      </c>
      <c r="D25" s="108">
        <v>221</v>
      </c>
      <c r="E25" s="108">
        <v>194</v>
      </c>
      <c r="F25" s="108">
        <v>183</v>
      </c>
      <c r="G25" s="108">
        <v>245</v>
      </c>
      <c r="H25" s="108">
        <v>169</v>
      </c>
      <c r="I25" s="108">
        <v>181</v>
      </c>
      <c r="J25" s="108">
        <v>179</v>
      </c>
      <c r="K25" s="108">
        <v>159</v>
      </c>
      <c r="L25" s="108">
        <v>161</v>
      </c>
      <c r="M25" s="108">
        <v>251</v>
      </c>
      <c r="N25" s="108">
        <v>143</v>
      </c>
      <c r="O25" s="108">
        <v>113</v>
      </c>
      <c r="P25" s="108">
        <v>2199</v>
      </c>
    </row>
    <row r="26" spans="1:16" x14ac:dyDescent="0.3">
      <c r="A26" s="280" t="s">
        <v>57</v>
      </c>
      <c r="B26" s="348" t="s">
        <v>58</v>
      </c>
      <c r="C26" s="348" t="s">
        <v>254</v>
      </c>
      <c r="D26" s="108">
        <v>4</v>
      </c>
      <c r="E26" s="108">
        <v>6</v>
      </c>
      <c r="F26" s="108">
        <v>3</v>
      </c>
      <c r="G26" s="108">
        <v>9</v>
      </c>
      <c r="H26" s="108">
        <v>4</v>
      </c>
      <c r="I26" s="108">
        <v>7</v>
      </c>
      <c r="J26" s="108">
        <v>1</v>
      </c>
      <c r="K26" s="108">
        <v>7</v>
      </c>
      <c r="L26" s="108">
        <v>6</v>
      </c>
      <c r="M26" s="108">
        <v>5</v>
      </c>
      <c r="N26" s="108">
        <v>4</v>
      </c>
      <c r="O26" s="108">
        <v>4</v>
      </c>
      <c r="P26" s="108">
        <v>60</v>
      </c>
    </row>
    <row r="27" spans="1:16" x14ac:dyDescent="0.3">
      <c r="A27" s="280" t="s">
        <v>59</v>
      </c>
      <c r="B27" s="348" t="s">
        <v>60</v>
      </c>
      <c r="C27" s="348" t="s">
        <v>252</v>
      </c>
      <c r="D27" s="108">
        <v>2</v>
      </c>
      <c r="E27" s="108">
        <v>6</v>
      </c>
      <c r="F27" s="108">
        <v>4</v>
      </c>
      <c r="G27" s="108"/>
      <c r="H27" s="108">
        <v>4</v>
      </c>
      <c r="I27" s="108">
        <v>2</v>
      </c>
      <c r="J27" s="108"/>
      <c r="K27" s="108">
        <v>5</v>
      </c>
      <c r="L27" s="108">
        <v>2</v>
      </c>
      <c r="M27" s="108">
        <v>4</v>
      </c>
      <c r="N27" s="108">
        <v>1</v>
      </c>
      <c r="O27" s="108">
        <v>3</v>
      </c>
      <c r="P27" s="108">
        <v>33</v>
      </c>
    </row>
    <row r="28" spans="1:16" x14ac:dyDescent="0.3">
      <c r="A28" s="280" t="s">
        <v>61</v>
      </c>
      <c r="B28" s="348" t="s">
        <v>62</v>
      </c>
      <c r="C28" s="348" t="s">
        <v>254</v>
      </c>
      <c r="D28" s="108">
        <v>38</v>
      </c>
      <c r="E28" s="108">
        <v>24</v>
      </c>
      <c r="F28" s="108">
        <v>30</v>
      </c>
      <c r="G28" s="108">
        <v>31</v>
      </c>
      <c r="H28" s="108">
        <v>23</v>
      </c>
      <c r="I28" s="108">
        <v>28</v>
      </c>
      <c r="J28" s="108">
        <v>24</v>
      </c>
      <c r="K28" s="108">
        <v>17</v>
      </c>
      <c r="L28" s="108">
        <v>23</v>
      </c>
      <c r="M28" s="108">
        <v>21</v>
      </c>
      <c r="N28" s="108">
        <v>15</v>
      </c>
      <c r="O28" s="108">
        <v>11</v>
      </c>
      <c r="P28" s="108">
        <v>285</v>
      </c>
    </row>
    <row r="29" spans="1:16" x14ac:dyDescent="0.3">
      <c r="A29" s="280" t="s">
        <v>63</v>
      </c>
      <c r="B29" s="348" t="s">
        <v>64</v>
      </c>
      <c r="C29" s="348" t="s">
        <v>253</v>
      </c>
      <c r="D29" s="108">
        <v>13</v>
      </c>
      <c r="E29" s="108">
        <v>10</v>
      </c>
      <c r="F29" s="108">
        <v>8</v>
      </c>
      <c r="G29" s="108">
        <v>6</v>
      </c>
      <c r="H29" s="108">
        <v>9</v>
      </c>
      <c r="I29" s="108">
        <v>8</v>
      </c>
      <c r="J29" s="108">
        <v>5</v>
      </c>
      <c r="K29" s="108">
        <v>2</v>
      </c>
      <c r="L29" s="108">
        <v>3</v>
      </c>
      <c r="M29" s="108">
        <v>7</v>
      </c>
      <c r="N29" s="108">
        <v>6</v>
      </c>
      <c r="O29" s="108">
        <v>2</v>
      </c>
      <c r="P29" s="108">
        <v>79</v>
      </c>
    </row>
    <row r="30" spans="1:16" x14ac:dyDescent="0.3">
      <c r="A30" s="280" t="s">
        <v>67</v>
      </c>
      <c r="B30" s="348" t="s">
        <v>68</v>
      </c>
      <c r="C30" s="348" t="s">
        <v>255</v>
      </c>
      <c r="D30" s="108">
        <v>8</v>
      </c>
      <c r="E30" s="108">
        <v>3</v>
      </c>
      <c r="F30" s="108">
        <v>4</v>
      </c>
      <c r="G30" s="108">
        <v>8</v>
      </c>
      <c r="H30" s="108">
        <v>2</v>
      </c>
      <c r="I30" s="108">
        <v>1</v>
      </c>
      <c r="J30" s="108">
        <v>5</v>
      </c>
      <c r="K30" s="108">
        <v>3</v>
      </c>
      <c r="L30" s="108">
        <v>3</v>
      </c>
      <c r="M30" s="108">
        <v>7</v>
      </c>
      <c r="N30" s="108">
        <v>5</v>
      </c>
      <c r="O30" s="108">
        <v>12</v>
      </c>
      <c r="P30" s="108">
        <v>61</v>
      </c>
    </row>
    <row r="31" spans="1:16" x14ac:dyDescent="0.3">
      <c r="A31" s="280" t="s">
        <v>69</v>
      </c>
      <c r="B31" s="348" t="s">
        <v>70</v>
      </c>
      <c r="C31" s="348" t="s">
        <v>251</v>
      </c>
      <c r="D31" s="108">
        <v>21</v>
      </c>
      <c r="E31" s="108">
        <v>16</v>
      </c>
      <c r="F31" s="108">
        <v>23</v>
      </c>
      <c r="G31" s="108">
        <v>21</v>
      </c>
      <c r="H31" s="108">
        <v>9</v>
      </c>
      <c r="I31" s="108">
        <v>16</v>
      </c>
      <c r="J31" s="108">
        <v>14</v>
      </c>
      <c r="K31" s="108">
        <v>12</v>
      </c>
      <c r="L31" s="108">
        <v>13</v>
      </c>
      <c r="M31" s="108">
        <v>14</v>
      </c>
      <c r="N31" s="108">
        <v>5</v>
      </c>
      <c r="O31" s="108">
        <v>7</v>
      </c>
      <c r="P31" s="108">
        <v>171</v>
      </c>
    </row>
    <row r="32" spans="1:16" x14ac:dyDescent="0.3">
      <c r="A32" s="280" t="s">
        <v>71</v>
      </c>
      <c r="B32" s="348" t="s">
        <v>72</v>
      </c>
      <c r="C32" s="348" t="s">
        <v>253</v>
      </c>
      <c r="D32" s="108">
        <v>9</v>
      </c>
      <c r="E32" s="108">
        <v>7</v>
      </c>
      <c r="F32" s="108">
        <v>7</v>
      </c>
      <c r="G32" s="108">
        <v>12</v>
      </c>
      <c r="H32" s="108">
        <v>7</v>
      </c>
      <c r="I32" s="108">
        <v>9</v>
      </c>
      <c r="J32" s="108">
        <v>11</v>
      </c>
      <c r="K32" s="108">
        <v>6</v>
      </c>
      <c r="L32" s="108">
        <v>10</v>
      </c>
      <c r="M32" s="108">
        <v>3</v>
      </c>
      <c r="N32" s="108">
        <v>3</v>
      </c>
      <c r="O32" s="108">
        <v>5</v>
      </c>
      <c r="P32" s="108">
        <v>89</v>
      </c>
    </row>
    <row r="33" spans="1:16" x14ac:dyDescent="0.3">
      <c r="A33" s="280" t="s">
        <v>73</v>
      </c>
      <c r="B33" s="348" t="s">
        <v>272</v>
      </c>
      <c r="C33" s="348" t="s">
        <v>254</v>
      </c>
      <c r="D33" s="108">
        <v>328</v>
      </c>
      <c r="E33" s="108">
        <v>381</v>
      </c>
      <c r="F33" s="108">
        <v>332</v>
      </c>
      <c r="G33" s="108">
        <v>321</v>
      </c>
      <c r="H33" s="108">
        <v>320</v>
      </c>
      <c r="I33" s="108">
        <v>255</v>
      </c>
      <c r="J33" s="108">
        <v>318</v>
      </c>
      <c r="K33" s="108">
        <v>279</v>
      </c>
      <c r="L33" s="108">
        <v>395</v>
      </c>
      <c r="M33" s="108">
        <v>953</v>
      </c>
      <c r="N33" s="108">
        <v>538</v>
      </c>
      <c r="O33" s="108">
        <v>329</v>
      </c>
      <c r="P33" s="108">
        <v>4749</v>
      </c>
    </row>
    <row r="34" spans="1:16" x14ac:dyDescent="0.3">
      <c r="A34" s="280" t="s">
        <v>75</v>
      </c>
      <c r="B34" s="348" t="s">
        <v>76</v>
      </c>
      <c r="C34" s="348" t="s">
        <v>254</v>
      </c>
      <c r="D34" s="108">
        <v>20</v>
      </c>
      <c r="E34" s="108">
        <v>22</v>
      </c>
      <c r="F34" s="108">
        <v>15</v>
      </c>
      <c r="G34" s="108">
        <v>23</v>
      </c>
      <c r="H34" s="108">
        <v>24</v>
      </c>
      <c r="I34" s="108">
        <v>21</v>
      </c>
      <c r="J34" s="108">
        <v>20</v>
      </c>
      <c r="K34" s="108">
        <v>11</v>
      </c>
      <c r="L34" s="108">
        <v>25</v>
      </c>
      <c r="M34" s="108">
        <v>34</v>
      </c>
      <c r="N34" s="108">
        <v>14</v>
      </c>
      <c r="O34" s="108">
        <v>10</v>
      </c>
      <c r="P34" s="108">
        <v>239</v>
      </c>
    </row>
    <row r="35" spans="1:16" x14ac:dyDescent="0.3">
      <c r="A35" s="280" t="s">
        <v>77</v>
      </c>
      <c r="B35" s="348" t="s">
        <v>78</v>
      </c>
      <c r="C35" s="348" t="s">
        <v>255</v>
      </c>
      <c r="D35" s="108">
        <v>5</v>
      </c>
      <c r="E35" s="108">
        <v>5</v>
      </c>
      <c r="F35" s="108">
        <v>6</v>
      </c>
      <c r="G35" s="108">
        <v>8</v>
      </c>
      <c r="H35" s="108">
        <v>7</v>
      </c>
      <c r="I35" s="108">
        <v>4</v>
      </c>
      <c r="J35" s="108">
        <v>9</v>
      </c>
      <c r="K35" s="108">
        <v>13</v>
      </c>
      <c r="L35" s="108">
        <v>7</v>
      </c>
      <c r="M35" s="108">
        <v>11</v>
      </c>
      <c r="N35" s="108">
        <v>5</v>
      </c>
      <c r="O35" s="108">
        <v>2</v>
      </c>
      <c r="P35" s="108">
        <v>82</v>
      </c>
    </row>
    <row r="36" spans="1:16" x14ac:dyDescent="0.3">
      <c r="A36" s="280" t="s">
        <v>79</v>
      </c>
      <c r="B36" s="348" t="s">
        <v>80</v>
      </c>
      <c r="C36" s="348" t="s">
        <v>253</v>
      </c>
      <c r="D36" s="108">
        <v>8</v>
      </c>
      <c r="E36" s="108">
        <v>14</v>
      </c>
      <c r="F36" s="108">
        <v>4</v>
      </c>
      <c r="G36" s="108">
        <v>8</v>
      </c>
      <c r="H36" s="108">
        <v>7</v>
      </c>
      <c r="I36" s="108">
        <v>3</v>
      </c>
      <c r="J36" s="108">
        <v>7</v>
      </c>
      <c r="K36" s="108">
        <v>6</v>
      </c>
      <c r="L36" s="108">
        <v>7</v>
      </c>
      <c r="M36" s="108">
        <v>13</v>
      </c>
      <c r="N36" s="108">
        <v>7</v>
      </c>
      <c r="O36" s="108">
        <v>3</v>
      </c>
      <c r="P36" s="108">
        <v>87</v>
      </c>
    </row>
    <row r="37" spans="1:16" x14ac:dyDescent="0.3">
      <c r="A37" s="280" t="s">
        <v>83</v>
      </c>
      <c r="B37" s="348" t="s">
        <v>84</v>
      </c>
      <c r="C37" s="348" t="s">
        <v>252</v>
      </c>
      <c r="D37" s="108">
        <v>36</v>
      </c>
      <c r="E37" s="108">
        <v>28</v>
      </c>
      <c r="F37" s="108">
        <v>23</v>
      </c>
      <c r="G37" s="108">
        <v>30</v>
      </c>
      <c r="H37" s="108">
        <v>20</v>
      </c>
      <c r="I37" s="108">
        <v>23</v>
      </c>
      <c r="J37" s="108">
        <v>20</v>
      </c>
      <c r="K37" s="108">
        <v>21</v>
      </c>
      <c r="L37" s="108">
        <v>25</v>
      </c>
      <c r="M37" s="108">
        <v>25</v>
      </c>
      <c r="N37" s="108">
        <v>24</v>
      </c>
      <c r="O37" s="108">
        <v>17</v>
      </c>
      <c r="P37" s="108">
        <v>292</v>
      </c>
    </row>
    <row r="38" spans="1:16" x14ac:dyDescent="0.3">
      <c r="A38" s="280" t="s">
        <v>85</v>
      </c>
      <c r="B38" s="348" t="s">
        <v>86</v>
      </c>
      <c r="C38" s="348" t="s">
        <v>254</v>
      </c>
      <c r="D38" s="108">
        <v>37</v>
      </c>
      <c r="E38" s="108">
        <v>41</v>
      </c>
      <c r="F38" s="108">
        <v>42</v>
      </c>
      <c r="G38" s="108">
        <v>30</v>
      </c>
      <c r="H38" s="108">
        <v>24</v>
      </c>
      <c r="I38" s="108">
        <v>27</v>
      </c>
      <c r="J38" s="108">
        <v>38</v>
      </c>
      <c r="K38" s="108">
        <v>31</v>
      </c>
      <c r="L38" s="108">
        <v>32</v>
      </c>
      <c r="M38" s="108">
        <v>51</v>
      </c>
      <c r="N38" s="108">
        <v>35</v>
      </c>
      <c r="O38" s="108">
        <v>23</v>
      </c>
      <c r="P38" s="108">
        <v>411</v>
      </c>
    </row>
    <row r="39" spans="1:16" x14ac:dyDescent="0.3">
      <c r="A39" s="280" t="s">
        <v>91</v>
      </c>
      <c r="B39" s="348" t="s">
        <v>92</v>
      </c>
      <c r="C39" s="348" t="s">
        <v>255</v>
      </c>
      <c r="D39" s="108">
        <v>14</v>
      </c>
      <c r="E39" s="108">
        <v>14</v>
      </c>
      <c r="F39" s="108">
        <v>11</v>
      </c>
      <c r="G39" s="108">
        <v>8</v>
      </c>
      <c r="H39" s="108">
        <v>14</v>
      </c>
      <c r="I39" s="108">
        <v>8</v>
      </c>
      <c r="J39" s="108">
        <v>10</v>
      </c>
      <c r="K39" s="108">
        <v>11</v>
      </c>
      <c r="L39" s="108">
        <v>10</v>
      </c>
      <c r="M39" s="108">
        <v>4</v>
      </c>
      <c r="N39" s="108">
        <v>5</v>
      </c>
      <c r="O39" s="108">
        <v>9</v>
      </c>
      <c r="P39" s="108">
        <v>118</v>
      </c>
    </row>
    <row r="40" spans="1:16" x14ac:dyDescent="0.3">
      <c r="A40" s="280" t="s">
        <v>93</v>
      </c>
      <c r="B40" s="348" t="s">
        <v>94</v>
      </c>
      <c r="C40" s="348" t="s">
        <v>251</v>
      </c>
      <c r="D40" s="108">
        <v>10</v>
      </c>
      <c r="E40" s="108">
        <v>22</v>
      </c>
      <c r="F40" s="108">
        <v>17</v>
      </c>
      <c r="G40" s="108">
        <v>26</v>
      </c>
      <c r="H40" s="108">
        <v>24</v>
      </c>
      <c r="I40" s="108">
        <v>13</v>
      </c>
      <c r="J40" s="108">
        <v>19</v>
      </c>
      <c r="K40" s="108">
        <v>13</v>
      </c>
      <c r="L40" s="108">
        <v>15</v>
      </c>
      <c r="M40" s="108">
        <v>31</v>
      </c>
      <c r="N40" s="108">
        <v>16</v>
      </c>
      <c r="O40" s="108">
        <v>7</v>
      </c>
      <c r="P40" s="108">
        <v>213</v>
      </c>
    </row>
    <row r="41" spans="1:16" x14ac:dyDescent="0.3">
      <c r="A41" s="280" t="s">
        <v>95</v>
      </c>
      <c r="B41" s="348" t="s">
        <v>96</v>
      </c>
      <c r="C41" s="348" t="s">
        <v>253</v>
      </c>
      <c r="D41" s="108">
        <v>3</v>
      </c>
      <c r="E41" s="108">
        <v>9</v>
      </c>
      <c r="F41" s="108">
        <v>4</v>
      </c>
      <c r="G41" s="108">
        <v>8</v>
      </c>
      <c r="H41" s="108">
        <v>6</v>
      </c>
      <c r="I41" s="108">
        <v>5</v>
      </c>
      <c r="J41" s="108">
        <v>1</v>
      </c>
      <c r="K41" s="108">
        <v>6</v>
      </c>
      <c r="L41" s="108">
        <v>2</v>
      </c>
      <c r="M41" s="108">
        <v>4</v>
      </c>
      <c r="N41" s="108">
        <v>3</v>
      </c>
      <c r="O41" s="108">
        <v>4</v>
      </c>
      <c r="P41" s="108">
        <v>55</v>
      </c>
    </row>
    <row r="42" spans="1:16" x14ac:dyDescent="0.3">
      <c r="A42" s="280" t="s">
        <v>97</v>
      </c>
      <c r="B42" s="348" t="s">
        <v>98</v>
      </c>
      <c r="C42" s="348" t="s">
        <v>255</v>
      </c>
      <c r="D42" s="108">
        <v>3</v>
      </c>
      <c r="E42" s="108">
        <v>8</v>
      </c>
      <c r="F42" s="108">
        <v>6</v>
      </c>
      <c r="G42" s="108">
        <v>4</v>
      </c>
      <c r="H42" s="108">
        <v>8</v>
      </c>
      <c r="I42" s="108">
        <v>3</v>
      </c>
      <c r="J42" s="108">
        <v>6</v>
      </c>
      <c r="K42" s="108">
        <v>6</v>
      </c>
      <c r="L42" s="108">
        <v>7</v>
      </c>
      <c r="M42" s="108">
        <v>7</v>
      </c>
      <c r="N42" s="108">
        <v>1</v>
      </c>
      <c r="O42" s="108">
        <v>2</v>
      </c>
      <c r="P42" s="108">
        <v>61</v>
      </c>
    </row>
    <row r="43" spans="1:16" x14ac:dyDescent="0.3">
      <c r="A43" s="280" t="s">
        <v>99</v>
      </c>
      <c r="B43" s="348" t="s">
        <v>100</v>
      </c>
      <c r="C43" s="348" t="s">
        <v>254</v>
      </c>
      <c r="D43" s="108">
        <v>6</v>
      </c>
      <c r="E43" s="108">
        <v>10</v>
      </c>
      <c r="F43" s="108">
        <v>13</v>
      </c>
      <c r="G43" s="108">
        <v>10</v>
      </c>
      <c r="H43" s="108">
        <v>9</v>
      </c>
      <c r="I43" s="108">
        <v>11</v>
      </c>
      <c r="J43" s="108">
        <v>9</v>
      </c>
      <c r="K43" s="108">
        <v>14</v>
      </c>
      <c r="L43" s="108">
        <v>7</v>
      </c>
      <c r="M43" s="108">
        <v>15</v>
      </c>
      <c r="N43" s="108">
        <v>5</v>
      </c>
      <c r="O43" s="108">
        <v>6</v>
      </c>
      <c r="P43" s="108">
        <v>115</v>
      </c>
    </row>
    <row r="44" spans="1:16" x14ac:dyDescent="0.3">
      <c r="A44" s="280" t="s">
        <v>101</v>
      </c>
      <c r="B44" s="348" t="s">
        <v>263</v>
      </c>
      <c r="C44" s="348" t="s">
        <v>251</v>
      </c>
      <c r="D44" s="108">
        <v>17</v>
      </c>
      <c r="E44" s="108">
        <v>22</v>
      </c>
      <c r="F44" s="108">
        <v>15</v>
      </c>
      <c r="G44" s="108">
        <v>18</v>
      </c>
      <c r="H44" s="108">
        <v>18</v>
      </c>
      <c r="I44" s="108">
        <v>13</v>
      </c>
      <c r="J44" s="108">
        <v>19</v>
      </c>
      <c r="K44" s="108">
        <v>21</v>
      </c>
      <c r="L44" s="108">
        <v>12</v>
      </c>
      <c r="M44" s="108">
        <v>17</v>
      </c>
      <c r="N44" s="108">
        <v>14</v>
      </c>
      <c r="O44" s="108">
        <v>6</v>
      </c>
      <c r="P44" s="108">
        <v>192</v>
      </c>
    </row>
    <row r="45" spans="1:16" x14ac:dyDescent="0.3">
      <c r="A45" s="280" t="s">
        <v>103</v>
      </c>
      <c r="B45" s="348" t="s">
        <v>104</v>
      </c>
      <c r="C45" s="348" t="s">
        <v>252</v>
      </c>
      <c r="D45" s="108">
        <v>36</v>
      </c>
      <c r="E45" s="108">
        <v>21</v>
      </c>
      <c r="F45" s="108">
        <v>16</v>
      </c>
      <c r="G45" s="108">
        <v>19</v>
      </c>
      <c r="H45" s="108">
        <v>29</v>
      </c>
      <c r="I45" s="108">
        <v>27</v>
      </c>
      <c r="J45" s="108">
        <v>26</v>
      </c>
      <c r="K45" s="108">
        <v>22</v>
      </c>
      <c r="L45" s="108">
        <v>15</v>
      </c>
      <c r="M45" s="108">
        <v>19</v>
      </c>
      <c r="N45" s="108">
        <v>10</v>
      </c>
      <c r="O45" s="108">
        <v>18</v>
      </c>
      <c r="P45" s="108">
        <v>258</v>
      </c>
    </row>
    <row r="46" spans="1:16" x14ac:dyDescent="0.3">
      <c r="A46" s="280" t="s">
        <v>107</v>
      </c>
      <c r="B46" s="348" t="s">
        <v>108</v>
      </c>
      <c r="C46" s="348" t="s">
        <v>253</v>
      </c>
      <c r="D46" s="108">
        <v>46</v>
      </c>
      <c r="E46" s="108">
        <v>36</v>
      </c>
      <c r="F46" s="108">
        <v>35</v>
      </c>
      <c r="G46" s="108">
        <v>38</v>
      </c>
      <c r="H46" s="108">
        <v>45</v>
      </c>
      <c r="I46" s="108">
        <v>20</v>
      </c>
      <c r="J46" s="108">
        <v>32</v>
      </c>
      <c r="K46" s="108">
        <v>21</v>
      </c>
      <c r="L46" s="108">
        <v>28</v>
      </c>
      <c r="M46" s="108">
        <v>45</v>
      </c>
      <c r="N46" s="108">
        <v>28</v>
      </c>
      <c r="O46" s="108">
        <v>21</v>
      </c>
      <c r="P46" s="108">
        <v>395</v>
      </c>
    </row>
    <row r="47" spans="1:16" x14ac:dyDescent="0.3">
      <c r="A47" s="280" t="s">
        <v>109</v>
      </c>
      <c r="B47" s="348" t="s">
        <v>110</v>
      </c>
      <c r="C47" s="348" t="s">
        <v>253</v>
      </c>
      <c r="D47" s="108">
        <v>242</v>
      </c>
      <c r="E47" s="108">
        <v>289</v>
      </c>
      <c r="F47" s="108">
        <v>243</v>
      </c>
      <c r="G47" s="108">
        <v>238</v>
      </c>
      <c r="H47" s="108">
        <v>192</v>
      </c>
      <c r="I47" s="108">
        <v>172</v>
      </c>
      <c r="J47" s="108">
        <v>200</v>
      </c>
      <c r="K47" s="108">
        <v>162</v>
      </c>
      <c r="L47" s="108">
        <v>198</v>
      </c>
      <c r="M47" s="108">
        <v>364</v>
      </c>
      <c r="N47" s="108">
        <v>148</v>
      </c>
      <c r="O47" s="108">
        <v>113</v>
      </c>
      <c r="P47" s="108">
        <v>2561</v>
      </c>
    </row>
    <row r="48" spans="1:16" x14ac:dyDescent="0.3">
      <c r="A48" s="280" t="s">
        <v>111</v>
      </c>
      <c r="B48" s="348" t="s">
        <v>275</v>
      </c>
      <c r="C48" s="348" t="s">
        <v>252</v>
      </c>
      <c r="D48" s="108">
        <v>55</v>
      </c>
      <c r="E48" s="108">
        <v>43</v>
      </c>
      <c r="F48" s="108">
        <v>54</v>
      </c>
      <c r="G48" s="108">
        <v>39</v>
      </c>
      <c r="H48" s="108">
        <v>33</v>
      </c>
      <c r="I48" s="108">
        <v>39</v>
      </c>
      <c r="J48" s="108">
        <v>36</v>
      </c>
      <c r="K48" s="108">
        <v>35</v>
      </c>
      <c r="L48" s="108">
        <v>31</v>
      </c>
      <c r="M48" s="108">
        <v>51</v>
      </c>
      <c r="N48" s="108">
        <v>29</v>
      </c>
      <c r="O48" s="108">
        <v>24</v>
      </c>
      <c r="P48" s="108">
        <v>469</v>
      </c>
    </row>
    <row r="49" spans="1:16" x14ac:dyDescent="0.3">
      <c r="A49" s="280" t="s">
        <v>113</v>
      </c>
      <c r="B49" s="348" t="s">
        <v>114</v>
      </c>
      <c r="C49" s="348" t="s">
        <v>252</v>
      </c>
      <c r="D49" s="108"/>
      <c r="E49" s="108"/>
      <c r="F49" s="108"/>
      <c r="G49" s="108">
        <v>1</v>
      </c>
      <c r="H49" s="108"/>
      <c r="I49" s="108">
        <v>1</v>
      </c>
      <c r="J49" s="108"/>
      <c r="K49" s="108"/>
      <c r="L49" s="108"/>
      <c r="M49" s="108">
        <v>1</v>
      </c>
      <c r="N49" s="108">
        <v>1</v>
      </c>
      <c r="O49" s="108"/>
      <c r="P49" s="108">
        <v>4</v>
      </c>
    </row>
    <row r="50" spans="1:16" x14ac:dyDescent="0.3">
      <c r="A50" s="280" t="s">
        <v>117</v>
      </c>
      <c r="B50" s="348" t="s">
        <v>257</v>
      </c>
      <c r="C50" s="348" t="s">
        <v>251</v>
      </c>
      <c r="D50" s="108">
        <v>14</v>
      </c>
      <c r="E50" s="108">
        <v>12</v>
      </c>
      <c r="F50" s="108">
        <v>7</v>
      </c>
      <c r="G50" s="108">
        <v>25</v>
      </c>
      <c r="H50" s="108">
        <v>9</v>
      </c>
      <c r="I50" s="108">
        <v>14</v>
      </c>
      <c r="J50" s="108">
        <v>14</v>
      </c>
      <c r="K50" s="108">
        <v>14</v>
      </c>
      <c r="L50" s="108">
        <v>9</v>
      </c>
      <c r="M50" s="108">
        <v>16</v>
      </c>
      <c r="N50" s="108">
        <v>8</v>
      </c>
      <c r="O50" s="108">
        <v>15</v>
      </c>
      <c r="P50" s="108">
        <v>157</v>
      </c>
    </row>
    <row r="51" spans="1:16" x14ac:dyDescent="0.3">
      <c r="A51" s="280" t="s">
        <v>119</v>
      </c>
      <c r="B51" s="348" t="s">
        <v>120</v>
      </c>
      <c r="C51" s="348" t="s">
        <v>251</v>
      </c>
      <c r="D51" s="108">
        <v>24</v>
      </c>
      <c r="E51" s="108">
        <v>24</v>
      </c>
      <c r="F51" s="108">
        <v>33</v>
      </c>
      <c r="G51" s="108">
        <v>44</v>
      </c>
      <c r="H51" s="108">
        <v>28</v>
      </c>
      <c r="I51" s="108">
        <v>23</v>
      </c>
      <c r="J51" s="108">
        <v>27</v>
      </c>
      <c r="K51" s="108">
        <v>33</v>
      </c>
      <c r="L51" s="108">
        <v>25</v>
      </c>
      <c r="M51" s="108">
        <v>44</v>
      </c>
      <c r="N51" s="108">
        <v>31</v>
      </c>
      <c r="O51" s="108">
        <v>20</v>
      </c>
      <c r="P51" s="108">
        <v>356</v>
      </c>
    </row>
    <row r="52" spans="1:16" x14ac:dyDescent="0.3">
      <c r="A52" s="280" t="s">
        <v>121</v>
      </c>
      <c r="B52" s="348" t="s">
        <v>268</v>
      </c>
      <c r="C52" s="348" t="s">
        <v>253</v>
      </c>
      <c r="D52" s="108">
        <v>2</v>
      </c>
      <c r="E52" s="108">
        <v>4</v>
      </c>
      <c r="F52" s="108">
        <v>4</v>
      </c>
      <c r="G52" s="108">
        <v>3</v>
      </c>
      <c r="H52" s="108">
        <v>5</v>
      </c>
      <c r="I52" s="108">
        <v>4</v>
      </c>
      <c r="J52" s="108">
        <v>1</v>
      </c>
      <c r="K52" s="108">
        <v>1</v>
      </c>
      <c r="L52" s="108">
        <v>7</v>
      </c>
      <c r="M52" s="108">
        <v>4</v>
      </c>
      <c r="N52" s="108">
        <v>3</v>
      </c>
      <c r="O52" s="108">
        <v>5</v>
      </c>
      <c r="P52" s="108">
        <v>43</v>
      </c>
    </row>
    <row r="53" spans="1:16" x14ac:dyDescent="0.3">
      <c r="A53" s="280" t="s">
        <v>123</v>
      </c>
      <c r="B53" s="348" t="s">
        <v>124</v>
      </c>
      <c r="C53" s="348" t="s">
        <v>254</v>
      </c>
      <c r="D53" s="108">
        <v>2</v>
      </c>
      <c r="E53" s="108">
        <v>9</v>
      </c>
      <c r="F53" s="108">
        <v>8</v>
      </c>
      <c r="G53" s="108">
        <v>10</v>
      </c>
      <c r="H53" s="108">
        <v>8</v>
      </c>
      <c r="I53" s="108">
        <v>3</v>
      </c>
      <c r="J53" s="108">
        <v>15</v>
      </c>
      <c r="K53" s="108">
        <v>7</v>
      </c>
      <c r="L53" s="108">
        <v>11</v>
      </c>
      <c r="M53" s="108">
        <v>15</v>
      </c>
      <c r="N53" s="108">
        <v>7</v>
      </c>
      <c r="O53" s="108">
        <v>5</v>
      </c>
      <c r="P53" s="108">
        <v>100</v>
      </c>
    </row>
    <row r="54" spans="1:16" x14ac:dyDescent="0.3">
      <c r="A54" s="280" t="s">
        <v>125</v>
      </c>
      <c r="B54" s="348" t="s">
        <v>126</v>
      </c>
      <c r="C54" s="348" t="s">
        <v>253</v>
      </c>
      <c r="D54" s="108">
        <v>8</v>
      </c>
      <c r="E54" s="108">
        <v>5</v>
      </c>
      <c r="F54" s="108">
        <v>7</v>
      </c>
      <c r="G54" s="108">
        <v>5</v>
      </c>
      <c r="H54" s="108">
        <v>7</v>
      </c>
      <c r="I54" s="108">
        <v>3</v>
      </c>
      <c r="J54" s="108">
        <v>6</v>
      </c>
      <c r="K54" s="108">
        <v>4</v>
      </c>
      <c r="L54" s="108">
        <v>6</v>
      </c>
      <c r="M54" s="108">
        <v>9</v>
      </c>
      <c r="N54" s="108">
        <v>3</v>
      </c>
      <c r="O54" s="108">
        <v>5</v>
      </c>
      <c r="P54" s="108">
        <v>68</v>
      </c>
    </row>
    <row r="55" spans="1:16" x14ac:dyDescent="0.3">
      <c r="A55" s="280" t="s">
        <v>127</v>
      </c>
      <c r="B55" s="348" t="s">
        <v>128</v>
      </c>
      <c r="C55" s="348" t="s">
        <v>253</v>
      </c>
      <c r="D55" s="108">
        <v>7</v>
      </c>
      <c r="E55" s="108">
        <v>3</v>
      </c>
      <c r="F55" s="108">
        <v>3</v>
      </c>
      <c r="G55" s="108">
        <v>8</v>
      </c>
      <c r="H55" s="108">
        <v>3</v>
      </c>
      <c r="I55" s="108">
        <v>8</v>
      </c>
      <c r="J55" s="108">
        <v>4</v>
      </c>
      <c r="K55" s="108">
        <v>2</v>
      </c>
      <c r="L55" s="108"/>
      <c r="M55" s="108">
        <v>6</v>
      </c>
      <c r="N55" s="108">
        <v>5</v>
      </c>
      <c r="O55" s="108">
        <v>1</v>
      </c>
      <c r="P55" s="108">
        <v>50</v>
      </c>
    </row>
    <row r="56" spans="1:16" x14ac:dyDescent="0.3">
      <c r="A56" s="280" t="s">
        <v>129</v>
      </c>
      <c r="B56" s="348" t="s">
        <v>130</v>
      </c>
      <c r="C56" s="348" t="s">
        <v>255</v>
      </c>
      <c r="D56" s="108">
        <v>17</v>
      </c>
      <c r="E56" s="108">
        <v>28</v>
      </c>
      <c r="F56" s="108">
        <v>18</v>
      </c>
      <c r="G56" s="108">
        <v>21</v>
      </c>
      <c r="H56" s="108">
        <v>15</v>
      </c>
      <c r="I56" s="108">
        <v>11</v>
      </c>
      <c r="J56" s="108">
        <v>13</v>
      </c>
      <c r="K56" s="108">
        <v>9</v>
      </c>
      <c r="L56" s="108">
        <v>13</v>
      </c>
      <c r="M56" s="108">
        <v>15</v>
      </c>
      <c r="N56" s="108">
        <v>11</v>
      </c>
      <c r="O56" s="108">
        <v>12</v>
      </c>
      <c r="P56" s="108">
        <v>183</v>
      </c>
    </row>
    <row r="57" spans="1:16" x14ac:dyDescent="0.3">
      <c r="A57" s="280" t="s">
        <v>131</v>
      </c>
      <c r="B57" s="348" t="s">
        <v>132</v>
      </c>
      <c r="C57" s="348" t="s">
        <v>254</v>
      </c>
      <c r="D57" s="108">
        <v>103</v>
      </c>
      <c r="E57" s="108">
        <v>97</v>
      </c>
      <c r="F57" s="108">
        <v>83</v>
      </c>
      <c r="G57" s="108">
        <v>69</v>
      </c>
      <c r="H57" s="108">
        <v>96</v>
      </c>
      <c r="I57" s="108">
        <v>70</v>
      </c>
      <c r="J57" s="108">
        <v>77</v>
      </c>
      <c r="K57" s="108">
        <v>52</v>
      </c>
      <c r="L57" s="108">
        <v>100</v>
      </c>
      <c r="M57" s="108">
        <v>255</v>
      </c>
      <c r="N57" s="108">
        <v>116</v>
      </c>
      <c r="O57" s="108">
        <v>100</v>
      </c>
      <c r="P57" s="108">
        <v>1218</v>
      </c>
    </row>
    <row r="58" spans="1:16" x14ac:dyDescent="0.3">
      <c r="A58" s="280" t="s">
        <v>133</v>
      </c>
      <c r="B58" s="348" t="s">
        <v>134</v>
      </c>
      <c r="C58" s="348" t="s">
        <v>254</v>
      </c>
      <c r="D58" s="108">
        <v>27</v>
      </c>
      <c r="E58" s="108">
        <v>17</v>
      </c>
      <c r="F58" s="108">
        <v>16</v>
      </c>
      <c r="G58" s="108">
        <v>17</v>
      </c>
      <c r="H58" s="108">
        <v>15</v>
      </c>
      <c r="I58" s="108">
        <v>18</v>
      </c>
      <c r="J58" s="108">
        <v>12</v>
      </c>
      <c r="K58" s="108">
        <v>10</v>
      </c>
      <c r="L58" s="108">
        <v>11</v>
      </c>
      <c r="M58" s="108">
        <v>23</v>
      </c>
      <c r="N58" s="108">
        <v>14</v>
      </c>
      <c r="O58" s="108">
        <v>17</v>
      </c>
      <c r="P58" s="108">
        <v>197</v>
      </c>
    </row>
    <row r="59" spans="1:16" x14ac:dyDescent="0.3">
      <c r="A59" s="280" t="s">
        <v>135</v>
      </c>
      <c r="B59" s="348" t="s">
        <v>136</v>
      </c>
      <c r="C59" s="348" t="s">
        <v>253</v>
      </c>
      <c r="D59" s="108">
        <v>13</v>
      </c>
      <c r="E59" s="108">
        <v>8</v>
      </c>
      <c r="F59" s="108">
        <v>8</v>
      </c>
      <c r="G59" s="108">
        <v>7</v>
      </c>
      <c r="H59" s="108">
        <v>7</v>
      </c>
      <c r="I59" s="108">
        <v>11</v>
      </c>
      <c r="J59" s="108">
        <v>9</v>
      </c>
      <c r="K59" s="108">
        <v>6</v>
      </c>
      <c r="L59" s="108">
        <v>4</v>
      </c>
      <c r="M59" s="108">
        <v>11</v>
      </c>
      <c r="N59" s="108">
        <v>1</v>
      </c>
      <c r="O59" s="108">
        <v>7</v>
      </c>
      <c r="P59" s="108">
        <v>92</v>
      </c>
    </row>
    <row r="60" spans="1:16" x14ac:dyDescent="0.3">
      <c r="A60" s="280" t="s">
        <v>139</v>
      </c>
      <c r="B60" s="348" t="s">
        <v>140</v>
      </c>
      <c r="C60" s="348" t="s">
        <v>254</v>
      </c>
      <c r="D60" s="108">
        <v>4</v>
      </c>
      <c r="E60" s="108">
        <v>4</v>
      </c>
      <c r="F60" s="108"/>
      <c r="G60" s="108">
        <v>4</v>
      </c>
      <c r="H60" s="108">
        <v>6</v>
      </c>
      <c r="I60" s="108">
        <v>6</v>
      </c>
      <c r="J60" s="108">
        <v>4</v>
      </c>
      <c r="K60" s="108">
        <v>4</v>
      </c>
      <c r="L60" s="108">
        <v>2</v>
      </c>
      <c r="M60" s="108">
        <v>3</v>
      </c>
      <c r="N60" s="108">
        <v>3</v>
      </c>
      <c r="O60" s="108">
        <v>2</v>
      </c>
      <c r="P60" s="108">
        <v>42</v>
      </c>
    </row>
    <row r="61" spans="1:16" x14ac:dyDescent="0.3">
      <c r="A61" s="280" t="s">
        <v>145</v>
      </c>
      <c r="B61" s="348" t="s">
        <v>146</v>
      </c>
      <c r="C61" s="348" t="s">
        <v>251</v>
      </c>
      <c r="D61" s="108">
        <v>2</v>
      </c>
      <c r="E61" s="108">
        <v>3</v>
      </c>
      <c r="F61" s="108">
        <v>3</v>
      </c>
      <c r="G61" s="108">
        <v>4</v>
      </c>
      <c r="H61" s="108">
        <v>1</v>
      </c>
      <c r="I61" s="108">
        <v>1</v>
      </c>
      <c r="J61" s="108">
        <v>6</v>
      </c>
      <c r="K61" s="108">
        <v>3</v>
      </c>
      <c r="L61" s="108">
        <v>5</v>
      </c>
      <c r="M61" s="108">
        <v>3</v>
      </c>
      <c r="N61" s="108">
        <v>6</v>
      </c>
      <c r="O61" s="108">
        <v>5</v>
      </c>
      <c r="P61" s="108">
        <v>42</v>
      </c>
    </row>
    <row r="62" spans="1:16" x14ac:dyDescent="0.3">
      <c r="A62" s="280" t="s">
        <v>147</v>
      </c>
      <c r="B62" s="348" t="s">
        <v>148</v>
      </c>
      <c r="C62" s="348" t="s">
        <v>252</v>
      </c>
      <c r="D62" s="108">
        <v>20</v>
      </c>
      <c r="E62" s="108">
        <v>14</v>
      </c>
      <c r="F62" s="108">
        <v>13</v>
      </c>
      <c r="G62" s="108">
        <v>19</v>
      </c>
      <c r="H62" s="108">
        <v>20</v>
      </c>
      <c r="I62" s="108">
        <v>17</v>
      </c>
      <c r="J62" s="108">
        <v>15</v>
      </c>
      <c r="K62" s="108">
        <v>10</v>
      </c>
      <c r="L62" s="108">
        <v>12</v>
      </c>
      <c r="M62" s="108">
        <v>14</v>
      </c>
      <c r="N62" s="108">
        <v>6</v>
      </c>
      <c r="O62" s="108">
        <v>8</v>
      </c>
      <c r="P62" s="108">
        <v>168</v>
      </c>
    </row>
    <row r="63" spans="1:16" x14ac:dyDescent="0.3">
      <c r="A63" s="280" t="s">
        <v>149</v>
      </c>
      <c r="B63" s="348" t="s">
        <v>150</v>
      </c>
      <c r="C63" s="348" t="s">
        <v>253</v>
      </c>
      <c r="D63" s="108">
        <v>8</v>
      </c>
      <c r="E63" s="108">
        <v>5</v>
      </c>
      <c r="F63" s="108">
        <v>12</v>
      </c>
      <c r="G63" s="108">
        <v>9</v>
      </c>
      <c r="H63" s="108">
        <v>7</v>
      </c>
      <c r="I63" s="108">
        <v>10</v>
      </c>
      <c r="J63" s="108">
        <v>3</v>
      </c>
      <c r="K63" s="108">
        <v>7</v>
      </c>
      <c r="L63" s="108">
        <v>10</v>
      </c>
      <c r="M63" s="108">
        <v>11</v>
      </c>
      <c r="N63" s="108">
        <v>5</v>
      </c>
      <c r="O63" s="108">
        <v>1</v>
      </c>
      <c r="P63" s="108">
        <v>88</v>
      </c>
    </row>
    <row r="64" spans="1:16" x14ac:dyDescent="0.3">
      <c r="A64" s="280" t="s">
        <v>151</v>
      </c>
      <c r="B64" s="348" t="s">
        <v>152</v>
      </c>
      <c r="C64" s="348" t="s">
        <v>255</v>
      </c>
      <c r="D64" s="108">
        <v>45</v>
      </c>
      <c r="E64" s="108">
        <v>42</v>
      </c>
      <c r="F64" s="108">
        <v>38</v>
      </c>
      <c r="G64" s="108">
        <v>37</v>
      </c>
      <c r="H64" s="108">
        <v>43</v>
      </c>
      <c r="I64" s="108">
        <v>37</v>
      </c>
      <c r="J64" s="108">
        <v>32</v>
      </c>
      <c r="K64" s="108">
        <v>20</v>
      </c>
      <c r="L64" s="108">
        <v>29</v>
      </c>
      <c r="M64" s="108">
        <v>31</v>
      </c>
      <c r="N64" s="108">
        <v>36</v>
      </c>
      <c r="O64" s="108">
        <v>36</v>
      </c>
      <c r="P64" s="108">
        <v>426</v>
      </c>
    </row>
    <row r="65" spans="1:16" x14ac:dyDescent="0.3">
      <c r="A65" s="280" t="s">
        <v>153</v>
      </c>
      <c r="B65" s="348" t="s">
        <v>154</v>
      </c>
      <c r="C65" s="348" t="s">
        <v>252</v>
      </c>
      <c r="D65" s="108">
        <v>4</v>
      </c>
      <c r="E65" s="108">
        <v>10</v>
      </c>
      <c r="F65" s="108">
        <v>8</v>
      </c>
      <c r="G65" s="108">
        <v>2</v>
      </c>
      <c r="H65" s="108">
        <v>5</v>
      </c>
      <c r="I65" s="108">
        <v>4</v>
      </c>
      <c r="J65" s="108">
        <v>4</v>
      </c>
      <c r="K65" s="108">
        <v>4</v>
      </c>
      <c r="L65" s="108">
        <v>1</v>
      </c>
      <c r="M65" s="108">
        <v>6</v>
      </c>
      <c r="N65" s="108">
        <v>6</v>
      </c>
      <c r="O65" s="108">
        <v>5</v>
      </c>
      <c r="P65" s="108">
        <v>59</v>
      </c>
    </row>
    <row r="66" spans="1:16" x14ac:dyDescent="0.3">
      <c r="A66" s="280" t="s">
        <v>155</v>
      </c>
      <c r="B66" s="348" t="s">
        <v>156</v>
      </c>
      <c r="C66" s="348" t="s">
        <v>253</v>
      </c>
      <c r="D66" s="108">
        <v>7</v>
      </c>
      <c r="E66" s="108">
        <v>5</v>
      </c>
      <c r="F66" s="108">
        <v>10</v>
      </c>
      <c r="G66" s="108">
        <v>13</v>
      </c>
      <c r="H66" s="108">
        <v>11</v>
      </c>
      <c r="I66" s="108">
        <v>10</v>
      </c>
      <c r="J66" s="108">
        <v>4</v>
      </c>
      <c r="K66" s="108">
        <v>5</v>
      </c>
      <c r="L66" s="108">
        <v>7</v>
      </c>
      <c r="M66" s="108">
        <v>19</v>
      </c>
      <c r="N66" s="108">
        <v>5</v>
      </c>
      <c r="O66" s="108">
        <v>1</v>
      </c>
      <c r="P66" s="108">
        <v>97</v>
      </c>
    </row>
    <row r="67" spans="1:16" x14ac:dyDescent="0.3">
      <c r="A67" s="280" t="s">
        <v>161</v>
      </c>
      <c r="B67" s="348" t="s">
        <v>162</v>
      </c>
      <c r="C67" s="348" t="s">
        <v>251</v>
      </c>
      <c r="D67" s="108">
        <v>12</v>
      </c>
      <c r="E67" s="108">
        <v>3</v>
      </c>
      <c r="F67" s="108">
        <v>9</v>
      </c>
      <c r="G67" s="108">
        <v>10</v>
      </c>
      <c r="H67" s="108">
        <v>7</v>
      </c>
      <c r="I67" s="108">
        <v>6</v>
      </c>
      <c r="J67" s="108">
        <v>9</v>
      </c>
      <c r="K67" s="108">
        <v>7</v>
      </c>
      <c r="L67" s="108">
        <v>5</v>
      </c>
      <c r="M67" s="108">
        <v>11</v>
      </c>
      <c r="N67" s="108">
        <v>2</v>
      </c>
      <c r="O67" s="108">
        <v>3</v>
      </c>
      <c r="P67" s="108">
        <v>84</v>
      </c>
    </row>
    <row r="68" spans="1:16" x14ac:dyDescent="0.3">
      <c r="A68" s="280" t="s">
        <v>163</v>
      </c>
      <c r="B68" s="348" t="s">
        <v>164</v>
      </c>
      <c r="C68" s="348" t="s">
        <v>253</v>
      </c>
      <c r="D68" s="108">
        <v>3</v>
      </c>
      <c r="E68" s="108">
        <v>3</v>
      </c>
      <c r="F68" s="108">
        <v>3</v>
      </c>
      <c r="G68" s="108">
        <v>4</v>
      </c>
      <c r="H68" s="108">
        <v>4</v>
      </c>
      <c r="I68" s="108">
        <v>2</v>
      </c>
      <c r="J68" s="108">
        <v>7</v>
      </c>
      <c r="K68" s="108">
        <v>4</v>
      </c>
      <c r="L68" s="108">
        <v>4</v>
      </c>
      <c r="M68" s="108">
        <v>4</v>
      </c>
      <c r="N68" s="108">
        <v>1</v>
      </c>
      <c r="O68" s="108">
        <v>1</v>
      </c>
      <c r="P68" s="108">
        <v>40</v>
      </c>
    </row>
    <row r="69" spans="1:16" x14ac:dyDescent="0.3">
      <c r="A69" s="280" t="s">
        <v>167</v>
      </c>
      <c r="B69" s="348" t="s">
        <v>168</v>
      </c>
      <c r="C69" s="348" t="s">
        <v>253</v>
      </c>
      <c r="D69" s="108">
        <v>9</v>
      </c>
      <c r="E69" s="108">
        <v>10</v>
      </c>
      <c r="F69" s="108">
        <v>4</v>
      </c>
      <c r="G69" s="108">
        <v>9</v>
      </c>
      <c r="H69" s="108">
        <v>6</v>
      </c>
      <c r="I69" s="108">
        <v>7</v>
      </c>
      <c r="J69" s="108">
        <v>13</v>
      </c>
      <c r="K69" s="108">
        <v>4</v>
      </c>
      <c r="L69" s="108">
        <v>7</v>
      </c>
      <c r="M69" s="108">
        <v>12</v>
      </c>
      <c r="N69" s="108">
        <v>5</v>
      </c>
      <c r="O69" s="108">
        <v>2</v>
      </c>
      <c r="P69" s="108">
        <v>88</v>
      </c>
    </row>
    <row r="70" spans="1:16" x14ac:dyDescent="0.3">
      <c r="A70" s="280" t="s">
        <v>169</v>
      </c>
      <c r="B70" s="348" t="s">
        <v>170</v>
      </c>
      <c r="C70" s="348" t="s">
        <v>254</v>
      </c>
      <c r="D70" s="108">
        <v>23</v>
      </c>
      <c r="E70" s="108">
        <v>10</v>
      </c>
      <c r="F70" s="108">
        <v>19</v>
      </c>
      <c r="G70" s="108">
        <v>25</v>
      </c>
      <c r="H70" s="108">
        <v>16</v>
      </c>
      <c r="I70" s="108">
        <v>12</v>
      </c>
      <c r="J70" s="108">
        <v>11</v>
      </c>
      <c r="K70" s="108">
        <v>6</v>
      </c>
      <c r="L70" s="108">
        <v>23</v>
      </c>
      <c r="M70" s="108">
        <v>17</v>
      </c>
      <c r="N70" s="108">
        <v>14</v>
      </c>
      <c r="O70" s="108">
        <v>5</v>
      </c>
      <c r="P70" s="108">
        <v>181</v>
      </c>
    </row>
    <row r="71" spans="1:16" x14ac:dyDescent="0.3">
      <c r="A71" s="280" t="s">
        <v>171</v>
      </c>
      <c r="B71" s="348" t="s">
        <v>172</v>
      </c>
      <c r="C71" s="348" t="s">
        <v>254</v>
      </c>
      <c r="D71" s="108">
        <v>11</v>
      </c>
      <c r="E71" s="108">
        <v>18</v>
      </c>
      <c r="F71" s="108">
        <v>13</v>
      </c>
      <c r="G71" s="108">
        <v>12</v>
      </c>
      <c r="H71" s="108">
        <v>9</v>
      </c>
      <c r="I71" s="108">
        <v>11</v>
      </c>
      <c r="J71" s="108">
        <v>13</v>
      </c>
      <c r="K71" s="108">
        <v>7</v>
      </c>
      <c r="L71" s="108">
        <v>12</v>
      </c>
      <c r="M71" s="108">
        <v>16</v>
      </c>
      <c r="N71" s="108">
        <v>4</v>
      </c>
      <c r="O71" s="108">
        <v>9</v>
      </c>
      <c r="P71" s="108">
        <v>135</v>
      </c>
    </row>
    <row r="72" spans="1:16" x14ac:dyDescent="0.3">
      <c r="A72" s="280" t="s">
        <v>173</v>
      </c>
      <c r="B72" s="348" t="s">
        <v>174</v>
      </c>
      <c r="C72" s="348" t="s">
        <v>255</v>
      </c>
      <c r="D72" s="108">
        <v>15</v>
      </c>
      <c r="E72" s="108">
        <v>9</v>
      </c>
      <c r="F72" s="108">
        <v>10</v>
      </c>
      <c r="G72" s="108">
        <v>10</v>
      </c>
      <c r="H72" s="108">
        <v>8</v>
      </c>
      <c r="I72" s="108">
        <v>11</v>
      </c>
      <c r="J72" s="108">
        <v>9</v>
      </c>
      <c r="K72" s="108">
        <v>4</v>
      </c>
      <c r="L72" s="108">
        <v>4</v>
      </c>
      <c r="M72" s="108">
        <v>5</v>
      </c>
      <c r="N72" s="108">
        <v>4</v>
      </c>
      <c r="O72" s="108">
        <v>3</v>
      </c>
      <c r="P72" s="108">
        <v>92</v>
      </c>
    </row>
    <row r="73" spans="1:16" x14ac:dyDescent="0.3">
      <c r="A73" s="280" t="s">
        <v>177</v>
      </c>
      <c r="B73" s="348" t="s">
        <v>178</v>
      </c>
      <c r="C73" s="348" t="s">
        <v>252</v>
      </c>
      <c r="D73" s="108">
        <v>35</v>
      </c>
      <c r="E73" s="108">
        <v>47</v>
      </c>
      <c r="F73" s="108">
        <v>39</v>
      </c>
      <c r="G73" s="108">
        <v>24</v>
      </c>
      <c r="H73" s="108">
        <v>32</v>
      </c>
      <c r="I73" s="108">
        <v>28</v>
      </c>
      <c r="J73" s="108">
        <v>30</v>
      </c>
      <c r="K73" s="108">
        <v>19</v>
      </c>
      <c r="L73" s="108">
        <v>24</v>
      </c>
      <c r="M73" s="108">
        <v>24</v>
      </c>
      <c r="N73" s="108">
        <v>16</v>
      </c>
      <c r="O73" s="108">
        <v>20</v>
      </c>
      <c r="P73" s="108">
        <v>338</v>
      </c>
    </row>
    <row r="74" spans="1:16" x14ac:dyDescent="0.3">
      <c r="A74" s="280" t="s">
        <v>181</v>
      </c>
      <c r="B74" s="348" t="s">
        <v>182</v>
      </c>
      <c r="C74" s="348" t="s">
        <v>253</v>
      </c>
      <c r="D74" s="108">
        <v>7</v>
      </c>
      <c r="E74" s="108">
        <v>17</v>
      </c>
      <c r="F74" s="108">
        <v>5</v>
      </c>
      <c r="G74" s="108">
        <v>7</v>
      </c>
      <c r="H74" s="108">
        <v>3</v>
      </c>
      <c r="I74" s="108">
        <v>9</v>
      </c>
      <c r="J74" s="108">
        <v>5</v>
      </c>
      <c r="K74" s="108">
        <v>1</v>
      </c>
      <c r="L74" s="108">
        <v>4</v>
      </c>
      <c r="M74" s="108">
        <v>10</v>
      </c>
      <c r="N74" s="108">
        <v>7</v>
      </c>
      <c r="O74" s="108">
        <v>2</v>
      </c>
      <c r="P74" s="108">
        <v>77</v>
      </c>
    </row>
    <row r="75" spans="1:16" x14ac:dyDescent="0.3">
      <c r="A75" s="280" t="s">
        <v>183</v>
      </c>
      <c r="B75" s="348" t="s">
        <v>184</v>
      </c>
      <c r="C75" s="348" t="s">
        <v>253</v>
      </c>
      <c r="D75" s="108">
        <v>14</v>
      </c>
      <c r="E75" s="108">
        <v>11</v>
      </c>
      <c r="F75" s="108">
        <v>15</v>
      </c>
      <c r="G75" s="108">
        <v>17</v>
      </c>
      <c r="H75" s="108">
        <v>12</v>
      </c>
      <c r="I75" s="108">
        <v>12</v>
      </c>
      <c r="J75" s="108">
        <v>8</v>
      </c>
      <c r="K75" s="108">
        <v>9</v>
      </c>
      <c r="L75" s="108">
        <v>4</v>
      </c>
      <c r="M75" s="108">
        <v>11</v>
      </c>
      <c r="N75" s="108">
        <v>4</v>
      </c>
      <c r="O75" s="108">
        <v>6</v>
      </c>
      <c r="P75" s="108">
        <v>123</v>
      </c>
    </row>
    <row r="76" spans="1:16" x14ac:dyDescent="0.3">
      <c r="A76" s="280" t="s">
        <v>185</v>
      </c>
      <c r="B76" s="348" t="s">
        <v>186</v>
      </c>
      <c r="C76" s="348" t="s">
        <v>251</v>
      </c>
      <c r="D76" s="108">
        <v>16</v>
      </c>
      <c r="E76" s="108">
        <v>20</v>
      </c>
      <c r="F76" s="108">
        <v>27</v>
      </c>
      <c r="G76" s="108">
        <v>24</v>
      </c>
      <c r="H76" s="108">
        <v>18</v>
      </c>
      <c r="I76" s="108">
        <v>14</v>
      </c>
      <c r="J76" s="108">
        <v>12</v>
      </c>
      <c r="K76" s="108">
        <v>21</v>
      </c>
      <c r="L76" s="108">
        <v>18</v>
      </c>
      <c r="M76" s="108">
        <v>32</v>
      </c>
      <c r="N76" s="108">
        <v>11</v>
      </c>
      <c r="O76" s="108">
        <v>11</v>
      </c>
      <c r="P76" s="108">
        <v>224</v>
      </c>
    </row>
    <row r="77" spans="1:16" x14ac:dyDescent="0.3">
      <c r="A77" s="280" t="s">
        <v>187</v>
      </c>
      <c r="B77" s="348" t="s">
        <v>188</v>
      </c>
      <c r="C77" s="348" t="s">
        <v>254</v>
      </c>
      <c r="D77" s="108">
        <v>223</v>
      </c>
      <c r="E77" s="108">
        <v>233</v>
      </c>
      <c r="F77" s="108">
        <v>245</v>
      </c>
      <c r="G77" s="108">
        <v>235</v>
      </c>
      <c r="H77" s="108">
        <v>192</v>
      </c>
      <c r="I77" s="108">
        <v>194</v>
      </c>
      <c r="J77" s="108">
        <v>222</v>
      </c>
      <c r="K77" s="108">
        <v>171</v>
      </c>
      <c r="L77" s="108">
        <v>180</v>
      </c>
      <c r="M77" s="108">
        <v>480</v>
      </c>
      <c r="N77" s="108">
        <v>290</v>
      </c>
      <c r="O77" s="108">
        <v>193</v>
      </c>
      <c r="P77" s="108">
        <v>2858</v>
      </c>
    </row>
    <row r="78" spans="1:16" x14ac:dyDescent="0.3">
      <c r="A78" s="280" t="s">
        <v>189</v>
      </c>
      <c r="B78" s="348" t="s">
        <v>190</v>
      </c>
      <c r="C78" s="348" t="s">
        <v>255</v>
      </c>
      <c r="D78" s="108">
        <v>23</v>
      </c>
      <c r="E78" s="108">
        <v>19</v>
      </c>
      <c r="F78" s="108">
        <v>12</v>
      </c>
      <c r="G78" s="108">
        <v>26</v>
      </c>
      <c r="H78" s="108">
        <v>22</v>
      </c>
      <c r="I78" s="108">
        <v>22</v>
      </c>
      <c r="J78" s="108">
        <v>11</v>
      </c>
      <c r="K78" s="108">
        <v>17</v>
      </c>
      <c r="L78" s="108">
        <v>10</v>
      </c>
      <c r="M78" s="108">
        <v>18</v>
      </c>
      <c r="N78" s="108">
        <v>12</v>
      </c>
      <c r="O78" s="108">
        <v>8</v>
      </c>
      <c r="P78" s="108">
        <v>200</v>
      </c>
    </row>
    <row r="79" spans="1:16" x14ac:dyDescent="0.3">
      <c r="A79" s="280" t="s">
        <v>193</v>
      </c>
      <c r="B79" s="348" t="s">
        <v>194</v>
      </c>
      <c r="C79" s="348" t="s">
        <v>254</v>
      </c>
      <c r="D79" s="108"/>
      <c r="E79" s="108">
        <v>1</v>
      </c>
      <c r="F79" s="108">
        <v>2</v>
      </c>
      <c r="G79" s="108">
        <v>1</v>
      </c>
      <c r="H79" s="108"/>
      <c r="I79" s="108">
        <v>1</v>
      </c>
      <c r="J79" s="108">
        <v>2</v>
      </c>
      <c r="K79" s="108">
        <v>1</v>
      </c>
      <c r="L79" s="108">
        <v>4</v>
      </c>
      <c r="M79" s="108">
        <v>2</v>
      </c>
      <c r="N79" s="108"/>
      <c r="O79" s="108"/>
      <c r="P79" s="108">
        <v>14</v>
      </c>
    </row>
    <row r="80" spans="1:16" x14ac:dyDescent="0.3">
      <c r="A80" s="280" t="s">
        <v>197</v>
      </c>
      <c r="B80" s="348" t="s">
        <v>259</v>
      </c>
      <c r="C80" s="348" t="s">
        <v>253</v>
      </c>
      <c r="D80" s="108">
        <v>8</v>
      </c>
      <c r="E80" s="108">
        <v>2</v>
      </c>
      <c r="F80" s="108">
        <v>4</v>
      </c>
      <c r="G80" s="108">
        <v>3</v>
      </c>
      <c r="H80" s="108">
        <v>1</v>
      </c>
      <c r="I80" s="108">
        <v>5</v>
      </c>
      <c r="J80" s="108">
        <v>3</v>
      </c>
      <c r="K80" s="108">
        <v>3</v>
      </c>
      <c r="L80" s="108">
        <v>5</v>
      </c>
      <c r="M80" s="108">
        <v>6</v>
      </c>
      <c r="N80" s="108">
        <v>3</v>
      </c>
      <c r="O80" s="108">
        <v>2</v>
      </c>
      <c r="P80" s="108">
        <v>45</v>
      </c>
    </row>
    <row r="81" spans="1:16" x14ac:dyDescent="0.3">
      <c r="A81" s="280" t="s">
        <v>201</v>
      </c>
      <c r="B81" s="348" t="s">
        <v>276</v>
      </c>
      <c r="C81" s="348" t="s">
        <v>252</v>
      </c>
      <c r="D81" s="108">
        <v>68</v>
      </c>
      <c r="E81" s="108">
        <v>55</v>
      </c>
      <c r="F81" s="108">
        <v>53</v>
      </c>
      <c r="G81" s="108">
        <v>44</v>
      </c>
      <c r="H81" s="108">
        <v>45</v>
      </c>
      <c r="I81" s="108">
        <v>36</v>
      </c>
      <c r="J81" s="108">
        <v>46</v>
      </c>
      <c r="K81" s="108">
        <v>52</v>
      </c>
      <c r="L81" s="108">
        <v>49</v>
      </c>
      <c r="M81" s="108">
        <v>68</v>
      </c>
      <c r="N81" s="108">
        <v>27</v>
      </c>
      <c r="O81" s="108">
        <v>31</v>
      </c>
      <c r="P81" s="108">
        <v>574</v>
      </c>
    </row>
    <row r="82" spans="1:16" x14ac:dyDescent="0.3">
      <c r="A82" s="280" t="s">
        <v>203</v>
      </c>
      <c r="B82" s="348" t="s">
        <v>269</v>
      </c>
      <c r="C82" s="348" t="s">
        <v>252</v>
      </c>
      <c r="D82" s="108">
        <v>18</v>
      </c>
      <c r="E82" s="108">
        <v>16</v>
      </c>
      <c r="F82" s="108">
        <v>11</v>
      </c>
      <c r="G82" s="108">
        <v>17</v>
      </c>
      <c r="H82" s="108">
        <v>14</v>
      </c>
      <c r="I82" s="108">
        <v>16</v>
      </c>
      <c r="J82" s="108">
        <v>18</v>
      </c>
      <c r="K82" s="108">
        <v>17</v>
      </c>
      <c r="L82" s="108">
        <v>10</v>
      </c>
      <c r="M82" s="108">
        <v>13</v>
      </c>
      <c r="N82" s="108">
        <v>8</v>
      </c>
      <c r="O82" s="108">
        <v>9</v>
      </c>
      <c r="P82" s="108">
        <v>167</v>
      </c>
    </row>
    <row r="83" spans="1:16" x14ac:dyDescent="0.3">
      <c r="A83" s="280" t="s">
        <v>205</v>
      </c>
      <c r="B83" s="348" t="s">
        <v>270</v>
      </c>
      <c r="C83" s="348" t="s">
        <v>254</v>
      </c>
      <c r="D83" s="108">
        <v>53</v>
      </c>
      <c r="E83" s="108">
        <v>61</v>
      </c>
      <c r="F83" s="108">
        <v>52</v>
      </c>
      <c r="G83" s="108">
        <v>66</v>
      </c>
      <c r="H83" s="108">
        <v>49</v>
      </c>
      <c r="I83" s="108">
        <v>45</v>
      </c>
      <c r="J83" s="108">
        <v>43</v>
      </c>
      <c r="K83" s="108">
        <v>41</v>
      </c>
      <c r="L83" s="108">
        <v>53</v>
      </c>
      <c r="M83" s="108">
        <v>86</v>
      </c>
      <c r="N83" s="108">
        <v>50</v>
      </c>
      <c r="O83" s="108">
        <v>41</v>
      </c>
      <c r="P83" s="108">
        <v>640</v>
      </c>
    </row>
    <row r="84" spans="1:16" x14ac:dyDescent="0.3">
      <c r="A84" s="280" t="s">
        <v>207</v>
      </c>
      <c r="B84" s="348" t="s">
        <v>208</v>
      </c>
      <c r="C84" s="348" t="s">
        <v>255</v>
      </c>
      <c r="D84" s="108">
        <v>9</v>
      </c>
      <c r="E84" s="108">
        <v>16</v>
      </c>
      <c r="F84" s="108">
        <v>14</v>
      </c>
      <c r="G84" s="108">
        <v>15</v>
      </c>
      <c r="H84" s="108">
        <v>7</v>
      </c>
      <c r="I84" s="108">
        <v>9</v>
      </c>
      <c r="J84" s="108">
        <v>6</v>
      </c>
      <c r="K84" s="108">
        <v>7</v>
      </c>
      <c r="L84" s="108">
        <v>15</v>
      </c>
      <c r="M84" s="108">
        <v>7</v>
      </c>
      <c r="N84" s="108">
        <v>9</v>
      </c>
      <c r="O84" s="108">
        <v>6</v>
      </c>
      <c r="P84" s="108">
        <v>120</v>
      </c>
    </row>
    <row r="85" spans="1:16" x14ac:dyDescent="0.3">
      <c r="A85" s="280" t="s">
        <v>209</v>
      </c>
      <c r="B85" s="348" t="s">
        <v>210</v>
      </c>
      <c r="C85" s="348" t="s">
        <v>255</v>
      </c>
      <c r="D85" s="108">
        <v>13</v>
      </c>
      <c r="E85" s="108">
        <v>14</v>
      </c>
      <c r="F85" s="108">
        <v>15</v>
      </c>
      <c r="G85" s="108">
        <v>19</v>
      </c>
      <c r="H85" s="108">
        <v>15</v>
      </c>
      <c r="I85" s="108">
        <v>16</v>
      </c>
      <c r="J85" s="108">
        <v>13</v>
      </c>
      <c r="K85" s="108">
        <v>13</v>
      </c>
      <c r="L85" s="108">
        <v>12</v>
      </c>
      <c r="M85" s="108">
        <v>11</v>
      </c>
      <c r="N85" s="108">
        <v>8</v>
      </c>
      <c r="O85" s="108">
        <v>9</v>
      </c>
      <c r="P85" s="108">
        <v>158</v>
      </c>
    </row>
    <row r="86" spans="1:16" x14ac:dyDescent="0.3">
      <c r="A86" s="280" t="s">
        <v>211</v>
      </c>
      <c r="B86" s="348" t="s">
        <v>212</v>
      </c>
      <c r="C86" s="348" t="s">
        <v>254</v>
      </c>
      <c r="D86" s="108">
        <v>36</v>
      </c>
      <c r="E86" s="108">
        <v>43</v>
      </c>
      <c r="F86" s="108">
        <v>56</v>
      </c>
      <c r="G86" s="108">
        <v>36</v>
      </c>
      <c r="H86" s="108">
        <v>30</v>
      </c>
      <c r="I86" s="108">
        <v>34</v>
      </c>
      <c r="J86" s="108">
        <v>33</v>
      </c>
      <c r="K86" s="108">
        <v>17</v>
      </c>
      <c r="L86" s="108">
        <v>29</v>
      </c>
      <c r="M86" s="108">
        <v>40</v>
      </c>
      <c r="N86" s="108">
        <v>22</v>
      </c>
      <c r="O86" s="108">
        <v>19</v>
      </c>
      <c r="P86" s="108">
        <v>395</v>
      </c>
    </row>
    <row r="87" spans="1:16" x14ac:dyDescent="0.3">
      <c r="A87" s="280" t="s">
        <v>213</v>
      </c>
      <c r="B87" s="348" t="s">
        <v>214</v>
      </c>
      <c r="C87" s="348" t="s">
        <v>255</v>
      </c>
      <c r="D87" s="108">
        <v>27</v>
      </c>
      <c r="E87" s="108">
        <v>28</v>
      </c>
      <c r="F87" s="108">
        <v>30</v>
      </c>
      <c r="G87" s="108">
        <v>20</v>
      </c>
      <c r="H87" s="108">
        <v>23</v>
      </c>
      <c r="I87" s="108">
        <v>11</v>
      </c>
      <c r="J87" s="108">
        <v>16</v>
      </c>
      <c r="K87" s="108">
        <v>12</v>
      </c>
      <c r="L87" s="108">
        <v>19</v>
      </c>
      <c r="M87" s="108">
        <v>22</v>
      </c>
      <c r="N87" s="108">
        <v>19</v>
      </c>
      <c r="O87" s="108">
        <v>14</v>
      </c>
      <c r="P87" s="108">
        <v>241</v>
      </c>
    </row>
    <row r="88" spans="1:16" x14ac:dyDescent="0.3">
      <c r="A88" s="280" t="s">
        <v>215</v>
      </c>
      <c r="B88" s="348" t="s">
        <v>216</v>
      </c>
      <c r="C88" s="348" t="s">
        <v>251</v>
      </c>
      <c r="D88" s="108">
        <v>13</v>
      </c>
      <c r="E88" s="108">
        <v>12</v>
      </c>
      <c r="F88" s="108">
        <v>15</v>
      </c>
      <c r="G88" s="108">
        <v>13</v>
      </c>
      <c r="H88" s="108">
        <v>7</v>
      </c>
      <c r="I88" s="108">
        <v>13</v>
      </c>
      <c r="J88" s="108">
        <v>11</v>
      </c>
      <c r="K88" s="108">
        <v>12</v>
      </c>
      <c r="L88" s="108">
        <v>14</v>
      </c>
      <c r="M88" s="108">
        <v>14</v>
      </c>
      <c r="N88" s="108">
        <v>7</v>
      </c>
      <c r="O88" s="108">
        <v>7</v>
      </c>
      <c r="P88" s="108">
        <v>138</v>
      </c>
    </row>
    <row r="89" spans="1:16" x14ac:dyDescent="0.3">
      <c r="A89" s="280" t="s">
        <v>217</v>
      </c>
      <c r="B89" s="348" t="s">
        <v>218</v>
      </c>
      <c r="C89" s="348" t="s">
        <v>254</v>
      </c>
      <c r="D89" s="108">
        <v>76</v>
      </c>
      <c r="E89" s="108">
        <v>70</v>
      </c>
      <c r="F89" s="108">
        <v>89</v>
      </c>
      <c r="G89" s="108">
        <v>91</v>
      </c>
      <c r="H89" s="108">
        <v>80</v>
      </c>
      <c r="I89" s="108">
        <v>76</v>
      </c>
      <c r="J89" s="108">
        <v>74</v>
      </c>
      <c r="K89" s="108">
        <v>63</v>
      </c>
      <c r="L89" s="108">
        <v>84</v>
      </c>
      <c r="M89" s="108">
        <v>122</v>
      </c>
      <c r="N89" s="108">
        <v>77</v>
      </c>
      <c r="O89" s="108">
        <v>58</v>
      </c>
      <c r="P89" s="108">
        <v>960</v>
      </c>
    </row>
    <row r="90" spans="1:16" x14ac:dyDescent="0.3">
      <c r="A90" s="280" t="s">
        <v>219</v>
      </c>
      <c r="B90" s="348" t="s">
        <v>220</v>
      </c>
      <c r="C90" s="348" t="s">
        <v>254</v>
      </c>
      <c r="D90" s="108">
        <v>67</v>
      </c>
      <c r="E90" s="108">
        <v>78</v>
      </c>
      <c r="F90" s="108">
        <v>88</v>
      </c>
      <c r="G90" s="108">
        <v>84</v>
      </c>
      <c r="H90" s="108">
        <v>68</v>
      </c>
      <c r="I90" s="108">
        <v>83</v>
      </c>
      <c r="J90" s="108">
        <v>50</v>
      </c>
      <c r="K90" s="108">
        <v>56</v>
      </c>
      <c r="L90" s="108">
        <v>75</v>
      </c>
      <c r="M90" s="108">
        <v>101</v>
      </c>
      <c r="N90" s="108">
        <v>56</v>
      </c>
      <c r="O90" s="108">
        <v>64</v>
      </c>
      <c r="P90" s="108">
        <v>870</v>
      </c>
    </row>
    <row r="91" spans="1:16" x14ac:dyDescent="0.3">
      <c r="A91" s="280" t="s">
        <v>223</v>
      </c>
      <c r="B91" s="348" t="s">
        <v>224</v>
      </c>
      <c r="C91" s="348" t="s">
        <v>251</v>
      </c>
      <c r="D91" s="108">
        <v>1</v>
      </c>
      <c r="E91" s="108">
        <v>3</v>
      </c>
      <c r="F91" s="108">
        <v>3</v>
      </c>
      <c r="G91" s="108"/>
      <c r="H91" s="108">
        <v>4</v>
      </c>
      <c r="I91" s="108">
        <v>2</v>
      </c>
      <c r="J91" s="108"/>
      <c r="K91" s="108">
        <v>2</v>
      </c>
      <c r="L91" s="108">
        <v>2</v>
      </c>
      <c r="M91" s="108">
        <v>4</v>
      </c>
      <c r="N91" s="108">
        <v>1</v>
      </c>
      <c r="O91" s="108">
        <v>1</v>
      </c>
      <c r="P91" s="108">
        <v>23</v>
      </c>
    </row>
    <row r="92" spans="1:16" x14ac:dyDescent="0.3">
      <c r="A92" s="280" t="s">
        <v>225</v>
      </c>
      <c r="B92" s="348" t="s">
        <v>226</v>
      </c>
      <c r="C92" s="348" t="s">
        <v>251</v>
      </c>
      <c r="D92" s="108">
        <v>11</v>
      </c>
      <c r="E92" s="108">
        <v>11</v>
      </c>
      <c r="F92" s="108">
        <v>16</v>
      </c>
      <c r="G92" s="108">
        <v>15</v>
      </c>
      <c r="H92" s="108">
        <v>7</v>
      </c>
      <c r="I92" s="108">
        <v>9</v>
      </c>
      <c r="J92" s="108">
        <v>12</v>
      </c>
      <c r="K92" s="108">
        <v>9</v>
      </c>
      <c r="L92" s="108"/>
      <c r="M92" s="108">
        <v>10</v>
      </c>
      <c r="N92" s="108">
        <v>6</v>
      </c>
      <c r="O92" s="108">
        <v>5</v>
      </c>
      <c r="P92" s="108">
        <v>111</v>
      </c>
    </row>
    <row r="93" spans="1:16" x14ac:dyDescent="0.3">
      <c r="A93" s="280" t="s">
        <v>227</v>
      </c>
      <c r="B93" s="348" t="s">
        <v>228</v>
      </c>
      <c r="C93" s="348" t="s">
        <v>255</v>
      </c>
      <c r="D93" s="108">
        <v>29</v>
      </c>
      <c r="E93" s="108">
        <v>23</v>
      </c>
      <c r="F93" s="108">
        <v>27</v>
      </c>
      <c r="G93" s="108">
        <v>47</v>
      </c>
      <c r="H93" s="108">
        <v>18</v>
      </c>
      <c r="I93" s="108">
        <v>23</v>
      </c>
      <c r="J93" s="108">
        <v>25</v>
      </c>
      <c r="K93" s="108">
        <v>15</v>
      </c>
      <c r="L93" s="108">
        <v>35</v>
      </c>
      <c r="M93" s="108">
        <v>30</v>
      </c>
      <c r="N93" s="108">
        <v>20</v>
      </c>
      <c r="O93" s="108">
        <v>18</v>
      </c>
      <c r="P93" s="108">
        <v>310</v>
      </c>
    </row>
    <row r="94" spans="1:16" x14ac:dyDescent="0.3">
      <c r="A94" s="280" t="s">
        <v>231</v>
      </c>
      <c r="B94" s="348" t="s">
        <v>232</v>
      </c>
      <c r="C94" s="348" t="s">
        <v>254</v>
      </c>
      <c r="D94" s="108">
        <v>23</v>
      </c>
      <c r="E94" s="108">
        <v>29</v>
      </c>
      <c r="F94" s="108">
        <v>21</v>
      </c>
      <c r="G94" s="108">
        <v>25</v>
      </c>
      <c r="H94" s="108">
        <v>14</v>
      </c>
      <c r="I94" s="108">
        <v>31</v>
      </c>
      <c r="J94" s="108">
        <v>22</v>
      </c>
      <c r="K94" s="108">
        <v>18</v>
      </c>
      <c r="L94" s="108">
        <v>22</v>
      </c>
      <c r="M94" s="108">
        <v>30</v>
      </c>
      <c r="N94" s="108">
        <v>22</v>
      </c>
      <c r="O94" s="108">
        <v>10</v>
      </c>
      <c r="P94" s="108">
        <v>267</v>
      </c>
    </row>
    <row r="95" spans="1:16" x14ac:dyDescent="0.3">
      <c r="A95" s="280" t="s">
        <v>233</v>
      </c>
      <c r="B95" s="348" t="s">
        <v>234</v>
      </c>
      <c r="C95" s="348" t="s">
        <v>255</v>
      </c>
      <c r="D95" s="108">
        <v>32</v>
      </c>
      <c r="E95" s="108">
        <v>42</v>
      </c>
      <c r="F95" s="108">
        <v>28</v>
      </c>
      <c r="G95" s="108">
        <v>31</v>
      </c>
      <c r="H95" s="108">
        <v>27</v>
      </c>
      <c r="I95" s="108">
        <v>33</v>
      </c>
      <c r="J95" s="108">
        <v>28</v>
      </c>
      <c r="K95" s="108">
        <v>21</v>
      </c>
      <c r="L95" s="108">
        <v>32</v>
      </c>
      <c r="M95" s="108">
        <v>44</v>
      </c>
      <c r="N95" s="108">
        <v>18</v>
      </c>
      <c r="O95" s="108">
        <v>21</v>
      </c>
      <c r="P95" s="108">
        <v>357</v>
      </c>
    </row>
    <row r="96" spans="1:16" x14ac:dyDescent="0.3">
      <c r="A96" s="280" t="s">
        <v>235</v>
      </c>
      <c r="B96" s="348" t="s">
        <v>236</v>
      </c>
      <c r="C96" s="348" t="s">
        <v>253</v>
      </c>
      <c r="D96" s="108">
        <v>17</v>
      </c>
      <c r="E96" s="108">
        <v>18</v>
      </c>
      <c r="F96" s="108">
        <v>10</v>
      </c>
      <c r="G96" s="108">
        <v>16</v>
      </c>
      <c r="H96" s="108">
        <v>10</v>
      </c>
      <c r="I96" s="108">
        <v>10</v>
      </c>
      <c r="J96" s="108">
        <v>11</v>
      </c>
      <c r="K96" s="108">
        <v>12</v>
      </c>
      <c r="L96" s="108">
        <v>19</v>
      </c>
      <c r="M96" s="108">
        <v>16</v>
      </c>
      <c r="N96" s="108">
        <v>6</v>
      </c>
      <c r="O96" s="108">
        <v>11</v>
      </c>
      <c r="P96" s="108">
        <v>156</v>
      </c>
    </row>
    <row r="97" spans="1:16" x14ac:dyDescent="0.3">
      <c r="A97" s="280" t="s">
        <v>241</v>
      </c>
      <c r="B97" s="348" t="s">
        <v>242</v>
      </c>
      <c r="C97" s="348" t="s">
        <v>255</v>
      </c>
      <c r="D97" s="108">
        <v>38</v>
      </c>
      <c r="E97" s="108">
        <v>43</v>
      </c>
      <c r="F97" s="108">
        <v>37</v>
      </c>
      <c r="G97" s="108">
        <v>26</v>
      </c>
      <c r="H97" s="108">
        <v>21</v>
      </c>
      <c r="I97" s="108">
        <v>21</v>
      </c>
      <c r="J97" s="108">
        <v>30</v>
      </c>
      <c r="K97" s="108">
        <v>32</v>
      </c>
      <c r="L97" s="108">
        <v>24</v>
      </c>
      <c r="M97" s="108">
        <v>18</v>
      </c>
      <c r="N97" s="108">
        <v>14</v>
      </c>
      <c r="O97" s="108">
        <v>13</v>
      </c>
      <c r="P97" s="108">
        <v>317</v>
      </c>
    </row>
    <row r="98" spans="1:16" x14ac:dyDescent="0.3">
      <c r="A98" s="280" t="s">
        <v>243</v>
      </c>
      <c r="B98" s="348" t="s">
        <v>244</v>
      </c>
      <c r="C98" s="348" t="s">
        <v>255</v>
      </c>
      <c r="D98" s="108">
        <v>23</v>
      </c>
      <c r="E98" s="108">
        <v>27</v>
      </c>
      <c r="F98" s="108">
        <v>8</v>
      </c>
      <c r="G98" s="108">
        <v>18</v>
      </c>
      <c r="H98" s="108">
        <v>17</v>
      </c>
      <c r="I98" s="108">
        <v>25</v>
      </c>
      <c r="J98" s="108">
        <v>20</v>
      </c>
      <c r="K98" s="108">
        <v>13</v>
      </c>
      <c r="L98" s="108">
        <v>17</v>
      </c>
      <c r="M98" s="108">
        <v>26</v>
      </c>
      <c r="N98" s="108">
        <v>16</v>
      </c>
      <c r="O98" s="108">
        <v>6</v>
      </c>
      <c r="P98" s="108">
        <v>216</v>
      </c>
    </row>
    <row r="99" spans="1:16" x14ac:dyDescent="0.3">
      <c r="A99" s="280" t="s">
        <v>245</v>
      </c>
      <c r="B99" s="348" t="s">
        <v>246</v>
      </c>
      <c r="C99" s="348" t="s">
        <v>251</v>
      </c>
      <c r="D99" s="108">
        <v>20</v>
      </c>
      <c r="E99" s="108">
        <v>29</v>
      </c>
      <c r="F99" s="108">
        <v>19</v>
      </c>
      <c r="G99" s="108">
        <v>28</v>
      </c>
      <c r="H99" s="108">
        <v>24</v>
      </c>
      <c r="I99" s="108">
        <v>20</v>
      </c>
      <c r="J99" s="108">
        <v>23</v>
      </c>
      <c r="K99" s="108">
        <v>23</v>
      </c>
      <c r="L99" s="108">
        <v>23</v>
      </c>
      <c r="M99" s="108">
        <v>48</v>
      </c>
      <c r="N99" s="108">
        <v>24</v>
      </c>
      <c r="O99" s="108">
        <v>22</v>
      </c>
      <c r="P99" s="108">
        <v>303</v>
      </c>
    </row>
    <row r="100" spans="1:16" x14ac:dyDescent="0.3">
      <c r="A100" s="280" t="s">
        <v>13</v>
      </c>
      <c r="B100" s="348" t="s">
        <v>14</v>
      </c>
      <c r="C100" s="348" t="s">
        <v>254</v>
      </c>
      <c r="D100" s="108">
        <v>68</v>
      </c>
      <c r="E100" s="108">
        <v>69</v>
      </c>
      <c r="F100" s="108">
        <v>62</v>
      </c>
      <c r="G100" s="108">
        <v>64</v>
      </c>
      <c r="H100" s="108">
        <v>63</v>
      </c>
      <c r="I100" s="108">
        <v>63</v>
      </c>
      <c r="J100" s="108">
        <v>63</v>
      </c>
      <c r="K100" s="108">
        <v>47</v>
      </c>
      <c r="L100" s="108">
        <v>91</v>
      </c>
      <c r="M100" s="108">
        <v>182</v>
      </c>
      <c r="N100" s="108">
        <v>116</v>
      </c>
      <c r="O100" s="108">
        <v>82</v>
      </c>
      <c r="P100" s="108">
        <v>970</v>
      </c>
    </row>
    <row r="101" spans="1:16" x14ac:dyDescent="0.3">
      <c r="A101" s="280" t="s">
        <v>33</v>
      </c>
      <c r="B101" s="348" t="s">
        <v>34</v>
      </c>
      <c r="C101" s="348" t="s">
        <v>255</v>
      </c>
      <c r="D101" s="108">
        <v>26</v>
      </c>
      <c r="E101" s="108">
        <v>26</v>
      </c>
      <c r="F101" s="108">
        <v>28</v>
      </c>
      <c r="G101" s="108">
        <v>39</v>
      </c>
      <c r="H101" s="108">
        <v>29</v>
      </c>
      <c r="I101" s="108">
        <v>19</v>
      </c>
      <c r="J101" s="108">
        <v>22</v>
      </c>
      <c r="K101" s="108">
        <v>18</v>
      </c>
      <c r="L101" s="108">
        <v>22</v>
      </c>
      <c r="M101" s="108">
        <v>32</v>
      </c>
      <c r="N101" s="108">
        <v>32</v>
      </c>
      <c r="O101" s="108">
        <v>15</v>
      </c>
      <c r="P101" s="108">
        <v>308</v>
      </c>
    </row>
    <row r="102" spans="1:16" x14ac:dyDescent="0.3">
      <c r="A102" s="280" t="s">
        <v>51</v>
      </c>
      <c r="B102" s="348" t="s">
        <v>52</v>
      </c>
      <c r="C102" s="348" t="s">
        <v>252</v>
      </c>
      <c r="D102" s="108">
        <v>37</v>
      </c>
      <c r="E102" s="108">
        <v>41</v>
      </c>
      <c r="F102" s="108">
        <v>26</v>
      </c>
      <c r="G102" s="108">
        <v>40</v>
      </c>
      <c r="H102" s="108">
        <v>26</v>
      </c>
      <c r="I102" s="108">
        <v>29</v>
      </c>
      <c r="J102" s="108">
        <v>31</v>
      </c>
      <c r="K102" s="108">
        <v>25</v>
      </c>
      <c r="L102" s="108">
        <v>21</v>
      </c>
      <c r="M102" s="108">
        <v>60</v>
      </c>
      <c r="N102" s="108">
        <v>39</v>
      </c>
      <c r="O102" s="108">
        <v>26</v>
      </c>
      <c r="P102" s="108">
        <v>401</v>
      </c>
    </row>
    <row r="103" spans="1:16" x14ac:dyDescent="0.3">
      <c r="A103" s="280" t="s">
        <v>53</v>
      </c>
      <c r="B103" s="348" t="s">
        <v>54</v>
      </c>
      <c r="C103" s="348" t="s">
        <v>251</v>
      </c>
      <c r="D103" s="108">
        <v>153</v>
      </c>
      <c r="E103" s="108">
        <v>174</v>
      </c>
      <c r="F103" s="108">
        <v>124</v>
      </c>
      <c r="G103" s="108">
        <v>155</v>
      </c>
      <c r="H103" s="108">
        <v>101</v>
      </c>
      <c r="I103" s="108">
        <v>139</v>
      </c>
      <c r="J103" s="108">
        <v>109</v>
      </c>
      <c r="K103" s="108">
        <v>117</v>
      </c>
      <c r="L103" s="108">
        <v>145</v>
      </c>
      <c r="M103" s="108">
        <v>212</v>
      </c>
      <c r="N103" s="108">
        <v>128</v>
      </c>
      <c r="O103" s="108">
        <v>108</v>
      </c>
      <c r="P103" s="108">
        <v>1665</v>
      </c>
    </row>
    <row r="104" spans="1:16" x14ac:dyDescent="0.3">
      <c r="A104" s="280" t="s">
        <v>65</v>
      </c>
      <c r="B104" s="348" t="s">
        <v>66</v>
      </c>
      <c r="C104" s="348" t="s">
        <v>252</v>
      </c>
      <c r="D104" s="108">
        <v>38</v>
      </c>
      <c r="E104" s="108">
        <v>50</v>
      </c>
      <c r="F104" s="108">
        <v>46</v>
      </c>
      <c r="G104" s="108">
        <v>46</v>
      </c>
      <c r="H104" s="108">
        <v>58</v>
      </c>
      <c r="I104" s="108">
        <v>39</v>
      </c>
      <c r="J104" s="108">
        <v>40</v>
      </c>
      <c r="K104" s="108">
        <v>30</v>
      </c>
      <c r="L104" s="108">
        <v>25</v>
      </c>
      <c r="M104" s="108">
        <v>27</v>
      </c>
      <c r="N104" s="108">
        <v>23</v>
      </c>
      <c r="O104" s="108">
        <v>22</v>
      </c>
      <c r="P104" s="108">
        <v>444</v>
      </c>
    </row>
    <row r="105" spans="1:16" x14ac:dyDescent="0.3">
      <c r="A105" s="280" t="s">
        <v>81</v>
      </c>
      <c r="B105" s="348" t="s">
        <v>82</v>
      </c>
      <c r="C105" s="348" t="s">
        <v>251</v>
      </c>
      <c r="D105" s="108">
        <v>6</v>
      </c>
      <c r="E105" s="108">
        <v>21</v>
      </c>
      <c r="F105" s="108">
        <v>12</v>
      </c>
      <c r="G105" s="108">
        <v>10</v>
      </c>
      <c r="H105" s="108">
        <v>14</v>
      </c>
      <c r="I105" s="108">
        <v>10</v>
      </c>
      <c r="J105" s="108">
        <v>13</v>
      </c>
      <c r="K105" s="108">
        <v>5</v>
      </c>
      <c r="L105" s="108">
        <v>9</v>
      </c>
      <c r="M105" s="108">
        <v>6</v>
      </c>
      <c r="N105" s="108">
        <v>10</v>
      </c>
      <c r="O105" s="108">
        <v>10</v>
      </c>
      <c r="P105" s="108">
        <v>126</v>
      </c>
    </row>
    <row r="106" spans="1:16" x14ac:dyDescent="0.3">
      <c r="A106" s="280" t="s">
        <v>87</v>
      </c>
      <c r="B106" s="348" t="s">
        <v>88</v>
      </c>
      <c r="C106" s="348" t="s">
        <v>254</v>
      </c>
      <c r="D106" s="108">
        <v>37</v>
      </c>
      <c r="E106" s="108">
        <v>40</v>
      </c>
      <c r="F106" s="108">
        <v>23</v>
      </c>
      <c r="G106" s="108">
        <v>38</v>
      </c>
      <c r="H106" s="108">
        <v>36</v>
      </c>
      <c r="I106" s="108">
        <v>33</v>
      </c>
      <c r="J106" s="108">
        <v>35</v>
      </c>
      <c r="K106" s="108">
        <v>17</v>
      </c>
      <c r="L106" s="108">
        <v>28</v>
      </c>
      <c r="M106" s="108">
        <v>44</v>
      </c>
      <c r="N106" s="108">
        <v>18</v>
      </c>
      <c r="O106" s="108">
        <v>15</v>
      </c>
      <c r="P106" s="108">
        <v>364</v>
      </c>
    </row>
    <row r="107" spans="1:16" x14ac:dyDescent="0.3">
      <c r="A107" s="280" t="s">
        <v>89</v>
      </c>
      <c r="B107" s="348" t="s">
        <v>90</v>
      </c>
      <c r="C107" s="348" t="s">
        <v>255</v>
      </c>
      <c r="D107" s="108">
        <v>5</v>
      </c>
      <c r="E107" s="108">
        <v>6</v>
      </c>
      <c r="F107" s="108">
        <v>5</v>
      </c>
      <c r="G107" s="108">
        <v>2</v>
      </c>
      <c r="H107" s="108">
        <v>3</v>
      </c>
      <c r="I107" s="108">
        <v>4</v>
      </c>
      <c r="J107" s="108">
        <v>1</v>
      </c>
      <c r="K107" s="108"/>
      <c r="L107" s="108">
        <v>2</v>
      </c>
      <c r="M107" s="108">
        <v>7</v>
      </c>
      <c r="N107" s="108">
        <v>2</v>
      </c>
      <c r="O107" s="108">
        <v>2</v>
      </c>
      <c r="P107" s="108">
        <v>39</v>
      </c>
    </row>
    <row r="108" spans="1:16" x14ac:dyDescent="0.3">
      <c r="A108" s="280" t="s">
        <v>105</v>
      </c>
      <c r="B108" s="348" t="s">
        <v>106</v>
      </c>
      <c r="C108" s="348" t="s">
        <v>251</v>
      </c>
      <c r="D108" s="108">
        <v>145</v>
      </c>
      <c r="E108" s="108">
        <v>131</v>
      </c>
      <c r="F108" s="108">
        <v>145</v>
      </c>
      <c r="G108" s="108">
        <v>142</v>
      </c>
      <c r="H108" s="108">
        <v>123</v>
      </c>
      <c r="I108" s="108">
        <v>124</v>
      </c>
      <c r="J108" s="108">
        <v>117</v>
      </c>
      <c r="K108" s="108">
        <v>116</v>
      </c>
      <c r="L108" s="108">
        <v>108</v>
      </c>
      <c r="M108" s="108">
        <v>183</v>
      </c>
      <c r="N108" s="108">
        <v>102</v>
      </c>
      <c r="O108" s="108">
        <v>98</v>
      </c>
      <c r="P108" s="108">
        <v>1534</v>
      </c>
    </row>
    <row r="109" spans="1:16" x14ac:dyDescent="0.3">
      <c r="A109" s="280" t="s">
        <v>115</v>
      </c>
      <c r="B109" s="348" t="s">
        <v>116</v>
      </c>
      <c r="C109" s="348" t="s">
        <v>253</v>
      </c>
      <c r="D109" s="108">
        <v>39</v>
      </c>
      <c r="E109" s="108">
        <v>21</v>
      </c>
      <c r="F109" s="108">
        <v>35</v>
      </c>
      <c r="G109" s="108">
        <v>26</v>
      </c>
      <c r="H109" s="108">
        <v>18</v>
      </c>
      <c r="I109" s="108">
        <v>20</v>
      </c>
      <c r="J109" s="108">
        <v>22</v>
      </c>
      <c r="K109" s="108">
        <v>25</v>
      </c>
      <c r="L109" s="108">
        <v>21</v>
      </c>
      <c r="M109" s="108">
        <v>31</v>
      </c>
      <c r="N109" s="108">
        <v>12</v>
      </c>
      <c r="O109" s="108">
        <v>8</v>
      </c>
      <c r="P109" s="108">
        <v>278</v>
      </c>
    </row>
    <row r="110" spans="1:16" x14ac:dyDescent="0.3">
      <c r="A110" s="280" t="s">
        <v>137</v>
      </c>
      <c r="B110" s="348" t="s">
        <v>138</v>
      </c>
      <c r="C110" s="348" t="s">
        <v>252</v>
      </c>
      <c r="D110" s="108">
        <v>80</v>
      </c>
      <c r="E110" s="108">
        <v>73</v>
      </c>
      <c r="F110" s="108">
        <v>60</v>
      </c>
      <c r="G110" s="108">
        <v>83</v>
      </c>
      <c r="H110" s="108">
        <v>71</v>
      </c>
      <c r="I110" s="108">
        <v>72</v>
      </c>
      <c r="J110" s="108">
        <v>57</v>
      </c>
      <c r="K110" s="108">
        <v>53</v>
      </c>
      <c r="L110" s="108">
        <v>40</v>
      </c>
      <c r="M110" s="108">
        <v>58</v>
      </c>
      <c r="N110" s="108">
        <v>34</v>
      </c>
      <c r="O110" s="108">
        <v>31</v>
      </c>
      <c r="P110" s="108">
        <v>712</v>
      </c>
    </row>
    <row r="111" spans="1:16" x14ac:dyDescent="0.3">
      <c r="A111" s="280" t="s">
        <v>141</v>
      </c>
      <c r="B111" s="348" t="s">
        <v>142</v>
      </c>
      <c r="C111" s="348" t="s">
        <v>254</v>
      </c>
      <c r="D111" s="108">
        <v>17</v>
      </c>
      <c r="E111" s="108">
        <v>18</v>
      </c>
      <c r="F111" s="108">
        <v>20</v>
      </c>
      <c r="G111" s="108">
        <v>23</v>
      </c>
      <c r="H111" s="108">
        <v>7</v>
      </c>
      <c r="I111" s="108">
        <v>15</v>
      </c>
      <c r="J111" s="108">
        <v>17</v>
      </c>
      <c r="K111" s="108">
        <v>14</v>
      </c>
      <c r="L111" s="108">
        <v>17</v>
      </c>
      <c r="M111" s="108">
        <v>35</v>
      </c>
      <c r="N111" s="108">
        <v>26</v>
      </c>
      <c r="O111" s="108">
        <v>17</v>
      </c>
      <c r="P111" s="108">
        <v>226</v>
      </c>
    </row>
    <row r="112" spans="1:16" x14ac:dyDescent="0.3">
      <c r="A112" s="280" t="s">
        <v>143</v>
      </c>
      <c r="B112" s="348" t="s">
        <v>144</v>
      </c>
      <c r="C112" s="348" t="s">
        <v>254</v>
      </c>
      <c r="D112" s="108">
        <v>6</v>
      </c>
      <c r="E112" s="108">
        <v>9</v>
      </c>
      <c r="F112" s="108">
        <v>2</v>
      </c>
      <c r="G112" s="108">
        <v>4</v>
      </c>
      <c r="H112" s="108">
        <v>5</v>
      </c>
      <c r="I112" s="108">
        <v>10</v>
      </c>
      <c r="J112" s="108">
        <v>3</v>
      </c>
      <c r="K112" s="108">
        <v>1</v>
      </c>
      <c r="L112" s="108">
        <v>7</v>
      </c>
      <c r="M112" s="108">
        <v>13</v>
      </c>
      <c r="N112" s="108">
        <v>6</v>
      </c>
      <c r="O112" s="108">
        <v>5</v>
      </c>
      <c r="P112" s="108">
        <v>71</v>
      </c>
    </row>
    <row r="113" spans="1:16" x14ac:dyDescent="0.3">
      <c r="A113" s="280" t="s">
        <v>157</v>
      </c>
      <c r="B113" s="348" t="s">
        <v>158</v>
      </c>
      <c r="C113" s="348" t="s">
        <v>251</v>
      </c>
      <c r="D113" s="108">
        <v>300</v>
      </c>
      <c r="E113" s="108">
        <v>286</v>
      </c>
      <c r="F113" s="108">
        <v>283</v>
      </c>
      <c r="G113" s="108">
        <v>289</v>
      </c>
      <c r="H113" s="108">
        <v>235</v>
      </c>
      <c r="I113" s="108">
        <v>229</v>
      </c>
      <c r="J113" s="108">
        <v>223</v>
      </c>
      <c r="K113" s="108">
        <v>212</v>
      </c>
      <c r="L113" s="108">
        <v>164</v>
      </c>
      <c r="M113" s="108">
        <v>281</v>
      </c>
      <c r="N113" s="108">
        <v>163</v>
      </c>
      <c r="O113" s="108">
        <v>140</v>
      </c>
      <c r="P113" s="108">
        <v>2805</v>
      </c>
    </row>
    <row r="114" spans="1:16" x14ac:dyDescent="0.3">
      <c r="A114" s="280" t="s">
        <v>159</v>
      </c>
      <c r="B114" s="348" t="s">
        <v>160</v>
      </c>
      <c r="C114" s="348" t="s">
        <v>251</v>
      </c>
      <c r="D114" s="108">
        <v>267</v>
      </c>
      <c r="E114" s="108">
        <v>271</v>
      </c>
      <c r="F114" s="108">
        <v>228</v>
      </c>
      <c r="G114" s="108">
        <v>262</v>
      </c>
      <c r="H114" s="108">
        <v>253</v>
      </c>
      <c r="I114" s="108">
        <v>225</v>
      </c>
      <c r="J114" s="108">
        <v>216</v>
      </c>
      <c r="K114" s="108">
        <v>212</v>
      </c>
      <c r="L114" s="108">
        <v>149</v>
      </c>
      <c r="M114" s="108">
        <v>291</v>
      </c>
      <c r="N114" s="108">
        <v>185</v>
      </c>
      <c r="O114" s="108">
        <v>194</v>
      </c>
      <c r="P114" s="108">
        <v>2753</v>
      </c>
    </row>
    <row r="115" spans="1:16" x14ac:dyDescent="0.3">
      <c r="A115" s="280" t="s">
        <v>165</v>
      </c>
      <c r="B115" s="348" t="s">
        <v>166</v>
      </c>
      <c r="C115" s="348" t="s">
        <v>255</v>
      </c>
      <c r="D115" s="108">
        <v>5</v>
      </c>
      <c r="E115" s="108">
        <v>7</v>
      </c>
      <c r="F115" s="108">
        <v>2</v>
      </c>
      <c r="G115" s="108">
        <v>2</v>
      </c>
      <c r="H115" s="108">
        <v>3</v>
      </c>
      <c r="I115" s="108">
        <v>4</v>
      </c>
      <c r="J115" s="108">
        <v>2</v>
      </c>
      <c r="K115" s="108">
        <v>2</v>
      </c>
      <c r="L115" s="108">
        <v>3</v>
      </c>
      <c r="M115" s="108">
        <v>3</v>
      </c>
      <c r="N115" s="108">
        <v>3</v>
      </c>
      <c r="O115" s="108">
        <v>3</v>
      </c>
      <c r="P115" s="108">
        <v>39</v>
      </c>
    </row>
    <row r="116" spans="1:16" x14ac:dyDescent="0.3">
      <c r="A116" s="280" t="s">
        <v>175</v>
      </c>
      <c r="B116" s="348" t="s">
        <v>176</v>
      </c>
      <c r="C116" s="348" t="s">
        <v>253</v>
      </c>
      <c r="D116" s="108">
        <v>85</v>
      </c>
      <c r="E116" s="108">
        <v>68</v>
      </c>
      <c r="F116" s="108">
        <v>64</v>
      </c>
      <c r="G116" s="108">
        <v>80</v>
      </c>
      <c r="H116" s="108">
        <v>50</v>
      </c>
      <c r="I116" s="108">
        <v>60</v>
      </c>
      <c r="J116" s="108">
        <v>60</v>
      </c>
      <c r="K116" s="108">
        <v>55</v>
      </c>
      <c r="L116" s="108">
        <v>36</v>
      </c>
      <c r="M116" s="108">
        <v>42</v>
      </c>
      <c r="N116" s="108">
        <v>35</v>
      </c>
      <c r="O116" s="108">
        <v>38</v>
      </c>
      <c r="P116" s="108">
        <v>673</v>
      </c>
    </row>
    <row r="117" spans="1:16" x14ac:dyDescent="0.3">
      <c r="A117" s="280" t="s">
        <v>179</v>
      </c>
      <c r="B117" s="348" t="s">
        <v>180</v>
      </c>
      <c r="C117" s="348" t="s">
        <v>251</v>
      </c>
      <c r="D117" s="108">
        <v>101</v>
      </c>
      <c r="E117" s="108">
        <v>126</v>
      </c>
      <c r="F117" s="108">
        <v>112</v>
      </c>
      <c r="G117" s="108">
        <v>117</v>
      </c>
      <c r="H117" s="108">
        <v>106</v>
      </c>
      <c r="I117" s="108">
        <v>89</v>
      </c>
      <c r="J117" s="108">
        <v>106</v>
      </c>
      <c r="K117" s="108">
        <v>95</v>
      </c>
      <c r="L117" s="108">
        <v>79</v>
      </c>
      <c r="M117" s="108">
        <v>96</v>
      </c>
      <c r="N117" s="108">
        <v>107</v>
      </c>
      <c r="O117" s="108">
        <v>55</v>
      </c>
      <c r="P117" s="108">
        <v>1189</v>
      </c>
    </row>
    <row r="118" spans="1:16" x14ac:dyDescent="0.3">
      <c r="A118" s="280" t="s">
        <v>191</v>
      </c>
      <c r="B118" s="348" t="s">
        <v>192</v>
      </c>
      <c r="C118" s="348" t="s">
        <v>255</v>
      </c>
      <c r="D118" s="108">
        <v>2</v>
      </c>
      <c r="E118" s="108">
        <v>6</v>
      </c>
      <c r="F118" s="108">
        <v>10</v>
      </c>
      <c r="G118" s="108">
        <v>10</v>
      </c>
      <c r="H118" s="108">
        <v>11</v>
      </c>
      <c r="I118" s="108">
        <v>8</v>
      </c>
      <c r="J118" s="108">
        <v>12</v>
      </c>
      <c r="K118" s="108">
        <v>9</v>
      </c>
      <c r="L118" s="108">
        <v>10</v>
      </c>
      <c r="M118" s="108">
        <v>9</v>
      </c>
      <c r="N118" s="108">
        <v>3</v>
      </c>
      <c r="O118" s="108">
        <v>3</v>
      </c>
      <c r="P118" s="108">
        <v>93</v>
      </c>
    </row>
    <row r="119" spans="1:16" x14ac:dyDescent="0.3">
      <c r="A119" s="280" t="s">
        <v>195</v>
      </c>
      <c r="B119" s="348" t="s">
        <v>196</v>
      </c>
      <c r="C119" s="348" t="s">
        <v>253</v>
      </c>
      <c r="D119" s="108">
        <v>271</v>
      </c>
      <c r="E119" s="108">
        <v>315</v>
      </c>
      <c r="F119" s="108">
        <v>261</v>
      </c>
      <c r="G119" s="108">
        <v>269</v>
      </c>
      <c r="H119" s="108">
        <v>233</v>
      </c>
      <c r="I119" s="108">
        <v>241</v>
      </c>
      <c r="J119" s="108">
        <v>206</v>
      </c>
      <c r="K119" s="108">
        <v>203</v>
      </c>
      <c r="L119" s="108">
        <v>212</v>
      </c>
      <c r="M119" s="108">
        <v>244</v>
      </c>
      <c r="N119" s="108">
        <v>155</v>
      </c>
      <c r="O119" s="108">
        <v>122</v>
      </c>
      <c r="P119" s="108">
        <v>2732</v>
      </c>
    </row>
    <row r="120" spans="1:16" x14ac:dyDescent="0.3">
      <c r="A120" s="280" t="s">
        <v>199</v>
      </c>
      <c r="B120" s="348" t="s">
        <v>200</v>
      </c>
      <c r="C120" s="348" t="s">
        <v>252</v>
      </c>
      <c r="D120" s="108">
        <v>115</v>
      </c>
      <c r="E120" s="108">
        <v>121</v>
      </c>
      <c r="F120" s="108">
        <v>108</v>
      </c>
      <c r="G120" s="108">
        <v>134</v>
      </c>
      <c r="H120" s="108">
        <v>100</v>
      </c>
      <c r="I120" s="108">
        <v>96</v>
      </c>
      <c r="J120" s="108">
        <v>100</v>
      </c>
      <c r="K120" s="108">
        <v>105</v>
      </c>
      <c r="L120" s="108">
        <v>101</v>
      </c>
      <c r="M120" s="108">
        <v>121</v>
      </c>
      <c r="N120" s="108">
        <v>79</v>
      </c>
      <c r="O120" s="108">
        <v>64</v>
      </c>
      <c r="P120" s="108">
        <v>1244</v>
      </c>
    </row>
    <row r="121" spans="1:16" x14ac:dyDescent="0.3">
      <c r="A121" s="280" t="s">
        <v>221</v>
      </c>
      <c r="B121" s="348" t="s">
        <v>222</v>
      </c>
      <c r="C121" s="348" t="s">
        <v>251</v>
      </c>
      <c r="D121" s="108">
        <v>64</v>
      </c>
      <c r="E121" s="108">
        <v>68</v>
      </c>
      <c r="F121" s="108">
        <v>69</v>
      </c>
      <c r="G121" s="108">
        <v>79</v>
      </c>
      <c r="H121" s="108">
        <v>49</v>
      </c>
      <c r="I121" s="108">
        <v>55</v>
      </c>
      <c r="J121" s="108">
        <v>59</v>
      </c>
      <c r="K121" s="108">
        <v>69</v>
      </c>
      <c r="L121" s="108">
        <v>35</v>
      </c>
      <c r="M121" s="108">
        <v>54</v>
      </c>
      <c r="N121" s="108">
        <v>42</v>
      </c>
      <c r="O121" s="108">
        <v>31</v>
      </c>
      <c r="P121" s="108">
        <v>674</v>
      </c>
    </row>
    <row r="122" spans="1:16" x14ac:dyDescent="0.3">
      <c r="A122" s="280" t="s">
        <v>229</v>
      </c>
      <c r="B122" s="348" t="s">
        <v>230</v>
      </c>
      <c r="C122" s="348" t="s">
        <v>251</v>
      </c>
      <c r="D122" s="108">
        <v>228</v>
      </c>
      <c r="E122" s="108">
        <v>236</v>
      </c>
      <c r="F122" s="108">
        <v>233</v>
      </c>
      <c r="G122" s="108">
        <v>253</v>
      </c>
      <c r="H122" s="108">
        <v>208</v>
      </c>
      <c r="I122" s="108">
        <v>215</v>
      </c>
      <c r="J122" s="108">
        <v>238</v>
      </c>
      <c r="K122" s="108">
        <v>237</v>
      </c>
      <c r="L122" s="108">
        <v>187</v>
      </c>
      <c r="M122" s="108">
        <v>414</v>
      </c>
      <c r="N122" s="108">
        <v>223</v>
      </c>
      <c r="O122" s="108">
        <v>134</v>
      </c>
      <c r="P122" s="108">
        <v>2806</v>
      </c>
    </row>
    <row r="123" spans="1:16" x14ac:dyDescent="0.3">
      <c r="A123" s="280" t="s">
        <v>237</v>
      </c>
      <c r="B123" s="348" t="s">
        <v>238</v>
      </c>
      <c r="C123" s="348" t="s">
        <v>251</v>
      </c>
      <c r="D123" s="108">
        <v>5</v>
      </c>
      <c r="E123" s="108">
        <v>7</v>
      </c>
      <c r="F123" s="108">
        <v>12</v>
      </c>
      <c r="G123" s="108">
        <v>8</v>
      </c>
      <c r="H123" s="108">
        <v>5</v>
      </c>
      <c r="I123" s="108">
        <v>6</v>
      </c>
      <c r="J123" s="108">
        <v>10</v>
      </c>
      <c r="K123" s="108">
        <v>13</v>
      </c>
      <c r="L123" s="108">
        <v>7</v>
      </c>
      <c r="M123" s="108">
        <v>11</v>
      </c>
      <c r="N123" s="108">
        <v>9</v>
      </c>
      <c r="O123" s="108">
        <v>7</v>
      </c>
      <c r="P123" s="108">
        <v>100</v>
      </c>
    </row>
    <row r="124" spans="1:16" x14ac:dyDescent="0.3">
      <c r="A124" s="281" t="s">
        <v>239</v>
      </c>
      <c r="B124" s="282" t="s">
        <v>240</v>
      </c>
      <c r="C124" s="282" t="s">
        <v>254</v>
      </c>
      <c r="D124" s="108">
        <v>24</v>
      </c>
      <c r="E124" s="108">
        <v>26</v>
      </c>
      <c r="F124" s="108">
        <v>19</v>
      </c>
      <c r="G124" s="108">
        <v>12</v>
      </c>
      <c r="H124" s="108">
        <v>16</v>
      </c>
      <c r="I124" s="108">
        <v>21</v>
      </c>
      <c r="J124" s="108">
        <v>27</v>
      </c>
      <c r="K124" s="108">
        <v>16</v>
      </c>
      <c r="L124" s="108">
        <v>18</v>
      </c>
      <c r="M124" s="108">
        <v>36</v>
      </c>
      <c r="N124" s="108">
        <v>27</v>
      </c>
      <c r="O124" s="108">
        <v>12</v>
      </c>
      <c r="P124" s="108">
        <v>254</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F5" activePane="bottomRight" state="frozen"/>
      <selection pane="topRight" activeCell="D1" sqref="D1"/>
      <selection pane="bottomLeft" activeCell="A5" sqref="A5"/>
      <selection pane="bottomRight" activeCell="L126" sqref="L126"/>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882</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33869</v>
      </c>
      <c r="E4" s="1106">
        <f t="shared" ref="E4:P4" si="0">SUM(E5:E124)</f>
        <v>36302</v>
      </c>
      <c r="F4" s="1106">
        <f t="shared" si="0"/>
        <v>35169</v>
      </c>
      <c r="G4" s="1106">
        <f t="shared" si="0"/>
        <v>40697</v>
      </c>
      <c r="H4" s="1107">
        <f t="shared" si="0"/>
        <v>63396</v>
      </c>
      <c r="I4" s="1107">
        <f t="shared" si="0"/>
        <v>64808</v>
      </c>
      <c r="J4" s="1107">
        <f t="shared" si="0"/>
        <v>36569</v>
      </c>
      <c r="K4" s="1107">
        <f t="shared" si="0"/>
        <v>32148</v>
      </c>
      <c r="L4" s="1107">
        <f t="shared" si="0"/>
        <v>34954</v>
      </c>
      <c r="M4" s="1107">
        <f t="shared" si="0"/>
        <v>29449</v>
      </c>
      <c r="N4" s="1107">
        <f t="shared" si="0"/>
        <v>24070</v>
      </c>
      <c r="O4" s="1107">
        <f t="shared" si="0"/>
        <v>25405</v>
      </c>
      <c r="P4" s="1107">
        <f t="shared" si="0"/>
        <v>456836</v>
      </c>
    </row>
    <row r="5" spans="1:16" x14ac:dyDescent="0.3">
      <c r="A5" s="279" t="s">
        <v>9</v>
      </c>
      <c r="B5" s="324" t="s">
        <v>10</v>
      </c>
      <c r="C5" s="324" t="s">
        <v>251</v>
      </c>
      <c r="D5" s="108">
        <v>152</v>
      </c>
      <c r="E5" s="108">
        <v>157</v>
      </c>
      <c r="F5" s="108">
        <v>189</v>
      </c>
      <c r="G5" s="108">
        <v>223</v>
      </c>
      <c r="H5" s="108">
        <v>247</v>
      </c>
      <c r="I5" s="108">
        <v>267</v>
      </c>
      <c r="J5" s="108">
        <v>165</v>
      </c>
      <c r="K5" s="108">
        <v>181</v>
      </c>
      <c r="L5" s="108">
        <v>147</v>
      </c>
      <c r="M5" s="108">
        <v>132</v>
      </c>
      <c r="N5" s="108">
        <v>87</v>
      </c>
      <c r="O5" s="108">
        <v>93</v>
      </c>
      <c r="P5" s="108">
        <v>2040</v>
      </c>
    </row>
    <row r="6" spans="1:16" x14ac:dyDescent="0.3">
      <c r="A6" s="280" t="s">
        <v>11</v>
      </c>
      <c r="B6" s="348" t="s">
        <v>12</v>
      </c>
      <c r="C6" s="348" t="s">
        <v>252</v>
      </c>
      <c r="D6" s="108">
        <v>310</v>
      </c>
      <c r="E6" s="108">
        <v>328</v>
      </c>
      <c r="F6" s="108">
        <v>287</v>
      </c>
      <c r="G6" s="108">
        <v>333</v>
      </c>
      <c r="H6" s="108">
        <v>652</v>
      </c>
      <c r="I6" s="108">
        <v>610</v>
      </c>
      <c r="J6" s="108">
        <v>353</v>
      </c>
      <c r="K6" s="108">
        <v>306</v>
      </c>
      <c r="L6" s="108">
        <v>328</v>
      </c>
      <c r="M6" s="108">
        <v>297</v>
      </c>
      <c r="N6" s="108">
        <v>217</v>
      </c>
      <c r="O6" s="108">
        <v>231</v>
      </c>
      <c r="P6" s="108">
        <v>4252</v>
      </c>
    </row>
    <row r="7" spans="1:16" x14ac:dyDescent="0.3">
      <c r="A7" s="280" t="s">
        <v>15</v>
      </c>
      <c r="B7" s="348" t="s">
        <v>273</v>
      </c>
      <c r="C7" s="348" t="s">
        <v>252</v>
      </c>
      <c r="D7" s="108">
        <v>97</v>
      </c>
      <c r="E7" s="108">
        <v>128</v>
      </c>
      <c r="F7" s="108">
        <v>116</v>
      </c>
      <c r="G7" s="108">
        <v>124</v>
      </c>
      <c r="H7" s="108">
        <v>177</v>
      </c>
      <c r="I7" s="108">
        <v>150</v>
      </c>
      <c r="J7" s="108">
        <v>106</v>
      </c>
      <c r="K7" s="108">
        <v>99</v>
      </c>
      <c r="L7" s="108">
        <v>115</v>
      </c>
      <c r="M7" s="108">
        <v>74</v>
      </c>
      <c r="N7" s="108">
        <v>72</v>
      </c>
      <c r="O7" s="108">
        <v>60</v>
      </c>
      <c r="P7" s="108">
        <v>1318</v>
      </c>
    </row>
    <row r="8" spans="1:16" x14ac:dyDescent="0.3">
      <c r="A8" s="280" t="s">
        <v>17</v>
      </c>
      <c r="B8" s="348" t="s">
        <v>18</v>
      </c>
      <c r="C8" s="348" t="s">
        <v>253</v>
      </c>
      <c r="D8" s="108">
        <v>58</v>
      </c>
      <c r="E8" s="108">
        <v>48</v>
      </c>
      <c r="F8" s="108">
        <v>41</v>
      </c>
      <c r="G8" s="108">
        <v>66</v>
      </c>
      <c r="H8" s="108">
        <v>95</v>
      </c>
      <c r="I8" s="108">
        <v>95</v>
      </c>
      <c r="J8" s="108">
        <v>55</v>
      </c>
      <c r="K8" s="108">
        <v>42</v>
      </c>
      <c r="L8" s="108">
        <v>58</v>
      </c>
      <c r="M8" s="108">
        <v>40</v>
      </c>
      <c r="N8" s="108">
        <v>38</v>
      </c>
      <c r="O8" s="108">
        <v>38</v>
      </c>
      <c r="P8" s="108">
        <v>674</v>
      </c>
    </row>
    <row r="9" spans="1:16" x14ac:dyDescent="0.3">
      <c r="A9" s="280" t="s">
        <v>19</v>
      </c>
      <c r="B9" s="348" t="s">
        <v>20</v>
      </c>
      <c r="C9" s="348" t="s">
        <v>252</v>
      </c>
      <c r="D9" s="108">
        <v>122</v>
      </c>
      <c r="E9" s="108">
        <v>159</v>
      </c>
      <c r="F9" s="108">
        <v>116</v>
      </c>
      <c r="G9" s="108">
        <v>146</v>
      </c>
      <c r="H9" s="108">
        <v>211</v>
      </c>
      <c r="I9" s="108">
        <v>243</v>
      </c>
      <c r="J9" s="108">
        <v>139</v>
      </c>
      <c r="K9" s="108">
        <v>140</v>
      </c>
      <c r="L9" s="108">
        <v>117</v>
      </c>
      <c r="M9" s="108">
        <v>108</v>
      </c>
      <c r="N9" s="108">
        <v>92</v>
      </c>
      <c r="O9" s="108">
        <v>111</v>
      </c>
      <c r="P9" s="108">
        <v>1704</v>
      </c>
    </row>
    <row r="10" spans="1:16" x14ac:dyDescent="0.3">
      <c r="A10" s="280" t="s">
        <v>21</v>
      </c>
      <c r="B10" s="348" t="s">
        <v>22</v>
      </c>
      <c r="C10" s="348" t="s">
        <v>252</v>
      </c>
      <c r="D10" s="108">
        <v>83</v>
      </c>
      <c r="E10" s="108">
        <v>87</v>
      </c>
      <c r="F10" s="108">
        <v>74</v>
      </c>
      <c r="G10" s="108">
        <v>75</v>
      </c>
      <c r="H10" s="108">
        <v>119</v>
      </c>
      <c r="I10" s="108">
        <v>100</v>
      </c>
      <c r="J10" s="108">
        <v>74</v>
      </c>
      <c r="K10" s="108">
        <v>85</v>
      </c>
      <c r="L10" s="108">
        <v>56</v>
      </c>
      <c r="M10" s="108">
        <v>42</v>
      </c>
      <c r="N10" s="108">
        <v>37</v>
      </c>
      <c r="O10" s="108">
        <v>34</v>
      </c>
      <c r="P10" s="108">
        <v>866</v>
      </c>
    </row>
    <row r="11" spans="1:16" x14ac:dyDescent="0.3">
      <c r="A11" s="280" t="s">
        <v>23</v>
      </c>
      <c r="B11" s="348" t="s">
        <v>24</v>
      </c>
      <c r="C11" s="348" t="s">
        <v>254</v>
      </c>
      <c r="D11" s="108">
        <v>489</v>
      </c>
      <c r="E11" s="108">
        <v>472</v>
      </c>
      <c r="F11" s="108">
        <v>440</v>
      </c>
      <c r="G11" s="108">
        <v>465</v>
      </c>
      <c r="H11" s="108">
        <v>1107</v>
      </c>
      <c r="I11" s="108">
        <v>1297</v>
      </c>
      <c r="J11" s="108">
        <v>526</v>
      </c>
      <c r="K11" s="108">
        <v>435</v>
      </c>
      <c r="L11" s="108">
        <v>586</v>
      </c>
      <c r="M11" s="108">
        <v>533</v>
      </c>
      <c r="N11" s="108">
        <v>496</v>
      </c>
      <c r="O11" s="108">
        <v>477</v>
      </c>
      <c r="P11" s="108">
        <v>7323</v>
      </c>
    </row>
    <row r="12" spans="1:16" x14ac:dyDescent="0.3">
      <c r="A12" s="280" t="s">
        <v>25</v>
      </c>
      <c r="B12" s="348" t="s">
        <v>444</v>
      </c>
      <c r="C12" s="348" t="s">
        <v>252</v>
      </c>
      <c r="D12" s="108">
        <v>536</v>
      </c>
      <c r="E12" s="108">
        <v>604</v>
      </c>
      <c r="F12" s="108">
        <v>705</v>
      </c>
      <c r="G12" s="108">
        <v>732</v>
      </c>
      <c r="H12" s="108">
        <v>916</v>
      </c>
      <c r="I12" s="108">
        <v>807</v>
      </c>
      <c r="J12" s="108">
        <v>595</v>
      </c>
      <c r="K12" s="108">
        <v>565</v>
      </c>
      <c r="L12" s="108">
        <v>645</v>
      </c>
      <c r="M12" s="108">
        <v>375</v>
      </c>
      <c r="N12" s="108">
        <v>358</v>
      </c>
      <c r="O12" s="108">
        <v>387</v>
      </c>
      <c r="P12" s="108">
        <v>7225</v>
      </c>
    </row>
    <row r="13" spans="1:16" x14ac:dyDescent="0.3">
      <c r="A13" s="280" t="s">
        <v>26</v>
      </c>
      <c r="B13" s="348" t="s">
        <v>27</v>
      </c>
      <c r="C13" s="348" t="s">
        <v>252</v>
      </c>
      <c r="D13" s="108">
        <v>12</v>
      </c>
      <c r="E13" s="108">
        <v>19</v>
      </c>
      <c r="F13" s="108">
        <v>12</v>
      </c>
      <c r="G13" s="108">
        <v>16</v>
      </c>
      <c r="H13" s="108">
        <v>25</v>
      </c>
      <c r="I13" s="108">
        <v>25</v>
      </c>
      <c r="J13" s="108">
        <v>19</v>
      </c>
      <c r="K13" s="108">
        <v>15</v>
      </c>
      <c r="L13" s="108">
        <v>20</v>
      </c>
      <c r="M13" s="108">
        <v>15</v>
      </c>
      <c r="N13" s="108">
        <v>25</v>
      </c>
      <c r="O13" s="108">
        <v>26</v>
      </c>
      <c r="P13" s="108">
        <v>229</v>
      </c>
    </row>
    <row r="14" spans="1:16" x14ac:dyDescent="0.3">
      <c r="A14" s="280" t="s">
        <v>28</v>
      </c>
      <c r="B14" s="348" t="s">
        <v>568</v>
      </c>
      <c r="C14" s="348" t="s">
        <v>252</v>
      </c>
      <c r="D14" s="108">
        <v>291</v>
      </c>
      <c r="E14" s="108">
        <v>321</v>
      </c>
      <c r="F14" s="108">
        <v>296</v>
      </c>
      <c r="G14" s="108">
        <v>318</v>
      </c>
      <c r="H14" s="108">
        <v>521</v>
      </c>
      <c r="I14" s="108">
        <v>566</v>
      </c>
      <c r="J14" s="108">
        <v>324</v>
      </c>
      <c r="K14" s="108">
        <v>279</v>
      </c>
      <c r="L14" s="108">
        <v>301</v>
      </c>
      <c r="M14" s="108">
        <v>231</v>
      </c>
      <c r="N14" s="108">
        <v>208</v>
      </c>
      <c r="O14" s="108">
        <v>197</v>
      </c>
      <c r="P14" s="108">
        <v>3853</v>
      </c>
    </row>
    <row r="15" spans="1:16" x14ac:dyDescent="0.3">
      <c r="A15" s="280" t="s">
        <v>29</v>
      </c>
      <c r="B15" s="348" t="s">
        <v>30</v>
      </c>
      <c r="C15" s="348" t="s">
        <v>255</v>
      </c>
      <c r="D15" s="108">
        <v>30</v>
      </c>
      <c r="E15" s="108">
        <v>32</v>
      </c>
      <c r="F15" s="108">
        <v>27</v>
      </c>
      <c r="G15" s="108">
        <v>46</v>
      </c>
      <c r="H15" s="108">
        <v>58</v>
      </c>
      <c r="I15" s="108">
        <v>41</v>
      </c>
      <c r="J15" s="108">
        <v>18</v>
      </c>
      <c r="K15" s="108">
        <v>39</v>
      </c>
      <c r="L15" s="108">
        <v>20</v>
      </c>
      <c r="M15" s="108">
        <v>17</v>
      </c>
      <c r="N15" s="108">
        <v>20</v>
      </c>
      <c r="O15" s="108">
        <v>22</v>
      </c>
      <c r="P15" s="108">
        <v>370</v>
      </c>
    </row>
    <row r="16" spans="1:16" x14ac:dyDescent="0.3">
      <c r="A16" s="280" t="s">
        <v>31</v>
      </c>
      <c r="B16" s="348" t="s">
        <v>32</v>
      </c>
      <c r="C16" s="348" t="s">
        <v>252</v>
      </c>
      <c r="D16" s="108">
        <v>98</v>
      </c>
      <c r="E16" s="108">
        <v>105</v>
      </c>
      <c r="F16" s="108">
        <v>94</v>
      </c>
      <c r="G16" s="108">
        <v>87</v>
      </c>
      <c r="H16" s="108">
        <v>208</v>
      </c>
      <c r="I16" s="108">
        <v>190</v>
      </c>
      <c r="J16" s="108">
        <v>87</v>
      </c>
      <c r="K16" s="108">
        <v>86</v>
      </c>
      <c r="L16" s="108">
        <v>96</v>
      </c>
      <c r="M16" s="108">
        <v>78</v>
      </c>
      <c r="N16" s="108">
        <v>67</v>
      </c>
      <c r="O16" s="108">
        <v>76</v>
      </c>
      <c r="P16" s="108">
        <v>1272</v>
      </c>
    </row>
    <row r="17" spans="1:16" x14ac:dyDescent="0.3">
      <c r="A17" s="280" t="s">
        <v>35</v>
      </c>
      <c r="B17" s="348" t="s">
        <v>36</v>
      </c>
      <c r="C17" s="348" t="s">
        <v>251</v>
      </c>
      <c r="D17" s="108">
        <v>82</v>
      </c>
      <c r="E17" s="108">
        <v>98</v>
      </c>
      <c r="F17" s="108">
        <v>175</v>
      </c>
      <c r="G17" s="108">
        <v>513</v>
      </c>
      <c r="H17" s="108">
        <v>295</v>
      </c>
      <c r="I17" s="108">
        <v>101</v>
      </c>
      <c r="J17" s="108">
        <v>89</v>
      </c>
      <c r="K17" s="108">
        <v>64</v>
      </c>
      <c r="L17" s="108">
        <v>81</v>
      </c>
      <c r="M17" s="108">
        <v>54</v>
      </c>
      <c r="N17" s="108">
        <v>44</v>
      </c>
      <c r="O17" s="108">
        <v>40</v>
      </c>
      <c r="P17" s="108">
        <v>1636</v>
      </c>
    </row>
    <row r="18" spans="1:16" x14ac:dyDescent="0.3">
      <c r="A18" s="280" t="s">
        <v>37</v>
      </c>
      <c r="B18" s="348" t="s">
        <v>38</v>
      </c>
      <c r="C18" s="348" t="s">
        <v>255</v>
      </c>
      <c r="D18" s="108">
        <v>159</v>
      </c>
      <c r="E18" s="108">
        <v>287</v>
      </c>
      <c r="F18" s="108">
        <v>193</v>
      </c>
      <c r="G18" s="108">
        <v>184</v>
      </c>
      <c r="H18" s="108">
        <v>155</v>
      </c>
      <c r="I18" s="108">
        <v>162</v>
      </c>
      <c r="J18" s="108">
        <v>142</v>
      </c>
      <c r="K18" s="108">
        <v>131</v>
      </c>
      <c r="L18" s="108">
        <v>113</v>
      </c>
      <c r="M18" s="108">
        <v>91</v>
      </c>
      <c r="N18" s="108">
        <v>53</v>
      </c>
      <c r="O18" s="108">
        <v>63</v>
      </c>
      <c r="P18" s="108">
        <v>1733</v>
      </c>
    </row>
    <row r="19" spans="1:16" x14ac:dyDescent="0.3">
      <c r="A19" s="280" t="s">
        <v>39</v>
      </c>
      <c r="B19" s="348" t="s">
        <v>40</v>
      </c>
      <c r="C19" s="348" t="s">
        <v>253</v>
      </c>
      <c r="D19" s="108">
        <v>65</v>
      </c>
      <c r="E19" s="108">
        <v>106</v>
      </c>
      <c r="F19" s="108">
        <v>154</v>
      </c>
      <c r="G19" s="108">
        <v>211</v>
      </c>
      <c r="H19" s="108">
        <v>223</v>
      </c>
      <c r="I19" s="108">
        <v>152</v>
      </c>
      <c r="J19" s="108">
        <v>74</v>
      </c>
      <c r="K19" s="108">
        <v>169</v>
      </c>
      <c r="L19" s="108">
        <v>145</v>
      </c>
      <c r="M19" s="108">
        <v>67</v>
      </c>
      <c r="N19" s="108">
        <v>54</v>
      </c>
      <c r="O19" s="108">
        <v>63</v>
      </c>
      <c r="P19" s="108">
        <v>1483</v>
      </c>
    </row>
    <row r="20" spans="1:16" x14ac:dyDescent="0.3">
      <c r="A20" s="280" t="s">
        <v>41</v>
      </c>
      <c r="B20" s="348" t="s">
        <v>42</v>
      </c>
      <c r="C20" s="348" t="s">
        <v>252</v>
      </c>
      <c r="D20" s="108">
        <v>209</v>
      </c>
      <c r="E20" s="108">
        <v>249</v>
      </c>
      <c r="F20" s="108">
        <v>248</v>
      </c>
      <c r="G20" s="108">
        <v>241</v>
      </c>
      <c r="H20" s="108">
        <v>396</v>
      </c>
      <c r="I20" s="108">
        <v>367</v>
      </c>
      <c r="J20" s="108">
        <v>241</v>
      </c>
      <c r="K20" s="108">
        <v>201</v>
      </c>
      <c r="L20" s="108">
        <v>229</v>
      </c>
      <c r="M20" s="108">
        <v>177</v>
      </c>
      <c r="N20" s="108">
        <v>164</v>
      </c>
      <c r="O20" s="108">
        <v>183</v>
      </c>
      <c r="P20" s="108">
        <v>2905</v>
      </c>
    </row>
    <row r="21" spans="1:16" x14ac:dyDescent="0.3">
      <c r="A21" s="280" t="s">
        <v>43</v>
      </c>
      <c r="B21" s="348" t="s">
        <v>44</v>
      </c>
      <c r="C21" s="348" t="s">
        <v>253</v>
      </c>
      <c r="D21" s="108">
        <v>149</v>
      </c>
      <c r="E21" s="108">
        <v>171</v>
      </c>
      <c r="F21" s="108">
        <v>159</v>
      </c>
      <c r="G21" s="108">
        <v>173</v>
      </c>
      <c r="H21" s="108">
        <v>218</v>
      </c>
      <c r="I21" s="108">
        <v>188</v>
      </c>
      <c r="J21" s="108">
        <v>170</v>
      </c>
      <c r="K21" s="108">
        <v>138</v>
      </c>
      <c r="L21" s="108">
        <v>159</v>
      </c>
      <c r="M21" s="108">
        <v>112</v>
      </c>
      <c r="N21" s="108">
        <v>82</v>
      </c>
      <c r="O21" s="108">
        <v>109</v>
      </c>
      <c r="P21" s="108">
        <v>1828</v>
      </c>
    </row>
    <row r="22" spans="1:16" x14ac:dyDescent="0.3">
      <c r="A22" s="280" t="s">
        <v>45</v>
      </c>
      <c r="B22" s="348" t="s">
        <v>46</v>
      </c>
      <c r="C22" s="348" t="s">
        <v>255</v>
      </c>
      <c r="D22" s="108">
        <v>159</v>
      </c>
      <c r="E22" s="108">
        <v>170</v>
      </c>
      <c r="F22" s="108">
        <v>136</v>
      </c>
      <c r="G22" s="108">
        <v>175</v>
      </c>
      <c r="H22" s="108">
        <v>244</v>
      </c>
      <c r="I22" s="108">
        <v>204</v>
      </c>
      <c r="J22" s="108">
        <v>136</v>
      </c>
      <c r="K22" s="108">
        <v>132</v>
      </c>
      <c r="L22" s="108">
        <v>143</v>
      </c>
      <c r="M22" s="108">
        <v>104</v>
      </c>
      <c r="N22" s="108">
        <v>95</v>
      </c>
      <c r="O22" s="108">
        <v>101</v>
      </c>
      <c r="P22" s="108">
        <v>1799</v>
      </c>
    </row>
    <row r="23" spans="1:16" x14ac:dyDescent="0.3">
      <c r="A23" s="280" t="s">
        <v>47</v>
      </c>
      <c r="B23" s="348" t="s">
        <v>256</v>
      </c>
      <c r="C23" s="348" t="s">
        <v>253</v>
      </c>
      <c r="D23" s="108">
        <v>31</v>
      </c>
      <c r="E23" s="108">
        <v>27</v>
      </c>
      <c r="F23" s="108">
        <v>27</v>
      </c>
      <c r="G23" s="108">
        <v>41</v>
      </c>
      <c r="H23" s="108">
        <v>49</v>
      </c>
      <c r="I23" s="108">
        <v>40</v>
      </c>
      <c r="J23" s="108">
        <v>47</v>
      </c>
      <c r="K23" s="108">
        <v>21</v>
      </c>
      <c r="L23" s="108">
        <v>40</v>
      </c>
      <c r="M23" s="108">
        <v>19</v>
      </c>
      <c r="N23" s="108">
        <v>15</v>
      </c>
      <c r="O23" s="108">
        <v>14</v>
      </c>
      <c r="P23" s="108">
        <v>371</v>
      </c>
    </row>
    <row r="24" spans="1:16" x14ac:dyDescent="0.3">
      <c r="A24" s="280" t="s">
        <v>49</v>
      </c>
      <c r="B24" s="348" t="s">
        <v>50</v>
      </c>
      <c r="C24" s="348" t="s">
        <v>252</v>
      </c>
      <c r="D24" s="108">
        <v>43</v>
      </c>
      <c r="E24" s="108">
        <v>53</v>
      </c>
      <c r="F24" s="108">
        <v>43</v>
      </c>
      <c r="G24" s="108">
        <v>55</v>
      </c>
      <c r="H24" s="108">
        <v>72</v>
      </c>
      <c r="I24" s="108">
        <v>81</v>
      </c>
      <c r="J24" s="108">
        <v>73</v>
      </c>
      <c r="K24" s="108">
        <v>53</v>
      </c>
      <c r="L24" s="108">
        <v>45</v>
      </c>
      <c r="M24" s="108">
        <v>39</v>
      </c>
      <c r="N24" s="108">
        <v>30</v>
      </c>
      <c r="O24" s="108">
        <v>38</v>
      </c>
      <c r="P24" s="108">
        <v>625</v>
      </c>
    </row>
    <row r="25" spans="1:16" x14ac:dyDescent="0.3">
      <c r="A25" s="280" t="s">
        <v>55</v>
      </c>
      <c r="B25" s="348" t="s">
        <v>271</v>
      </c>
      <c r="C25" s="348" t="s">
        <v>253</v>
      </c>
      <c r="D25" s="108">
        <v>1506</v>
      </c>
      <c r="E25" s="108">
        <v>1476</v>
      </c>
      <c r="F25" s="108">
        <v>1402</v>
      </c>
      <c r="G25" s="108">
        <v>1667</v>
      </c>
      <c r="H25" s="108">
        <v>2447</v>
      </c>
      <c r="I25" s="108">
        <v>2644</v>
      </c>
      <c r="J25" s="108">
        <v>1507</v>
      </c>
      <c r="K25" s="108">
        <v>1211</v>
      </c>
      <c r="L25" s="108">
        <v>1428</v>
      </c>
      <c r="M25" s="108">
        <v>1216</v>
      </c>
      <c r="N25" s="108">
        <v>963</v>
      </c>
      <c r="O25" s="108">
        <v>1108</v>
      </c>
      <c r="P25" s="108">
        <v>18575</v>
      </c>
    </row>
    <row r="26" spans="1:16" x14ac:dyDescent="0.3">
      <c r="A26" s="280" t="s">
        <v>57</v>
      </c>
      <c r="B26" s="348" t="s">
        <v>58</v>
      </c>
      <c r="C26" s="348" t="s">
        <v>254</v>
      </c>
      <c r="D26" s="108">
        <v>41</v>
      </c>
      <c r="E26" s="108">
        <v>43</v>
      </c>
      <c r="F26" s="108">
        <v>54</v>
      </c>
      <c r="G26" s="108">
        <v>33</v>
      </c>
      <c r="H26" s="108">
        <v>74</v>
      </c>
      <c r="I26" s="108">
        <v>98</v>
      </c>
      <c r="J26" s="108">
        <v>55</v>
      </c>
      <c r="K26" s="108">
        <v>44</v>
      </c>
      <c r="L26" s="108">
        <v>43</v>
      </c>
      <c r="M26" s="108">
        <v>41</v>
      </c>
      <c r="N26" s="108">
        <v>27</v>
      </c>
      <c r="O26" s="108">
        <v>32</v>
      </c>
      <c r="P26" s="108">
        <v>585</v>
      </c>
    </row>
    <row r="27" spans="1:16" x14ac:dyDescent="0.3">
      <c r="A27" s="280" t="s">
        <v>59</v>
      </c>
      <c r="B27" s="348" t="s">
        <v>60</v>
      </c>
      <c r="C27" s="348" t="s">
        <v>252</v>
      </c>
      <c r="D27" s="108">
        <v>29</v>
      </c>
      <c r="E27" s="108">
        <v>21</v>
      </c>
      <c r="F27" s="108">
        <v>26</v>
      </c>
      <c r="G27" s="108">
        <v>31</v>
      </c>
      <c r="H27" s="108">
        <v>26</v>
      </c>
      <c r="I27" s="108">
        <v>37</v>
      </c>
      <c r="J27" s="108">
        <v>25</v>
      </c>
      <c r="K27" s="108">
        <v>28</v>
      </c>
      <c r="L27" s="108">
        <v>19</v>
      </c>
      <c r="M27" s="108">
        <v>9</v>
      </c>
      <c r="N27" s="108">
        <v>7</v>
      </c>
      <c r="O27" s="108">
        <v>19</v>
      </c>
      <c r="P27" s="108">
        <v>277</v>
      </c>
    </row>
    <row r="28" spans="1:16" x14ac:dyDescent="0.3">
      <c r="A28" s="280" t="s">
        <v>61</v>
      </c>
      <c r="B28" s="348" t="s">
        <v>62</v>
      </c>
      <c r="C28" s="348" t="s">
        <v>254</v>
      </c>
      <c r="D28" s="108">
        <v>228</v>
      </c>
      <c r="E28" s="108">
        <v>247</v>
      </c>
      <c r="F28" s="108">
        <v>216</v>
      </c>
      <c r="G28" s="108">
        <v>283</v>
      </c>
      <c r="H28" s="108">
        <v>395</v>
      </c>
      <c r="I28" s="108">
        <v>348</v>
      </c>
      <c r="J28" s="108">
        <v>252</v>
      </c>
      <c r="K28" s="108">
        <v>219</v>
      </c>
      <c r="L28" s="108">
        <v>227</v>
      </c>
      <c r="M28" s="108">
        <v>151</v>
      </c>
      <c r="N28" s="108">
        <v>145</v>
      </c>
      <c r="O28" s="108">
        <v>172</v>
      </c>
      <c r="P28" s="108">
        <v>2883</v>
      </c>
    </row>
    <row r="29" spans="1:16" x14ac:dyDescent="0.3">
      <c r="A29" s="280" t="s">
        <v>63</v>
      </c>
      <c r="B29" s="348" t="s">
        <v>64</v>
      </c>
      <c r="C29" s="348" t="s">
        <v>253</v>
      </c>
      <c r="D29" s="108">
        <v>57</v>
      </c>
      <c r="E29" s="108">
        <v>49</v>
      </c>
      <c r="F29" s="108">
        <v>64</v>
      </c>
      <c r="G29" s="108">
        <v>65</v>
      </c>
      <c r="H29" s="108">
        <v>76</v>
      </c>
      <c r="I29" s="108">
        <v>68</v>
      </c>
      <c r="J29" s="108">
        <v>45</v>
      </c>
      <c r="K29" s="108">
        <v>37</v>
      </c>
      <c r="L29" s="108">
        <v>48</v>
      </c>
      <c r="M29" s="108">
        <v>40</v>
      </c>
      <c r="N29" s="108">
        <v>28</v>
      </c>
      <c r="O29" s="108">
        <v>31</v>
      </c>
      <c r="P29" s="108">
        <v>608</v>
      </c>
    </row>
    <row r="30" spans="1:16" x14ac:dyDescent="0.3">
      <c r="A30" s="280" t="s">
        <v>67</v>
      </c>
      <c r="B30" s="348" t="s">
        <v>68</v>
      </c>
      <c r="C30" s="348" t="s">
        <v>255</v>
      </c>
      <c r="D30" s="108">
        <v>60</v>
      </c>
      <c r="E30" s="108">
        <v>82</v>
      </c>
      <c r="F30" s="108">
        <v>91</v>
      </c>
      <c r="G30" s="108">
        <v>118</v>
      </c>
      <c r="H30" s="108">
        <v>91</v>
      </c>
      <c r="I30" s="108">
        <v>95</v>
      </c>
      <c r="J30" s="108">
        <v>91</v>
      </c>
      <c r="K30" s="108">
        <v>105</v>
      </c>
      <c r="L30" s="108">
        <v>75</v>
      </c>
      <c r="M30" s="108">
        <v>55</v>
      </c>
      <c r="N30" s="108">
        <v>40</v>
      </c>
      <c r="O30" s="108">
        <v>68</v>
      </c>
      <c r="P30" s="108">
        <v>971</v>
      </c>
    </row>
    <row r="31" spans="1:16" x14ac:dyDescent="0.3">
      <c r="A31" s="280" t="s">
        <v>69</v>
      </c>
      <c r="B31" s="348" t="s">
        <v>70</v>
      </c>
      <c r="C31" s="348" t="s">
        <v>251</v>
      </c>
      <c r="D31" s="108">
        <v>145</v>
      </c>
      <c r="E31" s="108">
        <v>142</v>
      </c>
      <c r="F31" s="108">
        <v>133</v>
      </c>
      <c r="G31" s="108">
        <v>170</v>
      </c>
      <c r="H31" s="108">
        <v>216</v>
      </c>
      <c r="I31" s="108">
        <v>182</v>
      </c>
      <c r="J31" s="108">
        <v>149</v>
      </c>
      <c r="K31" s="108">
        <v>110</v>
      </c>
      <c r="L31" s="108">
        <v>117</v>
      </c>
      <c r="M31" s="108">
        <v>93</v>
      </c>
      <c r="N31" s="108">
        <v>85</v>
      </c>
      <c r="O31" s="108">
        <v>97</v>
      </c>
      <c r="P31" s="108">
        <v>1639</v>
      </c>
    </row>
    <row r="32" spans="1:16" x14ac:dyDescent="0.3">
      <c r="A32" s="280" t="s">
        <v>71</v>
      </c>
      <c r="B32" s="348" t="s">
        <v>72</v>
      </c>
      <c r="C32" s="348" t="s">
        <v>253</v>
      </c>
      <c r="D32" s="108">
        <v>62</v>
      </c>
      <c r="E32" s="108">
        <v>56</v>
      </c>
      <c r="F32" s="108">
        <v>55</v>
      </c>
      <c r="G32" s="108">
        <v>76</v>
      </c>
      <c r="H32" s="108">
        <v>94</v>
      </c>
      <c r="I32" s="108">
        <v>109</v>
      </c>
      <c r="J32" s="108">
        <v>65</v>
      </c>
      <c r="K32" s="108">
        <v>63</v>
      </c>
      <c r="L32" s="108">
        <v>58</v>
      </c>
      <c r="M32" s="108">
        <v>44</v>
      </c>
      <c r="N32" s="108">
        <v>24</v>
      </c>
      <c r="O32" s="108">
        <v>45</v>
      </c>
      <c r="P32" s="108">
        <v>751</v>
      </c>
    </row>
    <row r="33" spans="1:16" x14ac:dyDescent="0.3">
      <c r="A33" s="280" t="s">
        <v>73</v>
      </c>
      <c r="B33" s="348" t="s">
        <v>272</v>
      </c>
      <c r="C33" s="348" t="s">
        <v>254</v>
      </c>
      <c r="D33" s="108">
        <v>3131</v>
      </c>
      <c r="E33" s="108">
        <v>3123</v>
      </c>
      <c r="F33" s="108">
        <v>2921</v>
      </c>
      <c r="G33" s="108">
        <v>3316</v>
      </c>
      <c r="H33" s="108">
        <v>8878</v>
      </c>
      <c r="I33" s="108">
        <v>10048</v>
      </c>
      <c r="J33" s="108">
        <v>3630</v>
      </c>
      <c r="K33" s="108">
        <v>3168</v>
      </c>
      <c r="L33" s="108">
        <v>3711</v>
      </c>
      <c r="M33" s="108">
        <v>3609</v>
      </c>
      <c r="N33" s="108">
        <v>3105</v>
      </c>
      <c r="O33" s="108">
        <v>3013</v>
      </c>
      <c r="P33" s="108">
        <v>51653</v>
      </c>
    </row>
    <row r="34" spans="1:16" x14ac:dyDescent="0.3">
      <c r="A34" s="280" t="s">
        <v>75</v>
      </c>
      <c r="B34" s="348" t="s">
        <v>76</v>
      </c>
      <c r="C34" s="348" t="s">
        <v>254</v>
      </c>
      <c r="D34" s="108">
        <v>218</v>
      </c>
      <c r="E34" s="108">
        <v>247</v>
      </c>
      <c r="F34" s="108">
        <v>217</v>
      </c>
      <c r="G34" s="108">
        <v>247</v>
      </c>
      <c r="H34" s="108">
        <v>404</v>
      </c>
      <c r="I34" s="108">
        <v>410</v>
      </c>
      <c r="J34" s="108">
        <v>258</v>
      </c>
      <c r="K34" s="108">
        <v>222</v>
      </c>
      <c r="L34" s="108">
        <v>245</v>
      </c>
      <c r="M34" s="108">
        <v>212</v>
      </c>
      <c r="N34" s="108">
        <v>155</v>
      </c>
      <c r="O34" s="108">
        <v>142</v>
      </c>
      <c r="P34" s="108">
        <v>2977</v>
      </c>
    </row>
    <row r="35" spans="1:16" x14ac:dyDescent="0.3">
      <c r="A35" s="280" t="s">
        <v>77</v>
      </c>
      <c r="B35" s="348" t="s">
        <v>78</v>
      </c>
      <c r="C35" s="348" t="s">
        <v>255</v>
      </c>
      <c r="D35" s="108">
        <v>63</v>
      </c>
      <c r="E35" s="108">
        <v>88</v>
      </c>
      <c r="F35" s="108">
        <v>57</v>
      </c>
      <c r="G35" s="108">
        <v>65</v>
      </c>
      <c r="H35" s="108">
        <v>131</v>
      </c>
      <c r="I35" s="108">
        <v>143</v>
      </c>
      <c r="J35" s="108">
        <v>95</v>
      </c>
      <c r="K35" s="108">
        <v>68</v>
      </c>
      <c r="L35" s="108">
        <v>69</v>
      </c>
      <c r="M35" s="108">
        <v>49</v>
      </c>
      <c r="N35" s="108">
        <v>45</v>
      </c>
      <c r="O35" s="108">
        <v>51</v>
      </c>
      <c r="P35" s="108">
        <v>924</v>
      </c>
    </row>
    <row r="36" spans="1:16" x14ac:dyDescent="0.3">
      <c r="A36" s="280" t="s">
        <v>79</v>
      </c>
      <c r="B36" s="348" t="s">
        <v>80</v>
      </c>
      <c r="C36" s="348" t="s">
        <v>253</v>
      </c>
      <c r="D36" s="108">
        <v>81</v>
      </c>
      <c r="E36" s="108">
        <v>91</v>
      </c>
      <c r="F36" s="108">
        <v>88</v>
      </c>
      <c r="G36" s="108">
        <v>106</v>
      </c>
      <c r="H36" s="108">
        <v>158</v>
      </c>
      <c r="I36" s="108">
        <v>159</v>
      </c>
      <c r="J36" s="108">
        <v>88</v>
      </c>
      <c r="K36" s="108">
        <v>100</v>
      </c>
      <c r="L36" s="108">
        <v>77</v>
      </c>
      <c r="M36" s="108">
        <v>72</v>
      </c>
      <c r="N36" s="108">
        <v>43</v>
      </c>
      <c r="O36" s="108">
        <v>56</v>
      </c>
      <c r="P36" s="108">
        <v>1119</v>
      </c>
    </row>
    <row r="37" spans="1:16" x14ac:dyDescent="0.3">
      <c r="A37" s="280" t="s">
        <v>83</v>
      </c>
      <c r="B37" s="348" t="s">
        <v>84</v>
      </c>
      <c r="C37" s="348" t="s">
        <v>252</v>
      </c>
      <c r="D37" s="108">
        <v>254</v>
      </c>
      <c r="E37" s="108">
        <v>229</v>
      </c>
      <c r="F37" s="108">
        <v>227</v>
      </c>
      <c r="G37" s="108">
        <v>246</v>
      </c>
      <c r="H37" s="108">
        <v>371</v>
      </c>
      <c r="I37" s="108">
        <v>366</v>
      </c>
      <c r="J37" s="108">
        <v>236</v>
      </c>
      <c r="K37" s="108">
        <v>204</v>
      </c>
      <c r="L37" s="108">
        <v>223</v>
      </c>
      <c r="M37" s="108">
        <v>174</v>
      </c>
      <c r="N37" s="108">
        <v>141</v>
      </c>
      <c r="O37" s="108">
        <v>153</v>
      </c>
      <c r="P37" s="108">
        <v>2824</v>
      </c>
    </row>
    <row r="38" spans="1:16" x14ac:dyDescent="0.3">
      <c r="A38" s="280" t="s">
        <v>85</v>
      </c>
      <c r="B38" s="348" t="s">
        <v>86</v>
      </c>
      <c r="C38" s="348" t="s">
        <v>254</v>
      </c>
      <c r="D38" s="108">
        <v>278</v>
      </c>
      <c r="E38" s="108">
        <v>301</v>
      </c>
      <c r="F38" s="108">
        <v>256</v>
      </c>
      <c r="G38" s="108">
        <v>287</v>
      </c>
      <c r="H38" s="108">
        <v>513</v>
      </c>
      <c r="I38" s="108">
        <v>551</v>
      </c>
      <c r="J38" s="108">
        <v>325</v>
      </c>
      <c r="K38" s="108">
        <v>258</v>
      </c>
      <c r="L38" s="108">
        <v>296</v>
      </c>
      <c r="M38" s="108">
        <v>218</v>
      </c>
      <c r="N38" s="108">
        <v>198</v>
      </c>
      <c r="O38" s="108">
        <v>217</v>
      </c>
      <c r="P38" s="108">
        <v>3698</v>
      </c>
    </row>
    <row r="39" spans="1:16" x14ac:dyDescent="0.3">
      <c r="A39" s="280" t="s">
        <v>91</v>
      </c>
      <c r="B39" s="348" t="s">
        <v>92</v>
      </c>
      <c r="C39" s="348" t="s">
        <v>255</v>
      </c>
      <c r="D39" s="108">
        <v>73</v>
      </c>
      <c r="E39" s="108">
        <v>90</v>
      </c>
      <c r="F39" s="108">
        <v>88</v>
      </c>
      <c r="G39" s="108">
        <v>90</v>
      </c>
      <c r="H39" s="108">
        <v>126</v>
      </c>
      <c r="I39" s="108">
        <v>121</v>
      </c>
      <c r="J39" s="108">
        <v>83</v>
      </c>
      <c r="K39" s="108">
        <v>81</v>
      </c>
      <c r="L39" s="108">
        <v>76</v>
      </c>
      <c r="M39" s="108">
        <v>54</v>
      </c>
      <c r="N39" s="108">
        <v>46</v>
      </c>
      <c r="O39" s="108">
        <v>69</v>
      </c>
      <c r="P39" s="108">
        <v>997</v>
      </c>
    </row>
    <row r="40" spans="1:16" x14ac:dyDescent="0.3">
      <c r="A40" s="280" t="s">
        <v>93</v>
      </c>
      <c r="B40" s="348" t="s">
        <v>94</v>
      </c>
      <c r="C40" s="348" t="s">
        <v>251</v>
      </c>
      <c r="D40" s="108">
        <v>116</v>
      </c>
      <c r="E40" s="108">
        <v>142</v>
      </c>
      <c r="F40" s="108">
        <v>157</v>
      </c>
      <c r="G40" s="108">
        <v>157</v>
      </c>
      <c r="H40" s="108">
        <v>236</v>
      </c>
      <c r="I40" s="108">
        <v>237</v>
      </c>
      <c r="J40" s="108">
        <v>154</v>
      </c>
      <c r="K40" s="108">
        <v>150</v>
      </c>
      <c r="L40" s="108">
        <v>143</v>
      </c>
      <c r="M40" s="108">
        <v>119</v>
      </c>
      <c r="N40" s="108">
        <v>96</v>
      </c>
      <c r="O40" s="108">
        <v>111</v>
      </c>
      <c r="P40" s="108">
        <v>1818</v>
      </c>
    </row>
    <row r="41" spans="1:16" x14ac:dyDescent="0.3">
      <c r="A41" s="280" t="s">
        <v>95</v>
      </c>
      <c r="B41" s="348" t="s">
        <v>96</v>
      </c>
      <c r="C41" s="348" t="s">
        <v>253</v>
      </c>
      <c r="D41" s="108">
        <v>62</v>
      </c>
      <c r="E41" s="108">
        <v>51</v>
      </c>
      <c r="F41" s="108">
        <v>89</v>
      </c>
      <c r="G41" s="108">
        <v>109</v>
      </c>
      <c r="H41" s="108">
        <v>117</v>
      </c>
      <c r="I41" s="108">
        <v>101</v>
      </c>
      <c r="J41" s="108">
        <v>52</v>
      </c>
      <c r="K41" s="108">
        <v>64</v>
      </c>
      <c r="L41" s="108">
        <v>83</v>
      </c>
      <c r="M41" s="108">
        <v>59</v>
      </c>
      <c r="N41" s="108">
        <v>42</v>
      </c>
      <c r="O41" s="108">
        <v>55</v>
      </c>
      <c r="P41" s="108">
        <v>884</v>
      </c>
    </row>
    <row r="42" spans="1:16" x14ac:dyDescent="0.3">
      <c r="A42" s="280" t="s">
        <v>97</v>
      </c>
      <c r="B42" s="348" t="s">
        <v>98</v>
      </c>
      <c r="C42" s="348" t="s">
        <v>255</v>
      </c>
      <c r="D42" s="108">
        <v>73</v>
      </c>
      <c r="E42" s="108">
        <v>92</v>
      </c>
      <c r="F42" s="108">
        <v>102</v>
      </c>
      <c r="G42" s="108">
        <v>147</v>
      </c>
      <c r="H42" s="108">
        <v>210</v>
      </c>
      <c r="I42" s="108">
        <v>115</v>
      </c>
      <c r="J42" s="108">
        <v>80</v>
      </c>
      <c r="K42" s="108">
        <v>95</v>
      </c>
      <c r="L42" s="108">
        <v>84</v>
      </c>
      <c r="M42" s="108">
        <v>54</v>
      </c>
      <c r="N42" s="108">
        <v>48</v>
      </c>
      <c r="O42" s="108">
        <v>37</v>
      </c>
      <c r="P42" s="108">
        <v>1137</v>
      </c>
    </row>
    <row r="43" spans="1:16" x14ac:dyDescent="0.3">
      <c r="A43" s="280" t="s">
        <v>99</v>
      </c>
      <c r="B43" s="348" t="s">
        <v>100</v>
      </c>
      <c r="C43" s="348" t="s">
        <v>254</v>
      </c>
      <c r="D43" s="108">
        <v>63</v>
      </c>
      <c r="E43" s="108">
        <v>77</v>
      </c>
      <c r="F43" s="108">
        <v>63</v>
      </c>
      <c r="G43" s="108">
        <v>72</v>
      </c>
      <c r="H43" s="108">
        <v>96</v>
      </c>
      <c r="I43" s="108">
        <v>120</v>
      </c>
      <c r="J43" s="108">
        <v>63</v>
      </c>
      <c r="K43" s="108">
        <v>76</v>
      </c>
      <c r="L43" s="108">
        <v>60</v>
      </c>
      <c r="M43" s="108">
        <v>42</v>
      </c>
      <c r="N43" s="108">
        <v>41</v>
      </c>
      <c r="O43" s="108">
        <v>41</v>
      </c>
      <c r="P43" s="108">
        <v>814</v>
      </c>
    </row>
    <row r="44" spans="1:16" x14ac:dyDescent="0.3">
      <c r="A44" s="280" t="s">
        <v>101</v>
      </c>
      <c r="B44" s="348" t="s">
        <v>263</v>
      </c>
      <c r="C44" s="348" t="s">
        <v>251</v>
      </c>
      <c r="D44" s="108">
        <v>89</v>
      </c>
      <c r="E44" s="108">
        <v>95</v>
      </c>
      <c r="F44" s="108">
        <v>154</v>
      </c>
      <c r="G44" s="108">
        <v>396</v>
      </c>
      <c r="H44" s="108">
        <v>241</v>
      </c>
      <c r="I44" s="108">
        <v>117</v>
      </c>
      <c r="J44" s="108">
        <v>81</v>
      </c>
      <c r="K44" s="108">
        <v>118</v>
      </c>
      <c r="L44" s="108">
        <v>89</v>
      </c>
      <c r="M44" s="108">
        <v>46</v>
      </c>
      <c r="N44" s="108">
        <v>46</v>
      </c>
      <c r="O44" s="108">
        <v>57</v>
      </c>
      <c r="P44" s="108">
        <v>1529</v>
      </c>
    </row>
    <row r="45" spans="1:16" x14ac:dyDescent="0.3">
      <c r="A45" s="280" t="s">
        <v>103</v>
      </c>
      <c r="B45" s="348" t="s">
        <v>104</v>
      </c>
      <c r="C45" s="348" t="s">
        <v>252</v>
      </c>
      <c r="D45" s="108">
        <v>165</v>
      </c>
      <c r="E45" s="108">
        <v>192</v>
      </c>
      <c r="F45" s="108">
        <v>188</v>
      </c>
      <c r="G45" s="108">
        <v>250</v>
      </c>
      <c r="H45" s="108">
        <v>286</v>
      </c>
      <c r="I45" s="108">
        <v>215</v>
      </c>
      <c r="J45" s="108">
        <v>168</v>
      </c>
      <c r="K45" s="108">
        <v>189</v>
      </c>
      <c r="L45" s="108">
        <v>164</v>
      </c>
      <c r="M45" s="108">
        <v>124</v>
      </c>
      <c r="N45" s="108">
        <v>103</v>
      </c>
      <c r="O45" s="108">
        <v>149</v>
      </c>
      <c r="P45" s="108">
        <v>2193</v>
      </c>
    </row>
    <row r="46" spans="1:16" x14ac:dyDescent="0.3">
      <c r="A46" s="280" t="s">
        <v>107</v>
      </c>
      <c r="B46" s="348" t="s">
        <v>108</v>
      </c>
      <c r="C46" s="348" t="s">
        <v>253</v>
      </c>
      <c r="D46" s="108">
        <v>244</v>
      </c>
      <c r="E46" s="108">
        <v>265</v>
      </c>
      <c r="F46" s="108">
        <v>247</v>
      </c>
      <c r="G46" s="108">
        <v>303</v>
      </c>
      <c r="H46" s="108">
        <v>520</v>
      </c>
      <c r="I46" s="108">
        <v>630</v>
      </c>
      <c r="J46" s="108">
        <v>279</v>
      </c>
      <c r="K46" s="108">
        <v>265</v>
      </c>
      <c r="L46" s="108">
        <v>271</v>
      </c>
      <c r="M46" s="108">
        <v>239</v>
      </c>
      <c r="N46" s="108">
        <v>182</v>
      </c>
      <c r="O46" s="108">
        <v>186</v>
      </c>
      <c r="P46" s="108">
        <v>3631</v>
      </c>
    </row>
    <row r="47" spans="1:16" x14ac:dyDescent="0.3">
      <c r="A47" s="280" t="s">
        <v>109</v>
      </c>
      <c r="B47" s="348" t="s">
        <v>110</v>
      </c>
      <c r="C47" s="348" t="s">
        <v>253</v>
      </c>
      <c r="D47" s="108">
        <v>1487</v>
      </c>
      <c r="E47" s="108">
        <v>1383</v>
      </c>
      <c r="F47" s="108">
        <v>1482</v>
      </c>
      <c r="G47" s="108">
        <v>1655</v>
      </c>
      <c r="H47" s="108">
        <v>2564</v>
      </c>
      <c r="I47" s="108">
        <v>2753</v>
      </c>
      <c r="J47" s="108">
        <v>1541</v>
      </c>
      <c r="K47" s="108">
        <v>1275</v>
      </c>
      <c r="L47" s="108">
        <v>1601</v>
      </c>
      <c r="M47" s="108">
        <v>1363</v>
      </c>
      <c r="N47" s="108">
        <v>1055</v>
      </c>
      <c r="O47" s="108">
        <v>1034</v>
      </c>
      <c r="P47" s="108">
        <v>19193</v>
      </c>
    </row>
    <row r="48" spans="1:16" x14ac:dyDescent="0.3">
      <c r="A48" s="280" t="s">
        <v>111</v>
      </c>
      <c r="B48" s="348" t="s">
        <v>275</v>
      </c>
      <c r="C48" s="348" t="s">
        <v>252</v>
      </c>
      <c r="D48" s="108">
        <v>396</v>
      </c>
      <c r="E48" s="108">
        <v>423</v>
      </c>
      <c r="F48" s="108">
        <v>444</v>
      </c>
      <c r="G48" s="108">
        <v>514</v>
      </c>
      <c r="H48" s="108">
        <v>666</v>
      </c>
      <c r="I48" s="108">
        <v>574</v>
      </c>
      <c r="J48" s="108">
        <v>529</v>
      </c>
      <c r="K48" s="108">
        <v>375</v>
      </c>
      <c r="L48" s="108">
        <v>422</v>
      </c>
      <c r="M48" s="108">
        <v>305</v>
      </c>
      <c r="N48" s="108">
        <v>235</v>
      </c>
      <c r="O48" s="108">
        <v>291</v>
      </c>
      <c r="P48" s="108">
        <v>5174</v>
      </c>
    </row>
    <row r="49" spans="1:16" x14ac:dyDescent="0.3">
      <c r="A49" s="280" t="s">
        <v>113</v>
      </c>
      <c r="B49" s="348" t="s">
        <v>114</v>
      </c>
      <c r="C49" s="348" t="s">
        <v>252</v>
      </c>
      <c r="D49" s="108">
        <v>13</v>
      </c>
      <c r="E49" s="108">
        <v>10</v>
      </c>
      <c r="F49" s="108">
        <v>16</v>
      </c>
      <c r="G49" s="108">
        <v>18</v>
      </c>
      <c r="H49" s="108">
        <v>24</v>
      </c>
      <c r="I49" s="108">
        <v>21</v>
      </c>
      <c r="J49" s="108">
        <v>15</v>
      </c>
      <c r="K49" s="108">
        <v>9</v>
      </c>
      <c r="L49" s="108">
        <v>9</v>
      </c>
      <c r="M49" s="108">
        <v>9</v>
      </c>
      <c r="N49" s="108">
        <v>9</v>
      </c>
      <c r="O49" s="108">
        <v>14</v>
      </c>
      <c r="P49" s="108">
        <v>167</v>
      </c>
    </row>
    <row r="50" spans="1:16" x14ac:dyDescent="0.3">
      <c r="A50" s="280" t="s">
        <v>117</v>
      </c>
      <c r="B50" s="348" t="s">
        <v>257</v>
      </c>
      <c r="C50" s="348" t="s">
        <v>251</v>
      </c>
      <c r="D50" s="108">
        <v>110</v>
      </c>
      <c r="E50" s="108">
        <v>121</v>
      </c>
      <c r="F50" s="108">
        <v>112</v>
      </c>
      <c r="G50" s="108">
        <v>130</v>
      </c>
      <c r="H50" s="108">
        <v>185</v>
      </c>
      <c r="I50" s="108">
        <v>187</v>
      </c>
      <c r="J50" s="108">
        <v>124</v>
      </c>
      <c r="K50" s="108">
        <v>102</v>
      </c>
      <c r="L50" s="108">
        <v>108</v>
      </c>
      <c r="M50" s="108">
        <v>80</v>
      </c>
      <c r="N50" s="108">
        <v>82</v>
      </c>
      <c r="O50" s="108">
        <v>79</v>
      </c>
      <c r="P50" s="108">
        <v>1420</v>
      </c>
    </row>
    <row r="51" spans="1:16" x14ac:dyDescent="0.3">
      <c r="A51" s="280" t="s">
        <v>119</v>
      </c>
      <c r="B51" s="348" t="s">
        <v>120</v>
      </c>
      <c r="C51" s="348" t="s">
        <v>251</v>
      </c>
      <c r="D51" s="108">
        <v>185</v>
      </c>
      <c r="E51" s="108">
        <v>188</v>
      </c>
      <c r="F51" s="108">
        <v>210</v>
      </c>
      <c r="G51" s="108">
        <v>247</v>
      </c>
      <c r="H51" s="108">
        <v>425</v>
      </c>
      <c r="I51" s="108">
        <v>429</v>
      </c>
      <c r="J51" s="108">
        <v>262</v>
      </c>
      <c r="K51" s="108">
        <v>194</v>
      </c>
      <c r="L51" s="108">
        <v>205</v>
      </c>
      <c r="M51" s="108">
        <v>219</v>
      </c>
      <c r="N51" s="108">
        <v>137</v>
      </c>
      <c r="O51" s="108">
        <v>152</v>
      </c>
      <c r="P51" s="108">
        <v>2853</v>
      </c>
    </row>
    <row r="52" spans="1:16" x14ac:dyDescent="0.3">
      <c r="A52" s="280" t="s">
        <v>121</v>
      </c>
      <c r="B52" s="348" t="s">
        <v>268</v>
      </c>
      <c r="C52" s="348" t="s">
        <v>253</v>
      </c>
      <c r="D52" s="108">
        <v>28</v>
      </c>
      <c r="E52" s="108">
        <v>28</v>
      </c>
      <c r="F52" s="108">
        <v>29</v>
      </c>
      <c r="G52" s="108">
        <v>42</v>
      </c>
      <c r="H52" s="108">
        <v>57</v>
      </c>
      <c r="I52" s="108">
        <v>65</v>
      </c>
      <c r="J52" s="108">
        <v>35</v>
      </c>
      <c r="K52" s="108">
        <v>41</v>
      </c>
      <c r="L52" s="108">
        <v>39</v>
      </c>
      <c r="M52" s="108">
        <v>25</v>
      </c>
      <c r="N52" s="108">
        <v>20</v>
      </c>
      <c r="O52" s="108">
        <v>14</v>
      </c>
      <c r="P52" s="108">
        <v>423</v>
      </c>
    </row>
    <row r="53" spans="1:16" x14ac:dyDescent="0.3">
      <c r="A53" s="280" t="s">
        <v>123</v>
      </c>
      <c r="B53" s="348" t="s">
        <v>124</v>
      </c>
      <c r="C53" s="348" t="s">
        <v>254</v>
      </c>
      <c r="D53" s="108">
        <v>83</v>
      </c>
      <c r="E53" s="108">
        <v>75</v>
      </c>
      <c r="F53" s="108">
        <v>72</v>
      </c>
      <c r="G53" s="108">
        <v>88</v>
      </c>
      <c r="H53" s="108">
        <v>125</v>
      </c>
      <c r="I53" s="108">
        <v>128</v>
      </c>
      <c r="J53" s="108">
        <v>85</v>
      </c>
      <c r="K53" s="108">
        <v>65</v>
      </c>
      <c r="L53" s="108">
        <v>63</v>
      </c>
      <c r="M53" s="108">
        <v>62</v>
      </c>
      <c r="N53" s="108">
        <v>42</v>
      </c>
      <c r="O53" s="108">
        <v>55</v>
      </c>
      <c r="P53" s="108">
        <v>943</v>
      </c>
    </row>
    <row r="54" spans="1:16" x14ac:dyDescent="0.3">
      <c r="A54" s="280" t="s">
        <v>125</v>
      </c>
      <c r="B54" s="348" t="s">
        <v>126</v>
      </c>
      <c r="C54" s="348" t="s">
        <v>253</v>
      </c>
      <c r="D54" s="108">
        <v>62</v>
      </c>
      <c r="E54" s="108">
        <v>62</v>
      </c>
      <c r="F54" s="108">
        <v>56</v>
      </c>
      <c r="G54" s="108">
        <v>63</v>
      </c>
      <c r="H54" s="108">
        <v>116</v>
      </c>
      <c r="I54" s="108">
        <v>105</v>
      </c>
      <c r="J54" s="108">
        <v>63</v>
      </c>
      <c r="K54" s="108">
        <v>51</v>
      </c>
      <c r="L54" s="108">
        <v>65</v>
      </c>
      <c r="M54" s="108">
        <v>45</v>
      </c>
      <c r="N54" s="108">
        <v>41</v>
      </c>
      <c r="O54" s="108">
        <v>45</v>
      </c>
      <c r="P54" s="108">
        <v>774</v>
      </c>
    </row>
    <row r="55" spans="1:16" x14ac:dyDescent="0.3">
      <c r="A55" s="280" t="s">
        <v>127</v>
      </c>
      <c r="B55" s="348" t="s">
        <v>128</v>
      </c>
      <c r="C55" s="348" t="s">
        <v>253</v>
      </c>
      <c r="D55" s="108">
        <v>46</v>
      </c>
      <c r="E55" s="108">
        <v>47</v>
      </c>
      <c r="F55" s="108">
        <v>36</v>
      </c>
      <c r="G55" s="108">
        <v>42</v>
      </c>
      <c r="H55" s="108">
        <v>78</v>
      </c>
      <c r="I55" s="108">
        <v>78</v>
      </c>
      <c r="J55" s="108">
        <v>53</v>
      </c>
      <c r="K55" s="108">
        <v>40</v>
      </c>
      <c r="L55" s="108">
        <v>40</v>
      </c>
      <c r="M55" s="108">
        <v>26</v>
      </c>
      <c r="N55" s="108">
        <v>28</v>
      </c>
      <c r="O55" s="108">
        <v>30</v>
      </c>
      <c r="P55" s="108">
        <v>544</v>
      </c>
    </row>
    <row r="56" spans="1:16" x14ac:dyDescent="0.3">
      <c r="A56" s="280" t="s">
        <v>129</v>
      </c>
      <c r="B56" s="348" t="s">
        <v>130</v>
      </c>
      <c r="C56" s="348" t="s">
        <v>255</v>
      </c>
      <c r="D56" s="108">
        <v>149</v>
      </c>
      <c r="E56" s="108">
        <v>155</v>
      </c>
      <c r="F56" s="108">
        <v>144</v>
      </c>
      <c r="G56" s="108">
        <v>140</v>
      </c>
      <c r="H56" s="108">
        <v>157</v>
      </c>
      <c r="I56" s="108">
        <v>118</v>
      </c>
      <c r="J56" s="108">
        <v>124</v>
      </c>
      <c r="K56" s="108">
        <v>131</v>
      </c>
      <c r="L56" s="108">
        <v>121</v>
      </c>
      <c r="M56" s="108">
        <v>80</v>
      </c>
      <c r="N56" s="108">
        <v>66</v>
      </c>
      <c r="O56" s="108">
        <v>95</v>
      </c>
      <c r="P56" s="108">
        <v>1480</v>
      </c>
    </row>
    <row r="57" spans="1:16" x14ac:dyDescent="0.3">
      <c r="A57" s="280" t="s">
        <v>131</v>
      </c>
      <c r="B57" s="348" t="s">
        <v>132</v>
      </c>
      <c r="C57" s="348" t="s">
        <v>254</v>
      </c>
      <c r="D57" s="108">
        <v>780</v>
      </c>
      <c r="E57" s="108">
        <v>822</v>
      </c>
      <c r="F57" s="108">
        <v>748</v>
      </c>
      <c r="G57" s="108">
        <v>825</v>
      </c>
      <c r="H57" s="108">
        <v>2362</v>
      </c>
      <c r="I57" s="108">
        <v>2630</v>
      </c>
      <c r="J57" s="108">
        <v>953</v>
      </c>
      <c r="K57" s="108">
        <v>830</v>
      </c>
      <c r="L57" s="108">
        <v>1081</v>
      </c>
      <c r="M57" s="108">
        <v>967</v>
      </c>
      <c r="N57" s="108">
        <v>880</v>
      </c>
      <c r="O57" s="108">
        <v>842</v>
      </c>
      <c r="P57" s="108">
        <v>13720</v>
      </c>
    </row>
    <row r="58" spans="1:16" x14ac:dyDescent="0.3">
      <c r="A58" s="280" t="s">
        <v>133</v>
      </c>
      <c r="B58" s="348" t="s">
        <v>134</v>
      </c>
      <c r="C58" s="348" t="s">
        <v>254</v>
      </c>
      <c r="D58" s="108">
        <v>176</v>
      </c>
      <c r="E58" s="108">
        <v>158</v>
      </c>
      <c r="F58" s="108">
        <v>152</v>
      </c>
      <c r="G58" s="108">
        <v>183</v>
      </c>
      <c r="H58" s="108">
        <v>263</v>
      </c>
      <c r="I58" s="108">
        <v>272</v>
      </c>
      <c r="J58" s="108">
        <v>153</v>
      </c>
      <c r="K58" s="108">
        <v>130</v>
      </c>
      <c r="L58" s="108">
        <v>165</v>
      </c>
      <c r="M58" s="108">
        <v>112</v>
      </c>
      <c r="N58" s="108">
        <v>114</v>
      </c>
      <c r="O58" s="108">
        <v>128</v>
      </c>
      <c r="P58" s="108">
        <v>2006</v>
      </c>
    </row>
    <row r="59" spans="1:16" x14ac:dyDescent="0.3">
      <c r="A59" s="280" t="s">
        <v>135</v>
      </c>
      <c r="B59" s="348" t="s">
        <v>136</v>
      </c>
      <c r="C59" s="348" t="s">
        <v>253</v>
      </c>
      <c r="D59" s="108">
        <v>67</v>
      </c>
      <c r="E59" s="108">
        <v>139</v>
      </c>
      <c r="F59" s="108">
        <v>429</v>
      </c>
      <c r="G59" s="108">
        <v>142</v>
      </c>
      <c r="H59" s="108">
        <v>108</v>
      </c>
      <c r="I59" s="108">
        <v>79</v>
      </c>
      <c r="J59" s="108">
        <v>56</v>
      </c>
      <c r="K59" s="108">
        <v>87</v>
      </c>
      <c r="L59" s="108">
        <v>73</v>
      </c>
      <c r="M59" s="108">
        <v>29</v>
      </c>
      <c r="N59" s="108">
        <v>34</v>
      </c>
      <c r="O59" s="108">
        <v>37</v>
      </c>
      <c r="P59" s="108">
        <v>1280</v>
      </c>
    </row>
    <row r="60" spans="1:16" x14ac:dyDescent="0.3">
      <c r="A60" s="280" t="s">
        <v>139</v>
      </c>
      <c r="B60" s="348" t="s">
        <v>140</v>
      </c>
      <c r="C60" s="348" t="s">
        <v>254</v>
      </c>
      <c r="D60" s="108">
        <v>68</v>
      </c>
      <c r="E60" s="108">
        <v>62</v>
      </c>
      <c r="F60" s="108">
        <v>53</v>
      </c>
      <c r="G60" s="108">
        <v>44</v>
      </c>
      <c r="H60" s="108">
        <v>80</v>
      </c>
      <c r="I60" s="108">
        <v>79</v>
      </c>
      <c r="J60" s="108">
        <v>60</v>
      </c>
      <c r="K60" s="108">
        <v>35</v>
      </c>
      <c r="L60" s="108">
        <v>65</v>
      </c>
      <c r="M60" s="108">
        <v>42</v>
      </c>
      <c r="N60" s="108">
        <v>31</v>
      </c>
      <c r="O60" s="108">
        <v>35</v>
      </c>
      <c r="P60" s="108">
        <v>654</v>
      </c>
    </row>
    <row r="61" spans="1:16" x14ac:dyDescent="0.3">
      <c r="A61" s="280" t="s">
        <v>145</v>
      </c>
      <c r="B61" s="348" t="s">
        <v>146</v>
      </c>
      <c r="C61" s="348" t="s">
        <v>251</v>
      </c>
      <c r="D61" s="108">
        <v>29</v>
      </c>
      <c r="E61" s="108">
        <v>33</v>
      </c>
      <c r="F61" s="108">
        <v>41</v>
      </c>
      <c r="G61" s="108">
        <v>44</v>
      </c>
      <c r="H61" s="108">
        <v>55</v>
      </c>
      <c r="I61" s="108">
        <v>60</v>
      </c>
      <c r="J61" s="108">
        <v>35</v>
      </c>
      <c r="K61" s="108">
        <v>16</v>
      </c>
      <c r="L61" s="108">
        <v>20</v>
      </c>
      <c r="M61" s="108">
        <v>16</v>
      </c>
      <c r="N61" s="108">
        <v>20</v>
      </c>
      <c r="O61" s="108">
        <v>19</v>
      </c>
      <c r="P61" s="108">
        <v>388</v>
      </c>
    </row>
    <row r="62" spans="1:16" x14ac:dyDescent="0.3">
      <c r="A62" s="280" t="s">
        <v>147</v>
      </c>
      <c r="B62" s="348" t="s">
        <v>148</v>
      </c>
      <c r="C62" s="348" t="s">
        <v>252</v>
      </c>
      <c r="D62" s="108">
        <v>160</v>
      </c>
      <c r="E62" s="108">
        <v>222</v>
      </c>
      <c r="F62" s="108">
        <v>221</v>
      </c>
      <c r="G62" s="108">
        <v>245</v>
      </c>
      <c r="H62" s="108">
        <v>282</v>
      </c>
      <c r="I62" s="108">
        <v>247</v>
      </c>
      <c r="J62" s="108">
        <v>159</v>
      </c>
      <c r="K62" s="108">
        <v>131</v>
      </c>
      <c r="L62" s="108">
        <v>110</v>
      </c>
      <c r="M62" s="108">
        <v>98</v>
      </c>
      <c r="N62" s="108">
        <v>85</v>
      </c>
      <c r="O62" s="108">
        <v>122</v>
      </c>
      <c r="P62" s="108">
        <v>2082</v>
      </c>
    </row>
    <row r="63" spans="1:16" x14ac:dyDescent="0.3">
      <c r="A63" s="280" t="s">
        <v>149</v>
      </c>
      <c r="B63" s="348" t="s">
        <v>150</v>
      </c>
      <c r="C63" s="348" t="s">
        <v>253</v>
      </c>
      <c r="D63" s="108">
        <v>36</v>
      </c>
      <c r="E63" s="108">
        <v>55</v>
      </c>
      <c r="F63" s="108">
        <v>45</v>
      </c>
      <c r="G63" s="108">
        <v>43</v>
      </c>
      <c r="H63" s="108">
        <v>88</v>
      </c>
      <c r="I63" s="108">
        <v>69</v>
      </c>
      <c r="J63" s="108">
        <v>47</v>
      </c>
      <c r="K63" s="108">
        <v>32</v>
      </c>
      <c r="L63" s="108">
        <v>41</v>
      </c>
      <c r="M63" s="108">
        <v>39</v>
      </c>
      <c r="N63" s="108">
        <v>28</v>
      </c>
      <c r="O63" s="108">
        <v>29</v>
      </c>
      <c r="P63" s="108">
        <v>552</v>
      </c>
    </row>
    <row r="64" spans="1:16" x14ac:dyDescent="0.3">
      <c r="A64" s="280" t="s">
        <v>151</v>
      </c>
      <c r="B64" s="348" t="s">
        <v>152</v>
      </c>
      <c r="C64" s="348" t="s">
        <v>255</v>
      </c>
      <c r="D64" s="108">
        <v>255</v>
      </c>
      <c r="E64" s="108">
        <v>281</v>
      </c>
      <c r="F64" s="108">
        <v>278</v>
      </c>
      <c r="G64" s="108">
        <v>286</v>
      </c>
      <c r="H64" s="108">
        <v>514</v>
      </c>
      <c r="I64" s="108">
        <v>548</v>
      </c>
      <c r="J64" s="108">
        <v>316</v>
      </c>
      <c r="K64" s="108">
        <v>294</v>
      </c>
      <c r="L64" s="108">
        <v>317</v>
      </c>
      <c r="M64" s="108">
        <v>201</v>
      </c>
      <c r="N64" s="108">
        <v>185</v>
      </c>
      <c r="O64" s="108">
        <v>229</v>
      </c>
      <c r="P64" s="108">
        <v>3704</v>
      </c>
    </row>
    <row r="65" spans="1:16" x14ac:dyDescent="0.3">
      <c r="A65" s="280" t="s">
        <v>153</v>
      </c>
      <c r="B65" s="348" t="s">
        <v>154</v>
      </c>
      <c r="C65" s="348" t="s">
        <v>252</v>
      </c>
      <c r="D65" s="108">
        <v>62</v>
      </c>
      <c r="E65" s="108">
        <v>67</v>
      </c>
      <c r="F65" s="108">
        <v>54</v>
      </c>
      <c r="G65" s="108">
        <v>51</v>
      </c>
      <c r="H65" s="108">
        <v>107</v>
      </c>
      <c r="I65" s="108">
        <v>125</v>
      </c>
      <c r="J65" s="108">
        <v>59</v>
      </c>
      <c r="K65" s="108">
        <v>59</v>
      </c>
      <c r="L65" s="108">
        <v>67</v>
      </c>
      <c r="M65" s="108">
        <v>49</v>
      </c>
      <c r="N65" s="108">
        <v>27</v>
      </c>
      <c r="O65" s="108">
        <v>41</v>
      </c>
      <c r="P65" s="108">
        <v>768</v>
      </c>
    </row>
    <row r="66" spans="1:16" x14ac:dyDescent="0.3">
      <c r="A66" s="280" t="s">
        <v>155</v>
      </c>
      <c r="B66" s="348" t="s">
        <v>156</v>
      </c>
      <c r="C66" s="348" t="s">
        <v>253</v>
      </c>
      <c r="D66" s="108">
        <v>51</v>
      </c>
      <c r="E66" s="108">
        <v>47</v>
      </c>
      <c r="F66" s="108">
        <v>51</v>
      </c>
      <c r="G66" s="108">
        <v>53</v>
      </c>
      <c r="H66" s="108">
        <v>92</v>
      </c>
      <c r="I66" s="108">
        <v>87</v>
      </c>
      <c r="J66" s="108">
        <v>68</v>
      </c>
      <c r="K66" s="108">
        <v>32</v>
      </c>
      <c r="L66" s="108">
        <v>71</v>
      </c>
      <c r="M66" s="108">
        <v>52</v>
      </c>
      <c r="N66" s="108">
        <v>33</v>
      </c>
      <c r="O66" s="108">
        <v>37</v>
      </c>
      <c r="P66" s="108">
        <v>674</v>
      </c>
    </row>
    <row r="67" spans="1:16" x14ac:dyDescent="0.3">
      <c r="A67" s="280" t="s">
        <v>161</v>
      </c>
      <c r="B67" s="348" t="s">
        <v>162</v>
      </c>
      <c r="C67" s="348" t="s">
        <v>251</v>
      </c>
      <c r="D67" s="108">
        <v>66</v>
      </c>
      <c r="E67" s="108">
        <v>76</v>
      </c>
      <c r="F67" s="108">
        <v>63</v>
      </c>
      <c r="G67" s="108">
        <v>90</v>
      </c>
      <c r="H67" s="108">
        <v>97</v>
      </c>
      <c r="I67" s="108">
        <v>113</v>
      </c>
      <c r="J67" s="108">
        <v>79</v>
      </c>
      <c r="K67" s="108">
        <v>68</v>
      </c>
      <c r="L67" s="108">
        <v>55</v>
      </c>
      <c r="M67" s="108">
        <v>37</v>
      </c>
      <c r="N67" s="108">
        <v>30</v>
      </c>
      <c r="O67" s="108">
        <v>30</v>
      </c>
      <c r="P67" s="108">
        <v>804</v>
      </c>
    </row>
    <row r="68" spans="1:16" x14ac:dyDescent="0.3">
      <c r="A68" s="280" t="s">
        <v>163</v>
      </c>
      <c r="B68" s="348" t="s">
        <v>164</v>
      </c>
      <c r="C68" s="348" t="s">
        <v>253</v>
      </c>
      <c r="D68" s="108">
        <v>58</v>
      </c>
      <c r="E68" s="108">
        <v>43</v>
      </c>
      <c r="F68" s="108">
        <v>40</v>
      </c>
      <c r="G68" s="108">
        <v>61</v>
      </c>
      <c r="H68" s="108">
        <v>80</v>
      </c>
      <c r="I68" s="108">
        <v>82</v>
      </c>
      <c r="J68" s="108">
        <v>43</v>
      </c>
      <c r="K68" s="108">
        <v>45</v>
      </c>
      <c r="L68" s="108">
        <v>45</v>
      </c>
      <c r="M68" s="108">
        <v>31</v>
      </c>
      <c r="N68" s="108">
        <v>25</v>
      </c>
      <c r="O68" s="108">
        <v>19</v>
      </c>
      <c r="P68" s="108">
        <v>572</v>
      </c>
    </row>
    <row r="69" spans="1:16" x14ac:dyDescent="0.3">
      <c r="A69" s="280" t="s">
        <v>167</v>
      </c>
      <c r="B69" s="348" t="s">
        <v>168</v>
      </c>
      <c r="C69" s="348" t="s">
        <v>253</v>
      </c>
      <c r="D69" s="108">
        <v>63</v>
      </c>
      <c r="E69" s="108">
        <v>186</v>
      </c>
      <c r="F69" s="108">
        <v>155</v>
      </c>
      <c r="G69" s="108">
        <v>123</v>
      </c>
      <c r="H69" s="108">
        <v>101</v>
      </c>
      <c r="I69" s="108">
        <v>98</v>
      </c>
      <c r="J69" s="108">
        <v>74</v>
      </c>
      <c r="K69" s="108">
        <v>104</v>
      </c>
      <c r="L69" s="108">
        <v>71</v>
      </c>
      <c r="M69" s="108">
        <v>53</v>
      </c>
      <c r="N69" s="108">
        <v>42</v>
      </c>
      <c r="O69" s="108">
        <v>49</v>
      </c>
      <c r="P69" s="108">
        <v>1119</v>
      </c>
    </row>
    <row r="70" spans="1:16" x14ac:dyDescent="0.3">
      <c r="A70" s="280" t="s">
        <v>169</v>
      </c>
      <c r="B70" s="348" t="s">
        <v>170</v>
      </c>
      <c r="C70" s="348" t="s">
        <v>254</v>
      </c>
      <c r="D70" s="108">
        <v>127</v>
      </c>
      <c r="E70" s="108">
        <v>134</v>
      </c>
      <c r="F70" s="108">
        <v>127</v>
      </c>
      <c r="G70" s="108">
        <v>140</v>
      </c>
      <c r="H70" s="108">
        <v>237</v>
      </c>
      <c r="I70" s="108">
        <v>237</v>
      </c>
      <c r="J70" s="108">
        <v>153</v>
      </c>
      <c r="K70" s="108">
        <v>134</v>
      </c>
      <c r="L70" s="108">
        <v>124</v>
      </c>
      <c r="M70" s="108">
        <v>130</v>
      </c>
      <c r="N70" s="108">
        <v>76</v>
      </c>
      <c r="O70" s="108">
        <v>96</v>
      </c>
      <c r="P70" s="108">
        <v>1715</v>
      </c>
    </row>
    <row r="71" spans="1:16" x14ac:dyDescent="0.3">
      <c r="A71" s="280" t="s">
        <v>171</v>
      </c>
      <c r="B71" s="348" t="s">
        <v>172</v>
      </c>
      <c r="C71" s="348" t="s">
        <v>254</v>
      </c>
      <c r="D71" s="108">
        <v>152</v>
      </c>
      <c r="E71" s="108">
        <v>154</v>
      </c>
      <c r="F71" s="108">
        <v>141</v>
      </c>
      <c r="G71" s="108">
        <v>163</v>
      </c>
      <c r="H71" s="108">
        <v>257</v>
      </c>
      <c r="I71" s="108">
        <v>190</v>
      </c>
      <c r="J71" s="108">
        <v>169</v>
      </c>
      <c r="K71" s="108">
        <v>102</v>
      </c>
      <c r="L71" s="108">
        <v>130</v>
      </c>
      <c r="M71" s="108">
        <v>102</v>
      </c>
      <c r="N71" s="108">
        <v>65</v>
      </c>
      <c r="O71" s="108">
        <v>99</v>
      </c>
      <c r="P71" s="108">
        <v>1724</v>
      </c>
    </row>
    <row r="72" spans="1:16" x14ac:dyDescent="0.3">
      <c r="A72" s="280" t="s">
        <v>173</v>
      </c>
      <c r="B72" s="348" t="s">
        <v>174</v>
      </c>
      <c r="C72" s="348" t="s">
        <v>255</v>
      </c>
      <c r="D72" s="108">
        <v>92</v>
      </c>
      <c r="E72" s="108">
        <v>80</v>
      </c>
      <c r="F72" s="108">
        <v>83</v>
      </c>
      <c r="G72" s="108">
        <v>90</v>
      </c>
      <c r="H72" s="108">
        <v>122</v>
      </c>
      <c r="I72" s="108">
        <v>116</v>
      </c>
      <c r="J72" s="108">
        <v>82</v>
      </c>
      <c r="K72" s="108">
        <v>84</v>
      </c>
      <c r="L72" s="108">
        <v>77</v>
      </c>
      <c r="M72" s="108">
        <v>52</v>
      </c>
      <c r="N72" s="108">
        <v>37</v>
      </c>
      <c r="O72" s="108">
        <v>61</v>
      </c>
      <c r="P72" s="108">
        <v>976</v>
      </c>
    </row>
    <row r="73" spans="1:16" x14ac:dyDescent="0.3">
      <c r="A73" s="280" t="s">
        <v>177</v>
      </c>
      <c r="B73" s="348" t="s">
        <v>178</v>
      </c>
      <c r="C73" s="348" t="s">
        <v>252</v>
      </c>
      <c r="D73" s="108">
        <v>292</v>
      </c>
      <c r="E73" s="108">
        <v>326</v>
      </c>
      <c r="F73" s="108">
        <v>301</v>
      </c>
      <c r="G73" s="108">
        <v>407</v>
      </c>
      <c r="H73" s="108">
        <v>550</v>
      </c>
      <c r="I73" s="108">
        <v>423</v>
      </c>
      <c r="J73" s="108">
        <v>349</v>
      </c>
      <c r="K73" s="108">
        <v>333</v>
      </c>
      <c r="L73" s="108">
        <v>260</v>
      </c>
      <c r="M73" s="108">
        <v>212</v>
      </c>
      <c r="N73" s="108">
        <v>171</v>
      </c>
      <c r="O73" s="108">
        <v>175</v>
      </c>
      <c r="P73" s="108">
        <v>3799</v>
      </c>
    </row>
    <row r="74" spans="1:16" x14ac:dyDescent="0.3">
      <c r="A74" s="280" t="s">
        <v>181</v>
      </c>
      <c r="B74" s="348" t="s">
        <v>182</v>
      </c>
      <c r="C74" s="348" t="s">
        <v>253</v>
      </c>
      <c r="D74" s="108">
        <v>83</v>
      </c>
      <c r="E74" s="108">
        <v>75</v>
      </c>
      <c r="F74" s="108">
        <v>76</v>
      </c>
      <c r="G74" s="108">
        <v>116</v>
      </c>
      <c r="H74" s="108">
        <v>167</v>
      </c>
      <c r="I74" s="108">
        <v>151</v>
      </c>
      <c r="J74" s="108">
        <v>75</v>
      </c>
      <c r="K74" s="108">
        <v>93</v>
      </c>
      <c r="L74" s="108">
        <v>65</v>
      </c>
      <c r="M74" s="108">
        <v>64</v>
      </c>
      <c r="N74" s="108">
        <v>59</v>
      </c>
      <c r="O74" s="108">
        <v>41</v>
      </c>
      <c r="P74" s="108">
        <v>1065</v>
      </c>
    </row>
    <row r="75" spans="1:16" x14ac:dyDescent="0.3">
      <c r="A75" s="280" t="s">
        <v>183</v>
      </c>
      <c r="B75" s="348" t="s">
        <v>184</v>
      </c>
      <c r="C75" s="348" t="s">
        <v>253</v>
      </c>
      <c r="D75" s="108">
        <v>93</v>
      </c>
      <c r="E75" s="108">
        <v>98</v>
      </c>
      <c r="F75" s="108">
        <v>93</v>
      </c>
      <c r="G75" s="108">
        <v>126</v>
      </c>
      <c r="H75" s="108">
        <v>137</v>
      </c>
      <c r="I75" s="108">
        <v>135</v>
      </c>
      <c r="J75" s="108">
        <v>87</v>
      </c>
      <c r="K75" s="108">
        <v>92</v>
      </c>
      <c r="L75" s="108">
        <v>77</v>
      </c>
      <c r="M75" s="108">
        <v>82</v>
      </c>
      <c r="N75" s="108">
        <v>47</v>
      </c>
      <c r="O75" s="108">
        <v>69</v>
      </c>
      <c r="P75" s="108">
        <v>1136</v>
      </c>
    </row>
    <row r="76" spans="1:16" x14ac:dyDescent="0.3">
      <c r="A76" s="280" t="s">
        <v>185</v>
      </c>
      <c r="B76" s="348" t="s">
        <v>186</v>
      </c>
      <c r="C76" s="348" t="s">
        <v>251</v>
      </c>
      <c r="D76" s="108">
        <v>144</v>
      </c>
      <c r="E76" s="108">
        <v>126</v>
      </c>
      <c r="F76" s="108">
        <v>142</v>
      </c>
      <c r="G76" s="108">
        <v>156</v>
      </c>
      <c r="H76" s="108">
        <v>226</v>
      </c>
      <c r="I76" s="108">
        <v>191</v>
      </c>
      <c r="J76" s="108">
        <v>166</v>
      </c>
      <c r="K76" s="108">
        <v>117</v>
      </c>
      <c r="L76" s="108">
        <v>138</v>
      </c>
      <c r="M76" s="108">
        <v>92</v>
      </c>
      <c r="N76" s="108">
        <v>81</v>
      </c>
      <c r="O76" s="108">
        <v>76</v>
      </c>
      <c r="P76" s="108">
        <v>1655</v>
      </c>
    </row>
    <row r="77" spans="1:16" x14ac:dyDescent="0.3">
      <c r="A77" s="280" t="s">
        <v>187</v>
      </c>
      <c r="B77" s="348" t="s">
        <v>188</v>
      </c>
      <c r="C77" s="348" t="s">
        <v>254</v>
      </c>
      <c r="D77" s="108">
        <v>1702</v>
      </c>
      <c r="E77" s="108">
        <v>1619</v>
      </c>
      <c r="F77" s="108">
        <v>1649</v>
      </c>
      <c r="G77" s="108">
        <v>1820</v>
      </c>
      <c r="H77" s="108">
        <v>3911</v>
      </c>
      <c r="I77" s="108">
        <v>4293</v>
      </c>
      <c r="J77" s="108">
        <v>1983</v>
      </c>
      <c r="K77" s="108">
        <v>1619</v>
      </c>
      <c r="L77" s="108">
        <v>1921</v>
      </c>
      <c r="M77" s="108">
        <v>1778</v>
      </c>
      <c r="N77" s="108">
        <v>1389</v>
      </c>
      <c r="O77" s="108">
        <v>1414</v>
      </c>
      <c r="P77" s="108">
        <v>25098</v>
      </c>
    </row>
    <row r="78" spans="1:16" x14ac:dyDescent="0.3">
      <c r="A78" s="280" t="s">
        <v>189</v>
      </c>
      <c r="B78" s="348" t="s">
        <v>190</v>
      </c>
      <c r="C78" s="348" t="s">
        <v>255</v>
      </c>
      <c r="D78" s="108">
        <v>170</v>
      </c>
      <c r="E78" s="108">
        <v>193</v>
      </c>
      <c r="F78" s="108">
        <v>184</v>
      </c>
      <c r="G78" s="108">
        <v>194</v>
      </c>
      <c r="H78" s="108">
        <v>221</v>
      </c>
      <c r="I78" s="108">
        <v>238</v>
      </c>
      <c r="J78" s="108">
        <v>157</v>
      </c>
      <c r="K78" s="108">
        <v>164</v>
      </c>
      <c r="L78" s="108">
        <v>167</v>
      </c>
      <c r="M78" s="108">
        <v>132</v>
      </c>
      <c r="N78" s="108">
        <v>89</v>
      </c>
      <c r="O78" s="108">
        <v>113</v>
      </c>
      <c r="P78" s="108">
        <v>2022</v>
      </c>
    </row>
    <row r="79" spans="1:16" x14ac:dyDescent="0.3">
      <c r="A79" s="280" t="s">
        <v>193</v>
      </c>
      <c r="B79" s="348" t="s">
        <v>194</v>
      </c>
      <c r="C79" s="348" t="s">
        <v>254</v>
      </c>
      <c r="D79" s="108">
        <v>37</v>
      </c>
      <c r="E79" s="108">
        <v>35</v>
      </c>
      <c r="F79" s="108">
        <v>31</v>
      </c>
      <c r="G79" s="108">
        <v>27</v>
      </c>
      <c r="H79" s="108">
        <v>54</v>
      </c>
      <c r="I79" s="108">
        <v>59</v>
      </c>
      <c r="J79" s="108">
        <v>26</v>
      </c>
      <c r="K79" s="108">
        <v>18</v>
      </c>
      <c r="L79" s="108">
        <v>16</v>
      </c>
      <c r="M79" s="108">
        <v>33</v>
      </c>
      <c r="N79" s="108">
        <v>25</v>
      </c>
      <c r="O79" s="108">
        <v>25</v>
      </c>
      <c r="P79" s="108">
        <v>386</v>
      </c>
    </row>
    <row r="80" spans="1:16" x14ac:dyDescent="0.3">
      <c r="A80" s="280" t="s">
        <v>197</v>
      </c>
      <c r="B80" s="348" t="s">
        <v>259</v>
      </c>
      <c r="C80" s="348" t="s">
        <v>253</v>
      </c>
      <c r="D80" s="108">
        <v>38</v>
      </c>
      <c r="E80" s="108">
        <v>47</v>
      </c>
      <c r="F80" s="108">
        <v>54</v>
      </c>
      <c r="G80" s="108">
        <v>90</v>
      </c>
      <c r="H80" s="108">
        <v>160</v>
      </c>
      <c r="I80" s="108">
        <v>51</v>
      </c>
      <c r="J80" s="108">
        <v>45</v>
      </c>
      <c r="K80" s="108">
        <v>45</v>
      </c>
      <c r="L80" s="108">
        <v>32</v>
      </c>
      <c r="M80" s="108">
        <v>51</v>
      </c>
      <c r="N80" s="108">
        <v>31</v>
      </c>
      <c r="O80" s="108">
        <v>23</v>
      </c>
      <c r="P80" s="108">
        <v>667</v>
      </c>
    </row>
    <row r="81" spans="1:16" x14ac:dyDescent="0.3">
      <c r="A81" s="280" t="s">
        <v>201</v>
      </c>
      <c r="B81" s="348" t="s">
        <v>276</v>
      </c>
      <c r="C81" s="348" t="s">
        <v>252</v>
      </c>
      <c r="D81" s="108">
        <v>424</v>
      </c>
      <c r="E81" s="108">
        <v>466</v>
      </c>
      <c r="F81" s="108">
        <v>424</v>
      </c>
      <c r="G81" s="108">
        <v>447</v>
      </c>
      <c r="H81" s="108">
        <v>735</v>
      </c>
      <c r="I81" s="108">
        <v>768</v>
      </c>
      <c r="J81" s="108">
        <v>423</v>
      </c>
      <c r="K81" s="108">
        <v>417</v>
      </c>
      <c r="L81" s="108">
        <v>377</v>
      </c>
      <c r="M81" s="108">
        <v>367</v>
      </c>
      <c r="N81" s="108">
        <v>267</v>
      </c>
      <c r="O81" s="108">
        <v>291</v>
      </c>
      <c r="P81" s="108">
        <v>5406</v>
      </c>
    </row>
    <row r="82" spans="1:16" x14ac:dyDescent="0.3">
      <c r="A82" s="280" t="s">
        <v>203</v>
      </c>
      <c r="B82" s="348" t="s">
        <v>269</v>
      </c>
      <c r="C82" s="348" t="s">
        <v>252</v>
      </c>
      <c r="D82" s="108">
        <v>150</v>
      </c>
      <c r="E82" s="108">
        <v>165</v>
      </c>
      <c r="F82" s="108">
        <v>141</v>
      </c>
      <c r="G82" s="108">
        <v>160</v>
      </c>
      <c r="H82" s="108">
        <v>231</v>
      </c>
      <c r="I82" s="108">
        <v>243</v>
      </c>
      <c r="J82" s="108">
        <v>167</v>
      </c>
      <c r="K82" s="108">
        <v>140</v>
      </c>
      <c r="L82" s="108">
        <v>153</v>
      </c>
      <c r="M82" s="108">
        <v>136</v>
      </c>
      <c r="N82" s="108">
        <v>86</v>
      </c>
      <c r="O82" s="108">
        <v>104</v>
      </c>
      <c r="P82" s="108">
        <v>1876</v>
      </c>
    </row>
    <row r="83" spans="1:16" x14ac:dyDescent="0.3">
      <c r="A83" s="280" t="s">
        <v>205</v>
      </c>
      <c r="B83" s="348" t="s">
        <v>270</v>
      </c>
      <c r="C83" s="348" t="s">
        <v>254</v>
      </c>
      <c r="D83" s="108">
        <v>516</v>
      </c>
      <c r="E83" s="108">
        <v>530</v>
      </c>
      <c r="F83" s="108">
        <v>484</v>
      </c>
      <c r="G83" s="108">
        <v>527</v>
      </c>
      <c r="H83" s="108">
        <v>809</v>
      </c>
      <c r="I83" s="108">
        <v>802</v>
      </c>
      <c r="J83" s="108">
        <v>531</v>
      </c>
      <c r="K83" s="108">
        <v>455</v>
      </c>
      <c r="L83" s="108">
        <v>469</v>
      </c>
      <c r="M83" s="108">
        <v>353</v>
      </c>
      <c r="N83" s="108">
        <v>285</v>
      </c>
      <c r="O83" s="108">
        <v>389</v>
      </c>
      <c r="P83" s="108">
        <v>6150</v>
      </c>
    </row>
    <row r="84" spans="1:16" x14ac:dyDescent="0.3">
      <c r="A84" s="280" t="s">
        <v>207</v>
      </c>
      <c r="B84" s="348" t="s">
        <v>208</v>
      </c>
      <c r="C84" s="348" t="s">
        <v>255</v>
      </c>
      <c r="D84" s="108">
        <v>148</v>
      </c>
      <c r="E84" s="108">
        <v>173</v>
      </c>
      <c r="F84" s="108">
        <v>147</v>
      </c>
      <c r="G84" s="108">
        <v>166</v>
      </c>
      <c r="H84" s="108">
        <v>259</v>
      </c>
      <c r="I84" s="108">
        <v>159</v>
      </c>
      <c r="J84" s="108">
        <v>163</v>
      </c>
      <c r="K84" s="108">
        <v>153</v>
      </c>
      <c r="L84" s="108">
        <v>168</v>
      </c>
      <c r="M84" s="108">
        <v>109</v>
      </c>
      <c r="N84" s="108">
        <v>64</v>
      </c>
      <c r="O84" s="108">
        <v>98</v>
      </c>
      <c r="P84" s="108">
        <v>1807</v>
      </c>
    </row>
    <row r="85" spans="1:16" x14ac:dyDescent="0.3">
      <c r="A85" s="280" t="s">
        <v>209</v>
      </c>
      <c r="B85" s="348" t="s">
        <v>210</v>
      </c>
      <c r="C85" s="348" t="s">
        <v>255</v>
      </c>
      <c r="D85" s="108">
        <v>110</v>
      </c>
      <c r="E85" s="108">
        <v>108</v>
      </c>
      <c r="F85" s="108">
        <v>96</v>
      </c>
      <c r="G85" s="108">
        <v>117</v>
      </c>
      <c r="H85" s="108">
        <v>133</v>
      </c>
      <c r="I85" s="108">
        <v>131</v>
      </c>
      <c r="J85" s="108">
        <v>100</v>
      </c>
      <c r="K85" s="108">
        <v>96</v>
      </c>
      <c r="L85" s="108">
        <v>94</v>
      </c>
      <c r="M85" s="108">
        <v>61</v>
      </c>
      <c r="N85" s="108">
        <v>63</v>
      </c>
      <c r="O85" s="108">
        <v>70</v>
      </c>
      <c r="P85" s="108">
        <v>1179</v>
      </c>
    </row>
    <row r="86" spans="1:16" x14ac:dyDescent="0.3">
      <c r="A86" s="280" t="s">
        <v>211</v>
      </c>
      <c r="B86" s="348" t="s">
        <v>212</v>
      </c>
      <c r="C86" s="348" t="s">
        <v>254</v>
      </c>
      <c r="D86" s="108">
        <v>198</v>
      </c>
      <c r="E86" s="108">
        <v>213</v>
      </c>
      <c r="F86" s="108">
        <v>193</v>
      </c>
      <c r="G86" s="108">
        <v>212</v>
      </c>
      <c r="H86" s="108">
        <v>315</v>
      </c>
      <c r="I86" s="108">
        <v>305</v>
      </c>
      <c r="J86" s="108">
        <v>212</v>
      </c>
      <c r="K86" s="108">
        <v>164</v>
      </c>
      <c r="L86" s="108">
        <v>175</v>
      </c>
      <c r="M86" s="108">
        <v>172</v>
      </c>
      <c r="N86" s="108">
        <v>140</v>
      </c>
      <c r="O86" s="108">
        <v>137</v>
      </c>
      <c r="P86" s="108">
        <v>2436</v>
      </c>
    </row>
    <row r="87" spans="1:16" x14ac:dyDescent="0.3">
      <c r="A87" s="280" t="s">
        <v>213</v>
      </c>
      <c r="B87" s="348" t="s">
        <v>214</v>
      </c>
      <c r="C87" s="348" t="s">
        <v>255</v>
      </c>
      <c r="D87" s="108">
        <v>221</v>
      </c>
      <c r="E87" s="108">
        <v>249</v>
      </c>
      <c r="F87" s="108">
        <v>284</v>
      </c>
      <c r="G87" s="108">
        <v>249</v>
      </c>
      <c r="H87" s="108">
        <v>264</v>
      </c>
      <c r="I87" s="108">
        <v>237</v>
      </c>
      <c r="J87" s="108">
        <v>196</v>
      </c>
      <c r="K87" s="108">
        <v>167</v>
      </c>
      <c r="L87" s="108">
        <v>190</v>
      </c>
      <c r="M87" s="108">
        <v>133</v>
      </c>
      <c r="N87" s="108">
        <v>107</v>
      </c>
      <c r="O87" s="108">
        <v>131</v>
      </c>
      <c r="P87" s="108">
        <v>2428</v>
      </c>
    </row>
    <row r="88" spans="1:16" x14ac:dyDescent="0.3">
      <c r="A88" s="280" t="s">
        <v>215</v>
      </c>
      <c r="B88" s="348" t="s">
        <v>216</v>
      </c>
      <c r="C88" s="348" t="s">
        <v>251</v>
      </c>
      <c r="D88" s="108">
        <v>97</v>
      </c>
      <c r="E88" s="108">
        <v>101</v>
      </c>
      <c r="F88" s="108">
        <v>100</v>
      </c>
      <c r="G88" s="108">
        <v>144</v>
      </c>
      <c r="H88" s="108">
        <v>118</v>
      </c>
      <c r="I88" s="108">
        <v>120</v>
      </c>
      <c r="J88" s="108">
        <v>68</v>
      </c>
      <c r="K88" s="108">
        <v>86</v>
      </c>
      <c r="L88" s="108">
        <v>69</v>
      </c>
      <c r="M88" s="108">
        <v>62</v>
      </c>
      <c r="N88" s="108">
        <v>45</v>
      </c>
      <c r="O88" s="108">
        <v>54</v>
      </c>
      <c r="P88" s="108">
        <v>1064</v>
      </c>
    </row>
    <row r="89" spans="1:16" x14ac:dyDescent="0.3">
      <c r="A89" s="280" t="s">
        <v>217</v>
      </c>
      <c r="B89" s="348" t="s">
        <v>218</v>
      </c>
      <c r="C89" s="348" t="s">
        <v>254</v>
      </c>
      <c r="D89" s="108">
        <v>517</v>
      </c>
      <c r="E89" s="108">
        <v>517</v>
      </c>
      <c r="F89" s="108">
        <v>462</v>
      </c>
      <c r="G89" s="108">
        <v>549</v>
      </c>
      <c r="H89" s="108">
        <v>869</v>
      </c>
      <c r="I89" s="108">
        <v>955</v>
      </c>
      <c r="J89" s="108">
        <v>507</v>
      </c>
      <c r="K89" s="108">
        <v>440</v>
      </c>
      <c r="L89" s="108">
        <v>517</v>
      </c>
      <c r="M89" s="108">
        <v>523</v>
      </c>
      <c r="N89" s="108">
        <v>365</v>
      </c>
      <c r="O89" s="108">
        <v>353</v>
      </c>
      <c r="P89" s="108">
        <v>6574</v>
      </c>
    </row>
    <row r="90" spans="1:16" x14ac:dyDescent="0.3">
      <c r="A90" s="280" t="s">
        <v>219</v>
      </c>
      <c r="B90" s="348" t="s">
        <v>220</v>
      </c>
      <c r="C90" s="348" t="s">
        <v>254</v>
      </c>
      <c r="D90" s="108">
        <v>453</v>
      </c>
      <c r="E90" s="108">
        <v>459</v>
      </c>
      <c r="F90" s="108">
        <v>475</v>
      </c>
      <c r="G90" s="108">
        <v>546</v>
      </c>
      <c r="H90" s="108">
        <v>858</v>
      </c>
      <c r="I90" s="108">
        <v>892</v>
      </c>
      <c r="J90" s="108">
        <v>505</v>
      </c>
      <c r="K90" s="108">
        <v>426</v>
      </c>
      <c r="L90" s="108">
        <v>469</v>
      </c>
      <c r="M90" s="108">
        <v>379</v>
      </c>
      <c r="N90" s="108">
        <v>328</v>
      </c>
      <c r="O90" s="108">
        <v>345</v>
      </c>
      <c r="P90" s="108">
        <v>6135</v>
      </c>
    </row>
    <row r="91" spans="1:16" x14ac:dyDescent="0.3">
      <c r="A91" s="280" t="s">
        <v>223</v>
      </c>
      <c r="B91" s="348" t="s">
        <v>224</v>
      </c>
      <c r="C91" s="348" t="s">
        <v>251</v>
      </c>
      <c r="D91" s="108">
        <v>27</v>
      </c>
      <c r="E91" s="108">
        <v>22</v>
      </c>
      <c r="F91" s="108">
        <v>28</v>
      </c>
      <c r="G91" s="108">
        <v>38</v>
      </c>
      <c r="H91" s="108">
        <v>56</v>
      </c>
      <c r="I91" s="108">
        <v>57</v>
      </c>
      <c r="J91" s="108">
        <v>31</v>
      </c>
      <c r="K91" s="108">
        <v>23</v>
      </c>
      <c r="L91" s="108">
        <v>21</v>
      </c>
      <c r="M91" s="108">
        <v>23</v>
      </c>
      <c r="N91" s="108">
        <v>14</v>
      </c>
      <c r="O91" s="108">
        <v>22</v>
      </c>
      <c r="P91" s="108">
        <v>362</v>
      </c>
    </row>
    <row r="92" spans="1:16" x14ac:dyDescent="0.3">
      <c r="A92" s="280" t="s">
        <v>225</v>
      </c>
      <c r="B92" s="348" t="s">
        <v>226</v>
      </c>
      <c r="C92" s="348" t="s">
        <v>251</v>
      </c>
      <c r="D92" s="108">
        <v>74</v>
      </c>
      <c r="E92" s="108">
        <v>83</v>
      </c>
      <c r="F92" s="108">
        <v>172</v>
      </c>
      <c r="G92" s="108">
        <v>538</v>
      </c>
      <c r="H92" s="108">
        <v>374</v>
      </c>
      <c r="I92" s="108">
        <v>70</v>
      </c>
      <c r="J92" s="108">
        <v>69</v>
      </c>
      <c r="K92" s="108">
        <v>148</v>
      </c>
      <c r="L92" s="108">
        <v>225</v>
      </c>
      <c r="M92" s="108">
        <v>47</v>
      </c>
      <c r="N92" s="108">
        <v>40</v>
      </c>
      <c r="O92" s="108">
        <v>45</v>
      </c>
      <c r="P92" s="108">
        <v>1885</v>
      </c>
    </row>
    <row r="93" spans="1:16" x14ac:dyDescent="0.3">
      <c r="A93" s="280" t="s">
        <v>227</v>
      </c>
      <c r="B93" s="348" t="s">
        <v>228</v>
      </c>
      <c r="C93" s="348" t="s">
        <v>255</v>
      </c>
      <c r="D93" s="108">
        <v>233</v>
      </c>
      <c r="E93" s="108">
        <v>383</v>
      </c>
      <c r="F93" s="108">
        <v>300</v>
      </c>
      <c r="G93" s="108">
        <v>309</v>
      </c>
      <c r="H93" s="108">
        <v>445</v>
      </c>
      <c r="I93" s="108">
        <v>280</v>
      </c>
      <c r="J93" s="108">
        <v>295</v>
      </c>
      <c r="K93" s="108">
        <v>282</v>
      </c>
      <c r="L93" s="108">
        <v>260</v>
      </c>
      <c r="M93" s="108">
        <v>175</v>
      </c>
      <c r="N93" s="108">
        <v>154</v>
      </c>
      <c r="O93" s="108">
        <v>144</v>
      </c>
      <c r="P93" s="108">
        <v>3260</v>
      </c>
    </row>
    <row r="94" spans="1:16" x14ac:dyDescent="0.3">
      <c r="A94" s="280" t="s">
        <v>231</v>
      </c>
      <c r="B94" s="348" t="s">
        <v>232</v>
      </c>
      <c r="C94" s="348" t="s">
        <v>254</v>
      </c>
      <c r="D94" s="108">
        <v>175</v>
      </c>
      <c r="E94" s="108">
        <v>208</v>
      </c>
      <c r="F94" s="108">
        <v>164</v>
      </c>
      <c r="G94" s="108">
        <v>167</v>
      </c>
      <c r="H94" s="108">
        <v>253</v>
      </c>
      <c r="I94" s="108">
        <v>251</v>
      </c>
      <c r="J94" s="108">
        <v>188</v>
      </c>
      <c r="K94" s="108">
        <v>156</v>
      </c>
      <c r="L94" s="108">
        <v>154</v>
      </c>
      <c r="M94" s="108">
        <v>144</v>
      </c>
      <c r="N94" s="108">
        <v>127</v>
      </c>
      <c r="O94" s="108">
        <v>132</v>
      </c>
      <c r="P94" s="108">
        <v>2119</v>
      </c>
    </row>
    <row r="95" spans="1:16" x14ac:dyDescent="0.3">
      <c r="A95" s="280" t="s">
        <v>233</v>
      </c>
      <c r="B95" s="348" t="s">
        <v>234</v>
      </c>
      <c r="C95" s="348" t="s">
        <v>255</v>
      </c>
      <c r="D95" s="108">
        <v>315</v>
      </c>
      <c r="E95" s="108">
        <v>324</v>
      </c>
      <c r="F95" s="108">
        <v>248</v>
      </c>
      <c r="G95" s="108">
        <v>305</v>
      </c>
      <c r="H95" s="108">
        <v>433</v>
      </c>
      <c r="I95" s="108">
        <v>386</v>
      </c>
      <c r="J95" s="108">
        <v>316</v>
      </c>
      <c r="K95" s="108">
        <v>253</v>
      </c>
      <c r="L95" s="108">
        <v>255</v>
      </c>
      <c r="M95" s="108">
        <v>209</v>
      </c>
      <c r="N95" s="108">
        <v>146</v>
      </c>
      <c r="O95" s="108">
        <v>185</v>
      </c>
      <c r="P95" s="108">
        <v>3375</v>
      </c>
    </row>
    <row r="96" spans="1:16" x14ac:dyDescent="0.3">
      <c r="A96" s="280" t="s">
        <v>235</v>
      </c>
      <c r="B96" s="348" t="s">
        <v>236</v>
      </c>
      <c r="C96" s="348" t="s">
        <v>253</v>
      </c>
      <c r="D96" s="108">
        <v>79</v>
      </c>
      <c r="E96" s="108">
        <v>83</v>
      </c>
      <c r="F96" s="108">
        <v>108</v>
      </c>
      <c r="G96" s="108">
        <v>92</v>
      </c>
      <c r="H96" s="108">
        <v>156</v>
      </c>
      <c r="I96" s="108">
        <v>126</v>
      </c>
      <c r="J96" s="108">
        <v>99</v>
      </c>
      <c r="K96" s="108">
        <v>90</v>
      </c>
      <c r="L96" s="108">
        <v>100</v>
      </c>
      <c r="M96" s="108">
        <v>72</v>
      </c>
      <c r="N96" s="108">
        <v>55</v>
      </c>
      <c r="O96" s="108">
        <v>69</v>
      </c>
      <c r="P96" s="108">
        <v>1129</v>
      </c>
    </row>
    <row r="97" spans="1:16" x14ac:dyDescent="0.3">
      <c r="A97" s="280" t="s">
        <v>241</v>
      </c>
      <c r="B97" s="348" t="s">
        <v>242</v>
      </c>
      <c r="C97" s="348" t="s">
        <v>255</v>
      </c>
      <c r="D97" s="108">
        <v>225</v>
      </c>
      <c r="E97" s="108">
        <v>283</v>
      </c>
      <c r="F97" s="108">
        <v>344</v>
      </c>
      <c r="G97" s="108">
        <v>273</v>
      </c>
      <c r="H97" s="108">
        <v>375</v>
      </c>
      <c r="I97" s="108">
        <v>258</v>
      </c>
      <c r="J97" s="108">
        <v>246</v>
      </c>
      <c r="K97" s="108">
        <v>230</v>
      </c>
      <c r="L97" s="108">
        <v>249</v>
      </c>
      <c r="M97" s="108">
        <v>164</v>
      </c>
      <c r="N97" s="108">
        <v>142</v>
      </c>
      <c r="O97" s="108">
        <v>156</v>
      </c>
      <c r="P97" s="108">
        <v>2945</v>
      </c>
    </row>
    <row r="98" spans="1:16" x14ac:dyDescent="0.3">
      <c r="A98" s="280" t="s">
        <v>243</v>
      </c>
      <c r="B98" s="348" t="s">
        <v>244</v>
      </c>
      <c r="C98" s="348" t="s">
        <v>255</v>
      </c>
      <c r="D98" s="108">
        <v>171</v>
      </c>
      <c r="E98" s="108">
        <v>191</v>
      </c>
      <c r="F98" s="108">
        <v>166</v>
      </c>
      <c r="G98" s="108">
        <v>185</v>
      </c>
      <c r="H98" s="108">
        <v>250</v>
      </c>
      <c r="I98" s="108">
        <v>224</v>
      </c>
      <c r="J98" s="108">
        <v>189</v>
      </c>
      <c r="K98" s="108">
        <v>153</v>
      </c>
      <c r="L98" s="108">
        <v>161</v>
      </c>
      <c r="M98" s="108">
        <v>111</v>
      </c>
      <c r="N98" s="108">
        <v>95</v>
      </c>
      <c r="O98" s="108">
        <v>118</v>
      </c>
      <c r="P98" s="108">
        <v>2014</v>
      </c>
    </row>
    <row r="99" spans="1:16" x14ac:dyDescent="0.3">
      <c r="A99" s="280" t="s">
        <v>245</v>
      </c>
      <c r="B99" s="348" t="s">
        <v>246</v>
      </c>
      <c r="C99" s="348" t="s">
        <v>251</v>
      </c>
      <c r="D99" s="108">
        <v>161</v>
      </c>
      <c r="E99" s="108">
        <v>161</v>
      </c>
      <c r="F99" s="108">
        <v>184</v>
      </c>
      <c r="G99" s="108">
        <v>189</v>
      </c>
      <c r="H99" s="108">
        <v>367</v>
      </c>
      <c r="I99" s="108">
        <v>416</v>
      </c>
      <c r="J99" s="108">
        <v>198</v>
      </c>
      <c r="K99" s="108">
        <v>165</v>
      </c>
      <c r="L99" s="108">
        <v>201</v>
      </c>
      <c r="M99" s="108">
        <v>163</v>
      </c>
      <c r="N99" s="108">
        <v>130</v>
      </c>
      <c r="O99" s="108">
        <v>139</v>
      </c>
      <c r="P99" s="108">
        <v>2474</v>
      </c>
    </row>
    <row r="100" spans="1:16" x14ac:dyDescent="0.3">
      <c r="A100" s="280" t="s">
        <v>13</v>
      </c>
      <c r="B100" s="348" t="s">
        <v>14</v>
      </c>
      <c r="C100" s="348" t="s">
        <v>254</v>
      </c>
      <c r="D100" s="108">
        <v>510</v>
      </c>
      <c r="E100" s="108">
        <v>518</v>
      </c>
      <c r="F100" s="108">
        <v>483</v>
      </c>
      <c r="G100" s="108">
        <v>575</v>
      </c>
      <c r="H100" s="108">
        <v>1169</v>
      </c>
      <c r="I100" s="108">
        <v>1363</v>
      </c>
      <c r="J100" s="108">
        <v>593</v>
      </c>
      <c r="K100" s="108">
        <v>507</v>
      </c>
      <c r="L100" s="108">
        <v>645</v>
      </c>
      <c r="M100" s="108">
        <v>644</v>
      </c>
      <c r="N100" s="108">
        <v>530</v>
      </c>
      <c r="O100" s="108">
        <v>476</v>
      </c>
      <c r="P100" s="108">
        <v>8013</v>
      </c>
    </row>
    <row r="101" spans="1:16" x14ac:dyDescent="0.3">
      <c r="A101" s="280" t="s">
        <v>33</v>
      </c>
      <c r="B101" s="348" t="s">
        <v>34</v>
      </c>
      <c r="C101" s="348" t="s">
        <v>255</v>
      </c>
      <c r="D101" s="108">
        <v>140</v>
      </c>
      <c r="E101" s="108">
        <v>155</v>
      </c>
      <c r="F101" s="108">
        <v>120</v>
      </c>
      <c r="G101" s="108">
        <v>131</v>
      </c>
      <c r="H101" s="108">
        <v>178</v>
      </c>
      <c r="I101" s="108">
        <v>181</v>
      </c>
      <c r="J101" s="108">
        <v>127</v>
      </c>
      <c r="K101" s="108">
        <v>128</v>
      </c>
      <c r="L101" s="108">
        <v>121</v>
      </c>
      <c r="M101" s="108">
        <v>95</v>
      </c>
      <c r="N101" s="108">
        <v>72</v>
      </c>
      <c r="O101" s="108">
        <v>86</v>
      </c>
      <c r="P101" s="108">
        <v>1534</v>
      </c>
    </row>
    <row r="102" spans="1:16" x14ac:dyDescent="0.3">
      <c r="A102" s="280" t="s">
        <v>51</v>
      </c>
      <c r="B102" s="348" t="s">
        <v>52</v>
      </c>
      <c r="C102" s="348" t="s">
        <v>252</v>
      </c>
      <c r="D102" s="108">
        <v>208</v>
      </c>
      <c r="E102" s="108">
        <v>214</v>
      </c>
      <c r="F102" s="108">
        <v>165</v>
      </c>
      <c r="G102" s="108">
        <v>206</v>
      </c>
      <c r="H102" s="108">
        <v>309</v>
      </c>
      <c r="I102" s="108">
        <v>339</v>
      </c>
      <c r="J102" s="108">
        <v>213</v>
      </c>
      <c r="K102" s="108">
        <v>163</v>
      </c>
      <c r="L102" s="108">
        <v>191</v>
      </c>
      <c r="M102" s="108">
        <v>173</v>
      </c>
      <c r="N102" s="108">
        <v>113</v>
      </c>
      <c r="O102" s="108">
        <v>88</v>
      </c>
      <c r="P102" s="108">
        <v>2382</v>
      </c>
    </row>
    <row r="103" spans="1:16" x14ac:dyDescent="0.3">
      <c r="A103" s="280" t="s">
        <v>53</v>
      </c>
      <c r="B103" s="348" t="s">
        <v>54</v>
      </c>
      <c r="C103" s="348" t="s">
        <v>251</v>
      </c>
      <c r="D103" s="108">
        <v>837</v>
      </c>
      <c r="E103" s="108">
        <v>1500</v>
      </c>
      <c r="F103" s="108">
        <v>930</v>
      </c>
      <c r="G103" s="108">
        <v>1227</v>
      </c>
      <c r="H103" s="108">
        <v>1501</v>
      </c>
      <c r="I103" s="108">
        <v>1642</v>
      </c>
      <c r="J103" s="108">
        <v>836</v>
      </c>
      <c r="K103" s="108">
        <v>828</v>
      </c>
      <c r="L103" s="108">
        <v>814</v>
      </c>
      <c r="M103" s="108">
        <v>712</v>
      </c>
      <c r="N103" s="108">
        <v>603</v>
      </c>
      <c r="O103" s="108">
        <v>626</v>
      </c>
      <c r="P103" s="108">
        <v>12056</v>
      </c>
    </row>
    <row r="104" spans="1:16" x14ac:dyDescent="0.3">
      <c r="A104" s="280" t="s">
        <v>65</v>
      </c>
      <c r="B104" s="348" t="s">
        <v>66</v>
      </c>
      <c r="C104" s="348" t="s">
        <v>252</v>
      </c>
      <c r="D104" s="108">
        <v>346</v>
      </c>
      <c r="E104" s="108">
        <v>364</v>
      </c>
      <c r="F104" s="108">
        <v>347</v>
      </c>
      <c r="G104" s="108">
        <v>374</v>
      </c>
      <c r="H104" s="108">
        <v>479</v>
      </c>
      <c r="I104" s="108">
        <v>426</v>
      </c>
      <c r="J104" s="108">
        <v>375</v>
      </c>
      <c r="K104" s="108">
        <v>294</v>
      </c>
      <c r="L104" s="108">
        <v>264</v>
      </c>
      <c r="M104" s="108">
        <v>225</v>
      </c>
      <c r="N104" s="108">
        <v>159</v>
      </c>
      <c r="O104" s="108">
        <v>169</v>
      </c>
      <c r="P104" s="108">
        <v>3822</v>
      </c>
    </row>
    <row r="105" spans="1:16" x14ac:dyDescent="0.3">
      <c r="A105" s="280" t="s">
        <v>81</v>
      </c>
      <c r="B105" s="348" t="s">
        <v>82</v>
      </c>
      <c r="C105" s="348" t="s">
        <v>251</v>
      </c>
      <c r="D105" s="108">
        <v>54</v>
      </c>
      <c r="E105" s="108">
        <v>60</v>
      </c>
      <c r="F105" s="108">
        <v>59</v>
      </c>
      <c r="G105" s="108">
        <v>63</v>
      </c>
      <c r="H105" s="108">
        <v>73</v>
      </c>
      <c r="I105" s="108">
        <v>72</v>
      </c>
      <c r="J105" s="108">
        <v>67</v>
      </c>
      <c r="K105" s="108">
        <v>46</v>
      </c>
      <c r="L105" s="108">
        <v>53</v>
      </c>
      <c r="M105" s="108">
        <v>41</v>
      </c>
      <c r="N105" s="108">
        <v>38</v>
      </c>
      <c r="O105" s="108">
        <v>40</v>
      </c>
      <c r="P105" s="108">
        <v>666</v>
      </c>
    </row>
    <row r="106" spans="1:16" x14ac:dyDescent="0.3">
      <c r="A106" s="280" t="s">
        <v>87</v>
      </c>
      <c r="B106" s="348" t="s">
        <v>88</v>
      </c>
      <c r="C106" s="348" t="s">
        <v>254</v>
      </c>
      <c r="D106" s="108">
        <v>166</v>
      </c>
      <c r="E106" s="108">
        <v>157</v>
      </c>
      <c r="F106" s="108">
        <v>194</v>
      </c>
      <c r="G106" s="108">
        <v>208</v>
      </c>
      <c r="H106" s="108">
        <v>243</v>
      </c>
      <c r="I106" s="108">
        <v>216</v>
      </c>
      <c r="J106" s="108">
        <v>156</v>
      </c>
      <c r="K106" s="108">
        <v>179</v>
      </c>
      <c r="L106" s="108">
        <v>143</v>
      </c>
      <c r="M106" s="108">
        <v>147</v>
      </c>
      <c r="N106" s="108">
        <v>102</v>
      </c>
      <c r="O106" s="108">
        <v>123</v>
      </c>
      <c r="P106" s="108">
        <v>2034</v>
      </c>
    </row>
    <row r="107" spans="1:16" x14ac:dyDescent="0.3">
      <c r="A107" s="280" t="s">
        <v>89</v>
      </c>
      <c r="B107" s="348" t="s">
        <v>90</v>
      </c>
      <c r="C107" s="348" t="s">
        <v>255</v>
      </c>
      <c r="D107" s="108">
        <v>44</v>
      </c>
      <c r="E107" s="108">
        <v>65</v>
      </c>
      <c r="F107" s="108">
        <v>59</v>
      </c>
      <c r="G107" s="108">
        <v>50</v>
      </c>
      <c r="H107" s="108">
        <v>74</v>
      </c>
      <c r="I107" s="108">
        <v>61</v>
      </c>
      <c r="J107" s="108">
        <v>67</v>
      </c>
      <c r="K107" s="108">
        <v>38</v>
      </c>
      <c r="L107" s="108">
        <v>55</v>
      </c>
      <c r="M107" s="108">
        <v>38</v>
      </c>
      <c r="N107" s="108">
        <v>30</v>
      </c>
      <c r="O107" s="108">
        <v>27</v>
      </c>
      <c r="P107" s="108">
        <v>608</v>
      </c>
    </row>
    <row r="108" spans="1:16" x14ac:dyDescent="0.3">
      <c r="A108" s="280" t="s">
        <v>105</v>
      </c>
      <c r="B108" s="348" t="s">
        <v>106</v>
      </c>
      <c r="C108" s="348" t="s">
        <v>251</v>
      </c>
      <c r="D108" s="108">
        <v>663</v>
      </c>
      <c r="E108" s="108">
        <v>708</v>
      </c>
      <c r="F108" s="108">
        <v>721</v>
      </c>
      <c r="G108" s="108">
        <v>827</v>
      </c>
      <c r="H108" s="108">
        <v>1121</v>
      </c>
      <c r="I108" s="108">
        <v>1086</v>
      </c>
      <c r="J108" s="108">
        <v>721</v>
      </c>
      <c r="K108" s="108">
        <v>664</v>
      </c>
      <c r="L108" s="108">
        <v>715</v>
      </c>
      <c r="M108" s="108">
        <v>623</v>
      </c>
      <c r="N108" s="108">
        <v>455</v>
      </c>
      <c r="O108" s="108">
        <v>482</v>
      </c>
      <c r="P108" s="108">
        <v>8786</v>
      </c>
    </row>
    <row r="109" spans="1:16" x14ac:dyDescent="0.3">
      <c r="A109" s="280" t="s">
        <v>115</v>
      </c>
      <c r="B109" s="348" t="s">
        <v>116</v>
      </c>
      <c r="C109" s="348" t="s">
        <v>253</v>
      </c>
      <c r="D109" s="108">
        <v>197</v>
      </c>
      <c r="E109" s="108">
        <v>194</v>
      </c>
      <c r="F109" s="108">
        <v>211</v>
      </c>
      <c r="G109" s="108">
        <v>207</v>
      </c>
      <c r="H109" s="108">
        <v>230</v>
      </c>
      <c r="I109" s="108">
        <v>237</v>
      </c>
      <c r="J109" s="108">
        <v>175</v>
      </c>
      <c r="K109" s="108">
        <v>176</v>
      </c>
      <c r="L109" s="108">
        <v>153</v>
      </c>
      <c r="M109" s="108">
        <v>113</v>
      </c>
      <c r="N109" s="108">
        <v>90</v>
      </c>
      <c r="O109" s="108">
        <v>109</v>
      </c>
      <c r="P109" s="108">
        <v>2092</v>
      </c>
    </row>
    <row r="110" spans="1:16" x14ac:dyDescent="0.3">
      <c r="A110" s="280" t="s">
        <v>137</v>
      </c>
      <c r="B110" s="348" t="s">
        <v>138</v>
      </c>
      <c r="C110" s="348" t="s">
        <v>252</v>
      </c>
      <c r="D110" s="108">
        <v>398</v>
      </c>
      <c r="E110" s="108">
        <v>474</v>
      </c>
      <c r="F110" s="108">
        <v>454</v>
      </c>
      <c r="G110" s="108">
        <v>493</v>
      </c>
      <c r="H110" s="108">
        <v>688</v>
      </c>
      <c r="I110" s="108">
        <v>715</v>
      </c>
      <c r="J110" s="108">
        <v>501</v>
      </c>
      <c r="K110" s="108">
        <v>421</v>
      </c>
      <c r="L110" s="108">
        <v>426</v>
      </c>
      <c r="M110" s="108">
        <v>343</v>
      </c>
      <c r="N110" s="108">
        <v>287</v>
      </c>
      <c r="O110" s="108">
        <v>325</v>
      </c>
      <c r="P110" s="108">
        <v>5525</v>
      </c>
    </row>
    <row r="111" spans="1:16" x14ac:dyDescent="0.3">
      <c r="A111" s="280" t="s">
        <v>141</v>
      </c>
      <c r="B111" s="348" t="s">
        <v>142</v>
      </c>
      <c r="C111" s="348" t="s">
        <v>254</v>
      </c>
      <c r="D111" s="108">
        <v>158</v>
      </c>
      <c r="E111" s="108">
        <v>167</v>
      </c>
      <c r="F111" s="108">
        <v>173</v>
      </c>
      <c r="G111" s="108">
        <v>228</v>
      </c>
      <c r="H111" s="108">
        <v>373</v>
      </c>
      <c r="I111" s="108">
        <v>368</v>
      </c>
      <c r="J111" s="108">
        <v>182</v>
      </c>
      <c r="K111" s="108">
        <v>169</v>
      </c>
      <c r="L111" s="108">
        <v>183</v>
      </c>
      <c r="M111" s="108">
        <v>177</v>
      </c>
      <c r="N111" s="108">
        <v>143</v>
      </c>
      <c r="O111" s="108">
        <v>150</v>
      </c>
      <c r="P111" s="108">
        <v>2471</v>
      </c>
    </row>
    <row r="112" spans="1:16" x14ac:dyDescent="0.3">
      <c r="A112" s="280" t="s">
        <v>143</v>
      </c>
      <c r="B112" s="348" t="s">
        <v>144</v>
      </c>
      <c r="C112" s="348" t="s">
        <v>254</v>
      </c>
      <c r="D112" s="108">
        <v>86</v>
      </c>
      <c r="E112" s="108">
        <v>77</v>
      </c>
      <c r="F112" s="108">
        <v>93</v>
      </c>
      <c r="G112" s="108">
        <v>83</v>
      </c>
      <c r="H112" s="108">
        <v>167</v>
      </c>
      <c r="I112" s="108">
        <v>186</v>
      </c>
      <c r="J112" s="108">
        <v>99</v>
      </c>
      <c r="K112" s="108">
        <v>60</v>
      </c>
      <c r="L112" s="108">
        <v>74</v>
      </c>
      <c r="M112" s="108">
        <v>63</v>
      </c>
      <c r="N112" s="108">
        <v>63</v>
      </c>
      <c r="O112" s="108">
        <v>56</v>
      </c>
      <c r="P112" s="108">
        <v>1107</v>
      </c>
    </row>
    <row r="113" spans="1:16" x14ac:dyDescent="0.3">
      <c r="A113" s="280" t="s">
        <v>157</v>
      </c>
      <c r="B113" s="348" t="s">
        <v>158</v>
      </c>
      <c r="C113" s="348" t="s">
        <v>251</v>
      </c>
      <c r="D113" s="108">
        <v>1060</v>
      </c>
      <c r="E113" s="108">
        <v>1061</v>
      </c>
      <c r="F113" s="108">
        <v>1076</v>
      </c>
      <c r="G113" s="108">
        <v>1221</v>
      </c>
      <c r="H113" s="108">
        <v>1576</v>
      </c>
      <c r="I113" s="108">
        <v>1626</v>
      </c>
      <c r="J113" s="108">
        <v>1091</v>
      </c>
      <c r="K113" s="108">
        <v>953</v>
      </c>
      <c r="L113" s="108">
        <v>1055</v>
      </c>
      <c r="M113" s="108">
        <v>883</v>
      </c>
      <c r="N113" s="108">
        <v>607</v>
      </c>
      <c r="O113" s="108">
        <v>660</v>
      </c>
      <c r="P113" s="108">
        <v>12869</v>
      </c>
    </row>
    <row r="114" spans="1:16" x14ac:dyDescent="0.3">
      <c r="A114" s="280" t="s">
        <v>159</v>
      </c>
      <c r="B114" s="348" t="s">
        <v>160</v>
      </c>
      <c r="C114" s="348" t="s">
        <v>251</v>
      </c>
      <c r="D114" s="108">
        <v>1291</v>
      </c>
      <c r="E114" s="108">
        <v>1428</v>
      </c>
      <c r="F114" s="108">
        <v>1340</v>
      </c>
      <c r="G114" s="108">
        <v>1684</v>
      </c>
      <c r="H114" s="108">
        <v>2042</v>
      </c>
      <c r="I114" s="108">
        <v>2031</v>
      </c>
      <c r="J114" s="108">
        <v>1371</v>
      </c>
      <c r="K114" s="108">
        <v>1118</v>
      </c>
      <c r="L114" s="108">
        <v>1238</v>
      </c>
      <c r="M114" s="108">
        <v>1048</v>
      </c>
      <c r="N114" s="108">
        <v>1144</v>
      </c>
      <c r="O114" s="108">
        <v>993</v>
      </c>
      <c r="P114" s="108">
        <v>16728</v>
      </c>
    </row>
    <row r="115" spans="1:16" x14ac:dyDescent="0.3">
      <c r="A115" s="280" t="s">
        <v>165</v>
      </c>
      <c r="B115" s="348" t="s">
        <v>166</v>
      </c>
      <c r="C115" s="348" t="s">
        <v>255</v>
      </c>
      <c r="D115" s="108">
        <v>33</v>
      </c>
      <c r="E115" s="108">
        <v>38</v>
      </c>
      <c r="F115" s="108">
        <v>25</v>
      </c>
      <c r="G115" s="108">
        <v>39</v>
      </c>
      <c r="H115" s="108">
        <v>22</v>
      </c>
      <c r="I115" s="108">
        <v>26</v>
      </c>
      <c r="J115" s="108">
        <v>31</v>
      </c>
      <c r="K115" s="108">
        <v>28</v>
      </c>
      <c r="L115" s="108">
        <v>34</v>
      </c>
      <c r="M115" s="108">
        <v>28</v>
      </c>
      <c r="N115" s="108">
        <v>16</v>
      </c>
      <c r="O115" s="108">
        <v>13</v>
      </c>
      <c r="P115" s="108">
        <v>333</v>
      </c>
    </row>
    <row r="116" spans="1:16" x14ac:dyDescent="0.3">
      <c r="A116" s="280" t="s">
        <v>175</v>
      </c>
      <c r="B116" s="348" t="s">
        <v>176</v>
      </c>
      <c r="C116" s="348" t="s">
        <v>253</v>
      </c>
      <c r="D116" s="108">
        <v>369</v>
      </c>
      <c r="E116" s="108">
        <v>373</v>
      </c>
      <c r="F116" s="108">
        <v>376</v>
      </c>
      <c r="G116" s="108">
        <v>445</v>
      </c>
      <c r="H116" s="108">
        <v>443</v>
      </c>
      <c r="I116" s="108">
        <v>373</v>
      </c>
      <c r="J116" s="108">
        <v>362</v>
      </c>
      <c r="K116" s="108">
        <v>341</v>
      </c>
      <c r="L116" s="108">
        <v>295</v>
      </c>
      <c r="M116" s="108">
        <v>252</v>
      </c>
      <c r="N116" s="108">
        <v>204</v>
      </c>
      <c r="O116" s="108">
        <v>259</v>
      </c>
      <c r="P116" s="108">
        <v>4092</v>
      </c>
    </row>
    <row r="117" spans="1:16" x14ac:dyDescent="0.3">
      <c r="A117" s="280" t="s">
        <v>179</v>
      </c>
      <c r="B117" s="348" t="s">
        <v>180</v>
      </c>
      <c r="C117" s="348" t="s">
        <v>251</v>
      </c>
      <c r="D117" s="108">
        <v>577</v>
      </c>
      <c r="E117" s="108">
        <v>583</v>
      </c>
      <c r="F117" s="108">
        <v>614</v>
      </c>
      <c r="G117" s="108">
        <v>745</v>
      </c>
      <c r="H117" s="108">
        <v>807</v>
      </c>
      <c r="I117" s="108">
        <v>804</v>
      </c>
      <c r="J117" s="108">
        <v>648</v>
      </c>
      <c r="K117" s="108">
        <v>505</v>
      </c>
      <c r="L117" s="108">
        <v>528</v>
      </c>
      <c r="M117" s="108">
        <v>468</v>
      </c>
      <c r="N117" s="108">
        <v>425</v>
      </c>
      <c r="O117" s="108">
        <v>445</v>
      </c>
      <c r="P117" s="108">
        <v>7149</v>
      </c>
    </row>
    <row r="118" spans="1:16" x14ac:dyDescent="0.3">
      <c r="A118" s="280" t="s">
        <v>191</v>
      </c>
      <c r="B118" s="348" t="s">
        <v>192</v>
      </c>
      <c r="C118" s="348" t="s">
        <v>255</v>
      </c>
      <c r="D118" s="108">
        <v>52</v>
      </c>
      <c r="E118" s="108">
        <v>71</v>
      </c>
      <c r="F118" s="108">
        <v>68</v>
      </c>
      <c r="G118" s="108">
        <v>74</v>
      </c>
      <c r="H118" s="108">
        <v>114</v>
      </c>
      <c r="I118" s="108">
        <v>106</v>
      </c>
      <c r="J118" s="108">
        <v>70</v>
      </c>
      <c r="K118" s="108">
        <v>53</v>
      </c>
      <c r="L118" s="108">
        <v>68</v>
      </c>
      <c r="M118" s="108">
        <v>45</v>
      </c>
      <c r="N118" s="108">
        <v>34</v>
      </c>
      <c r="O118" s="108">
        <v>50</v>
      </c>
      <c r="P118" s="108">
        <v>805</v>
      </c>
    </row>
    <row r="119" spans="1:16" x14ac:dyDescent="0.3">
      <c r="A119" s="280" t="s">
        <v>195</v>
      </c>
      <c r="B119" s="348" t="s">
        <v>196</v>
      </c>
      <c r="C119" s="348" t="s">
        <v>253</v>
      </c>
      <c r="D119" s="108">
        <v>1784</v>
      </c>
      <c r="E119" s="108">
        <v>1978</v>
      </c>
      <c r="F119" s="108">
        <v>1883</v>
      </c>
      <c r="G119" s="108">
        <v>2282</v>
      </c>
      <c r="H119" s="108">
        <v>2759</v>
      </c>
      <c r="I119" s="108">
        <v>2892</v>
      </c>
      <c r="J119" s="108">
        <v>1703</v>
      </c>
      <c r="K119" s="108">
        <v>1655</v>
      </c>
      <c r="L119" s="108">
        <v>1751</v>
      </c>
      <c r="M119" s="108">
        <v>1385</v>
      </c>
      <c r="N119" s="108">
        <v>1102</v>
      </c>
      <c r="O119" s="108">
        <v>1195</v>
      </c>
      <c r="P119" s="108">
        <v>22369</v>
      </c>
    </row>
    <row r="120" spans="1:16" x14ac:dyDescent="0.3">
      <c r="A120" s="280" t="s">
        <v>199</v>
      </c>
      <c r="B120" s="348" t="s">
        <v>200</v>
      </c>
      <c r="C120" s="348" t="s">
        <v>252</v>
      </c>
      <c r="D120" s="108">
        <v>832</v>
      </c>
      <c r="E120" s="108">
        <v>855</v>
      </c>
      <c r="F120" s="108">
        <v>772</v>
      </c>
      <c r="G120" s="108">
        <v>828</v>
      </c>
      <c r="H120" s="108">
        <v>1030</v>
      </c>
      <c r="I120" s="108">
        <v>1016</v>
      </c>
      <c r="J120" s="108">
        <v>800</v>
      </c>
      <c r="K120" s="108">
        <v>740</v>
      </c>
      <c r="L120" s="108">
        <v>656</v>
      </c>
      <c r="M120" s="108">
        <v>580</v>
      </c>
      <c r="N120" s="108">
        <v>400</v>
      </c>
      <c r="O120" s="108">
        <v>497</v>
      </c>
      <c r="P120" s="108">
        <v>9006</v>
      </c>
    </row>
    <row r="121" spans="1:16" x14ac:dyDescent="0.3">
      <c r="A121" s="280" t="s">
        <v>221</v>
      </c>
      <c r="B121" s="348" t="s">
        <v>222</v>
      </c>
      <c r="C121" s="348" t="s">
        <v>251</v>
      </c>
      <c r="D121" s="108">
        <v>349</v>
      </c>
      <c r="E121" s="108">
        <v>333</v>
      </c>
      <c r="F121" s="108">
        <v>396</v>
      </c>
      <c r="G121" s="108">
        <v>453</v>
      </c>
      <c r="H121" s="108">
        <v>544</v>
      </c>
      <c r="I121" s="108">
        <v>615</v>
      </c>
      <c r="J121" s="108">
        <v>389</v>
      </c>
      <c r="K121" s="108">
        <v>319</v>
      </c>
      <c r="L121" s="108">
        <v>322</v>
      </c>
      <c r="M121" s="108">
        <v>251</v>
      </c>
      <c r="N121" s="108">
        <v>242</v>
      </c>
      <c r="O121" s="108">
        <v>246</v>
      </c>
      <c r="P121" s="108">
        <v>4459</v>
      </c>
    </row>
    <row r="122" spans="1:16" x14ac:dyDescent="0.3">
      <c r="A122" s="280" t="s">
        <v>229</v>
      </c>
      <c r="B122" s="348" t="s">
        <v>230</v>
      </c>
      <c r="C122" s="348" t="s">
        <v>251</v>
      </c>
      <c r="D122" s="108">
        <v>1573</v>
      </c>
      <c r="E122" s="108">
        <v>1579</v>
      </c>
      <c r="F122" s="108">
        <v>1597</v>
      </c>
      <c r="G122" s="108">
        <v>1854</v>
      </c>
      <c r="H122" s="108">
        <v>3419</v>
      </c>
      <c r="I122" s="108">
        <v>3773</v>
      </c>
      <c r="J122" s="108">
        <v>1758</v>
      </c>
      <c r="K122" s="108">
        <v>1481</v>
      </c>
      <c r="L122" s="108">
        <v>1736</v>
      </c>
      <c r="M122" s="108">
        <v>1536</v>
      </c>
      <c r="N122" s="108">
        <v>1215</v>
      </c>
      <c r="O122" s="108">
        <v>1261</v>
      </c>
      <c r="P122" s="108">
        <v>22782</v>
      </c>
    </row>
    <row r="123" spans="1:16" x14ac:dyDescent="0.3">
      <c r="A123" s="280" t="s">
        <v>237</v>
      </c>
      <c r="B123" s="348" t="s">
        <v>238</v>
      </c>
      <c r="C123" s="348" t="s">
        <v>251</v>
      </c>
      <c r="D123" s="108">
        <v>51</v>
      </c>
      <c r="E123" s="108">
        <v>42</v>
      </c>
      <c r="F123" s="108">
        <v>56</v>
      </c>
      <c r="G123" s="108">
        <v>90</v>
      </c>
      <c r="H123" s="108">
        <v>112</v>
      </c>
      <c r="I123" s="108">
        <v>80</v>
      </c>
      <c r="J123" s="108">
        <v>78</v>
      </c>
      <c r="K123" s="108">
        <v>62</v>
      </c>
      <c r="L123" s="108">
        <v>49</v>
      </c>
      <c r="M123" s="108">
        <v>58</v>
      </c>
      <c r="N123" s="108">
        <v>29</v>
      </c>
      <c r="O123" s="108">
        <v>42</v>
      </c>
      <c r="P123" s="108">
        <v>749</v>
      </c>
    </row>
    <row r="124" spans="1:16" x14ac:dyDescent="0.3">
      <c r="A124" s="281" t="s">
        <v>239</v>
      </c>
      <c r="B124" s="282" t="s">
        <v>240</v>
      </c>
      <c r="C124" s="282" t="s">
        <v>254</v>
      </c>
      <c r="D124" s="108">
        <v>224</v>
      </c>
      <c r="E124" s="108">
        <v>199</v>
      </c>
      <c r="F124" s="108">
        <v>198</v>
      </c>
      <c r="G124" s="108">
        <v>181</v>
      </c>
      <c r="H124" s="108">
        <v>261</v>
      </c>
      <c r="I124" s="108">
        <v>263</v>
      </c>
      <c r="J124" s="108">
        <v>214</v>
      </c>
      <c r="K124" s="108">
        <v>173</v>
      </c>
      <c r="L124" s="108">
        <v>167</v>
      </c>
      <c r="M124" s="108">
        <v>125</v>
      </c>
      <c r="N124" s="108">
        <v>131</v>
      </c>
      <c r="O124" s="108">
        <v>115</v>
      </c>
      <c r="P124" s="108">
        <v>2251</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I126" sqref="I126"/>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883</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32837</v>
      </c>
      <c r="E4" s="1106">
        <f t="shared" ref="E4:P4" si="0">SUM(E5:E124)</f>
        <v>33762</v>
      </c>
      <c r="F4" s="1106">
        <f t="shared" si="0"/>
        <v>32976</v>
      </c>
      <c r="G4" s="1106">
        <f t="shared" si="0"/>
        <v>38337</v>
      </c>
      <c r="H4" s="1107">
        <f t="shared" si="0"/>
        <v>59565</v>
      </c>
      <c r="I4" s="1107">
        <f t="shared" si="0"/>
        <v>71530</v>
      </c>
      <c r="J4" s="1107">
        <f t="shared" si="0"/>
        <v>43713</v>
      </c>
      <c r="K4" s="1107">
        <f t="shared" si="0"/>
        <v>31772</v>
      </c>
      <c r="L4" s="1107">
        <f t="shared" si="0"/>
        <v>34654</v>
      </c>
      <c r="M4" s="1107">
        <f t="shared" si="0"/>
        <v>34680</v>
      </c>
      <c r="N4" s="1107">
        <f t="shared" si="0"/>
        <v>24925</v>
      </c>
      <c r="O4" s="1107">
        <f t="shared" si="0"/>
        <v>25445</v>
      </c>
      <c r="P4" s="1107">
        <f t="shared" si="0"/>
        <v>464196</v>
      </c>
    </row>
    <row r="5" spans="1:16" x14ac:dyDescent="0.3">
      <c r="A5" s="279" t="s">
        <v>9</v>
      </c>
      <c r="B5" s="324" t="s">
        <v>10</v>
      </c>
      <c r="C5" s="324" t="s">
        <v>251</v>
      </c>
      <c r="D5" s="108">
        <v>178</v>
      </c>
      <c r="E5" s="108">
        <v>164</v>
      </c>
      <c r="F5" s="108">
        <v>134</v>
      </c>
      <c r="G5" s="108">
        <v>224</v>
      </c>
      <c r="H5" s="108">
        <v>254</v>
      </c>
      <c r="I5" s="108">
        <v>306</v>
      </c>
      <c r="J5" s="108">
        <v>161</v>
      </c>
      <c r="K5" s="108">
        <v>172</v>
      </c>
      <c r="L5" s="108">
        <v>168</v>
      </c>
      <c r="M5" s="108">
        <v>152</v>
      </c>
      <c r="N5" s="108">
        <v>96</v>
      </c>
      <c r="O5" s="108">
        <v>84</v>
      </c>
      <c r="P5" s="108">
        <v>2093</v>
      </c>
    </row>
    <row r="6" spans="1:16" x14ac:dyDescent="0.3">
      <c r="A6" s="280" t="s">
        <v>11</v>
      </c>
      <c r="B6" s="348" t="s">
        <v>12</v>
      </c>
      <c r="C6" s="348" t="s">
        <v>252</v>
      </c>
      <c r="D6" s="108">
        <v>264</v>
      </c>
      <c r="E6" s="108">
        <v>330</v>
      </c>
      <c r="F6" s="108">
        <v>300</v>
      </c>
      <c r="G6" s="108">
        <v>315</v>
      </c>
      <c r="H6" s="108">
        <v>615</v>
      </c>
      <c r="I6" s="108">
        <v>683</v>
      </c>
      <c r="J6" s="108">
        <v>363</v>
      </c>
      <c r="K6" s="108">
        <v>317</v>
      </c>
      <c r="L6" s="108">
        <v>333</v>
      </c>
      <c r="M6" s="108">
        <v>323</v>
      </c>
      <c r="N6" s="108">
        <v>221</v>
      </c>
      <c r="O6" s="108">
        <v>249</v>
      </c>
      <c r="P6" s="108">
        <v>4313</v>
      </c>
    </row>
    <row r="7" spans="1:16" x14ac:dyDescent="0.3">
      <c r="A7" s="280" t="s">
        <v>15</v>
      </c>
      <c r="B7" s="348" t="s">
        <v>273</v>
      </c>
      <c r="C7" s="348" t="s">
        <v>252</v>
      </c>
      <c r="D7" s="108">
        <v>112</v>
      </c>
      <c r="E7" s="108">
        <v>120</v>
      </c>
      <c r="F7" s="108">
        <v>100</v>
      </c>
      <c r="G7" s="108">
        <v>124</v>
      </c>
      <c r="H7" s="108">
        <v>183</v>
      </c>
      <c r="I7" s="108">
        <v>173</v>
      </c>
      <c r="J7" s="108">
        <v>122</v>
      </c>
      <c r="K7" s="108">
        <v>76</v>
      </c>
      <c r="L7" s="108">
        <v>123</v>
      </c>
      <c r="M7" s="108">
        <v>94</v>
      </c>
      <c r="N7" s="108">
        <v>63</v>
      </c>
      <c r="O7" s="108">
        <v>78</v>
      </c>
      <c r="P7" s="108">
        <v>1368</v>
      </c>
    </row>
    <row r="8" spans="1:16" x14ac:dyDescent="0.3">
      <c r="A8" s="280" t="s">
        <v>17</v>
      </c>
      <c r="B8" s="348" t="s">
        <v>18</v>
      </c>
      <c r="C8" s="348" t="s">
        <v>253</v>
      </c>
      <c r="D8" s="108">
        <v>42</v>
      </c>
      <c r="E8" s="108">
        <v>48</v>
      </c>
      <c r="F8" s="108">
        <v>44</v>
      </c>
      <c r="G8" s="108">
        <v>54</v>
      </c>
      <c r="H8" s="108">
        <v>83</v>
      </c>
      <c r="I8" s="108">
        <v>106</v>
      </c>
      <c r="J8" s="108">
        <v>75</v>
      </c>
      <c r="K8" s="108">
        <v>41</v>
      </c>
      <c r="L8" s="108">
        <v>58</v>
      </c>
      <c r="M8" s="108">
        <v>47</v>
      </c>
      <c r="N8" s="108">
        <v>34</v>
      </c>
      <c r="O8" s="108">
        <v>42</v>
      </c>
      <c r="P8" s="108">
        <v>674</v>
      </c>
    </row>
    <row r="9" spans="1:16" x14ac:dyDescent="0.3">
      <c r="A9" s="280" t="s">
        <v>19</v>
      </c>
      <c r="B9" s="348" t="s">
        <v>20</v>
      </c>
      <c r="C9" s="348" t="s">
        <v>252</v>
      </c>
      <c r="D9" s="108">
        <v>122</v>
      </c>
      <c r="E9" s="108">
        <v>147</v>
      </c>
      <c r="F9" s="108">
        <v>130</v>
      </c>
      <c r="G9" s="108">
        <v>151</v>
      </c>
      <c r="H9" s="108">
        <v>173</v>
      </c>
      <c r="I9" s="108">
        <v>277</v>
      </c>
      <c r="J9" s="108">
        <v>160</v>
      </c>
      <c r="K9" s="108">
        <v>125</v>
      </c>
      <c r="L9" s="108">
        <v>123</v>
      </c>
      <c r="M9" s="108">
        <v>130</v>
      </c>
      <c r="N9" s="108">
        <v>83</v>
      </c>
      <c r="O9" s="108">
        <v>108</v>
      </c>
      <c r="P9" s="108">
        <v>1729</v>
      </c>
    </row>
    <row r="10" spans="1:16" x14ac:dyDescent="0.3">
      <c r="A10" s="280" t="s">
        <v>21</v>
      </c>
      <c r="B10" s="348" t="s">
        <v>22</v>
      </c>
      <c r="C10" s="348" t="s">
        <v>252</v>
      </c>
      <c r="D10" s="108">
        <v>69</v>
      </c>
      <c r="E10" s="108">
        <v>88</v>
      </c>
      <c r="F10" s="108">
        <v>79</v>
      </c>
      <c r="G10" s="108">
        <v>65</v>
      </c>
      <c r="H10" s="108">
        <v>123</v>
      </c>
      <c r="I10" s="108">
        <v>108</v>
      </c>
      <c r="J10" s="108">
        <v>96</v>
      </c>
      <c r="K10" s="108">
        <v>75</v>
      </c>
      <c r="L10" s="108">
        <v>67</v>
      </c>
      <c r="M10" s="108">
        <v>47</v>
      </c>
      <c r="N10" s="108">
        <v>40</v>
      </c>
      <c r="O10" s="108">
        <v>32</v>
      </c>
      <c r="P10" s="108">
        <v>889</v>
      </c>
    </row>
    <row r="11" spans="1:16" x14ac:dyDescent="0.3">
      <c r="A11" s="280" t="s">
        <v>23</v>
      </c>
      <c r="B11" s="348" t="s">
        <v>24</v>
      </c>
      <c r="C11" s="348" t="s">
        <v>254</v>
      </c>
      <c r="D11" s="108">
        <v>439</v>
      </c>
      <c r="E11" s="108">
        <v>447</v>
      </c>
      <c r="F11" s="108">
        <v>447</v>
      </c>
      <c r="G11" s="108">
        <v>542</v>
      </c>
      <c r="H11" s="108">
        <v>979</v>
      </c>
      <c r="I11" s="108">
        <v>1329</v>
      </c>
      <c r="J11" s="108">
        <v>609</v>
      </c>
      <c r="K11" s="108">
        <v>453</v>
      </c>
      <c r="L11" s="108">
        <v>499</v>
      </c>
      <c r="M11" s="108">
        <v>556</v>
      </c>
      <c r="N11" s="108">
        <v>456</v>
      </c>
      <c r="O11" s="108">
        <v>517</v>
      </c>
      <c r="P11" s="108">
        <v>7273</v>
      </c>
    </row>
    <row r="12" spans="1:16" x14ac:dyDescent="0.3">
      <c r="A12" s="280" t="s">
        <v>25</v>
      </c>
      <c r="B12" s="348" t="s">
        <v>444</v>
      </c>
      <c r="C12" s="348" t="s">
        <v>252</v>
      </c>
      <c r="D12" s="108">
        <v>593</v>
      </c>
      <c r="E12" s="108">
        <v>540</v>
      </c>
      <c r="F12" s="108">
        <v>496</v>
      </c>
      <c r="G12" s="108">
        <v>636</v>
      </c>
      <c r="H12" s="108">
        <v>985</v>
      </c>
      <c r="I12" s="108">
        <v>982</v>
      </c>
      <c r="J12" s="108">
        <v>712</v>
      </c>
      <c r="K12" s="108">
        <v>574</v>
      </c>
      <c r="L12" s="108">
        <v>619</v>
      </c>
      <c r="M12" s="108">
        <v>472</v>
      </c>
      <c r="N12" s="108">
        <v>392</v>
      </c>
      <c r="O12" s="108">
        <v>366</v>
      </c>
      <c r="P12" s="108">
        <v>7367</v>
      </c>
    </row>
    <row r="13" spans="1:16" x14ac:dyDescent="0.3">
      <c r="A13" s="280" t="s">
        <v>26</v>
      </c>
      <c r="B13" s="348" t="s">
        <v>27</v>
      </c>
      <c r="C13" s="348" t="s">
        <v>252</v>
      </c>
      <c r="D13" s="108">
        <v>18</v>
      </c>
      <c r="E13" s="108">
        <v>16</v>
      </c>
      <c r="F13" s="108">
        <v>18</v>
      </c>
      <c r="G13" s="108">
        <v>12</v>
      </c>
      <c r="H13" s="108">
        <v>23</v>
      </c>
      <c r="I13" s="108">
        <v>30</v>
      </c>
      <c r="J13" s="108">
        <v>17</v>
      </c>
      <c r="K13" s="108">
        <v>8</v>
      </c>
      <c r="L13" s="108">
        <v>19</v>
      </c>
      <c r="M13" s="108">
        <v>21</v>
      </c>
      <c r="N13" s="108">
        <v>18</v>
      </c>
      <c r="O13" s="108">
        <v>18</v>
      </c>
      <c r="P13" s="108">
        <v>218</v>
      </c>
    </row>
    <row r="14" spans="1:16" x14ac:dyDescent="0.3">
      <c r="A14" s="280" t="s">
        <v>28</v>
      </c>
      <c r="B14" s="348" t="s">
        <v>568</v>
      </c>
      <c r="C14" s="348" t="s">
        <v>252</v>
      </c>
      <c r="D14" s="108">
        <v>283</v>
      </c>
      <c r="E14" s="108">
        <v>294</v>
      </c>
      <c r="F14" s="108">
        <v>297</v>
      </c>
      <c r="G14" s="108">
        <v>324</v>
      </c>
      <c r="H14" s="108">
        <v>503</v>
      </c>
      <c r="I14" s="108">
        <v>596</v>
      </c>
      <c r="J14" s="108">
        <v>358</v>
      </c>
      <c r="K14" s="108">
        <v>276</v>
      </c>
      <c r="L14" s="108">
        <v>284</v>
      </c>
      <c r="M14" s="108">
        <v>274</v>
      </c>
      <c r="N14" s="108">
        <v>235</v>
      </c>
      <c r="O14" s="108">
        <v>212</v>
      </c>
      <c r="P14" s="108">
        <v>3936</v>
      </c>
    </row>
    <row r="15" spans="1:16" x14ac:dyDescent="0.3">
      <c r="A15" s="280" t="s">
        <v>29</v>
      </c>
      <c r="B15" s="348" t="s">
        <v>30</v>
      </c>
      <c r="C15" s="348" t="s">
        <v>255</v>
      </c>
      <c r="D15" s="108">
        <v>24</v>
      </c>
      <c r="E15" s="108">
        <v>28</v>
      </c>
      <c r="F15" s="108">
        <v>24</v>
      </c>
      <c r="G15" s="108">
        <v>29</v>
      </c>
      <c r="H15" s="108">
        <v>34</v>
      </c>
      <c r="I15" s="108">
        <v>50</v>
      </c>
      <c r="J15" s="108">
        <v>65</v>
      </c>
      <c r="K15" s="108">
        <v>15</v>
      </c>
      <c r="L15" s="108">
        <v>38</v>
      </c>
      <c r="M15" s="108">
        <v>25</v>
      </c>
      <c r="N15" s="108">
        <v>13</v>
      </c>
      <c r="O15" s="108">
        <v>32</v>
      </c>
      <c r="P15" s="108">
        <v>377</v>
      </c>
    </row>
    <row r="16" spans="1:16" x14ac:dyDescent="0.3">
      <c r="A16" s="280" t="s">
        <v>31</v>
      </c>
      <c r="B16" s="348" t="s">
        <v>32</v>
      </c>
      <c r="C16" s="348" t="s">
        <v>252</v>
      </c>
      <c r="D16" s="108">
        <v>84</v>
      </c>
      <c r="E16" s="108">
        <v>100</v>
      </c>
      <c r="F16" s="108">
        <v>105</v>
      </c>
      <c r="G16" s="108">
        <v>92</v>
      </c>
      <c r="H16" s="108">
        <v>171</v>
      </c>
      <c r="I16" s="108">
        <v>207</v>
      </c>
      <c r="J16" s="108">
        <v>110</v>
      </c>
      <c r="K16" s="108">
        <v>90</v>
      </c>
      <c r="L16" s="108">
        <v>89</v>
      </c>
      <c r="M16" s="108">
        <v>72</v>
      </c>
      <c r="N16" s="108">
        <v>69</v>
      </c>
      <c r="O16" s="108">
        <v>80</v>
      </c>
      <c r="P16" s="108">
        <v>1269</v>
      </c>
    </row>
    <row r="17" spans="1:16" x14ac:dyDescent="0.3">
      <c r="A17" s="280" t="s">
        <v>35</v>
      </c>
      <c r="B17" s="348" t="s">
        <v>36</v>
      </c>
      <c r="C17" s="348" t="s">
        <v>251</v>
      </c>
      <c r="D17" s="108">
        <v>80</v>
      </c>
      <c r="E17" s="108">
        <v>74</v>
      </c>
      <c r="F17" s="108">
        <v>102</v>
      </c>
      <c r="G17" s="108">
        <v>149</v>
      </c>
      <c r="H17" s="108">
        <v>215</v>
      </c>
      <c r="I17" s="108">
        <v>443</v>
      </c>
      <c r="J17" s="108">
        <v>283</v>
      </c>
      <c r="K17" s="108">
        <v>79</v>
      </c>
      <c r="L17" s="108">
        <v>75</v>
      </c>
      <c r="M17" s="108">
        <v>67</v>
      </c>
      <c r="N17" s="108">
        <v>34</v>
      </c>
      <c r="O17" s="108">
        <v>49</v>
      </c>
      <c r="P17" s="108">
        <v>1650</v>
      </c>
    </row>
    <row r="18" spans="1:16" x14ac:dyDescent="0.3">
      <c r="A18" s="280" t="s">
        <v>37</v>
      </c>
      <c r="B18" s="348" t="s">
        <v>38</v>
      </c>
      <c r="C18" s="348" t="s">
        <v>255</v>
      </c>
      <c r="D18" s="108">
        <v>136</v>
      </c>
      <c r="E18" s="108">
        <v>188</v>
      </c>
      <c r="F18" s="108">
        <v>178</v>
      </c>
      <c r="G18" s="108">
        <v>223</v>
      </c>
      <c r="H18" s="108">
        <v>164</v>
      </c>
      <c r="I18" s="108">
        <v>199</v>
      </c>
      <c r="J18" s="108">
        <v>183</v>
      </c>
      <c r="K18" s="108">
        <v>133</v>
      </c>
      <c r="L18" s="108">
        <v>113</v>
      </c>
      <c r="M18" s="108">
        <v>97</v>
      </c>
      <c r="N18" s="108">
        <v>66</v>
      </c>
      <c r="O18" s="108">
        <v>64</v>
      </c>
      <c r="P18" s="108">
        <v>1744</v>
      </c>
    </row>
    <row r="19" spans="1:16" x14ac:dyDescent="0.3">
      <c r="A19" s="280" t="s">
        <v>39</v>
      </c>
      <c r="B19" s="348" t="s">
        <v>40</v>
      </c>
      <c r="C19" s="348" t="s">
        <v>253</v>
      </c>
      <c r="D19" s="108">
        <v>71</v>
      </c>
      <c r="E19" s="108">
        <v>87</v>
      </c>
      <c r="F19" s="108">
        <v>71</v>
      </c>
      <c r="G19" s="108">
        <v>110</v>
      </c>
      <c r="H19" s="108">
        <v>170</v>
      </c>
      <c r="I19" s="108">
        <v>211</v>
      </c>
      <c r="J19" s="108">
        <v>270</v>
      </c>
      <c r="K19" s="108">
        <v>92</v>
      </c>
      <c r="L19" s="108">
        <v>209</v>
      </c>
      <c r="M19" s="108">
        <v>93</v>
      </c>
      <c r="N19" s="108">
        <v>46</v>
      </c>
      <c r="O19" s="108">
        <v>57</v>
      </c>
      <c r="P19" s="108">
        <v>1487</v>
      </c>
    </row>
    <row r="20" spans="1:16" x14ac:dyDescent="0.3">
      <c r="A20" s="280" t="s">
        <v>41</v>
      </c>
      <c r="B20" s="348" t="s">
        <v>42</v>
      </c>
      <c r="C20" s="348" t="s">
        <v>252</v>
      </c>
      <c r="D20" s="108">
        <v>222</v>
      </c>
      <c r="E20" s="108">
        <v>203</v>
      </c>
      <c r="F20" s="108">
        <v>231</v>
      </c>
      <c r="G20" s="108">
        <v>248</v>
      </c>
      <c r="H20" s="108">
        <v>347</v>
      </c>
      <c r="I20" s="108">
        <v>432</v>
      </c>
      <c r="J20" s="108">
        <v>287</v>
      </c>
      <c r="K20" s="108">
        <v>204</v>
      </c>
      <c r="L20" s="108">
        <v>212</v>
      </c>
      <c r="M20" s="108">
        <v>214</v>
      </c>
      <c r="N20" s="108">
        <v>159</v>
      </c>
      <c r="O20" s="108">
        <v>164</v>
      </c>
      <c r="P20" s="108">
        <v>2923</v>
      </c>
    </row>
    <row r="21" spans="1:16" x14ac:dyDescent="0.3">
      <c r="A21" s="280" t="s">
        <v>43</v>
      </c>
      <c r="B21" s="348" t="s">
        <v>44</v>
      </c>
      <c r="C21" s="348" t="s">
        <v>253</v>
      </c>
      <c r="D21" s="108">
        <v>143</v>
      </c>
      <c r="E21" s="108">
        <v>156</v>
      </c>
      <c r="F21" s="108">
        <v>153</v>
      </c>
      <c r="G21" s="108">
        <v>166</v>
      </c>
      <c r="H21" s="108">
        <v>222</v>
      </c>
      <c r="I21" s="108">
        <v>219</v>
      </c>
      <c r="J21" s="108">
        <v>168</v>
      </c>
      <c r="K21" s="108">
        <v>131</v>
      </c>
      <c r="L21" s="108">
        <v>168</v>
      </c>
      <c r="M21" s="108">
        <v>120</v>
      </c>
      <c r="N21" s="108">
        <v>104</v>
      </c>
      <c r="O21" s="108">
        <v>103</v>
      </c>
      <c r="P21" s="108">
        <v>1853</v>
      </c>
    </row>
    <row r="22" spans="1:16" x14ac:dyDescent="0.3">
      <c r="A22" s="280" t="s">
        <v>45</v>
      </c>
      <c r="B22" s="348" t="s">
        <v>46</v>
      </c>
      <c r="C22" s="348" t="s">
        <v>255</v>
      </c>
      <c r="D22" s="108">
        <v>145</v>
      </c>
      <c r="E22" s="108">
        <v>151</v>
      </c>
      <c r="F22" s="108">
        <v>156</v>
      </c>
      <c r="G22" s="108">
        <v>178</v>
      </c>
      <c r="H22" s="108">
        <v>219</v>
      </c>
      <c r="I22" s="108">
        <v>225</v>
      </c>
      <c r="J22" s="108">
        <v>173</v>
      </c>
      <c r="K22" s="108">
        <v>128</v>
      </c>
      <c r="L22" s="108">
        <v>134</v>
      </c>
      <c r="M22" s="108">
        <v>119</v>
      </c>
      <c r="N22" s="108">
        <v>95</v>
      </c>
      <c r="O22" s="108">
        <v>86</v>
      </c>
      <c r="P22" s="108">
        <v>1809</v>
      </c>
    </row>
    <row r="23" spans="1:16" x14ac:dyDescent="0.3">
      <c r="A23" s="280" t="s">
        <v>47</v>
      </c>
      <c r="B23" s="348" t="s">
        <v>256</v>
      </c>
      <c r="C23" s="348" t="s">
        <v>253</v>
      </c>
      <c r="D23" s="108">
        <v>41</v>
      </c>
      <c r="E23" s="108">
        <v>34</v>
      </c>
      <c r="F23" s="108">
        <v>18</v>
      </c>
      <c r="G23" s="108">
        <v>30</v>
      </c>
      <c r="H23" s="108">
        <v>41</v>
      </c>
      <c r="I23" s="108">
        <v>48</v>
      </c>
      <c r="J23" s="108">
        <v>56</v>
      </c>
      <c r="K23" s="108">
        <v>35</v>
      </c>
      <c r="L23" s="108">
        <v>23</v>
      </c>
      <c r="M23" s="108">
        <v>35</v>
      </c>
      <c r="N23" s="108">
        <v>27</v>
      </c>
      <c r="O23" s="108">
        <v>12</v>
      </c>
      <c r="P23" s="108">
        <v>400</v>
      </c>
    </row>
    <row r="24" spans="1:16" x14ac:dyDescent="0.3">
      <c r="A24" s="280" t="s">
        <v>49</v>
      </c>
      <c r="B24" s="348" t="s">
        <v>50</v>
      </c>
      <c r="C24" s="348" t="s">
        <v>252</v>
      </c>
      <c r="D24" s="108">
        <v>49</v>
      </c>
      <c r="E24" s="108">
        <v>36</v>
      </c>
      <c r="F24" s="108">
        <v>58</v>
      </c>
      <c r="G24" s="108">
        <v>41</v>
      </c>
      <c r="H24" s="108">
        <v>73</v>
      </c>
      <c r="I24" s="108">
        <v>96</v>
      </c>
      <c r="J24" s="108">
        <v>69</v>
      </c>
      <c r="K24" s="108">
        <v>49</v>
      </c>
      <c r="L24" s="108">
        <v>56</v>
      </c>
      <c r="M24" s="108">
        <v>51</v>
      </c>
      <c r="N24" s="108">
        <v>26</v>
      </c>
      <c r="O24" s="108">
        <v>30</v>
      </c>
      <c r="P24" s="108">
        <v>634</v>
      </c>
    </row>
    <row r="25" spans="1:16" x14ac:dyDescent="0.3">
      <c r="A25" s="280" t="s">
        <v>55</v>
      </c>
      <c r="B25" s="348" t="s">
        <v>271</v>
      </c>
      <c r="C25" s="348" t="s">
        <v>253</v>
      </c>
      <c r="D25" s="108">
        <v>1427</v>
      </c>
      <c r="E25" s="108">
        <v>1532</v>
      </c>
      <c r="F25" s="108">
        <v>1363</v>
      </c>
      <c r="G25" s="108">
        <v>1526</v>
      </c>
      <c r="H25" s="108">
        <v>2398</v>
      </c>
      <c r="I25" s="108">
        <v>2856</v>
      </c>
      <c r="J25" s="108">
        <v>1558</v>
      </c>
      <c r="K25" s="108">
        <v>1220</v>
      </c>
      <c r="L25" s="108">
        <v>1463</v>
      </c>
      <c r="M25" s="108">
        <v>1481</v>
      </c>
      <c r="N25" s="108">
        <v>1021</v>
      </c>
      <c r="O25" s="108">
        <v>1027</v>
      </c>
      <c r="P25" s="108">
        <v>18872</v>
      </c>
    </row>
    <row r="26" spans="1:16" x14ac:dyDescent="0.3">
      <c r="A26" s="280" t="s">
        <v>57</v>
      </c>
      <c r="B26" s="348" t="s">
        <v>58</v>
      </c>
      <c r="C26" s="348" t="s">
        <v>254</v>
      </c>
      <c r="D26" s="108">
        <v>45</v>
      </c>
      <c r="E26" s="108">
        <v>39</v>
      </c>
      <c r="F26" s="108">
        <v>47</v>
      </c>
      <c r="G26" s="108">
        <v>42</v>
      </c>
      <c r="H26" s="108">
        <v>72</v>
      </c>
      <c r="I26" s="108">
        <v>98</v>
      </c>
      <c r="J26" s="108">
        <v>56</v>
      </c>
      <c r="K26" s="108">
        <v>50</v>
      </c>
      <c r="L26" s="108">
        <v>43</v>
      </c>
      <c r="M26" s="108">
        <v>55</v>
      </c>
      <c r="N26" s="108">
        <v>27</v>
      </c>
      <c r="O26" s="108">
        <v>28</v>
      </c>
      <c r="P26" s="108">
        <v>602</v>
      </c>
    </row>
    <row r="27" spans="1:16" x14ac:dyDescent="0.3">
      <c r="A27" s="280" t="s">
        <v>59</v>
      </c>
      <c r="B27" s="348" t="s">
        <v>60</v>
      </c>
      <c r="C27" s="348" t="s">
        <v>252</v>
      </c>
      <c r="D27" s="108">
        <v>23</v>
      </c>
      <c r="E27" s="108">
        <v>25</v>
      </c>
      <c r="F27" s="108">
        <v>22</v>
      </c>
      <c r="G27" s="108">
        <v>31</v>
      </c>
      <c r="H27" s="108">
        <v>29</v>
      </c>
      <c r="I27" s="108">
        <v>40</v>
      </c>
      <c r="J27" s="108">
        <v>19</v>
      </c>
      <c r="K27" s="108">
        <v>29</v>
      </c>
      <c r="L27" s="108">
        <v>22</v>
      </c>
      <c r="M27" s="108">
        <v>16</v>
      </c>
      <c r="N27" s="108">
        <v>4</v>
      </c>
      <c r="O27" s="108">
        <v>19</v>
      </c>
      <c r="P27" s="108">
        <v>279</v>
      </c>
    </row>
    <row r="28" spans="1:16" x14ac:dyDescent="0.3">
      <c r="A28" s="280" t="s">
        <v>61</v>
      </c>
      <c r="B28" s="348" t="s">
        <v>62</v>
      </c>
      <c r="C28" s="348" t="s">
        <v>254</v>
      </c>
      <c r="D28" s="108">
        <v>220</v>
      </c>
      <c r="E28" s="108">
        <v>239</v>
      </c>
      <c r="F28" s="108">
        <v>221</v>
      </c>
      <c r="G28" s="108">
        <v>258</v>
      </c>
      <c r="H28" s="108">
        <v>361</v>
      </c>
      <c r="I28" s="108">
        <v>409</v>
      </c>
      <c r="J28" s="108">
        <v>253</v>
      </c>
      <c r="K28" s="108">
        <v>217</v>
      </c>
      <c r="L28" s="108">
        <v>246</v>
      </c>
      <c r="M28" s="108">
        <v>201</v>
      </c>
      <c r="N28" s="108">
        <v>150</v>
      </c>
      <c r="O28" s="108">
        <v>136</v>
      </c>
      <c r="P28" s="108">
        <v>2911</v>
      </c>
    </row>
    <row r="29" spans="1:16" x14ac:dyDescent="0.3">
      <c r="A29" s="280" t="s">
        <v>63</v>
      </c>
      <c r="B29" s="348" t="s">
        <v>64</v>
      </c>
      <c r="C29" s="348" t="s">
        <v>253</v>
      </c>
      <c r="D29" s="108">
        <v>54</v>
      </c>
      <c r="E29" s="108">
        <v>41</v>
      </c>
      <c r="F29" s="108">
        <v>46</v>
      </c>
      <c r="G29" s="108">
        <v>67</v>
      </c>
      <c r="H29" s="108">
        <v>85</v>
      </c>
      <c r="I29" s="108">
        <v>73</v>
      </c>
      <c r="J29" s="108">
        <v>55</v>
      </c>
      <c r="K29" s="108">
        <v>28</v>
      </c>
      <c r="L29" s="108">
        <v>52</v>
      </c>
      <c r="M29" s="108">
        <v>46</v>
      </c>
      <c r="N29" s="108">
        <v>34</v>
      </c>
      <c r="O29" s="108">
        <v>26</v>
      </c>
      <c r="P29" s="108">
        <v>607</v>
      </c>
    </row>
    <row r="30" spans="1:16" x14ac:dyDescent="0.3">
      <c r="A30" s="280" t="s">
        <v>67</v>
      </c>
      <c r="B30" s="348" t="s">
        <v>68</v>
      </c>
      <c r="C30" s="348" t="s">
        <v>255</v>
      </c>
      <c r="D30" s="108">
        <v>71</v>
      </c>
      <c r="E30" s="108">
        <v>71</v>
      </c>
      <c r="F30" s="108">
        <v>83</v>
      </c>
      <c r="G30" s="108">
        <v>100</v>
      </c>
      <c r="H30" s="108">
        <v>99</v>
      </c>
      <c r="I30" s="108">
        <v>101</v>
      </c>
      <c r="J30" s="108">
        <v>108</v>
      </c>
      <c r="K30" s="108">
        <v>90</v>
      </c>
      <c r="L30" s="108">
        <v>86</v>
      </c>
      <c r="M30" s="108">
        <v>72</v>
      </c>
      <c r="N30" s="108">
        <v>41</v>
      </c>
      <c r="O30" s="108">
        <v>51</v>
      </c>
      <c r="P30" s="108">
        <v>973</v>
      </c>
    </row>
    <row r="31" spans="1:16" x14ac:dyDescent="0.3">
      <c r="A31" s="280" t="s">
        <v>69</v>
      </c>
      <c r="B31" s="348" t="s">
        <v>70</v>
      </c>
      <c r="C31" s="348" t="s">
        <v>251</v>
      </c>
      <c r="D31" s="108">
        <v>133</v>
      </c>
      <c r="E31" s="108">
        <v>127</v>
      </c>
      <c r="F31" s="108">
        <v>146</v>
      </c>
      <c r="G31" s="108">
        <v>139</v>
      </c>
      <c r="H31" s="108">
        <v>222</v>
      </c>
      <c r="I31" s="108">
        <v>219</v>
      </c>
      <c r="J31" s="108">
        <v>156</v>
      </c>
      <c r="K31" s="108">
        <v>117</v>
      </c>
      <c r="L31" s="108">
        <v>113</v>
      </c>
      <c r="M31" s="108">
        <v>113</v>
      </c>
      <c r="N31" s="108">
        <v>92</v>
      </c>
      <c r="O31" s="108">
        <v>84</v>
      </c>
      <c r="P31" s="108">
        <v>1661</v>
      </c>
    </row>
    <row r="32" spans="1:16" x14ac:dyDescent="0.3">
      <c r="A32" s="280" t="s">
        <v>71</v>
      </c>
      <c r="B32" s="348" t="s">
        <v>72</v>
      </c>
      <c r="C32" s="348" t="s">
        <v>253</v>
      </c>
      <c r="D32" s="108">
        <v>65</v>
      </c>
      <c r="E32" s="108">
        <v>51</v>
      </c>
      <c r="F32" s="108">
        <v>59</v>
      </c>
      <c r="G32" s="108">
        <v>62</v>
      </c>
      <c r="H32" s="108">
        <v>105</v>
      </c>
      <c r="I32" s="108">
        <v>106</v>
      </c>
      <c r="J32" s="108">
        <v>72</v>
      </c>
      <c r="K32" s="108">
        <v>69</v>
      </c>
      <c r="L32" s="108">
        <v>52</v>
      </c>
      <c r="M32" s="108">
        <v>52</v>
      </c>
      <c r="N32" s="108">
        <v>36</v>
      </c>
      <c r="O32" s="108">
        <v>31</v>
      </c>
      <c r="P32" s="108">
        <v>760</v>
      </c>
    </row>
    <row r="33" spans="1:16" x14ac:dyDescent="0.3">
      <c r="A33" s="280" t="s">
        <v>73</v>
      </c>
      <c r="B33" s="348" t="s">
        <v>272</v>
      </c>
      <c r="C33" s="348" t="s">
        <v>254</v>
      </c>
      <c r="D33" s="108">
        <v>3037</v>
      </c>
      <c r="E33" s="108">
        <v>3099</v>
      </c>
      <c r="F33" s="108">
        <v>3027</v>
      </c>
      <c r="G33" s="108">
        <v>3389</v>
      </c>
      <c r="H33" s="108">
        <v>7912</v>
      </c>
      <c r="I33" s="108">
        <v>10477</v>
      </c>
      <c r="J33" s="108">
        <v>4375</v>
      </c>
      <c r="K33" s="108">
        <v>3046</v>
      </c>
      <c r="L33" s="108">
        <v>3396</v>
      </c>
      <c r="M33" s="108">
        <v>4007</v>
      </c>
      <c r="N33" s="108">
        <v>3051</v>
      </c>
      <c r="O33" s="108">
        <v>3169</v>
      </c>
      <c r="P33" s="108">
        <v>51985</v>
      </c>
    </row>
    <row r="34" spans="1:16" x14ac:dyDescent="0.3">
      <c r="A34" s="280" t="s">
        <v>75</v>
      </c>
      <c r="B34" s="348" t="s">
        <v>76</v>
      </c>
      <c r="C34" s="348" t="s">
        <v>254</v>
      </c>
      <c r="D34" s="108">
        <v>226</v>
      </c>
      <c r="E34" s="108">
        <v>221</v>
      </c>
      <c r="F34" s="108">
        <v>208</v>
      </c>
      <c r="G34" s="108">
        <v>267</v>
      </c>
      <c r="H34" s="108">
        <v>390</v>
      </c>
      <c r="I34" s="108">
        <v>446</v>
      </c>
      <c r="J34" s="108">
        <v>292</v>
      </c>
      <c r="K34" s="108">
        <v>202</v>
      </c>
      <c r="L34" s="108">
        <v>239</v>
      </c>
      <c r="M34" s="108">
        <v>232</v>
      </c>
      <c r="N34" s="108">
        <v>147</v>
      </c>
      <c r="O34" s="108">
        <v>168</v>
      </c>
      <c r="P34" s="108">
        <v>3038</v>
      </c>
    </row>
    <row r="35" spans="1:16" x14ac:dyDescent="0.3">
      <c r="A35" s="280" t="s">
        <v>77</v>
      </c>
      <c r="B35" s="348" t="s">
        <v>78</v>
      </c>
      <c r="C35" s="348" t="s">
        <v>255</v>
      </c>
      <c r="D35" s="108">
        <v>71</v>
      </c>
      <c r="E35" s="108">
        <v>68</v>
      </c>
      <c r="F35" s="108">
        <v>68</v>
      </c>
      <c r="G35" s="108">
        <v>58</v>
      </c>
      <c r="H35" s="108">
        <v>120</v>
      </c>
      <c r="I35" s="108">
        <v>136</v>
      </c>
      <c r="J35" s="108">
        <v>118</v>
      </c>
      <c r="K35" s="108">
        <v>76</v>
      </c>
      <c r="L35" s="108">
        <v>65</v>
      </c>
      <c r="M35" s="108">
        <v>63</v>
      </c>
      <c r="N35" s="108">
        <v>40</v>
      </c>
      <c r="O35" s="108">
        <v>46</v>
      </c>
      <c r="P35" s="108">
        <v>929</v>
      </c>
    </row>
    <row r="36" spans="1:16" x14ac:dyDescent="0.3">
      <c r="A36" s="280" t="s">
        <v>79</v>
      </c>
      <c r="B36" s="348" t="s">
        <v>80</v>
      </c>
      <c r="C36" s="348" t="s">
        <v>253</v>
      </c>
      <c r="D36" s="108">
        <v>81</v>
      </c>
      <c r="E36" s="108">
        <v>78</v>
      </c>
      <c r="F36" s="108">
        <v>88</v>
      </c>
      <c r="G36" s="108">
        <v>108</v>
      </c>
      <c r="H36" s="108">
        <v>157</v>
      </c>
      <c r="I36" s="108">
        <v>173</v>
      </c>
      <c r="J36" s="108">
        <v>102</v>
      </c>
      <c r="K36" s="108">
        <v>69</v>
      </c>
      <c r="L36" s="108">
        <v>103</v>
      </c>
      <c r="M36" s="108">
        <v>82</v>
      </c>
      <c r="N36" s="108">
        <v>40</v>
      </c>
      <c r="O36" s="108">
        <v>61</v>
      </c>
      <c r="P36" s="108">
        <v>1142</v>
      </c>
    </row>
    <row r="37" spans="1:16" x14ac:dyDescent="0.3">
      <c r="A37" s="280" t="s">
        <v>83</v>
      </c>
      <c r="B37" s="348" t="s">
        <v>84</v>
      </c>
      <c r="C37" s="348" t="s">
        <v>252</v>
      </c>
      <c r="D37" s="108">
        <v>237</v>
      </c>
      <c r="E37" s="108">
        <v>254</v>
      </c>
      <c r="F37" s="108">
        <v>200</v>
      </c>
      <c r="G37" s="108">
        <v>255</v>
      </c>
      <c r="H37" s="108">
        <v>351</v>
      </c>
      <c r="I37" s="108">
        <v>428</v>
      </c>
      <c r="J37" s="108">
        <v>238</v>
      </c>
      <c r="K37" s="108">
        <v>200</v>
      </c>
      <c r="L37" s="108">
        <v>223</v>
      </c>
      <c r="M37" s="108">
        <v>217</v>
      </c>
      <c r="N37" s="108">
        <v>132</v>
      </c>
      <c r="O37" s="108">
        <v>151</v>
      </c>
      <c r="P37" s="108">
        <v>2886</v>
      </c>
    </row>
    <row r="38" spans="1:16" x14ac:dyDescent="0.3">
      <c r="A38" s="280" t="s">
        <v>85</v>
      </c>
      <c r="B38" s="348" t="s">
        <v>86</v>
      </c>
      <c r="C38" s="348" t="s">
        <v>254</v>
      </c>
      <c r="D38" s="108">
        <v>239</v>
      </c>
      <c r="E38" s="108">
        <v>291</v>
      </c>
      <c r="F38" s="108">
        <v>274</v>
      </c>
      <c r="G38" s="108">
        <v>267</v>
      </c>
      <c r="H38" s="108">
        <v>503</v>
      </c>
      <c r="I38" s="108">
        <v>600</v>
      </c>
      <c r="J38" s="108">
        <v>343</v>
      </c>
      <c r="K38" s="108">
        <v>293</v>
      </c>
      <c r="L38" s="108">
        <v>290</v>
      </c>
      <c r="M38" s="108">
        <v>238</v>
      </c>
      <c r="N38" s="108">
        <v>204</v>
      </c>
      <c r="O38" s="108">
        <v>196</v>
      </c>
      <c r="P38" s="108">
        <v>3738</v>
      </c>
    </row>
    <row r="39" spans="1:16" x14ac:dyDescent="0.3">
      <c r="A39" s="280" t="s">
        <v>91</v>
      </c>
      <c r="B39" s="348" t="s">
        <v>92</v>
      </c>
      <c r="C39" s="348" t="s">
        <v>255</v>
      </c>
      <c r="D39" s="108">
        <v>60</v>
      </c>
      <c r="E39" s="108">
        <v>90</v>
      </c>
      <c r="F39" s="108">
        <v>76</v>
      </c>
      <c r="G39" s="108">
        <v>81</v>
      </c>
      <c r="H39" s="108">
        <v>118</v>
      </c>
      <c r="I39" s="108">
        <v>138</v>
      </c>
      <c r="J39" s="108">
        <v>109</v>
      </c>
      <c r="K39" s="108">
        <v>76</v>
      </c>
      <c r="L39" s="108">
        <v>69</v>
      </c>
      <c r="M39" s="108">
        <v>75</v>
      </c>
      <c r="N39" s="108">
        <v>44</v>
      </c>
      <c r="O39" s="108">
        <v>56</v>
      </c>
      <c r="P39" s="108">
        <v>992</v>
      </c>
    </row>
    <row r="40" spans="1:16" x14ac:dyDescent="0.3">
      <c r="A40" s="280" t="s">
        <v>93</v>
      </c>
      <c r="B40" s="348" t="s">
        <v>94</v>
      </c>
      <c r="C40" s="348" t="s">
        <v>251</v>
      </c>
      <c r="D40" s="108">
        <v>127</v>
      </c>
      <c r="E40" s="108">
        <v>126</v>
      </c>
      <c r="F40" s="108">
        <v>131</v>
      </c>
      <c r="G40" s="108">
        <v>162</v>
      </c>
      <c r="H40" s="108">
        <v>232</v>
      </c>
      <c r="I40" s="108">
        <v>243</v>
      </c>
      <c r="J40" s="108">
        <v>179</v>
      </c>
      <c r="K40" s="108">
        <v>159</v>
      </c>
      <c r="L40" s="108">
        <v>142</v>
      </c>
      <c r="M40" s="108">
        <v>142</v>
      </c>
      <c r="N40" s="108">
        <v>105</v>
      </c>
      <c r="O40" s="108">
        <v>105</v>
      </c>
      <c r="P40" s="108">
        <v>1853</v>
      </c>
    </row>
    <row r="41" spans="1:16" x14ac:dyDescent="0.3">
      <c r="A41" s="280" t="s">
        <v>95</v>
      </c>
      <c r="B41" s="348" t="s">
        <v>96</v>
      </c>
      <c r="C41" s="348" t="s">
        <v>253</v>
      </c>
      <c r="D41" s="108">
        <v>74</v>
      </c>
      <c r="E41" s="108">
        <v>58</v>
      </c>
      <c r="F41" s="108">
        <v>59</v>
      </c>
      <c r="G41" s="108">
        <v>95</v>
      </c>
      <c r="H41" s="108">
        <v>122</v>
      </c>
      <c r="I41" s="108">
        <v>130</v>
      </c>
      <c r="J41" s="108">
        <v>73</v>
      </c>
      <c r="K41" s="108">
        <v>53</v>
      </c>
      <c r="L41" s="108">
        <v>79</v>
      </c>
      <c r="M41" s="108">
        <v>76</v>
      </c>
      <c r="N41" s="108">
        <v>41</v>
      </c>
      <c r="O41" s="108">
        <v>52</v>
      </c>
      <c r="P41" s="108">
        <v>912</v>
      </c>
    </row>
    <row r="42" spans="1:16" x14ac:dyDescent="0.3">
      <c r="A42" s="280" t="s">
        <v>97</v>
      </c>
      <c r="B42" s="348" t="s">
        <v>98</v>
      </c>
      <c r="C42" s="348" t="s">
        <v>255</v>
      </c>
      <c r="D42" s="108">
        <v>64</v>
      </c>
      <c r="E42" s="108">
        <v>92</v>
      </c>
      <c r="F42" s="108">
        <v>77</v>
      </c>
      <c r="G42" s="108">
        <v>104</v>
      </c>
      <c r="H42" s="108">
        <v>173</v>
      </c>
      <c r="I42" s="108">
        <v>169</v>
      </c>
      <c r="J42" s="108">
        <v>146</v>
      </c>
      <c r="K42" s="108">
        <v>86</v>
      </c>
      <c r="L42" s="108">
        <v>79</v>
      </c>
      <c r="M42" s="108">
        <v>80</v>
      </c>
      <c r="N42" s="108">
        <v>48</v>
      </c>
      <c r="O42" s="108">
        <v>33</v>
      </c>
      <c r="P42" s="108">
        <v>1151</v>
      </c>
    </row>
    <row r="43" spans="1:16" x14ac:dyDescent="0.3">
      <c r="A43" s="280" t="s">
        <v>99</v>
      </c>
      <c r="B43" s="348" t="s">
        <v>100</v>
      </c>
      <c r="C43" s="348" t="s">
        <v>254</v>
      </c>
      <c r="D43" s="108">
        <v>78</v>
      </c>
      <c r="E43" s="108">
        <v>65</v>
      </c>
      <c r="F43" s="108">
        <v>72</v>
      </c>
      <c r="G43" s="108">
        <v>62</v>
      </c>
      <c r="H43" s="108">
        <v>91</v>
      </c>
      <c r="I43" s="108">
        <v>131</v>
      </c>
      <c r="J43" s="108">
        <v>78</v>
      </c>
      <c r="K43" s="108">
        <v>63</v>
      </c>
      <c r="L43" s="108">
        <v>62</v>
      </c>
      <c r="M43" s="108">
        <v>52</v>
      </c>
      <c r="N43" s="108">
        <v>41</v>
      </c>
      <c r="O43" s="108">
        <v>45</v>
      </c>
      <c r="P43" s="108">
        <v>840</v>
      </c>
    </row>
    <row r="44" spans="1:16" x14ac:dyDescent="0.3">
      <c r="A44" s="280" t="s">
        <v>101</v>
      </c>
      <c r="B44" s="348" t="s">
        <v>263</v>
      </c>
      <c r="C44" s="348" t="s">
        <v>251</v>
      </c>
      <c r="D44" s="108">
        <v>78</v>
      </c>
      <c r="E44" s="108">
        <v>89</v>
      </c>
      <c r="F44" s="108">
        <v>109</v>
      </c>
      <c r="G44" s="108">
        <v>113</v>
      </c>
      <c r="H44" s="108">
        <v>219</v>
      </c>
      <c r="I44" s="108">
        <v>334</v>
      </c>
      <c r="J44" s="108">
        <v>247</v>
      </c>
      <c r="K44" s="108">
        <v>99</v>
      </c>
      <c r="L44" s="108">
        <v>106</v>
      </c>
      <c r="M44" s="108">
        <v>61</v>
      </c>
      <c r="N44" s="108">
        <v>44</v>
      </c>
      <c r="O44" s="108">
        <v>56</v>
      </c>
      <c r="P44" s="108">
        <v>1555</v>
      </c>
    </row>
    <row r="45" spans="1:16" x14ac:dyDescent="0.3">
      <c r="A45" s="280" t="s">
        <v>103</v>
      </c>
      <c r="B45" s="348" t="s">
        <v>104</v>
      </c>
      <c r="C45" s="348" t="s">
        <v>252</v>
      </c>
      <c r="D45" s="108">
        <v>169</v>
      </c>
      <c r="E45" s="108">
        <v>158</v>
      </c>
      <c r="F45" s="108">
        <v>173</v>
      </c>
      <c r="G45" s="108">
        <v>197</v>
      </c>
      <c r="H45" s="108">
        <v>252</v>
      </c>
      <c r="I45" s="108">
        <v>304</v>
      </c>
      <c r="J45" s="108">
        <v>224</v>
      </c>
      <c r="K45" s="108">
        <v>160</v>
      </c>
      <c r="L45" s="108">
        <v>179</v>
      </c>
      <c r="M45" s="108">
        <v>151</v>
      </c>
      <c r="N45" s="108">
        <v>103</v>
      </c>
      <c r="O45" s="108">
        <v>134</v>
      </c>
      <c r="P45" s="108">
        <v>2204</v>
      </c>
    </row>
    <row r="46" spans="1:16" x14ac:dyDescent="0.3">
      <c r="A46" s="280" t="s">
        <v>107</v>
      </c>
      <c r="B46" s="348" t="s">
        <v>108</v>
      </c>
      <c r="C46" s="348" t="s">
        <v>253</v>
      </c>
      <c r="D46" s="108">
        <v>230</v>
      </c>
      <c r="E46" s="108">
        <v>244</v>
      </c>
      <c r="F46" s="108">
        <v>255</v>
      </c>
      <c r="G46" s="108">
        <v>284</v>
      </c>
      <c r="H46" s="108">
        <v>471</v>
      </c>
      <c r="I46" s="108">
        <v>676</v>
      </c>
      <c r="J46" s="108">
        <v>334</v>
      </c>
      <c r="K46" s="108">
        <v>240</v>
      </c>
      <c r="L46" s="108">
        <v>278</v>
      </c>
      <c r="M46" s="108">
        <v>268</v>
      </c>
      <c r="N46" s="108">
        <v>184</v>
      </c>
      <c r="O46" s="108">
        <v>186</v>
      </c>
      <c r="P46" s="108">
        <v>3650</v>
      </c>
    </row>
    <row r="47" spans="1:16" x14ac:dyDescent="0.3">
      <c r="A47" s="280" t="s">
        <v>109</v>
      </c>
      <c r="B47" s="348" t="s">
        <v>110</v>
      </c>
      <c r="C47" s="348" t="s">
        <v>253</v>
      </c>
      <c r="D47" s="108">
        <v>1347</v>
      </c>
      <c r="E47" s="108">
        <v>1435</v>
      </c>
      <c r="F47" s="108">
        <v>1297</v>
      </c>
      <c r="G47" s="108">
        <v>1631</v>
      </c>
      <c r="H47" s="108">
        <v>2497</v>
      </c>
      <c r="I47" s="108">
        <v>3036</v>
      </c>
      <c r="J47" s="108">
        <v>1693</v>
      </c>
      <c r="K47" s="108">
        <v>1262</v>
      </c>
      <c r="L47" s="108">
        <v>1465</v>
      </c>
      <c r="M47" s="108">
        <v>1696</v>
      </c>
      <c r="N47" s="108">
        <v>1183</v>
      </c>
      <c r="O47" s="108">
        <v>1026</v>
      </c>
      <c r="P47" s="108">
        <v>19568</v>
      </c>
    </row>
    <row r="48" spans="1:16" x14ac:dyDescent="0.3">
      <c r="A48" s="280" t="s">
        <v>111</v>
      </c>
      <c r="B48" s="348" t="s">
        <v>275</v>
      </c>
      <c r="C48" s="348" t="s">
        <v>252</v>
      </c>
      <c r="D48" s="108">
        <v>370</v>
      </c>
      <c r="E48" s="108">
        <v>422</v>
      </c>
      <c r="F48" s="108">
        <v>415</v>
      </c>
      <c r="G48" s="108">
        <v>497</v>
      </c>
      <c r="H48" s="108">
        <v>600</v>
      </c>
      <c r="I48" s="108">
        <v>672</v>
      </c>
      <c r="J48" s="108">
        <v>558</v>
      </c>
      <c r="K48" s="108">
        <v>398</v>
      </c>
      <c r="L48" s="108">
        <v>426</v>
      </c>
      <c r="M48" s="108">
        <v>434</v>
      </c>
      <c r="N48" s="108">
        <v>250</v>
      </c>
      <c r="O48" s="108">
        <v>260</v>
      </c>
      <c r="P48" s="108">
        <v>5302</v>
      </c>
    </row>
    <row r="49" spans="1:16" x14ac:dyDescent="0.3">
      <c r="A49" s="280" t="s">
        <v>113</v>
      </c>
      <c r="B49" s="348" t="s">
        <v>114</v>
      </c>
      <c r="C49" s="348" t="s">
        <v>252</v>
      </c>
      <c r="D49" s="108">
        <v>17</v>
      </c>
      <c r="E49" s="108">
        <v>11</v>
      </c>
      <c r="F49" s="108">
        <v>10</v>
      </c>
      <c r="G49" s="108">
        <v>18</v>
      </c>
      <c r="H49" s="108">
        <v>25</v>
      </c>
      <c r="I49" s="108">
        <v>23</v>
      </c>
      <c r="J49" s="108">
        <v>16</v>
      </c>
      <c r="K49" s="108">
        <v>10</v>
      </c>
      <c r="L49" s="108">
        <v>9</v>
      </c>
      <c r="M49" s="108">
        <v>7</v>
      </c>
      <c r="N49" s="108">
        <v>11</v>
      </c>
      <c r="O49" s="108">
        <v>12</v>
      </c>
      <c r="P49" s="108">
        <v>169</v>
      </c>
    </row>
    <row r="50" spans="1:16" x14ac:dyDescent="0.3">
      <c r="A50" s="280" t="s">
        <v>117</v>
      </c>
      <c r="B50" s="348" t="s">
        <v>257</v>
      </c>
      <c r="C50" s="348" t="s">
        <v>251</v>
      </c>
      <c r="D50" s="108">
        <v>98</v>
      </c>
      <c r="E50" s="108">
        <v>108</v>
      </c>
      <c r="F50" s="108">
        <v>125</v>
      </c>
      <c r="G50" s="108">
        <v>125</v>
      </c>
      <c r="H50" s="108">
        <v>169</v>
      </c>
      <c r="I50" s="108">
        <v>223</v>
      </c>
      <c r="J50" s="108">
        <v>134</v>
      </c>
      <c r="K50" s="108">
        <v>89</v>
      </c>
      <c r="L50" s="108">
        <v>112</v>
      </c>
      <c r="M50" s="108">
        <v>92</v>
      </c>
      <c r="N50" s="108">
        <v>78</v>
      </c>
      <c r="O50" s="108">
        <v>82</v>
      </c>
      <c r="P50" s="108">
        <v>1435</v>
      </c>
    </row>
    <row r="51" spans="1:16" x14ac:dyDescent="0.3">
      <c r="A51" s="280" t="s">
        <v>119</v>
      </c>
      <c r="B51" s="348" t="s">
        <v>120</v>
      </c>
      <c r="C51" s="348" t="s">
        <v>251</v>
      </c>
      <c r="D51" s="108">
        <v>196</v>
      </c>
      <c r="E51" s="108">
        <v>176</v>
      </c>
      <c r="F51" s="108">
        <v>195</v>
      </c>
      <c r="G51" s="108">
        <v>194</v>
      </c>
      <c r="H51" s="108">
        <v>403</v>
      </c>
      <c r="I51" s="108">
        <v>495</v>
      </c>
      <c r="J51" s="108">
        <v>283</v>
      </c>
      <c r="K51" s="108">
        <v>210</v>
      </c>
      <c r="L51" s="108">
        <v>187</v>
      </c>
      <c r="M51" s="108">
        <v>249</v>
      </c>
      <c r="N51" s="108">
        <v>158</v>
      </c>
      <c r="O51" s="108">
        <v>144</v>
      </c>
      <c r="P51" s="108">
        <v>2890</v>
      </c>
    </row>
    <row r="52" spans="1:16" x14ac:dyDescent="0.3">
      <c r="A52" s="280" t="s">
        <v>121</v>
      </c>
      <c r="B52" s="348" t="s">
        <v>268</v>
      </c>
      <c r="C52" s="348" t="s">
        <v>253</v>
      </c>
      <c r="D52" s="108">
        <v>38</v>
      </c>
      <c r="E52" s="108">
        <v>27</v>
      </c>
      <c r="F52" s="108">
        <v>24</v>
      </c>
      <c r="G52" s="108">
        <v>40</v>
      </c>
      <c r="H52" s="108">
        <v>51</v>
      </c>
      <c r="I52" s="108">
        <v>75</v>
      </c>
      <c r="J52" s="108">
        <v>37</v>
      </c>
      <c r="K52" s="108">
        <v>41</v>
      </c>
      <c r="L52" s="108">
        <v>33</v>
      </c>
      <c r="M52" s="108">
        <v>31</v>
      </c>
      <c r="N52" s="108">
        <v>19</v>
      </c>
      <c r="O52" s="108">
        <v>14</v>
      </c>
      <c r="P52" s="108">
        <v>430</v>
      </c>
    </row>
    <row r="53" spans="1:16" x14ac:dyDescent="0.3">
      <c r="A53" s="280" t="s">
        <v>123</v>
      </c>
      <c r="B53" s="348" t="s">
        <v>124</v>
      </c>
      <c r="C53" s="348" t="s">
        <v>254</v>
      </c>
      <c r="D53" s="108">
        <v>69</v>
      </c>
      <c r="E53" s="108">
        <v>75</v>
      </c>
      <c r="F53" s="108">
        <v>80</v>
      </c>
      <c r="G53" s="108">
        <v>73</v>
      </c>
      <c r="H53" s="108">
        <v>126</v>
      </c>
      <c r="I53" s="108">
        <v>149</v>
      </c>
      <c r="J53" s="108">
        <v>81</v>
      </c>
      <c r="K53" s="108">
        <v>65</v>
      </c>
      <c r="L53" s="108">
        <v>75</v>
      </c>
      <c r="M53" s="108">
        <v>69</v>
      </c>
      <c r="N53" s="108">
        <v>52</v>
      </c>
      <c r="O53" s="108">
        <v>38</v>
      </c>
      <c r="P53" s="108">
        <v>952</v>
      </c>
    </row>
    <row r="54" spans="1:16" x14ac:dyDescent="0.3">
      <c r="A54" s="280" t="s">
        <v>125</v>
      </c>
      <c r="B54" s="348" t="s">
        <v>126</v>
      </c>
      <c r="C54" s="348" t="s">
        <v>253</v>
      </c>
      <c r="D54" s="108">
        <v>68</v>
      </c>
      <c r="E54" s="108">
        <v>64</v>
      </c>
      <c r="F54" s="108">
        <v>45</v>
      </c>
      <c r="G54" s="108">
        <v>74</v>
      </c>
      <c r="H54" s="108">
        <v>98</v>
      </c>
      <c r="I54" s="108">
        <v>114</v>
      </c>
      <c r="J54" s="108">
        <v>73</v>
      </c>
      <c r="K54" s="108">
        <v>46</v>
      </c>
      <c r="L54" s="108">
        <v>58</v>
      </c>
      <c r="M54" s="108">
        <v>65</v>
      </c>
      <c r="N54" s="108">
        <v>40</v>
      </c>
      <c r="O54" s="108">
        <v>39</v>
      </c>
      <c r="P54" s="108">
        <v>784</v>
      </c>
    </row>
    <row r="55" spans="1:16" x14ac:dyDescent="0.3">
      <c r="A55" s="280" t="s">
        <v>127</v>
      </c>
      <c r="B55" s="348" t="s">
        <v>128</v>
      </c>
      <c r="C55" s="348" t="s">
        <v>253</v>
      </c>
      <c r="D55" s="108">
        <v>52</v>
      </c>
      <c r="E55" s="108">
        <v>40</v>
      </c>
      <c r="F55" s="108">
        <v>46</v>
      </c>
      <c r="G55" s="108">
        <v>36</v>
      </c>
      <c r="H55" s="108">
        <v>74</v>
      </c>
      <c r="I55" s="108">
        <v>77</v>
      </c>
      <c r="J55" s="108">
        <v>60</v>
      </c>
      <c r="K55" s="108">
        <v>43</v>
      </c>
      <c r="L55" s="108">
        <v>36</v>
      </c>
      <c r="M55" s="108">
        <v>39</v>
      </c>
      <c r="N55" s="108">
        <v>25</v>
      </c>
      <c r="O55" s="108">
        <v>27</v>
      </c>
      <c r="P55" s="108">
        <v>555</v>
      </c>
    </row>
    <row r="56" spans="1:16" x14ac:dyDescent="0.3">
      <c r="A56" s="280" t="s">
        <v>129</v>
      </c>
      <c r="B56" s="348" t="s">
        <v>130</v>
      </c>
      <c r="C56" s="348" t="s">
        <v>255</v>
      </c>
      <c r="D56" s="108">
        <v>137</v>
      </c>
      <c r="E56" s="108">
        <v>137</v>
      </c>
      <c r="F56" s="108">
        <v>117</v>
      </c>
      <c r="G56" s="108">
        <v>166</v>
      </c>
      <c r="H56" s="108">
        <v>149</v>
      </c>
      <c r="I56" s="108">
        <v>140</v>
      </c>
      <c r="J56" s="108">
        <v>140</v>
      </c>
      <c r="K56" s="108">
        <v>121</v>
      </c>
      <c r="L56" s="108">
        <v>138</v>
      </c>
      <c r="M56" s="108">
        <v>89</v>
      </c>
      <c r="N56" s="108">
        <v>68</v>
      </c>
      <c r="O56" s="108">
        <v>78</v>
      </c>
      <c r="P56" s="108">
        <v>1480</v>
      </c>
    </row>
    <row r="57" spans="1:16" x14ac:dyDescent="0.3">
      <c r="A57" s="280" t="s">
        <v>131</v>
      </c>
      <c r="B57" s="348" t="s">
        <v>132</v>
      </c>
      <c r="C57" s="348" t="s">
        <v>254</v>
      </c>
      <c r="D57" s="108">
        <v>768</v>
      </c>
      <c r="E57" s="108">
        <v>821</v>
      </c>
      <c r="F57" s="108">
        <v>797</v>
      </c>
      <c r="G57" s="108">
        <v>850</v>
      </c>
      <c r="H57" s="108">
        <v>2109</v>
      </c>
      <c r="I57" s="108">
        <v>2706</v>
      </c>
      <c r="J57" s="108">
        <v>1156</v>
      </c>
      <c r="K57" s="108">
        <v>777</v>
      </c>
      <c r="L57" s="108">
        <v>998</v>
      </c>
      <c r="M57" s="108">
        <v>1086</v>
      </c>
      <c r="N57" s="108">
        <v>823</v>
      </c>
      <c r="O57" s="108">
        <v>837</v>
      </c>
      <c r="P57" s="108">
        <v>13728</v>
      </c>
    </row>
    <row r="58" spans="1:16" x14ac:dyDescent="0.3">
      <c r="A58" s="280" t="s">
        <v>133</v>
      </c>
      <c r="B58" s="348" t="s">
        <v>134</v>
      </c>
      <c r="C58" s="348" t="s">
        <v>254</v>
      </c>
      <c r="D58" s="108">
        <v>186</v>
      </c>
      <c r="E58" s="108">
        <v>154</v>
      </c>
      <c r="F58" s="108">
        <v>142</v>
      </c>
      <c r="G58" s="108">
        <v>169</v>
      </c>
      <c r="H58" s="108">
        <v>241</v>
      </c>
      <c r="I58" s="108">
        <v>318</v>
      </c>
      <c r="J58" s="108">
        <v>157</v>
      </c>
      <c r="K58" s="108">
        <v>130</v>
      </c>
      <c r="L58" s="108">
        <v>149</v>
      </c>
      <c r="M58" s="108">
        <v>154</v>
      </c>
      <c r="N58" s="108">
        <v>116</v>
      </c>
      <c r="O58" s="108">
        <v>115</v>
      </c>
      <c r="P58" s="108">
        <v>2031</v>
      </c>
    </row>
    <row r="59" spans="1:16" x14ac:dyDescent="0.3">
      <c r="A59" s="280" t="s">
        <v>135</v>
      </c>
      <c r="B59" s="348" t="s">
        <v>136</v>
      </c>
      <c r="C59" s="348" t="s">
        <v>253</v>
      </c>
      <c r="D59" s="108">
        <v>68</v>
      </c>
      <c r="E59" s="108">
        <v>73</v>
      </c>
      <c r="F59" s="108">
        <v>86</v>
      </c>
      <c r="G59" s="108">
        <v>270</v>
      </c>
      <c r="H59" s="108">
        <v>290</v>
      </c>
      <c r="I59" s="108">
        <v>149</v>
      </c>
      <c r="J59" s="108">
        <v>93</v>
      </c>
      <c r="K59" s="108">
        <v>56</v>
      </c>
      <c r="L59" s="108">
        <v>97</v>
      </c>
      <c r="M59" s="108">
        <v>49</v>
      </c>
      <c r="N59" s="108">
        <v>29</v>
      </c>
      <c r="O59" s="108">
        <v>41</v>
      </c>
      <c r="P59" s="108">
        <v>1301</v>
      </c>
    </row>
    <row r="60" spans="1:16" x14ac:dyDescent="0.3">
      <c r="A60" s="280" t="s">
        <v>139</v>
      </c>
      <c r="B60" s="348" t="s">
        <v>140</v>
      </c>
      <c r="C60" s="348" t="s">
        <v>254</v>
      </c>
      <c r="D60" s="108">
        <v>61</v>
      </c>
      <c r="E60" s="108">
        <v>64</v>
      </c>
      <c r="F60" s="108">
        <v>52</v>
      </c>
      <c r="G60" s="108">
        <v>57</v>
      </c>
      <c r="H60" s="108">
        <v>68</v>
      </c>
      <c r="I60" s="108">
        <v>92</v>
      </c>
      <c r="J60" s="108">
        <v>56</v>
      </c>
      <c r="K60" s="108">
        <v>43</v>
      </c>
      <c r="L60" s="108">
        <v>52</v>
      </c>
      <c r="M60" s="108">
        <v>56</v>
      </c>
      <c r="N60" s="108">
        <v>33</v>
      </c>
      <c r="O60" s="108">
        <v>39</v>
      </c>
      <c r="P60" s="108">
        <v>673</v>
      </c>
    </row>
    <row r="61" spans="1:16" x14ac:dyDescent="0.3">
      <c r="A61" s="280" t="s">
        <v>145</v>
      </c>
      <c r="B61" s="348" t="s">
        <v>146</v>
      </c>
      <c r="C61" s="348" t="s">
        <v>251</v>
      </c>
      <c r="D61" s="108">
        <v>34</v>
      </c>
      <c r="E61" s="108">
        <v>30</v>
      </c>
      <c r="F61" s="108">
        <v>26</v>
      </c>
      <c r="G61" s="108">
        <v>38</v>
      </c>
      <c r="H61" s="108">
        <v>67</v>
      </c>
      <c r="I61" s="108">
        <v>64</v>
      </c>
      <c r="J61" s="108">
        <v>36</v>
      </c>
      <c r="K61" s="108">
        <v>21</v>
      </c>
      <c r="L61" s="108">
        <v>24</v>
      </c>
      <c r="M61" s="108">
        <v>24</v>
      </c>
      <c r="N61" s="108">
        <v>21</v>
      </c>
      <c r="O61" s="108">
        <v>16</v>
      </c>
      <c r="P61" s="108">
        <v>401</v>
      </c>
    </row>
    <row r="62" spans="1:16" x14ac:dyDescent="0.3">
      <c r="A62" s="280" t="s">
        <v>147</v>
      </c>
      <c r="B62" s="348" t="s">
        <v>148</v>
      </c>
      <c r="C62" s="348" t="s">
        <v>252</v>
      </c>
      <c r="D62" s="108">
        <v>142</v>
      </c>
      <c r="E62" s="108">
        <v>171</v>
      </c>
      <c r="F62" s="108">
        <v>158</v>
      </c>
      <c r="G62" s="108">
        <v>250</v>
      </c>
      <c r="H62" s="108">
        <v>270</v>
      </c>
      <c r="I62" s="108">
        <v>334</v>
      </c>
      <c r="J62" s="108">
        <v>221</v>
      </c>
      <c r="K62" s="108">
        <v>123</v>
      </c>
      <c r="L62" s="108">
        <v>135</v>
      </c>
      <c r="M62" s="108">
        <v>126</v>
      </c>
      <c r="N62" s="108">
        <v>80</v>
      </c>
      <c r="O62" s="108">
        <v>112</v>
      </c>
      <c r="P62" s="108">
        <v>2122</v>
      </c>
    </row>
    <row r="63" spans="1:16" x14ac:dyDescent="0.3">
      <c r="A63" s="280" t="s">
        <v>149</v>
      </c>
      <c r="B63" s="348" t="s">
        <v>150</v>
      </c>
      <c r="C63" s="348" t="s">
        <v>253</v>
      </c>
      <c r="D63" s="108">
        <v>40</v>
      </c>
      <c r="E63" s="108">
        <v>45</v>
      </c>
      <c r="F63" s="108">
        <v>46</v>
      </c>
      <c r="G63" s="108">
        <v>45</v>
      </c>
      <c r="H63" s="108">
        <v>81</v>
      </c>
      <c r="I63" s="108">
        <v>78</v>
      </c>
      <c r="J63" s="108">
        <v>60</v>
      </c>
      <c r="K63" s="108">
        <v>29</v>
      </c>
      <c r="L63" s="108">
        <v>41</v>
      </c>
      <c r="M63" s="108">
        <v>44</v>
      </c>
      <c r="N63" s="108">
        <v>30</v>
      </c>
      <c r="O63" s="108">
        <v>26</v>
      </c>
      <c r="P63" s="108">
        <v>565</v>
      </c>
    </row>
    <row r="64" spans="1:16" x14ac:dyDescent="0.3">
      <c r="A64" s="280" t="s">
        <v>151</v>
      </c>
      <c r="B64" s="348" t="s">
        <v>152</v>
      </c>
      <c r="C64" s="348" t="s">
        <v>255</v>
      </c>
      <c r="D64" s="108">
        <v>251</v>
      </c>
      <c r="E64" s="108">
        <v>236</v>
      </c>
      <c r="F64" s="108">
        <v>272</v>
      </c>
      <c r="G64" s="108">
        <v>306</v>
      </c>
      <c r="H64" s="108">
        <v>488</v>
      </c>
      <c r="I64" s="108">
        <v>547</v>
      </c>
      <c r="J64" s="108">
        <v>368</v>
      </c>
      <c r="K64" s="108">
        <v>287</v>
      </c>
      <c r="L64" s="108">
        <v>328</v>
      </c>
      <c r="M64" s="108">
        <v>229</v>
      </c>
      <c r="N64" s="108">
        <v>184</v>
      </c>
      <c r="O64" s="108">
        <v>227</v>
      </c>
      <c r="P64" s="108">
        <v>3723</v>
      </c>
    </row>
    <row r="65" spans="1:16" x14ac:dyDescent="0.3">
      <c r="A65" s="280" t="s">
        <v>153</v>
      </c>
      <c r="B65" s="348" t="s">
        <v>154</v>
      </c>
      <c r="C65" s="348" t="s">
        <v>252</v>
      </c>
      <c r="D65" s="108">
        <v>54</v>
      </c>
      <c r="E65" s="108">
        <v>63</v>
      </c>
      <c r="F65" s="108">
        <v>50</v>
      </c>
      <c r="G65" s="108">
        <v>61</v>
      </c>
      <c r="H65" s="108">
        <v>105</v>
      </c>
      <c r="I65" s="108">
        <v>122</v>
      </c>
      <c r="J65" s="108">
        <v>76</v>
      </c>
      <c r="K65" s="108">
        <v>47</v>
      </c>
      <c r="L65" s="108">
        <v>75</v>
      </c>
      <c r="M65" s="108">
        <v>59</v>
      </c>
      <c r="N65" s="108">
        <v>35</v>
      </c>
      <c r="O65" s="108">
        <v>34</v>
      </c>
      <c r="P65" s="108">
        <v>781</v>
      </c>
    </row>
    <row r="66" spans="1:16" x14ac:dyDescent="0.3">
      <c r="A66" s="280" t="s">
        <v>155</v>
      </c>
      <c r="B66" s="348" t="s">
        <v>156</v>
      </c>
      <c r="C66" s="348" t="s">
        <v>253</v>
      </c>
      <c r="D66" s="108">
        <v>64</v>
      </c>
      <c r="E66" s="108">
        <v>43</v>
      </c>
      <c r="F66" s="108">
        <v>50</v>
      </c>
      <c r="G66" s="108">
        <v>52</v>
      </c>
      <c r="H66" s="108">
        <v>92</v>
      </c>
      <c r="I66" s="108">
        <v>86</v>
      </c>
      <c r="J66" s="108">
        <v>81</v>
      </c>
      <c r="K66" s="108">
        <v>36</v>
      </c>
      <c r="L66" s="108">
        <v>53</v>
      </c>
      <c r="M66" s="108">
        <v>64</v>
      </c>
      <c r="N66" s="108">
        <v>40</v>
      </c>
      <c r="O66" s="108">
        <v>39</v>
      </c>
      <c r="P66" s="108">
        <v>700</v>
      </c>
    </row>
    <row r="67" spans="1:16" x14ac:dyDescent="0.3">
      <c r="A67" s="280" t="s">
        <v>161</v>
      </c>
      <c r="B67" s="348" t="s">
        <v>162</v>
      </c>
      <c r="C67" s="348" t="s">
        <v>251</v>
      </c>
      <c r="D67" s="108">
        <v>75</v>
      </c>
      <c r="E67" s="108">
        <v>69</v>
      </c>
      <c r="F67" s="108">
        <v>62</v>
      </c>
      <c r="G67" s="108">
        <v>76</v>
      </c>
      <c r="H67" s="108">
        <v>122</v>
      </c>
      <c r="I67" s="108">
        <v>102</v>
      </c>
      <c r="J67" s="108">
        <v>90</v>
      </c>
      <c r="K67" s="108">
        <v>63</v>
      </c>
      <c r="L67" s="108">
        <v>66</v>
      </c>
      <c r="M67" s="108">
        <v>54</v>
      </c>
      <c r="N67" s="108">
        <v>24</v>
      </c>
      <c r="O67" s="108">
        <v>36</v>
      </c>
      <c r="P67" s="108">
        <v>839</v>
      </c>
    </row>
    <row r="68" spans="1:16" x14ac:dyDescent="0.3">
      <c r="A68" s="280" t="s">
        <v>163</v>
      </c>
      <c r="B68" s="348" t="s">
        <v>164</v>
      </c>
      <c r="C68" s="348" t="s">
        <v>253</v>
      </c>
      <c r="D68" s="108">
        <v>55</v>
      </c>
      <c r="E68" s="108">
        <v>58</v>
      </c>
      <c r="F68" s="108">
        <v>37</v>
      </c>
      <c r="G68" s="108">
        <v>53</v>
      </c>
      <c r="H68" s="108">
        <v>72</v>
      </c>
      <c r="I68" s="108">
        <v>100</v>
      </c>
      <c r="J68" s="108">
        <v>52</v>
      </c>
      <c r="K68" s="108">
        <v>45</v>
      </c>
      <c r="L68" s="108">
        <v>40</v>
      </c>
      <c r="M68" s="108">
        <v>38</v>
      </c>
      <c r="N68" s="108">
        <v>21</v>
      </c>
      <c r="O68" s="108">
        <v>24</v>
      </c>
      <c r="P68" s="108">
        <v>595</v>
      </c>
    </row>
    <row r="69" spans="1:16" x14ac:dyDescent="0.3">
      <c r="A69" s="280" t="s">
        <v>167</v>
      </c>
      <c r="B69" s="348" t="s">
        <v>168</v>
      </c>
      <c r="C69" s="348" t="s">
        <v>253</v>
      </c>
      <c r="D69" s="108">
        <v>64</v>
      </c>
      <c r="E69" s="108">
        <v>97</v>
      </c>
      <c r="F69" s="108">
        <v>151</v>
      </c>
      <c r="G69" s="108">
        <v>143</v>
      </c>
      <c r="H69" s="108">
        <v>159</v>
      </c>
      <c r="I69" s="108">
        <v>124</v>
      </c>
      <c r="J69" s="108">
        <v>71</v>
      </c>
      <c r="K69" s="108">
        <v>101</v>
      </c>
      <c r="L69" s="108">
        <v>83</v>
      </c>
      <c r="M69" s="108">
        <v>59</v>
      </c>
      <c r="N69" s="108">
        <v>55</v>
      </c>
      <c r="O69" s="108">
        <v>40</v>
      </c>
      <c r="P69" s="108">
        <v>1147</v>
      </c>
    </row>
    <row r="70" spans="1:16" x14ac:dyDescent="0.3">
      <c r="A70" s="280" t="s">
        <v>169</v>
      </c>
      <c r="B70" s="348" t="s">
        <v>170</v>
      </c>
      <c r="C70" s="348" t="s">
        <v>254</v>
      </c>
      <c r="D70" s="108">
        <v>145</v>
      </c>
      <c r="E70" s="108">
        <v>127</v>
      </c>
      <c r="F70" s="108">
        <v>107</v>
      </c>
      <c r="G70" s="108">
        <v>138</v>
      </c>
      <c r="H70" s="108">
        <v>210</v>
      </c>
      <c r="I70" s="108">
        <v>278</v>
      </c>
      <c r="J70" s="108">
        <v>180</v>
      </c>
      <c r="K70" s="108">
        <v>140</v>
      </c>
      <c r="L70" s="108">
        <v>137</v>
      </c>
      <c r="M70" s="108">
        <v>122</v>
      </c>
      <c r="N70" s="108">
        <v>83</v>
      </c>
      <c r="O70" s="108">
        <v>96</v>
      </c>
      <c r="P70" s="108">
        <v>1763</v>
      </c>
    </row>
    <row r="71" spans="1:16" x14ac:dyDescent="0.3">
      <c r="A71" s="280" t="s">
        <v>171</v>
      </c>
      <c r="B71" s="348" t="s">
        <v>172</v>
      </c>
      <c r="C71" s="348" t="s">
        <v>254</v>
      </c>
      <c r="D71" s="108">
        <v>143</v>
      </c>
      <c r="E71" s="108">
        <v>146</v>
      </c>
      <c r="F71" s="108">
        <v>119</v>
      </c>
      <c r="G71" s="108">
        <v>155</v>
      </c>
      <c r="H71" s="108">
        <v>203</v>
      </c>
      <c r="I71" s="108">
        <v>219</v>
      </c>
      <c r="J71" s="108">
        <v>223</v>
      </c>
      <c r="K71" s="108">
        <v>107</v>
      </c>
      <c r="L71" s="108">
        <v>127</v>
      </c>
      <c r="M71" s="108">
        <v>139</v>
      </c>
      <c r="N71" s="108">
        <v>83</v>
      </c>
      <c r="O71" s="108">
        <v>93</v>
      </c>
      <c r="P71" s="108">
        <v>1757</v>
      </c>
    </row>
    <row r="72" spans="1:16" x14ac:dyDescent="0.3">
      <c r="A72" s="280" t="s">
        <v>173</v>
      </c>
      <c r="B72" s="348" t="s">
        <v>174</v>
      </c>
      <c r="C72" s="348" t="s">
        <v>255</v>
      </c>
      <c r="D72" s="108">
        <v>99</v>
      </c>
      <c r="E72" s="108">
        <v>78</v>
      </c>
      <c r="F72" s="108">
        <v>92</v>
      </c>
      <c r="G72" s="108">
        <v>73</v>
      </c>
      <c r="H72" s="108">
        <v>126</v>
      </c>
      <c r="I72" s="108">
        <v>121</v>
      </c>
      <c r="J72" s="108">
        <v>89</v>
      </c>
      <c r="K72" s="108">
        <v>82</v>
      </c>
      <c r="L72" s="108">
        <v>94</v>
      </c>
      <c r="M72" s="108">
        <v>63</v>
      </c>
      <c r="N72" s="108">
        <v>39</v>
      </c>
      <c r="O72" s="108">
        <v>50</v>
      </c>
      <c r="P72" s="108">
        <v>1006</v>
      </c>
    </row>
    <row r="73" spans="1:16" x14ac:dyDescent="0.3">
      <c r="A73" s="280" t="s">
        <v>177</v>
      </c>
      <c r="B73" s="348" t="s">
        <v>178</v>
      </c>
      <c r="C73" s="348" t="s">
        <v>252</v>
      </c>
      <c r="D73" s="108">
        <v>284</v>
      </c>
      <c r="E73" s="108">
        <v>299</v>
      </c>
      <c r="F73" s="108">
        <v>273</v>
      </c>
      <c r="G73" s="108">
        <v>359</v>
      </c>
      <c r="H73" s="108">
        <v>482</v>
      </c>
      <c r="I73" s="108">
        <v>479</v>
      </c>
      <c r="J73" s="108">
        <v>431</v>
      </c>
      <c r="K73" s="108">
        <v>320</v>
      </c>
      <c r="L73" s="108">
        <v>315</v>
      </c>
      <c r="M73" s="108">
        <v>260</v>
      </c>
      <c r="N73" s="108">
        <v>174</v>
      </c>
      <c r="O73" s="108">
        <v>196</v>
      </c>
      <c r="P73" s="108">
        <v>3872</v>
      </c>
    </row>
    <row r="74" spans="1:16" x14ac:dyDescent="0.3">
      <c r="A74" s="280" t="s">
        <v>181</v>
      </c>
      <c r="B74" s="348" t="s">
        <v>182</v>
      </c>
      <c r="C74" s="348" t="s">
        <v>253</v>
      </c>
      <c r="D74" s="108">
        <v>81</v>
      </c>
      <c r="E74" s="108">
        <v>76</v>
      </c>
      <c r="F74" s="108">
        <v>58</v>
      </c>
      <c r="G74" s="108">
        <v>97</v>
      </c>
      <c r="H74" s="108">
        <v>154</v>
      </c>
      <c r="I74" s="108">
        <v>182</v>
      </c>
      <c r="J74" s="108">
        <v>104</v>
      </c>
      <c r="K74" s="108">
        <v>70</v>
      </c>
      <c r="L74" s="108">
        <v>78</v>
      </c>
      <c r="M74" s="108">
        <v>85</v>
      </c>
      <c r="N74" s="108">
        <v>50</v>
      </c>
      <c r="O74" s="108">
        <v>48</v>
      </c>
      <c r="P74" s="108">
        <v>1083</v>
      </c>
    </row>
    <row r="75" spans="1:16" x14ac:dyDescent="0.3">
      <c r="A75" s="280" t="s">
        <v>183</v>
      </c>
      <c r="B75" s="348" t="s">
        <v>184</v>
      </c>
      <c r="C75" s="348" t="s">
        <v>253</v>
      </c>
      <c r="D75" s="108">
        <v>90</v>
      </c>
      <c r="E75" s="108">
        <v>91</v>
      </c>
      <c r="F75" s="108">
        <v>98</v>
      </c>
      <c r="G75" s="108">
        <v>113</v>
      </c>
      <c r="H75" s="108">
        <v>137</v>
      </c>
      <c r="I75" s="108">
        <v>162</v>
      </c>
      <c r="J75" s="108">
        <v>102</v>
      </c>
      <c r="K75" s="108">
        <v>90</v>
      </c>
      <c r="L75" s="108">
        <v>84</v>
      </c>
      <c r="M75" s="108">
        <v>74</v>
      </c>
      <c r="N75" s="108">
        <v>47</v>
      </c>
      <c r="O75" s="108">
        <v>72</v>
      </c>
      <c r="P75" s="108">
        <v>1160</v>
      </c>
    </row>
    <row r="76" spans="1:16" x14ac:dyDescent="0.3">
      <c r="A76" s="280" t="s">
        <v>185</v>
      </c>
      <c r="B76" s="348" t="s">
        <v>186</v>
      </c>
      <c r="C76" s="348" t="s">
        <v>251</v>
      </c>
      <c r="D76" s="108">
        <v>140</v>
      </c>
      <c r="E76" s="108">
        <v>134</v>
      </c>
      <c r="F76" s="108">
        <v>125</v>
      </c>
      <c r="G76" s="108">
        <v>152</v>
      </c>
      <c r="H76" s="108">
        <v>223</v>
      </c>
      <c r="I76" s="108">
        <v>225</v>
      </c>
      <c r="J76" s="108">
        <v>153</v>
      </c>
      <c r="K76" s="108">
        <v>129</v>
      </c>
      <c r="L76" s="108">
        <v>128</v>
      </c>
      <c r="M76" s="108">
        <v>142</v>
      </c>
      <c r="N76" s="108">
        <v>74</v>
      </c>
      <c r="O76" s="108">
        <v>86</v>
      </c>
      <c r="P76" s="108">
        <v>1711</v>
      </c>
    </row>
    <row r="77" spans="1:16" x14ac:dyDescent="0.3">
      <c r="A77" s="280" t="s">
        <v>187</v>
      </c>
      <c r="B77" s="348" t="s">
        <v>188</v>
      </c>
      <c r="C77" s="348" t="s">
        <v>254</v>
      </c>
      <c r="D77" s="108">
        <v>1679</v>
      </c>
      <c r="E77" s="108">
        <v>1614</v>
      </c>
      <c r="F77" s="108">
        <v>1546</v>
      </c>
      <c r="G77" s="108">
        <v>1863</v>
      </c>
      <c r="H77" s="108">
        <v>3508</v>
      </c>
      <c r="I77" s="108">
        <v>4232</v>
      </c>
      <c r="J77" s="108">
        <v>2352</v>
      </c>
      <c r="K77" s="108">
        <v>1900</v>
      </c>
      <c r="L77" s="108">
        <v>1789</v>
      </c>
      <c r="M77" s="108">
        <v>1953</v>
      </c>
      <c r="N77" s="108">
        <v>1543</v>
      </c>
      <c r="O77" s="108">
        <v>1478</v>
      </c>
      <c r="P77" s="108">
        <v>25457</v>
      </c>
    </row>
    <row r="78" spans="1:16" x14ac:dyDescent="0.3">
      <c r="A78" s="280" t="s">
        <v>189</v>
      </c>
      <c r="B78" s="348" t="s">
        <v>190</v>
      </c>
      <c r="C78" s="348" t="s">
        <v>255</v>
      </c>
      <c r="D78" s="108">
        <v>157</v>
      </c>
      <c r="E78" s="108">
        <v>151</v>
      </c>
      <c r="F78" s="108">
        <v>172</v>
      </c>
      <c r="G78" s="108">
        <v>193</v>
      </c>
      <c r="H78" s="108">
        <v>236</v>
      </c>
      <c r="I78" s="108">
        <v>260</v>
      </c>
      <c r="J78" s="108">
        <v>178</v>
      </c>
      <c r="K78" s="108">
        <v>135</v>
      </c>
      <c r="L78" s="108">
        <v>165</v>
      </c>
      <c r="M78" s="108">
        <v>183</v>
      </c>
      <c r="N78" s="108">
        <v>107</v>
      </c>
      <c r="O78" s="108">
        <v>99</v>
      </c>
      <c r="P78" s="108">
        <v>2036</v>
      </c>
    </row>
    <row r="79" spans="1:16" x14ac:dyDescent="0.3">
      <c r="A79" s="280" t="s">
        <v>193</v>
      </c>
      <c r="B79" s="348" t="s">
        <v>194</v>
      </c>
      <c r="C79" s="348" t="s">
        <v>254</v>
      </c>
      <c r="D79" s="108">
        <v>41</v>
      </c>
      <c r="E79" s="108">
        <v>35</v>
      </c>
      <c r="F79" s="108">
        <v>34</v>
      </c>
      <c r="G79" s="108">
        <v>28</v>
      </c>
      <c r="H79" s="108">
        <v>51</v>
      </c>
      <c r="I79" s="108">
        <v>63</v>
      </c>
      <c r="J79" s="108">
        <v>35</v>
      </c>
      <c r="K79" s="108">
        <v>12</v>
      </c>
      <c r="L79" s="108">
        <v>20</v>
      </c>
      <c r="M79" s="108">
        <v>33</v>
      </c>
      <c r="N79" s="108">
        <v>21</v>
      </c>
      <c r="O79" s="108">
        <v>26</v>
      </c>
      <c r="P79" s="108">
        <v>399</v>
      </c>
    </row>
    <row r="80" spans="1:16" x14ac:dyDescent="0.3">
      <c r="A80" s="280" t="s">
        <v>197</v>
      </c>
      <c r="B80" s="348" t="s">
        <v>259</v>
      </c>
      <c r="C80" s="348" t="s">
        <v>253</v>
      </c>
      <c r="D80" s="108">
        <v>35</v>
      </c>
      <c r="E80" s="108">
        <v>52</v>
      </c>
      <c r="F80" s="108">
        <v>28</v>
      </c>
      <c r="G80" s="108">
        <v>47</v>
      </c>
      <c r="H80" s="108">
        <v>113</v>
      </c>
      <c r="I80" s="108">
        <v>81</v>
      </c>
      <c r="J80" s="108">
        <v>124</v>
      </c>
      <c r="K80" s="108">
        <v>49</v>
      </c>
      <c r="L80" s="108">
        <v>37</v>
      </c>
      <c r="M80" s="108">
        <v>54</v>
      </c>
      <c r="N80" s="108">
        <v>25</v>
      </c>
      <c r="O80" s="108">
        <v>27</v>
      </c>
      <c r="P80" s="108">
        <v>672</v>
      </c>
    </row>
    <row r="81" spans="1:16" x14ac:dyDescent="0.3">
      <c r="A81" s="280" t="s">
        <v>201</v>
      </c>
      <c r="B81" s="348" t="s">
        <v>276</v>
      </c>
      <c r="C81" s="348" t="s">
        <v>252</v>
      </c>
      <c r="D81" s="108">
        <v>450</v>
      </c>
      <c r="E81" s="108">
        <v>449</v>
      </c>
      <c r="F81" s="108">
        <v>386</v>
      </c>
      <c r="G81" s="108">
        <v>477</v>
      </c>
      <c r="H81" s="108">
        <v>717</v>
      </c>
      <c r="I81" s="108">
        <v>825</v>
      </c>
      <c r="J81" s="108">
        <v>479</v>
      </c>
      <c r="K81" s="108">
        <v>384</v>
      </c>
      <c r="L81" s="108">
        <v>395</v>
      </c>
      <c r="M81" s="108">
        <v>422</v>
      </c>
      <c r="N81" s="108">
        <v>275</v>
      </c>
      <c r="O81" s="108">
        <v>289</v>
      </c>
      <c r="P81" s="108">
        <v>5548</v>
      </c>
    </row>
    <row r="82" spans="1:16" x14ac:dyDescent="0.3">
      <c r="A82" s="280" t="s">
        <v>203</v>
      </c>
      <c r="B82" s="348" t="s">
        <v>269</v>
      </c>
      <c r="C82" s="348" t="s">
        <v>252</v>
      </c>
      <c r="D82" s="108">
        <v>169</v>
      </c>
      <c r="E82" s="108">
        <v>142</v>
      </c>
      <c r="F82" s="108">
        <v>141</v>
      </c>
      <c r="G82" s="108">
        <v>150</v>
      </c>
      <c r="H82" s="108">
        <v>218</v>
      </c>
      <c r="I82" s="108">
        <v>249</v>
      </c>
      <c r="J82" s="108">
        <v>184</v>
      </c>
      <c r="K82" s="108">
        <v>165</v>
      </c>
      <c r="L82" s="108">
        <v>165</v>
      </c>
      <c r="M82" s="108">
        <v>156</v>
      </c>
      <c r="N82" s="108">
        <v>91</v>
      </c>
      <c r="O82" s="108">
        <v>99</v>
      </c>
      <c r="P82" s="108">
        <v>1929</v>
      </c>
    </row>
    <row r="83" spans="1:16" x14ac:dyDescent="0.3">
      <c r="A83" s="280" t="s">
        <v>205</v>
      </c>
      <c r="B83" s="348" t="s">
        <v>270</v>
      </c>
      <c r="C83" s="348" t="s">
        <v>254</v>
      </c>
      <c r="D83" s="108">
        <v>506</v>
      </c>
      <c r="E83" s="108">
        <v>473</v>
      </c>
      <c r="F83" s="108">
        <v>480</v>
      </c>
      <c r="G83" s="108">
        <v>520</v>
      </c>
      <c r="H83" s="108">
        <v>806</v>
      </c>
      <c r="I83" s="108">
        <v>877</v>
      </c>
      <c r="J83" s="108">
        <v>577</v>
      </c>
      <c r="K83" s="108">
        <v>437</v>
      </c>
      <c r="L83" s="108">
        <v>476</v>
      </c>
      <c r="M83" s="108">
        <v>427</v>
      </c>
      <c r="N83" s="108">
        <v>287</v>
      </c>
      <c r="O83" s="108">
        <v>357</v>
      </c>
      <c r="P83" s="108">
        <v>6223</v>
      </c>
    </row>
    <row r="84" spans="1:16" x14ac:dyDescent="0.3">
      <c r="A84" s="280" t="s">
        <v>207</v>
      </c>
      <c r="B84" s="348" t="s">
        <v>208</v>
      </c>
      <c r="C84" s="348" t="s">
        <v>255</v>
      </c>
      <c r="D84" s="108">
        <v>125</v>
      </c>
      <c r="E84" s="108">
        <v>168</v>
      </c>
      <c r="F84" s="108">
        <v>142</v>
      </c>
      <c r="G84" s="108">
        <v>149</v>
      </c>
      <c r="H84" s="108">
        <v>159</v>
      </c>
      <c r="I84" s="108">
        <v>219</v>
      </c>
      <c r="J84" s="108">
        <v>249</v>
      </c>
      <c r="K84" s="108">
        <v>140</v>
      </c>
      <c r="L84" s="108">
        <v>176</v>
      </c>
      <c r="M84" s="108">
        <v>131</v>
      </c>
      <c r="N84" s="108">
        <v>76</v>
      </c>
      <c r="O84" s="108">
        <v>82</v>
      </c>
      <c r="P84" s="108">
        <v>1816</v>
      </c>
    </row>
    <row r="85" spans="1:16" x14ac:dyDescent="0.3">
      <c r="A85" s="280" t="s">
        <v>209</v>
      </c>
      <c r="B85" s="348" t="s">
        <v>210</v>
      </c>
      <c r="C85" s="348" t="s">
        <v>255</v>
      </c>
      <c r="D85" s="108">
        <v>112</v>
      </c>
      <c r="E85" s="108">
        <v>100</v>
      </c>
      <c r="F85" s="108">
        <v>93</v>
      </c>
      <c r="G85" s="108">
        <v>106</v>
      </c>
      <c r="H85" s="108">
        <v>124</v>
      </c>
      <c r="I85" s="108">
        <v>154</v>
      </c>
      <c r="J85" s="108">
        <v>104</v>
      </c>
      <c r="K85" s="108">
        <v>97</v>
      </c>
      <c r="L85" s="108">
        <v>98</v>
      </c>
      <c r="M85" s="108">
        <v>92</v>
      </c>
      <c r="N85" s="108">
        <v>55</v>
      </c>
      <c r="O85" s="108">
        <v>70</v>
      </c>
      <c r="P85" s="108">
        <v>1205</v>
      </c>
    </row>
    <row r="86" spans="1:16" x14ac:dyDescent="0.3">
      <c r="A86" s="280" t="s">
        <v>211</v>
      </c>
      <c r="B86" s="348" t="s">
        <v>212</v>
      </c>
      <c r="C86" s="348" t="s">
        <v>254</v>
      </c>
      <c r="D86" s="108">
        <v>212</v>
      </c>
      <c r="E86" s="108">
        <v>189</v>
      </c>
      <c r="F86" s="108">
        <v>207</v>
      </c>
      <c r="G86" s="108">
        <v>205</v>
      </c>
      <c r="H86" s="108">
        <v>296</v>
      </c>
      <c r="I86" s="108">
        <v>332</v>
      </c>
      <c r="J86" s="108">
        <v>235</v>
      </c>
      <c r="K86" s="108">
        <v>200</v>
      </c>
      <c r="L86" s="108">
        <v>168</v>
      </c>
      <c r="M86" s="108">
        <v>193</v>
      </c>
      <c r="N86" s="108">
        <v>143</v>
      </c>
      <c r="O86" s="108">
        <v>133</v>
      </c>
      <c r="P86" s="108">
        <v>2513</v>
      </c>
    </row>
    <row r="87" spans="1:16" x14ac:dyDescent="0.3">
      <c r="A87" s="280" t="s">
        <v>213</v>
      </c>
      <c r="B87" s="348" t="s">
        <v>214</v>
      </c>
      <c r="C87" s="348" t="s">
        <v>255</v>
      </c>
      <c r="D87" s="108">
        <v>199</v>
      </c>
      <c r="E87" s="108">
        <v>220</v>
      </c>
      <c r="F87" s="108">
        <v>190</v>
      </c>
      <c r="G87" s="108">
        <v>310</v>
      </c>
      <c r="H87" s="108">
        <v>292</v>
      </c>
      <c r="I87" s="108">
        <v>283</v>
      </c>
      <c r="J87" s="108">
        <v>222</v>
      </c>
      <c r="K87" s="108">
        <v>190</v>
      </c>
      <c r="L87" s="108">
        <v>182</v>
      </c>
      <c r="M87" s="108">
        <v>157</v>
      </c>
      <c r="N87" s="108">
        <v>115</v>
      </c>
      <c r="O87" s="108">
        <v>127</v>
      </c>
      <c r="P87" s="108">
        <v>2487</v>
      </c>
    </row>
    <row r="88" spans="1:16" x14ac:dyDescent="0.3">
      <c r="A88" s="280" t="s">
        <v>215</v>
      </c>
      <c r="B88" s="348" t="s">
        <v>216</v>
      </c>
      <c r="C88" s="348" t="s">
        <v>251</v>
      </c>
      <c r="D88" s="108">
        <v>67</v>
      </c>
      <c r="E88" s="108">
        <v>93</v>
      </c>
      <c r="F88" s="108">
        <v>104</v>
      </c>
      <c r="G88" s="108">
        <v>96</v>
      </c>
      <c r="H88" s="108">
        <v>130</v>
      </c>
      <c r="I88" s="108">
        <v>158</v>
      </c>
      <c r="J88" s="108">
        <v>94</v>
      </c>
      <c r="K88" s="108">
        <v>79</v>
      </c>
      <c r="L88" s="108">
        <v>79</v>
      </c>
      <c r="M88" s="108">
        <v>62</v>
      </c>
      <c r="N88" s="108">
        <v>58</v>
      </c>
      <c r="O88" s="108">
        <v>47</v>
      </c>
      <c r="P88" s="108">
        <v>1067</v>
      </c>
    </row>
    <row r="89" spans="1:16" x14ac:dyDescent="0.3">
      <c r="A89" s="280" t="s">
        <v>217</v>
      </c>
      <c r="B89" s="348" t="s">
        <v>218</v>
      </c>
      <c r="C89" s="348" t="s">
        <v>254</v>
      </c>
      <c r="D89" s="108">
        <v>515</v>
      </c>
      <c r="E89" s="108">
        <v>465</v>
      </c>
      <c r="F89" s="108">
        <v>506</v>
      </c>
      <c r="G89" s="108">
        <v>472</v>
      </c>
      <c r="H89" s="108">
        <v>865</v>
      </c>
      <c r="I89" s="108">
        <v>1099</v>
      </c>
      <c r="J89" s="108">
        <v>554</v>
      </c>
      <c r="K89" s="108">
        <v>419</v>
      </c>
      <c r="L89" s="108">
        <v>507</v>
      </c>
      <c r="M89" s="108">
        <v>552</v>
      </c>
      <c r="N89" s="108">
        <v>389</v>
      </c>
      <c r="O89" s="108">
        <v>362</v>
      </c>
      <c r="P89" s="108">
        <v>6705</v>
      </c>
    </row>
    <row r="90" spans="1:16" x14ac:dyDescent="0.3">
      <c r="A90" s="280" t="s">
        <v>219</v>
      </c>
      <c r="B90" s="348" t="s">
        <v>220</v>
      </c>
      <c r="C90" s="348" t="s">
        <v>254</v>
      </c>
      <c r="D90" s="108">
        <v>424</v>
      </c>
      <c r="E90" s="108">
        <v>434</v>
      </c>
      <c r="F90" s="108">
        <v>439</v>
      </c>
      <c r="G90" s="108">
        <v>540</v>
      </c>
      <c r="H90" s="108">
        <v>822</v>
      </c>
      <c r="I90" s="108">
        <v>979</v>
      </c>
      <c r="J90" s="108">
        <v>571</v>
      </c>
      <c r="K90" s="108">
        <v>402</v>
      </c>
      <c r="L90" s="108">
        <v>499</v>
      </c>
      <c r="M90" s="108">
        <v>423</v>
      </c>
      <c r="N90" s="108">
        <v>352</v>
      </c>
      <c r="O90" s="108">
        <v>335</v>
      </c>
      <c r="P90" s="108">
        <v>6220</v>
      </c>
    </row>
    <row r="91" spans="1:16" x14ac:dyDescent="0.3">
      <c r="A91" s="280" t="s">
        <v>223</v>
      </c>
      <c r="B91" s="348" t="s">
        <v>224</v>
      </c>
      <c r="C91" s="348" t="s">
        <v>251</v>
      </c>
      <c r="D91" s="108">
        <v>30</v>
      </c>
      <c r="E91" s="108">
        <v>23</v>
      </c>
      <c r="F91" s="108">
        <v>24</v>
      </c>
      <c r="G91" s="108">
        <v>30</v>
      </c>
      <c r="H91" s="108">
        <v>63</v>
      </c>
      <c r="I91" s="108">
        <v>51</v>
      </c>
      <c r="J91" s="108">
        <v>46</v>
      </c>
      <c r="K91" s="108">
        <v>25</v>
      </c>
      <c r="L91" s="108">
        <v>17</v>
      </c>
      <c r="M91" s="108">
        <v>26</v>
      </c>
      <c r="N91" s="108">
        <v>16</v>
      </c>
      <c r="O91" s="108">
        <v>14</v>
      </c>
      <c r="P91" s="108">
        <v>365</v>
      </c>
    </row>
    <row r="92" spans="1:16" x14ac:dyDescent="0.3">
      <c r="A92" s="280" t="s">
        <v>225</v>
      </c>
      <c r="B92" s="348" t="s">
        <v>226</v>
      </c>
      <c r="C92" s="348" t="s">
        <v>251</v>
      </c>
      <c r="D92" s="108">
        <v>59</v>
      </c>
      <c r="E92" s="108">
        <v>71</v>
      </c>
      <c r="F92" s="108">
        <v>73</v>
      </c>
      <c r="G92" s="108">
        <v>173</v>
      </c>
      <c r="H92" s="108">
        <v>191</v>
      </c>
      <c r="I92" s="108">
        <v>398</v>
      </c>
      <c r="J92" s="108">
        <v>428</v>
      </c>
      <c r="K92" s="108">
        <v>93</v>
      </c>
      <c r="L92" s="108">
        <v>210</v>
      </c>
      <c r="M92" s="108">
        <v>116</v>
      </c>
      <c r="N92" s="108">
        <v>61</v>
      </c>
      <c r="O92" s="108">
        <v>35</v>
      </c>
      <c r="P92" s="108">
        <v>1908</v>
      </c>
    </row>
    <row r="93" spans="1:16" x14ac:dyDescent="0.3">
      <c r="A93" s="280" t="s">
        <v>227</v>
      </c>
      <c r="B93" s="348" t="s">
        <v>228</v>
      </c>
      <c r="C93" s="348" t="s">
        <v>255</v>
      </c>
      <c r="D93" s="108">
        <v>249</v>
      </c>
      <c r="E93" s="108">
        <v>275</v>
      </c>
      <c r="F93" s="108">
        <v>323</v>
      </c>
      <c r="G93" s="108">
        <v>313</v>
      </c>
      <c r="H93" s="108">
        <v>376</v>
      </c>
      <c r="I93" s="108">
        <v>327</v>
      </c>
      <c r="J93" s="108">
        <v>444</v>
      </c>
      <c r="K93" s="108">
        <v>250</v>
      </c>
      <c r="L93" s="108">
        <v>291</v>
      </c>
      <c r="M93" s="108">
        <v>200</v>
      </c>
      <c r="N93" s="108">
        <v>138</v>
      </c>
      <c r="O93" s="108">
        <v>157</v>
      </c>
      <c r="P93" s="108">
        <v>3343</v>
      </c>
    </row>
    <row r="94" spans="1:16" x14ac:dyDescent="0.3">
      <c r="A94" s="280" t="s">
        <v>231</v>
      </c>
      <c r="B94" s="348" t="s">
        <v>232</v>
      </c>
      <c r="C94" s="348" t="s">
        <v>254</v>
      </c>
      <c r="D94" s="108">
        <v>164</v>
      </c>
      <c r="E94" s="108">
        <v>184</v>
      </c>
      <c r="F94" s="108">
        <v>184</v>
      </c>
      <c r="G94" s="108">
        <v>182</v>
      </c>
      <c r="H94" s="108">
        <v>240</v>
      </c>
      <c r="I94" s="108">
        <v>267</v>
      </c>
      <c r="J94" s="108">
        <v>222</v>
      </c>
      <c r="K94" s="108">
        <v>144</v>
      </c>
      <c r="L94" s="108">
        <v>183</v>
      </c>
      <c r="M94" s="108">
        <v>149</v>
      </c>
      <c r="N94" s="108">
        <v>131</v>
      </c>
      <c r="O94" s="108">
        <v>124</v>
      </c>
      <c r="P94" s="108">
        <v>2174</v>
      </c>
    </row>
    <row r="95" spans="1:16" x14ac:dyDescent="0.3">
      <c r="A95" s="280" t="s">
        <v>233</v>
      </c>
      <c r="B95" s="348" t="s">
        <v>234</v>
      </c>
      <c r="C95" s="348" t="s">
        <v>255</v>
      </c>
      <c r="D95" s="108">
        <v>295</v>
      </c>
      <c r="E95" s="108">
        <v>275</v>
      </c>
      <c r="F95" s="108">
        <v>309</v>
      </c>
      <c r="G95" s="108">
        <v>287</v>
      </c>
      <c r="H95" s="108">
        <v>391</v>
      </c>
      <c r="I95" s="108">
        <v>452</v>
      </c>
      <c r="J95" s="108">
        <v>336</v>
      </c>
      <c r="K95" s="108">
        <v>262</v>
      </c>
      <c r="L95" s="108">
        <v>266</v>
      </c>
      <c r="M95" s="108">
        <v>244</v>
      </c>
      <c r="N95" s="108">
        <v>162</v>
      </c>
      <c r="O95" s="108">
        <v>169</v>
      </c>
      <c r="P95" s="108">
        <v>3448</v>
      </c>
    </row>
    <row r="96" spans="1:16" x14ac:dyDescent="0.3">
      <c r="A96" s="280" t="s">
        <v>235</v>
      </c>
      <c r="B96" s="348" t="s">
        <v>236</v>
      </c>
      <c r="C96" s="348" t="s">
        <v>253</v>
      </c>
      <c r="D96" s="108">
        <v>87</v>
      </c>
      <c r="E96" s="108">
        <v>70</v>
      </c>
      <c r="F96" s="108">
        <v>91</v>
      </c>
      <c r="G96" s="108">
        <v>103</v>
      </c>
      <c r="H96" s="108">
        <v>154</v>
      </c>
      <c r="I96" s="108">
        <v>145</v>
      </c>
      <c r="J96" s="108">
        <v>98</v>
      </c>
      <c r="K96" s="108">
        <v>89</v>
      </c>
      <c r="L96" s="108">
        <v>100</v>
      </c>
      <c r="M96" s="108">
        <v>87</v>
      </c>
      <c r="N96" s="108">
        <v>61</v>
      </c>
      <c r="O96" s="108">
        <v>75</v>
      </c>
      <c r="P96" s="108">
        <v>1160</v>
      </c>
    </row>
    <row r="97" spans="1:16" x14ac:dyDescent="0.3">
      <c r="A97" s="280" t="s">
        <v>241</v>
      </c>
      <c r="B97" s="348" t="s">
        <v>242</v>
      </c>
      <c r="C97" s="348" t="s">
        <v>255</v>
      </c>
      <c r="D97" s="108">
        <v>209</v>
      </c>
      <c r="E97" s="108">
        <v>252</v>
      </c>
      <c r="F97" s="108">
        <v>263</v>
      </c>
      <c r="G97" s="108">
        <v>361</v>
      </c>
      <c r="H97" s="108">
        <v>276</v>
      </c>
      <c r="I97" s="108">
        <v>280</v>
      </c>
      <c r="J97" s="108">
        <v>371</v>
      </c>
      <c r="K97" s="108">
        <v>223</v>
      </c>
      <c r="L97" s="108">
        <v>268</v>
      </c>
      <c r="M97" s="108">
        <v>209</v>
      </c>
      <c r="N97" s="108">
        <v>132</v>
      </c>
      <c r="O97" s="108">
        <v>155</v>
      </c>
      <c r="P97" s="108">
        <v>2999</v>
      </c>
    </row>
    <row r="98" spans="1:16" x14ac:dyDescent="0.3">
      <c r="A98" s="280" t="s">
        <v>243</v>
      </c>
      <c r="B98" s="348" t="s">
        <v>244</v>
      </c>
      <c r="C98" s="348" t="s">
        <v>255</v>
      </c>
      <c r="D98" s="108">
        <v>170</v>
      </c>
      <c r="E98" s="108">
        <v>151</v>
      </c>
      <c r="F98" s="108">
        <v>195</v>
      </c>
      <c r="G98" s="108">
        <v>181</v>
      </c>
      <c r="H98" s="108">
        <v>255</v>
      </c>
      <c r="I98" s="108">
        <v>242</v>
      </c>
      <c r="J98" s="108">
        <v>194</v>
      </c>
      <c r="K98" s="108">
        <v>160</v>
      </c>
      <c r="L98" s="108">
        <v>180</v>
      </c>
      <c r="M98" s="108">
        <v>139</v>
      </c>
      <c r="N98" s="108">
        <v>101</v>
      </c>
      <c r="O98" s="108">
        <v>113</v>
      </c>
      <c r="P98" s="108">
        <v>2081</v>
      </c>
    </row>
    <row r="99" spans="1:16" x14ac:dyDescent="0.3">
      <c r="A99" s="280" t="s">
        <v>245</v>
      </c>
      <c r="B99" s="348" t="s">
        <v>246</v>
      </c>
      <c r="C99" s="348" t="s">
        <v>251</v>
      </c>
      <c r="D99" s="108">
        <v>138</v>
      </c>
      <c r="E99" s="108">
        <v>170</v>
      </c>
      <c r="F99" s="108">
        <v>168</v>
      </c>
      <c r="G99" s="108">
        <v>206</v>
      </c>
      <c r="H99" s="108">
        <v>335</v>
      </c>
      <c r="I99" s="108">
        <v>438</v>
      </c>
      <c r="J99" s="108">
        <v>236</v>
      </c>
      <c r="K99" s="108">
        <v>149</v>
      </c>
      <c r="L99" s="108">
        <v>189</v>
      </c>
      <c r="M99" s="108">
        <v>227</v>
      </c>
      <c r="N99" s="108">
        <v>130</v>
      </c>
      <c r="O99" s="108">
        <v>131</v>
      </c>
      <c r="P99" s="108">
        <v>2517</v>
      </c>
    </row>
    <row r="100" spans="1:16" x14ac:dyDescent="0.3">
      <c r="A100" s="280" t="s">
        <v>13</v>
      </c>
      <c r="B100" s="348" t="s">
        <v>14</v>
      </c>
      <c r="C100" s="348" t="s">
        <v>254</v>
      </c>
      <c r="D100" s="108">
        <v>544</v>
      </c>
      <c r="E100" s="108">
        <v>514</v>
      </c>
      <c r="F100" s="108">
        <v>463</v>
      </c>
      <c r="G100" s="108">
        <v>557</v>
      </c>
      <c r="H100" s="108">
        <v>1082</v>
      </c>
      <c r="I100" s="108">
        <v>1400</v>
      </c>
      <c r="J100" s="108">
        <v>691</v>
      </c>
      <c r="K100" s="108">
        <v>482</v>
      </c>
      <c r="L100" s="108">
        <v>618</v>
      </c>
      <c r="M100" s="108">
        <v>740</v>
      </c>
      <c r="N100" s="108">
        <v>536</v>
      </c>
      <c r="O100" s="108">
        <v>489</v>
      </c>
      <c r="P100" s="108">
        <v>8116</v>
      </c>
    </row>
    <row r="101" spans="1:16" x14ac:dyDescent="0.3">
      <c r="A101" s="280" t="s">
        <v>33</v>
      </c>
      <c r="B101" s="348" t="s">
        <v>34</v>
      </c>
      <c r="C101" s="348" t="s">
        <v>255</v>
      </c>
      <c r="D101" s="108">
        <v>112</v>
      </c>
      <c r="E101" s="108">
        <v>147</v>
      </c>
      <c r="F101" s="108">
        <v>134</v>
      </c>
      <c r="G101" s="108">
        <v>139</v>
      </c>
      <c r="H101" s="108">
        <v>177</v>
      </c>
      <c r="I101" s="108">
        <v>190</v>
      </c>
      <c r="J101" s="108">
        <v>156</v>
      </c>
      <c r="K101" s="108">
        <v>104</v>
      </c>
      <c r="L101" s="108">
        <v>129</v>
      </c>
      <c r="M101" s="108">
        <v>133</v>
      </c>
      <c r="N101" s="108">
        <v>63</v>
      </c>
      <c r="O101" s="108">
        <v>84</v>
      </c>
      <c r="P101" s="108">
        <v>1568</v>
      </c>
    </row>
    <row r="102" spans="1:16" x14ac:dyDescent="0.3">
      <c r="A102" s="280" t="s">
        <v>51</v>
      </c>
      <c r="B102" s="348" t="s">
        <v>52</v>
      </c>
      <c r="C102" s="348" t="s">
        <v>252</v>
      </c>
      <c r="D102" s="108">
        <v>207</v>
      </c>
      <c r="E102" s="108">
        <v>199</v>
      </c>
      <c r="F102" s="108">
        <v>177</v>
      </c>
      <c r="G102" s="108">
        <v>201</v>
      </c>
      <c r="H102" s="108">
        <v>281</v>
      </c>
      <c r="I102" s="108">
        <v>382</v>
      </c>
      <c r="J102" s="108">
        <v>249</v>
      </c>
      <c r="K102" s="108">
        <v>175</v>
      </c>
      <c r="L102" s="108">
        <v>180</v>
      </c>
      <c r="M102" s="108">
        <v>196</v>
      </c>
      <c r="N102" s="108">
        <v>131</v>
      </c>
      <c r="O102" s="108">
        <v>100</v>
      </c>
      <c r="P102" s="108">
        <v>2478</v>
      </c>
    </row>
    <row r="103" spans="1:16" x14ac:dyDescent="0.3">
      <c r="A103" s="280" t="s">
        <v>53</v>
      </c>
      <c r="B103" s="348" t="s">
        <v>54</v>
      </c>
      <c r="C103" s="348" t="s">
        <v>251</v>
      </c>
      <c r="D103" s="108">
        <v>745</v>
      </c>
      <c r="E103" s="108">
        <v>959</v>
      </c>
      <c r="F103" s="108">
        <v>1177</v>
      </c>
      <c r="G103" s="108">
        <v>1129</v>
      </c>
      <c r="H103" s="108">
        <v>1464</v>
      </c>
      <c r="I103" s="108">
        <v>1814</v>
      </c>
      <c r="J103" s="108">
        <v>1184</v>
      </c>
      <c r="K103" s="108">
        <v>748</v>
      </c>
      <c r="L103" s="108">
        <v>841</v>
      </c>
      <c r="M103" s="108">
        <v>825</v>
      </c>
      <c r="N103" s="108">
        <v>686</v>
      </c>
      <c r="O103" s="108">
        <v>635</v>
      </c>
      <c r="P103" s="108">
        <v>12207</v>
      </c>
    </row>
    <row r="104" spans="1:16" x14ac:dyDescent="0.3">
      <c r="A104" s="280" t="s">
        <v>65</v>
      </c>
      <c r="B104" s="348" t="s">
        <v>66</v>
      </c>
      <c r="C104" s="348" t="s">
        <v>252</v>
      </c>
      <c r="D104" s="108">
        <v>313</v>
      </c>
      <c r="E104" s="108">
        <v>359</v>
      </c>
      <c r="F104" s="108">
        <v>332</v>
      </c>
      <c r="G104" s="108">
        <v>340</v>
      </c>
      <c r="H104" s="108">
        <v>459</v>
      </c>
      <c r="I104" s="108">
        <v>460</v>
      </c>
      <c r="J104" s="108">
        <v>439</v>
      </c>
      <c r="K104" s="108">
        <v>289</v>
      </c>
      <c r="L104" s="108">
        <v>351</v>
      </c>
      <c r="M104" s="108">
        <v>247</v>
      </c>
      <c r="N104" s="108">
        <v>153</v>
      </c>
      <c r="O104" s="108">
        <v>158</v>
      </c>
      <c r="P104" s="108">
        <v>3900</v>
      </c>
    </row>
    <row r="105" spans="1:16" x14ac:dyDescent="0.3">
      <c r="A105" s="280" t="s">
        <v>81</v>
      </c>
      <c r="B105" s="348" t="s">
        <v>82</v>
      </c>
      <c r="C105" s="348" t="s">
        <v>251</v>
      </c>
      <c r="D105" s="108">
        <v>56</v>
      </c>
      <c r="E105" s="108">
        <v>58</v>
      </c>
      <c r="F105" s="108">
        <v>38</v>
      </c>
      <c r="G105" s="108">
        <v>69</v>
      </c>
      <c r="H105" s="108">
        <v>68</v>
      </c>
      <c r="I105" s="108">
        <v>80</v>
      </c>
      <c r="J105" s="108">
        <v>74</v>
      </c>
      <c r="K105" s="108">
        <v>53</v>
      </c>
      <c r="L105" s="108">
        <v>47</v>
      </c>
      <c r="M105" s="108">
        <v>51</v>
      </c>
      <c r="N105" s="108">
        <v>49</v>
      </c>
      <c r="O105" s="108">
        <v>51</v>
      </c>
      <c r="P105" s="108">
        <v>694</v>
      </c>
    </row>
    <row r="106" spans="1:16" x14ac:dyDescent="0.3">
      <c r="A106" s="280" t="s">
        <v>87</v>
      </c>
      <c r="B106" s="348" t="s">
        <v>88</v>
      </c>
      <c r="C106" s="348" t="s">
        <v>254</v>
      </c>
      <c r="D106" s="108">
        <v>153</v>
      </c>
      <c r="E106" s="108">
        <v>184</v>
      </c>
      <c r="F106" s="108">
        <v>158</v>
      </c>
      <c r="G106" s="108">
        <v>175</v>
      </c>
      <c r="H106" s="108">
        <v>233</v>
      </c>
      <c r="I106" s="108">
        <v>255</v>
      </c>
      <c r="J106" s="108">
        <v>209</v>
      </c>
      <c r="K106" s="108">
        <v>145</v>
      </c>
      <c r="L106" s="108">
        <v>173</v>
      </c>
      <c r="M106" s="108">
        <v>145</v>
      </c>
      <c r="N106" s="108">
        <v>101</v>
      </c>
      <c r="O106" s="108">
        <v>133</v>
      </c>
      <c r="P106" s="108">
        <v>2064</v>
      </c>
    </row>
    <row r="107" spans="1:16" x14ac:dyDescent="0.3">
      <c r="A107" s="280" t="s">
        <v>89</v>
      </c>
      <c r="B107" s="348" t="s">
        <v>90</v>
      </c>
      <c r="C107" s="348" t="s">
        <v>255</v>
      </c>
      <c r="D107" s="108">
        <v>47</v>
      </c>
      <c r="E107" s="108">
        <v>58</v>
      </c>
      <c r="F107" s="108">
        <v>65</v>
      </c>
      <c r="G107" s="108">
        <v>49</v>
      </c>
      <c r="H107" s="108">
        <v>69</v>
      </c>
      <c r="I107" s="108">
        <v>66</v>
      </c>
      <c r="J107" s="108">
        <v>68</v>
      </c>
      <c r="K107" s="108">
        <v>37</v>
      </c>
      <c r="L107" s="108">
        <v>51</v>
      </c>
      <c r="M107" s="108">
        <v>48</v>
      </c>
      <c r="N107" s="108">
        <v>35</v>
      </c>
      <c r="O107" s="108">
        <v>22</v>
      </c>
      <c r="P107" s="108">
        <v>615</v>
      </c>
    </row>
    <row r="108" spans="1:16" x14ac:dyDescent="0.3">
      <c r="A108" s="280" t="s">
        <v>105</v>
      </c>
      <c r="B108" s="348" t="s">
        <v>106</v>
      </c>
      <c r="C108" s="348" t="s">
        <v>251</v>
      </c>
      <c r="D108" s="108">
        <v>640</v>
      </c>
      <c r="E108" s="108">
        <v>624</v>
      </c>
      <c r="F108" s="108">
        <v>667</v>
      </c>
      <c r="G108" s="108">
        <v>821</v>
      </c>
      <c r="H108" s="108">
        <v>1099</v>
      </c>
      <c r="I108" s="108">
        <v>1273</v>
      </c>
      <c r="J108" s="108">
        <v>770</v>
      </c>
      <c r="K108" s="108">
        <v>616</v>
      </c>
      <c r="L108" s="108">
        <v>691</v>
      </c>
      <c r="M108" s="108">
        <v>746</v>
      </c>
      <c r="N108" s="108">
        <v>495</v>
      </c>
      <c r="O108" s="108">
        <v>484</v>
      </c>
      <c r="P108" s="108">
        <v>8926</v>
      </c>
    </row>
    <row r="109" spans="1:16" x14ac:dyDescent="0.3">
      <c r="A109" s="280" t="s">
        <v>115</v>
      </c>
      <c r="B109" s="348" t="s">
        <v>116</v>
      </c>
      <c r="C109" s="348" t="s">
        <v>253</v>
      </c>
      <c r="D109" s="108">
        <v>208</v>
      </c>
      <c r="E109" s="108">
        <v>210</v>
      </c>
      <c r="F109" s="108">
        <v>192</v>
      </c>
      <c r="G109" s="108">
        <v>190</v>
      </c>
      <c r="H109" s="108">
        <v>220</v>
      </c>
      <c r="I109" s="108">
        <v>274</v>
      </c>
      <c r="J109" s="108">
        <v>204</v>
      </c>
      <c r="K109" s="108">
        <v>159</v>
      </c>
      <c r="L109" s="108">
        <v>143</v>
      </c>
      <c r="M109" s="108">
        <v>154</v>
      </c>
      <c r="N109" s="108">
        <v>112</v>
      </c>
      <c r="O109" s="108">
        <v>102</v>
      </c>
      <c r="P109" s="108">
        <v>2168</v>
      </c>
    </row>
    <row r="110" spans="1:16" x14ac:dyDescent="0.3">
      <c r="A110" s="280" t="s">
        <v>137</v>
      </c>
      <c r="B110" s="348" t="s">
        <v>138</v>
      </c>
      <c r="C110" s="348" t="s">
        <v>252</v>
      </c>
      <c r="D110" s="108">
        <v>428</v>
      </c>
      <c r="E110" s="108">
        <v>421</v>
      </c>
      <c r="F110" s="108">
        <v>417</v>
      </c>
      <c r="G110" s="108">
        <v>481</v>
      </c>
      <c r="H110" s="108">
        <v>685</v>
      </c>
      <c r="I110" s="108">
        <v>787</v>
      </c>
      <c r="J110" s="108">
        <v>600</v>
      </c>
      <c r="K110" s="108">
        <v>403</v>
      </c>
      <c r="L110" s="108">
        <v>445</v>
      </c>
      <c r="M110" s="108">
        <v>410</v>
      </c>
      <c r="N110" s="108">
        <v>283</v>
      </c>
      <c r="O110" s="108">
        <v>323</v>
      </c>
      <c r="P110" s="108">
        <v>5683</v>
      </c>
    </row>
    <row r="111" spans="1:16" x14ac:dyDescent="0.3">
      <c r="A111" s="280" t="s">
        <v>141</v>
      </c>
      <c r="B111" s="348" t="s">
        <v>142</v>
      </c>
      <c r="C111" s="348" t="s">
        <v>254</v>
      </c>
      <c r="D111" s="108">
        <v>195</v>
      </c>
      <c r="E111" s="108">
        <v>159</v>
      </c>
      <c r="F111" s="108">
        <v>168</v>
      </c>
      <c r="G111" s="108">
        <v>209</v>
      </c>
      <c r="H111" s="108">
        <v>340</v>
      </c>
      <c r="I111" s="108">
        <v>408</v>
      </c>
      <c r="J111" s="108">
        <v>220</v>
      </c>
      <c r="K111" s="108">
        <v>163</v>
      </c>
      <c r="L111" s="108">
        <v>181</v>
      </c>
      <c r="M111" s="108">
        <v>194</v>
      </c>
      <c r="N111" s="108">
        <v>133</v>
      </c>
      <c r="O111" s="108">
        <v>147</v>
      </c>
      <c r="P111" s="108">
        <v>2517</v>
      </c>
    </row>
    <row r="112" spans="1:16" x14ac:dyDescent="0.3">
      <c r="A112" s="280" t="s">
        <v>143</v>
      </c>
      <c r="B112" s="348" t="s">
        <v>144</v>
      </c>
      <c r="C112" s="348" t="s">
        <v>254</v>
      </c>
      <c r="D112" s="108">
        <v>67</v>
      </c>
      <c r="E112" s="108">
        <v>79</v>
      </c>
      <c r="F112" s="108">
        <v>86</v>
      </c>
      <c r="G112" s="108">
        <v>89</v>
      </c>
      <c r="H112" s="108">
        <v>139</v>
      </c>
      <c r="I112" s="108">
        <v>207</v>
      </c>
      <c r="J112" s="108">
        <v>99</v>
      </c>
      <c r="K112" s="108">
        <v>73</v>
      </c>
      <c r="L112" s="108">
        <v>86</v>
      </c>
      <c r="M112" s="108">
        <v>63</v>
      </c>
      <c r="N112" s="108">
        <v>53</v>
      </c>
      <c r="O112" s="108">
        <v>67</v>
      </c>
      <c r="P112" s="108">
        <v>1108</v>
      </c>
    </row>
    <row r="113" spans="1:16" x14ac:dyDescent="0.3">
      <c r="A113" s="280" t="s">
        <v>157</v>
      </c>
      <c r="B113" s="348" t="s">
        <v>158</v>
      </c>
      <c r="C113" s="348" t="s">
        <v>251</v>
      </c>
      <c r="D113" s="108">
        <v>976</v>
      </c>
      <c r="E113" s="108">
        <v>982</v>
      </c>
      <c r="F113" s="108">
        <v>1050</v>
      </c>
      <c r="G113" s="108">
        <v>1169</v>
      </c>
      <c r="H113" s="108">
        <v>1569</v>
      </c>
      <c r="I113" s="108">
        <v>1764</v>
      </c>
      <c r="J113" s="108">
        <v>1207</v>
      </c>
      <c r="K113" s="108">
        <v>936</v>
      </c>
      <c r="L113" s="108">
        <v>979</v>
      </c>
      <c r="M113" s="108">
        <v>1039</v>
      </c>
      <c r="N113" s="108">
        <v>716</v>
      </c>
      <c r="O113" s="108">
        <v>699</v>
      </c>
      <c r="P113" s="108">
        <v>13086</v>
      </c>
    </row>
    <row r="114" spans="1:16" x14ac:dyDescent="0.3">
      <c r="A114" s="280" t="s">
        <v>159</v>
      </c>
      <c r="B114" s="348" t="s">
        <v>160</v>
      </c>
      <c r="C114" s="348" t="s">
        <v>251</v>
      </c>
      <c r="D114" s="108">
        <v>1282</v>
      </c>
      <c r="E114" s="108">
        <v>1299</v>
      </c>
      <c r="F114" s="108">
        <v>1196</v>
      </c>
      <c r="G114" s="108">
        <v>1512</v>
      </c>
      <c r="H114" s="108">
        <v>1938</v>
      </c>
      <c r="I114" s="108">
        <v>2378</v>
      </c>
      <c r="J114" s="108">
        <v>1664</v>
      </c>
      <c r="K114" s="108">
        <v>1189</v>
      </c>
      <c r="L114" s="108">
        <v>1094</v>
      </c>
      <c r="M114" s="108">
        <v>1283</v>
      </c>
      <c r="N114" s="108">
        <v>1091</v>
      </c>
      <c r="O114" s="108">
        <v>1168</v>
      </c>
      <c r="P114" s="108">
        <v>17094</v>
      </c>
    </row>
    <row r="115" spans="1:16" x14ac:dyDescent="0.3">
      <c r="A115" s="280" t="s">
        <v>165</v>
      </c>
      <c r="B115" s="348" t="s">
        <v>166</v>
      </c>
      <c r="C115" s="348" t="s">
        <v>255</v>
      </c>
      <c r="D115" s="108">
        <v>28</v>
      </c>
      <c r="E115" s="108">
        <v>39</v>
      </c>
      <c r="F115" s="108">
        <v>27</v>
      </c>
      <c r="G115" s="108">
        <v>38</v>
      </c>
      <c r="H115" s="108">
        <v>29</v>
      </c>
      <c r="I115" s="108">
        <v>25</v>
      </c>
      <c r="J115" s="108">
        <v>28</v>
      </c>
      <c r="K115" s="108">
        <v>30</v>
      </c>
      <c r="L115" s="108">
        <v>36</v>
      </c>
      <c r="M115" s="108">
        <v>27</v>
      </c>
      <c r="N115" s="108">
        <v>20</v>
      </c>
      <c r="O115" s="108">
        <v>18</v>
      </c>
      <c r="P115" s="108">
        <v>345</v>
      </c>
    </row>
    <row r="116" spans="1:16" x14ac:dyDescent="0.3">
      <c r="A116" s="280" t="s">
        <v>175</v>
      </c>
      <c r="B116" s="348" t="s">
        <v>176</v>
      </c>
      <c r="C116" s="348" t="s">
        <v>253</v>
      </c>
      <c r="D116" s="108">
        <v>394</v>
      </c>
      <c r="E116" s="108">
        <v>411</v>
      </c>
      <c r="F116" s="108">
        <v>406</v>
      </c>
      <c r="G116" s="108">
        <v>404</v>
      </c>
      <c r="H116" s="108">
        <v>456</v>
      </c>
      <c r="I116" s="108">
        <v>551</v>
      </c>
      <c r="J116" s="108">
        <v>353</v>
      </c>
      <c r="K116" s="108">
        <v>346</v>
      </c>
      <c r="L116" s="108">
        <v>329</v>
      </c>
      <c r="M116" s="108">
        <v>287</v>
      </c>
      <c r="N116" s="108">
        <v>164</v>
      </c>
      <c r="O116" s="108">
        <v>248</v>
      </c>
      <c r="P116" s="108">
        <v>4349</v>
      </c>
    </row>
    <row r="117" spans="1:16" x14ac:dyDescent="0.3">
      <c r="A117" s="280" t="s">
        <v>179</v>
      </c>
      <c r="B117" s="348" t="s">
        <v>180</v>
      </c>
      <c r="C117" s="348" t="s">
        <v>251</v>
      </c>
      <c r="D117" s="108">
        <v>537</v>
      </c>
      <c r="E117" s="108">
        <v>534</v>
      </c>
      <c r="F117" s="108">
        <v>532</v>
      </c>
      <c r="G117" s="108">
        <v>657</v>
      </c>
      <c r="H117" s="108">
        <v>829</v>
      </c>
      <c r="I117" s="108">
        <v>917</v>
      </c>
      <c r="J117" s="108">
        <v>748</v>
      </c>
      <c r="K117" s="108">
        <v>492</v>
      </c>
      <c r="L117" s="108">
        <v>532</v>
      </c>
      <c r="M117" s="108">
        <v>568</v>
      </c>
      <c r="N117" s="108">
        <v>448</v>
      </c>
      <c r="O117" s="108">
        <v>461</v>
      </c>
      <c r="P117" s="108">
        <v>7255</v>
      </c>
    </row>
    <row r="118" spans="1:16" x14ac:dyDescent="0.3">
      <c r="A118" s="280" t="s">
        <v>191</v>
      </c>
      <c r="B118" s="348" t="s">
        <v>192</v>
      </c>
      <c r="C118" s="348" t="s">
        <v>255</v>
      </c>
      <c r="D118" s="108">
        <v>62</v>
      </c>
      <c r="E118" s="108">
        <v>53</v>
      </c>
      <c r="F118" s="108">
        <v>63</v>
      </c>
      <c r="G118" s="108">
        <v>78</v>
      </c>
      <c r="H118" s="108">
        <v>103</v>
      </c>
      <c r="I118" s="108">
        <v>114</v>
      </c>
      <c r="J118" s="108">
        <v>84</v>
      </c>
      <c r="K118" s="108">
        <v>57</v>
      </c>
      <c r="L118" s="108">
        <v>64</v>
      </c>
      <c r="M118" s="108">
        <v>51</v>
      </c>
      <c r="N118" s="108">
        <v>29</v>
      </c>
      <c r="O118" s="108">
        <v>54</v>
      </c>
      <c r="P118" s="108">
        <v>812</v>
      </c>
    </row>
    <row r="119" spans="1:16" x14ac:dyDescent="0.3">
      <c r="A119" s="280" t="s">
        <v>195</v>
      </c>
      <c r="B119" s="348" t="s">
        <v>196</v>
      </c>
      <c r="C119" s="348" t="s">
        <v>253</v>
      </c>
      <c r="D119" s="108">
        <v>1739</v>
      </c>
      <c r="E119" s="108">
        <v>1835</v>
      </c>
      <c r="F119" s="108">
        <v>1619</v>
      </c>
      <c r="G119" s="108">
        <v>2179</v>
      </c>
      <c r="H119" s="108">
        <v>2772</v>
      </c>
      <c r="I119" s="108">
        <v>3306</v>
      </c>
      <c r="J119" s="108">
        <v>2097</v>
      </c>
      <c r="K119" s="108">
        <v>1502</v>
      </c>
      <c r="L119" s="108">
        <v>1825</v>
      </c>
      <c r="M119" s="108">
        <v>1856</v>
      </c>
      <c r="N119" s="108">
        <v>1085</v>
      </c>
      <c r="O119" s="108">
        <v>1143</v>
      </c>
      <c r="P119" s="108">
        <v>22958</v>
      </c>
    </row>
    <row r="120" spans="1:16" x14ac:dyDescent="0.3">
      <c r="A120" s="280" t="s">
        <v>199</v>
      </c>
      <c r="B120" s="348" t="s">
        <v>200</v>
      </c>
      <c r="C120" s="348" t="s">
        <v>252</v>
      </c>
      <c r="D120" s="108">
        <v>810</v>
      </c>
      <c r="E120" s="108">
        <v>827</v>
      </c>
      <c r="F120" s="108">
        <v>783</v>
      </c>
      <c r="G120" s="108">
        <v>780</v>
      </c>
      <c r="H120" s="108">
        <v>989</v>
      </c>
      <c r="I120" s="108">
        <v>1142</v>
      </c>
      <c r="J120" s="108">
        <v>915</v>
      </c>
      <c r="K120" s="108">
        <v>696</v>
      </c>
      <c r="L120" s="108">
        <v>697</v>
      </c>
      <c r="M120" s="108">
        <v>693</v>
      </c>
      <c r="N120" s="108">
        <v>474</v>
      </c>
      <c r="O120" s="108">
        <v>419</v>
      </c>
      <c r="P120" s="108">
        <v>9225</v>
      </c>
    </row>
    <row r="121" spans="1:16" x14ac:dyDescent="0.3">
      <c r="A121" s="280" t="s">
        <v>221</v>
      </c>
      <c r="B121" s="348" t="s">
        <v>222</v>
      </c>
      <c r="C121" s="348" t="s">
        <v>251</v>
      </c>
      <c r="D121" s="108">
        <v>328</v>
      </c>
      <c r="E121" s="108">
        <v>321</v>
      </c>
      <c r="F121" s="108">
        <v>329</v>
      </c>
      <c r="G121" s="108">
        <v>412</v>
      </c>
      <c r="H121" s="108">
        <v>580</v>
      </c>
      <c r="I121" s="108">
        <v>637</v>
      </c>
      <c r="J121" s="108">
        <v>443</v>
      </c>
      <c r="K121" s="108">
        <v>328</v>
      </c>
      <c r="L121" s="108">
        <v>340</v>
      </c>
      <c r="M121" s="108">
        <v>289</v>
      </c>
      <c r="N121" s="108">
        <v>290</v>
      </c>
      <c r="O121" s="108">
        <v>244</v>
      </c>
      <c r="P121" s="108">
        <v>4541</v>
      </c>
    </row>
    <row r="122" spans="1:16" x14ac:dyDescent="0.3">
      <c r="A122" s="280" t="s">
        <v>229</v>
      </c>
      <c r="B122" s="348" t="s">
        <v>230</v>
      </c>
      <c r="C122" s="348" t="s">
        <v>251</v>
      </c>
      <c r="D122" s="108">
        <v>1460</v>
      </c>
      <c r="E122" s="108">
        <v>1484</v>
      </c>
      <c r="F122" s="108">
        <v>1478</v>
      </c>
      <c r="G122" s="108">
        <v>1724</v>
      </c>
      <c r="H122" s="108">
        <v>3063</v>
      </c>
      <c r="I122" s="108">
        <v>3790</v>
      </c>
      <c r="J122" s="108">
        <v>2242</v>
      </c>
      <c r="K122" s="108">
        <v>1799</v>
      </c>
      <c r="L122" s="108">
        <v>1667</v>
      </c>
      <c r="M122" s="108">
        <v>1704</v>
      </c>
      <c r="N122" s="108">
        <v>1329</v>
      </c>
      <c r="O122" s="108">
        <v>1348</v>
      </c>
      <c r="P122" s="108">
        <v>23088</v>
      </c>
    </row>
    <row r="123" spans="1:16" x14ac:dyDescent="0.3">
      <c r="A123" s="280" t="s">
        <v>237</v>
      </c>
      <c r="B123" s="348" t="s">
        <v>238</v>
      </c>
      <c r="C123" s="348" t="s">
        <v>251</v>
      </c>
      <c r="D123" s="108">
        <v>57</v>
      </c>
      <c r="E123" s="108">
        <v>36</v>
      </c>
      <c r="F123" s="108">
        <v>46</v>
      </c>
      <c r="G123" s="108">
        <v>59</v>
      </c>
      <c r="H123" s="108">
        <v>82</v>
      </c>
      <c r="I123" s="108">
        <v>117</v>
      </c>
      <c r="J123" s="108">
        <v>84</v>
      </c>
      <c r="K123" s="108">
        <v>56</v>
      </c>
      <c r="L123" s="108">
        <v>85</v>
      </c>
      <c r="M123" s="108">
        <v>56</v>
      </c>
      <c r="N123" s="108">
        <v>41</v>
      </c>
      <c r="O123" s="108">
        <v>40</v>
      </c>
      <c r="P123" s="108">
        <v>759</v>
      </c>
    </row>
    <row r="124" spans="1:16" x14ac:dyDescent="0.3">
      <c r="A124" s="281" t="s">
        <v>239</v>
      </c>
      <c r="B124" s="282" t="s">
        <v>240</v>
      </c>
      <c r="C124" s="282" t="s">
        <v>254</v>
      </c>
      <c r="D124" s="108">
        <v>197</v>
      </c>
      <c r="E124" s="108">
        <v>235</v>
      </c>
      <c r="F124" s="108">
        <v>175</v>
      </c>
      <c r="G124" s="108">
        <v>193</v>
      </c>
      <c r="H124" s="108">
        <v>271</v>
      </c>
      <c r="I124" s="108">
        <v>283</v>
      </c>
      <c r="J124" s="108">
        <v>206</v>
      </c>
      <c r="K124" s="108">
        <v>194</v>
      </c>
      <c r="L124" s="108">
        <v>170</v>
      </c>
      <c r="M124" s="108">
        <v>153</v>
      </c>
      <c r="N124" s="108">
        <v>108</v>
      </c>
      <c r="O124" s="108">
        <v>114</v>
      </c>
      <c r="P124" s="108">
        <v>2299</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D5" sqref="D5:P124"/>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884</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3594</v>
      </c>
      <c r="E4" s="1106">
        <f t="shared" ref="E4:P4" si="0">SUM(E5:E124)</f>
        <v>3728</v>
      </c>
      <c r="F4" s="1106">
        <f t="shared" si="0"/>
        <v>3080</v>
      </c>
      <c r="G4" s="1106">
        <f t="shared" si="0"/>
        <v>2967</v>
      </c>
      <c r="H4" s="1107">
        <f t="shared" si="0"/>
        <v>2453</v>
      </c>
      <c r="I4" s="1107">
        <f t="shared" si="0"/>
        <v>2253</v>
      </c>
      <c r="J4" s="1107">
        <f t="shared" si="0"/>
        <v>3157</v>
      </c>
      <c r="K4" s="1107">
        <f t="shared" si="0"/>
        <v>2280</v>
      </c>
      <c r="L4" s="1107">
        <f t="shared" si="0"/>
        <v>2173</v>
      </c>
      <c r="M4" s="1107">
        <f t="shared" si="0"/>
        <v>1315</v>
      </c>
      <c r="N4" s="1107">
        <f t="shared" si="0"/>
        <v>1209</v>
      </c>
      <c r="O4" s="1107">
        <f t="shared" si="0"/>
        <v>1537</v>
      </c>
      <c r="P4" s="1107">
        <f t="shared" si="0"/>
        <v>29746</v>
      </c>
    </row>
    <row r="5" spans="1:16" x14ac:dyDescent="0.3">
      <c r="A5" s="279" t="s">
        <v>9</v>
      </c>
      <c r="B5" s="324" t="s">
        <v>10</v>
      </c>
      <c r="C5" s="324" t="s">
        <v>251</v>
      </c>
      <c r="D5" s="108">
        <v>4</v>
      </c>
      <c r="E5" s="108">
        <v>2</v>
      </c>
      <c r="F5" s="108">
        <v>3</v>
      </c>
      <c r="G5" s="108">
        <v>3</v>
      </c>
      <c r="H5" s="108">
        <v>3</v>
      </c>
      <c r="I5" s="108">
        <v>7</v>
      </c>
      <c r="J5" s="108">
        <v>8</v>
      </c>
      <c r="K5" s="108">
        <v>1</v>
      </c>
      <c r="L5" s="108">
        <v>6</v>
      </c>
      <c r="M5" s="108">
        <v>2</v>
      </c>
      <c r="N5" s="108">
        <v>2</v>
      </c>
      <c r="O5" s="108">
        <v>6</v>
      </c>
      <c r="P5" s="108">
        <v>47</v>
      </c>
    </row>
    <row r="6" spans="1:16" x14ac:dyDescent="0.3">
      <c r="A6" s="280" t="s">
        <v>11</v>
      </c>
      <c r="B6" s="348" t="s">
        <v>12</v>
      </c>
      <c r="C6" s="348" t="s">
        <v>252</v>
      </c>
      <c r="D6" s="108">
        <v>29</v>
      </c>
      <c r="E6" s="108">
        <v>21</v>
      </c>
      <c r="F6" s="108">
        <v>22</v>
      </c>
      <c r="G6" s="108">
        <v>15</v>
      </c>
      <c r="H6" s="108">
        <v>18</v>
      </c>
      <c r="I6" s="108">
        <v>9</v>
      </c>
      <c r="J6" s="108">
        <v>18</v>
      </c>
      <c r="K6" s="108">
        <v>12</v>
      </c>
      <c r="L6" s="108">
        <v>13</v>
      </c>
      <c r="M6" s="108">
        <v>13</v>
      </c>
      <c r="N6" s="108">
        <v>10</v>
      </c>
      <c r="O6" s="108">
        <v>10</v>
      </c>
      <c r="P6" s="108">
        <v>190</v>
      </c>
    </row>
    <row r="7" spans="1:16" x14ac:dyDescent="0.3">
      <c r="A7" s="280" t="s">
        <v>15</v>
      </c>
      <c r="B7" s="348" t="s">
        <v>273</v>
      </c>
      <c r="C7" s="348" t="s">
        <v>252</v>
      </c>
      <c r="D7" s="108">
        <v>5</v>
      </c>
      <c r="E7" s="108">
        <v>7</v>
      </c>
      <c r="F7" s="108">
        <v>1</v>
      </c>
      <c r="G7" s="108">
        <v>4</v>
      </c>
      <c r="H7" s="108">
        <v>5</v>
      </c>
      <c r="I7" s="108">
        <v>4</v>
      </c>
      <c r="J7" s="108">
        <v>5</v>
      </c>
      <c r="K7" s="108">
        <v>9</v>
      </c>
      <c r="L7" s="108">
        <v>4</v>
      </c>
      <c r="M7" s="108">
        <v>3</v>
      </c>
      <c r="N7" s="108">
        <v>2</v>
      </c>
      <c r="O7" s="108">
        <v>3</v>
      </c>
      <c r="P7" s="108">
        <v>52</v>
      </c>
    </row>
    <row r="8" spans="1:16" x14ac:dyDescent="0.3">
      <c r="A8" s="280" t="s">
        <v>17</v>
      </c>
      <c r="B8" s="348" t="s">
        <v>18</v>
      </c>
      <c r="C8" s="348" t="s">
        <v>253</v>
      </c>
      <c r="D8" s="108">
        <v>1</v>
      </c>
      <c r="E8" s="108">
        <v>1</v>
      </c>
      <c r="F8" s="108"/>
      <c r="G8" s="108">
        <v>1</v>
      </c>
      <c r="H8" s="108"/>
      <c r="I8" s="108"/>
      <c r="J8" s="108"/>
      <c r="K8" s="108">
        <v>2</v>
      </c>
      <c r="L8" s="108"/>
      <c r="M8" s="108"/>
      <c r="N8" s="108">
        <v>2</v>
      </c>
      <c r="O8" s="108">
        <v>6</v>
      </c>
      <c r="P8" s="108">
        <v>13</v>
      </c>
    </row>
    <row r="9" spans="1:16" x14ac:dyDescent="0.3">
      <c r="A9" s="280" t="s">
        <v>19</v>
      </c>
      <c r="B9" s="348" t="s">
        <v>20</v>
      </c>
      <c r="C9" s="348" t="s">
        <v>252</v>
      </c>
      <c r="D9" s="108">
        <v>14</v>
      </c>
      <c r="E9" s="108">
        <v>12</v>
      </c>
      <c r="F9" s="108">
        <v>7</v>
      </c>
      <c r="G9" s="108">
        <v>10</v>
      </c>
      <c r="H9" s="108">
        <v>14</v>
      </c>
      <c r="I9" s="108">
        <v>8</v>
      </c>
      <c r="J9" s="108">
        <v>21</v>
      </c>
      <c r="K9" s="108">
        <v>4</v>
      </c>
      <c r="L9" s="108">
        <v>8</v>
      </c>
      <c r="M9" s="108">
        <v>4</v>
      </c>
      <c r="N9" s="108">
        <v>5</v>
      </c>
      <c r="O9" s="108">
        <v>4</v>
      </c>
      <c r="P9" s="108">
        <v>111</v>
      </c>
    </row>
    <row r="10" spans="1:16" x14ac:dyDescent="0.3">
      <c r="A10" s="280" t="s">
        <v>21</v>
      </c>
      <c r="B10" s="348" t="s">
        <v>22</v>
      </c>
      <c r="C10" s="348" t="s">
        <v>252</v>
      </c>
      <c r="D10" s="108">
        <v>7</v>
      </c>
      <c r="E10" s="108">
        <v>3</v>
      </c>
      <c r="F10" s="108">
        <v>3</v>
      </c>
      <c r="G10" s="108">
        <v>4</v>
      </c>
      <c r="H10" s="108"/>
      <c r="I10" s="108">
        <v>4</v>
      </c>
      <c r="J10" s="108">
        <v>5</v>
      </c>
      <c r="K10" s="108">
        <v>3</v>
      </c>
      <c r="L10" s="108">
        <v>6</v>
      </c>
      <c r="M10" s="108"/>
      <c r="N10" s="108">
        <v>3</v>
      </c>
      <c r="O10" s="108">
        <v>1</v>
      </c>
      <c r="P10" s="108">
        <v>39</v>
      </c>
    </row>
    <row r="11" spans="1:16" x14ac:dyDescent="0.3">
      <c r="A11" s="280" t="s">
        <v>23</v>
      </c>
      <c r="B11" s="348" t="s">
        <v>24</v>
      </c>
      <c r="C11" s="348" t="s">
        <v>254</v>
      </c>
      <c r="D11" s="108">
        <v>34</v>
      </c>
      <c r="E11" s="108">
        <v>25</v>
      </c>
      <c r="F11" s="108">
        <v>54</v>
      </c>
      <c r="G11" s="108">
        <v>39</v>
      </c>
      <c r="H11" s="108">
        <v>34</v>
      </c>
      <c r="I11" s="108">
        <v>26</v>
      </c>
      <c r="J11" s="108">
        <v>34</v>
      </c>
      <c r="K11" s="108">
        <v>36</v>
      </c>
      <c r="L11" s="108">
        <v>21</v>
      </c>
      <c r="M11" s="108">
        <v>13</v>
      </c>
      <c r="N11" s="108">
        <v>12</v>
      </c>
      <c r="O11" s="108">
        <v>14</v>
      </c>
      <c r="P11" s="108">
        <v>342</v>
      </c>
    </row>
    <row r="12" spans="1:16" x14ac:dyDescent="0.3">
      <c r="A12" s="280" t="s">
        <v>25</v>
      </c>
      <c r="B12" s="348" t="s">
        <v>444</v>
      </c>
      <c r="C12" s="348" t="s">
        <v>252</v>
      </c>
      <c r="D12" s="108">
        <v>40</v>
      </c>
      <c r="E12" s="108">
        <v>49</v>
      </c>
      <c r="F12" s="108">
        <v>37</v>
      </c>
      <c r="G12" s="108">
        <v>36</v>
      </c>
      <c r="H12" s="108">
        <v>26</v>
      </c>
      <c r="I12" s="108">
        <v>26</v>
      </c>
      <c r="J12" s="108">
        <v>78</v>
      </c>
      <c r="K12" s="108">
        <v>34</v>
      </c>
      <c r="L12" s="108">
        <v>30</v>
      </c>
      <c r="M12" s="108">
        <v>19</v>
      </c>
      <c r="N12" s="108">
        <v>24</v>
      </c>
      <c r="O12" s="108">
        <v>26</v>
      </c>
      <c r="P12" s="108">
        <v>425</v>
      </c>
    </row>
    <row r="13" spans="1:16" x14ac:dyDescent="0.3">
      <c r="A13" s="280" t="s">
        <v>26</v>
      </c>
      <c r="B13" s="348" t="s">
        <v>27</v>
      </c>
      <c r="C13" s="348" t="s">
        <v>252</v>
      </c>
      <c r="D13" s="108"/>
      <c r="E13" s="108"/>
      <c r="F13" s="108">
        <v>1</v>
      </c>
      <c r="G13" s="108">
        <v>2</v>
      </c>
      <c r="H13" s="108">
        <v>2</v>
      </c>
      <c r="I13" s="108"/>
      <c r="J13" s="108"/>
      <c r="K13" s="108"/>
      <c r="L13" s="108"/>
      <c r="M13" s="108">
        <v>1</v>
      </c>
      <c r="N13" s="108"/>
      <c r="O13" s="108"/>
      <c r="P13" s="108">
        <v>6</v>
      </c>
    </row>
    <row r="14" spans="1:16" x14ac:dyDescent="0.3">
      <c r="A14" s="280" t="s">
        <v>28</v>
      </c>
      <c r="B14" s="348" t="s">
        <v>568</v>
      </c>
      <c r="C14" s="348" t="s">
        <v>252</v>
      </c>
      <c r="D14" s="108">
        <v>19</v>
      </c>
      <c r="E14" s="108">
        <v>24</v>
      </c>
      <c r="F14" s="108">
        <v>19</v>
      </c>
      <c r="G14" s="108">
        <v>12</v>
      </c>
      <c r="H14" s="108">
        <v>15</v>
      </c>
      <c r="I14" s="108">
        <v>13</v>
      </c>
      <c r="J14" s="108">
        <v>16</v>
      </c>
      <c r="K14" s="108">
        <v>12</v>
      </c>
      <c r="L14" s="108">
        <v>21</v>
      </c>
      <c r="M14" s="108">
        <v>9</v>
      </c>
      <c r="N14" s="108">
        <v>25</v>
      </c>
      <c r="O14" s="108">
        <v>16</v>
      </c>
      <c r="P14" s="108">
        <v>201</v>
      </c>
    </row>
    <row r="15" spans="1:16" x14ac:dyDescent="0.3">
      <c r="A15" s="280" t="s">
        <v>29</v>
      </c>
      <c r="B15" s="348" t="s">
        <v>30</v>
      </c>
      <c r="C15" s="348" t="s">
        <v>255</v>
      </c>
      <c r="D15" s="108">
        <v>1</v>
      </c>
      <c r="E15" s="108">
        <v>1</v>
      </c>
      <c r="F15" s="108">
        <v>1</v>
      </c>
      <c r="G15" s="108">
        <v>1</v>
      </c>
      <c r="H15" s="108">
        <v>1</v>
      </c>
      <c r="I15" s="108">
        <v>1</v>
      </c>
      <c r="J15" s="108">
        <v>2</v>
      </c>
      <c r="K15" s="108"/>
      <c r="L15" s="108">
        <v>1</v>
      </c>
      <c r="M15" s="108"/>
      <c r="N15" s="108">
        <v>1</v>
      </c>
      <c r="O15" s="108"/>
      <c r="P15" s="108">
        <v>10</v>
      </c>
    </row>
    <row r="16" spans="1:16" x14ac:dyDescent="0.3">
      <c r="A16" s="280" t="s">
        <v>31</v>
      </c>
      <c r="B16" s="348" t="s">
        <v>32</v>
      </c>
      <c r="C16" s="348" t="s">
        <v>252</v>
      </c>
      <c r="D16" s="108">
        <v>11</v>
      </c>
      <c r="E16" s="108">
        <v>5</v>
      </c>
      <c r="F16" s="108">
        <v>6</v>
      </c>
      <c r="G16" s="108">
        <v>5</v>
      </c>
      <c r="H16" s="108">
        <v>5</v>
      </c>
      <c r="I16" s="108">
        <v>2</v>
      </c>
      <c r="J16" s="108">
        <v>4</v>
      </c>
      <c r="K16" s="108">
        <v>4</v>
      </c>
      <c r="L16" s="108">
        <v>4</v>
      </c>
      <c r="M16" s="108">
        <v>4</v>
      </c>
      <c r="N16" s="108">
        <v>2</v>
      </c>
      <c r="O16" s="108"/>
      <c r="P16" s="108">
        <v>52</v>
      </c>
    </row>
    <row r="17" spans="1:16" x14ac:dyDescent="0.3">
      <c r="A17" s="280" t="s">
        <v>35</v>
      </c>
      <c r="B17" s="348" t="s">
        <v>36</v>
      </c>
      <c r="C17" s="348" t="s">
        <v>251</v>
      </c>
      <c r="D17" s="108">
        <v>9</v>
      </c>
      <c r="E17" s="108">
        <v>6</v>
      </c>
      <c r="F17" s="108">
        <v>9</v>
      </c>
      <c r="G17" s="108">
        <v>5</v>
      </c>
      <c r="H17" s="108">
        <v>4</v>
      </c>
      <c r="I17" s="108">
        <v>4</v>
      </c>
      <c r="J17" s="108">
        <v>2</v>
      </c>
      <c r="K17" s="108">
        <v>2</v>
      </c>
      <c r="L17" s="108">
        <v>5</v>
      </c>
      <c r="M17" s="108">
        <v>5</v>
      </c>
      <c r="N17" s="108">
        <v>1</v>
      </c>
      <c r="O17" s="108">
        <v>4</v>
      </c>
      <c r="P17" s="108">
        <v>56</v>
      </c>
    </row>
    <row r="18" spans="1:16" x14ac:dyDescent="0.3">
      <c r="A18" s="280" t="s">
        <v>37</v>
      </c>
      <c r="B18" s="348" t="s">
        <v>38</v>
      </c>
      <c r="C18" s="348" t="s">
        <v>255</v>
      </c>
      <c r="D18" s="108"/>
      <c r="E18" s="108">
        <v>4</v>
      </c>
      <c r="F18" s="108">
        <v>2</v>
      </c>
      <c r="G18" s="108"/>
      <c r="H18" s="108"/>
      <c r="I18" s="108"/>
      <c r="J18" s="108">
        <v>1</v>
      </c>
      <c r="K18" s="108"/>
      <c r="L18" s="108"/>
      <c r="M18" s="108">
        <v>2</v>
      </c>
      <c r="N18" s="108"/>
      <c r="O18" s="108"/>
      <c r="P18" s="108">
        <v>9</v>
      </c>
    </row>
    <row r="19" spans="1:16" x14ac:dyDescent="0.3">
      <c r="A19" s="280" t="s">
        <v>39</v>
      </c>
      <c r="B19" s="348" t="s">
        <v>40</v>
      </c>
      <c r="C19" s="348" t="s">
        <v>253</v>
      </c>
      <c r="D19" s="108">
        <v>5</v>
      </c>
      <c r="E19" s="108">
        <v>3</v>
      </c>
      <c r="F19" s="108">
        <v>5</v>
      </c>
      <c r="G19" s="108">
        <v>5</v>
      </c>
      <c r="H19" s="108">
        <v>4</v>
      </c>
      <c r="I19" s="108">
        <v>1</v>
      </c>
      <c r="J19" s="108">
        <v>5</v>
      </c>
      <c r="K19" s="108">
        <v>1</v>
      </c>
      <c r="L19" s="108"/>
      <c r="M19" s="108">
        <v>1</v>
      </c>
      <c r="N19" s="108">
        <v>1</v>
      </c>
      <c r="O19" s="108">
        <v>3</v>
      </c>
      <c r="P19" s="108">
        <v>34</v>
      </c>
    </row>
    <row r="20" spans="1:16" x14ac:dyDescent="0.3">
      <c r="A20" s="280" t="s">
        <v>41</v>
      </c>
      <c r="B20" s="348" t="s">
        <v>42</v>
      </c>
      <c r="C20" s="348" t="s">
        <v>252</v>
      </c>
      <c r="D20" s="108">
        <v>28</v>
      </c>
      <c r="E20" s="108">
        <v>24</v>
      </c>
      <c r="F20" s="108">
        <v>10</v>
      </c>
      <c r="G20" s="108">
        <v>10</v>
      </c>
      <c r="H20" s="108">
        <v>12</v>
      </c>
      <c r="I20" s="108">
        <v>7</v>
      </c>
      <c r="J20" s="108">
        <v>18</v>
      </c>
      <c r="K20" s="108">
        <v>16</v>
      </c>
      <c r="L20" s="108">
        <v>15</v>
      </c>
      <c r="M20" s="108">
        <v>10</v>
      </c>
      <c r="N20" s="108">
        <v>14</v>
      </c>
      <c r="O20" s="108">
        <v>6</v>
      </c>
      <c r="P20" s="108">
        <v>170</v>
      </c>
    </row>
    <row r="21" spans="1:16" x14ac:dyDescent="0.3">
      <c r="A21" s="280" t="s">
        <v>43</v>
      </c>
      <c r="B21" s="348" t="s">
        <v>44</v>
      </c>
      <c r="C21" s="348" t="s">
        <v>253</v>
      </c>
      <c r="D21" s="108">
        <v>12</v>
      </c>
      <c r="E21" s="108">
        <v>11</v>
      </c>
      <c r="F21" s="108">
        <v>5</v>
      </c>
      <c r="G21" s="108">
        <v>7</v>
      </c>
      <c r="H21" s="108">
        <v>5</v>
      </c>
      <c r="I21" s="108">
        <v>9</v>
      </c>
      <c r="J21" s="108">
        <v>13</v>
      </c>
      <c r="K21" s="108">
        <v>5</v>
      </c>
      <c r="L21" s="108">
        <v>12</v>
      </c>
      <c r="M21" s="108">
        <v>9</v>
      </c>
      <c r="N21" s="108">
        <v>7</v>
      </c>
      <c r="O21" s="108">
        <v>13</v>
      </c>
      <c r="P21" s="108">
        <v>108</v>
      </c>
    </row>
    <row r="22" spans="1:16" x14ac:dyDescent="0.3">
      <c r="A22" s="280" t="s">
        <v>45</v>
      </c>
      <c r="B22" s="348" t="s">
        <v>46</v>
      </c>
      <c r="C22" s="348" t="s">
        <v>255</v>
      </c>
      <c r="D22" s="108">
        <v>9</v>
      </c>
      <c r="E22" s="108">
        <v>10</v>
      </c>
      <c r="F22" s="108">
        <v>3</v>
      </c>
      <c r="G22" s="108">
        <v>10</v>
      </c>
      <c r="H22" s="108">
        <v>6</v>
      </c>
      <c r="I22" s="108">
        <v>7</v>
      </c>
      <c r="J22" s="108">
        <v>8</v>
      </c>
      <c r="K22" s="108">
        <v>10</v>
      </c>
      <c r="L22" s="108">
        <v>6</v>
      </c>
      <c r="M22" s="108">
        <v>9</v>
      </c>
      <c r="N22" s="108">
        <v>4</v>
      </c>
      <c r="O22" s="108">
        <v>1</v>
      </c>
      <c r="P22" s="108">
        <v>83</v>
      </c>
    </row>
    <row r="23" spans="1:16" x14ac:dyDescent="0.3">
      <c r="A23" s="280" t="s">
        <v>47</v>
      </c>
      <c r="B23" s="348" t="s">
        <v>256</v>
      </c>
      <c r="C23" s="348" t="s">
        <v>253</v>
      </c>
      <c r="D23" s="108">
        <v>2</v>
      </c>
      <c r="E23" s="108">
        <v>1</v>
      </c>
      <c r="F23" s="108">
        <v>3</v>
      </c>
      <c r="G23" s="108">
        <v>2</v>
      </c>
      <c r="H23" s="108"/>
      <c r="I23" s="108">
        <v>1</v>
      </c>
      <c r="J23" s="108">
        <v>1</v>
      </c>
      <c r="K23" s="108">
        <v>1</v>
      </c>
      <c r="L23" s="108">
        <v>2</v>
      </c>
      <c r="M23" s="108">
        <v>1</v>
      </c>
      <c r="N23" s="108"/>
      <c r="O23" s="108">
        <v>2</v>
      </c>
      <c r="P23" s="108">
        <v>16</v>
      </c>
    </row>
    <row r="24" spans="1:16" x14ac:dyDescent="0.3">
      <c r="A24" s="280" t="s">
        <v>49</v>
      </c>
      <c r="B24" s="348" t="s">
        <v>50</v>
      </c>
      <c r="C24" s="348" t="s">
        <v>252</v>
      </c>
      <c r="D24" s="108"/>
      <c r="E24" s="108">
        <v>1</v>
      </c>
      <c r="F24" s="108">
        <v>1</v>
      </c>
      <c r="G24" s="108"/>
      <c r="H24" s="108"/>
      <c r="I24" s="108"/>
      <c r="J24" s="108">
        <v>1</v>
      </c>
      <c r="K24" s="108"/>
      <c r="L24" s="108">
        <v>1</v>
      </c>
      <c r="M24" s="108">
        <v>2</v>
      </c>
      <c r="N24" s="108"/>
      <c r="O24" s="108">
        <v>1</v>
      </c>
      <c r="P24" s="108">
        <v>7</v>
      </c>
    </row>
    <row r="25" spans="1:16" x14ac:dyDescent="0.3">
      <c r="A25" s="280" t="s">
        <v>55</v>
      </c>
      <c r="B25" s="348" t="s">
        <v>271</v>
      </c>
      <c r="C25" s="348" t="s">
        <v>253</v>
      </c>
      <c r="D25" s="108">
        <v>153</v>
      </c>
      <c r="E25" s="108">
        <v>194</v>
      </c>
      <c r="F25" s="108">
        <v>147</v>
      </c>
      <c r="G25" s="108">
        <v>171</v>
      </c>
      <c r="H25" s="108">
        <v>126</v>
      </c>
      <c r="I25" s="108">
        <v>138</v>
      </c>
      <c r="J25" s="108">
        <v>148</v>
      </c>
      <c r="K25" s="108">
        <v>96</v>
      </c>
      <c r="L25" s="108">
        <v>97</v>
      </c>
      <c r="M25" s="108">
        <v>46</v>
      </c>
      <c r="N25" s="108">
        <v>48</v>
      </c>
      <c r="O25" s="108">
        <v>53</v>
      </c>
      <c r="P25" s="108">
        <v>1417</v>
      </c>
    </row>
    <row r="26" spans="1:16" x14ac:dyDescent="0.3">
      <c r="A26" s="280" t="s">
        <v>57</v>
      </c>
      <c r="B26" s="348" t="s">
        <v>58</v>
      </c>
      <c r="C26" s="348" t="s">
        <v>254</v>
      </c>
      <c r="D26" s="108">
        <v>1</v>
      </c>
      <c r="E26" s="108">
        <v>4</v>
      </c>
      <c r="F26" s="108">
        <v>3</v>
      </c>
      <c r="G26" s="108">
        <v>3</v>
      </c>
      <c r="H26" s="108">
        <v>3</v>
      </c>
      <c r="I26" s="108">
        <v>1</v>
      </c>
      <c r="J26" s="108"/>
      <c r="K26" s="108"/>
      <c r="L26" s="108"/>
      <c r="M26" s="108"/>
      <c r="N26" s="108"/>
      <c r="O26" s="108"/>
      <c r="P26" s="108">
        <v>15</v>
      </c>
    </row>
    <row r="27" spans="1:16" x14ac:dyDescent="0.3">
      <c r="A27" s="280" t="s">
        <v>59</v>
      </c>
      <c r="B27" s="348" t="s">
        <v>60</v>
      </c>
      <c r="C27" s="348" t="s">
        <v>252</v>
      </c>
      <c r="D27" s="108">
        <v>1</v>
      </c>
      <c r="E27" s="108">
        <v>1</v>
      </c>
      <c r="F27" s="108">
        <v>4</v>
      </c>
      <c r="G27" s="108">
        <v>2</v>
      </c>
      <c r="H27" s="108"/>
      <c r="I27" s="108">
        <v>3</v>
      </c>
      <c r="J27" s="108"/>
      <c r="K27" s="108">
        <v>2</v>
      </c>
      <c r="L27" s="108">
        <v>1</v>
      </c>
      <c r="M27" s="108"/>
      <c r="N27" s="108"/>
      <c r="O27" s="108"/>
      <c r="P27" s="108">
        <v>14</v>
      </c>
    </row>
    <row r="28" spans="1:16" x14ac:dyDescent="0.3">
      <c r="A28" s="280" t="s">
        <v>61</v>
      </c>
      <c r="B28" s="348" t="s">
        <v>62</v>
      </c>
      <c r="C28" s="348" t="s">
        <v>254</v>
      </c>
      <c r="D28" s="108">
        <v>27</v>
      </c>
      <c r="E28" s="108">
        <v>37</v>
      </c>
      <c r="F28" s="108">
        <v>21</v>
      </c>
      <c r="G28" s="108">
        <v>15</v>
      </c>
      <c r="H28" s="108">
        <v>9</v>
      </c>
      <c r="I28" s="108">
        <v>9</v>
      </c>
      <c r="J28" s="108">
        <v>24</v>
      </c>
      <c r="K28" s="108">
        <v>9</v>
      </c>
      <c r="L28" s="108">
        <v>25</v>
      </c>
      <c r="M28" s="108">
        <v>4</v>
      </c>
      <c r="N28" s="108">
        <v>8</v>
      </c>
      <c r="O28" s="108">
        <v>14</v>
      </c>
      <c r="P28" s="108">
        <v>202</v>
      </c>
    </row>
    <row r="29" spans="1:16" x14ac:dyDescent="0.3">
      <c r="A29" s="280" t="s">
        <v>63</v>
      </c>
      <c r="B29" s="348" t="s">
        <v>64</v>
      </c>
      <c r="C29" s="348" t="s">
        <v>253</v>
      </c>
      <c r="D29" s="108">
        <v>5</v>
      </c>
      <c r="E29" s="108">
        <v>9</v>
      </c>
      <c r="F29" s="108">
        <v>1</v>
      </c>
      <c r="G29" s="108">
        <v>5</v>
      </c>
      <c r="H29" s="108">
        <v>2</v>
      </c>
      <c r="I29" s="108">
        <v>4</v>
      </c>
      <c r="J29" s="108">
        <v>2</v>
      </c>
      <c r="K29" s="108">
        <v>4</v>
      </c>
      <c r="L29" s="108">
        <v>2</v>
      </c>
      <c r="M29" s="108">
        <v>2</v>
      </c>
      <c r="N29" s="108"/>
      <c r="O29" s="108">
        <v>1</v>
      </c>
      <c r="P29" s="108">
        <v>37</v>
      </c>
    </row>
    <row r="30" spans="1:16" x14ac:dyDescent="0.3">
      <c r="A30" s="280" t="s">
        <v>67</v>
      </c>
      <c r="B30" s="348" t="s">
        <v>68</v>
      </c>
      <c r="C30" s="348" t="s">
        <v>255</v>
      </c>
      <c r="D30" s="108">
        <v>1</v>
      </c>
      <c r="E30" s="108">
        <v>1</v>
      </c>
      <c r="F30" s="108"/>
      <c r="G30" s="108">
        <v>1</v>
      </c>
      <c r="H30" s="108"/>
      <c r="I30" s="108"/>
      <c r="J30" s="108">
        <v>1</v>
      </c>
      <c r="K30" s="108">
        <v>1</v>
      </c>
      <c r="L30" s="108"/>
      <c r="M30" s="108">
        <v>1</v>
      </c>
      <c r="N30" s="108"/>
      <c r="O30" s="108">
        <v>1</v>
      </c>
      <c r="P30" s="108">
        <v>7</v>
      </c>
    </row>
    <row r="31" spans="1:16" x14ac:dyDescent="0.3">
      <c r="A31" s="280" t="s">
        <v>69</v>
      </c>
      <c r="B31" s="348" t="s">
        <v>70</v>
      </c>
      <c r="C31" s="348" t="s">
        <v>251</v>
      </c>
      <c r="D31" s="108">
        <v>16</v>
      </c>
      <c r="E31" s="108">
        <v>11</v>
      </c>
      <c r="F31" s="108">
        <v>11</v>
      </c>
      <c r="G31" s="108">
        <v>10</v>
      </c>
      <c r="H31" s="108">
        <v>8</v>
      </c>
      <c r="I31" s="108">
        <v>4</v>
      </c>
      <c r="J31" s="108">
        <v>10</v>
      </c>
      <c r="K31" s="108">
        <v>5</v>
      </c>
      <c r="L31" s="108">
        <v>6</v>
      </c>
      <c r="M31" s="108">
        <v>8</v>
      </c>
      <c r="N31" s="108">
        <v>3</v>
      </c>
      <c r="O31" s="108">
        <v>5</v>
      </c>
      <c r="P31" s="108">
        <v>97</v>
      </c>
    </row>
    <row r="32" spans="1:16" x14ac:dyDescent="0.3">
      <c r="A32" s="280" t="s">
        <v>71</v>
      </c>
      <c r="B32" s="348" t="s">
        <v>72</v>
      </c>
      <c r="C32" s="348" t="s">
        <v>253</v>
      </c>
      <c r="D32" s="108">
        <v>2</v>
      </c>
      <c r="E32" s="108">
        <v>8</v>
      </c>
      <c r="F32" s="108">
        <v>3</v>
      </c>
      <c r="G32" s="108">
        <v>6</v>
      </c>
      <c r="H32" s="108">
        <v>4</v>
      </c>
      <c r="I32" s="108">
        <v>5</v>
      </c>
      <c r="J32" s="108">
        <v>5</v>
      </c>
      <c r="K32" s="108">
        <v>9</v>
      </c>
      <c r="L32" s="108">
        <v>5</v>
      </c>
      <c r="M32" s="108">
        <v>1</v>
      </c>
      <c r="N32" s="108"/>
      <c r="O32" s="108">
        <v>5</v>
      </c>
      <c r="P32" s="108">
        <v>53</v>
      </c>
    </row>
    <row r="33" spans="1:16" x14ac:dyDescent="0.3">
      <c r="A33" s="280" t="s">
        <v>73</v>
      </c>
      <c r="B33" s="348" t="s">
        <v>272</v>
      </c>
      <c r="C33" s="348" t="s">
        <v>254</v>
      </c>
      <c r="D33" s="108">
        <v>273</v>
      </c>
      <c r="E33" s="108">
        <v>327</v>
      </c>
      <c r="F33" s="108">
        <v>262</v>
      </c>
      <c r="G33" s="108">
        <v>248</v>
      </c>
      <c r="H33" s="108">
        <v>183</v>
      </c>
      <c r="I33" s="108">
        <v>183</v>
      </c>
      <c r="J33" s="108">
        <v>193</v>
      </c>
      <c r="K33" s="108">
        <v>199</v>
      </c>
      <c r="L33" s="108">
        <v>165</v>
      </c>
      <c r="M33" s="108">
        <v>129</v>
      </c>
      <c r="N33" s="108">
        <v>115</v>
      </c>
      <c r="O33" s="108">
        <v>137</v>
      </c>
      <c r="P33" s="108">
        <v>2414</v>
      </c>
    </row>
    <row r="34" spans="1:16" x14ac:dyDescent="0.3">
      <c r="A34" s="280" t="s">
        <v>75</v>
      </c>
      <c r="B34" s="348" t="s">
        <v>76</v>
      </c>
      <c r="C34" s="348" t="s">
        <v>254</v>
      </c>
      <c r="D34" s="108">
        <v>12</v>
      </c>
      <c r="E34" s="108">
        <v>13</v>
      </c>
      <c r="F34" s="108">
        <v>10</v>
      </c>
      <c r="G34" s="108">
        <v>7</v>
      </c>
      <c r="H34" s="108">
        <v>21</v>
      </c>
      <c r="I34" s="108">
        <v>10</v>
      </c>
      <c r="J34" s="108">
        <v>15</v>
      </c>
      <c r="K34" s="108">
        <v>12</v>
      </c>
      <c r="L34" s="108">
        <v>11</v>
      </c>
      <c r="M34" s="108">
        <v>4</v>
      </c>
      <c r="N34" s="108">
        <v>6</v>
      </c>
      <c r="O34" s="108">
        <v>5</v>
      </c>
      <c r="P34" s="108">
        <v>126</v>
      </c>
    </row>
    <row r="35" spans="1:16" x14ac:dyDescent="0.3">
      <c r="A35" s="280" t="s">
        <v>77</v>
      </c>
      <c r="B35" s="348" t="s">
        <v>78</v>
      </c>
      <c r="C35" s="348" t="s">
        <v>255</v>
      </c>
      <c r="D35" s="108"/>
      <c r="E35" s="108">
        <v>3</v>
      </c>
      <c r="F35" s="108">
        <v>3</v>
      </c>
      <c r="G35" s="108">
        <v>2</v>
      </c>
      <c r="H35" s="108">
        <v>3</v>
      </c>
      <c r="I35" s="108">
        <v>2</v>
      </c>
      <c r="J35" s="108">
        <v>5</v>
      </c>
      <c r="K35" s="108">
        <v>2</v>
      </c>
      <c r="L35" s="108">
        <v>2</v>
      </c>
      <c r="M35" s="108">
        <v>1</v>
      </c>
      <c r="N35" s="108"/>
      <c r="O35" s="108">
        <v>1</v>
      </c>
      <c r="P35" s="108">
        <v>24</v>
      </c>
    </row>
    <row r="36" spans="1:16" x14ac:dyDescent="0.3">
      <c r="A36" s="280" t="s">
        <v>79</v>
      </c>
      <c r="B36" s="348" t="s">
        <v>80</v>
      </c>
      <c r="C36" s="348" t="s">
        <v>253</v>
      </c>
      <c r="D36" s="108">
        <v>9</v>
      </c>
      <c r="E36" s="108">
        <v>7</v>
      </c>
      <c r="F36" s="108">
        <v>4</v>
      </c>
      <c r="G36" s="108">
        <v>7</v>
      </c>
      <c r="H36" s="108">
        <v>5</v>
      </c>
      <c r="I36" s="108">
        <v>1</v>
      </c>
      <c r="J36" s="108">
        <v>3</v>
      </c>
      <c r="K36" s="108">
        <v>1</v>
      </c>
      <c r="L36" s="108">
        <v>3</v>
      </c>
      <c r="M36" s="108"/>
      <c r="N36" s="108"/>
      <c r="O36" s="108">
        <v>3</v>
      </c>
      <c r="P36" s="108">
        <v>43</v>
      </c>
    </row>
    <row r="37" spans="1:16" x14ac:dyDescent="0.3">
      <c r="A37" s="280" t="s">
        <v>83</v>
      </c>
      <c r="B37" s="348" t="s">
        <v>84</v>
      </c>
      <c r="C37" s="348" t="s">
        <v>252</v>
      </c>
      <c r="D37" s="108">
        <v>14</v>
      </c>
      <c r="E37" s="108">
        <v>15</v>
      </c>
      <c r="F37" s="108">
        <v>8</v>
      </c>
      <c r="G37" s="108">
        <v>16</v>
      </c>
      <c r="H37" s="108">
        <v>9</v>
      </c>
      <c r="I37" s="108">
        <v>7</v>
      </c>
      <c r="J37" s="108">
        <v>15</v>
      </c>
      <c r="K37" s="108">
        <v>7</v>
      </c>
      <c r="L37" s="108">
        <v>9</v>
      </c>
      <c r="M37" s="108">
        <v>3</v>
      </c>
      <c r="N37" s="108">
        <v>7</v>
      </c>
      <c r="O37" s="108">
        <v>10</v>
      </c>
      <c r="P37" s="108">
        <v>120</v>
      </c>
    </row>
    <row r="38" spans="1:16" x14ac:dyDescent="0.3">
      <c r="A38" s="280" t="s">
        <v>85</v>
      </c>
      <c r="B38" s="348" t="s">
        <v>86</v>
      </c>
      <c r="C38" s="348" t="s">
        <v>254</v>
      </c>
      <c r="D38" s="108">
        <v>30</v>
      </c>
      <c r="E38" s="108">
        <v>45</v>
      </c>
      <c r="F38" s="108">
        <v>10</v>
      </c>
      <c r="G38" s="108">
        <v>19</v>
      </c>
      <c r="H38" s="108">
        <v>19</v>
      </c>
      <c r="I38" s="108">
        <v>17</v>
      </c>
      <c r="J38" s="108">
        <v>25</v>
      </c>
      <c r="K38" s="108">
        <v>14</v>
      </c>
      <c r="L38" s="108">
        <v>21</v>
      </c>
      <c r="M38" s="108">
        <v>5</v>
      </c>
      <c r="N38" s="108">
        <v>6</v>
      </c>
      <c r="O38" s="108">
        <v>13</v>
      </c>
      <c r="P38" s="108">
        <v>224</v>
      </c>
    </row>
    <row r="39" spans="1:16" x14ac:dyDescent="0.3">
      <c r="A39" s="280" t="s">
        <v>91</v>
      </c>
      <c r="B39" s="348" t="s">
        <v>92</v>
      </c>
      <c r="C39" s="348" t="s">
        <v>255</v>
      </c>
      <c r="D39" s="108">
        <v>2</v>
      </c>
      <c r="E39" s="108">
        <v>7</v>
      </c>
      <c r="F39" s="108">
        <v>3</v>
      </c>
      <c r="G39" s="108">
        <v>5</v>
      </c>
      <c r="H39" s="108">
        <v>5</v>
      </c>
      <c r="I39" s="108">
        <v>2</v>
      </c>
      <c r="J39" s="108">
        <v>9</v>
      </c>
      <c r="K39" s="108">
        <v>7</v>
      </c>
      <c r="L39" s="108">
        <v>3</v>
      </c>
      <c r="M39" s="108">
        <v>3</v>
      </c>
      <c r="N39" s="108">
        <v>1</v>
      </c>
      <c r="O39" s="108">
        <v>3</v>
      </c>
      <c r="P39" s="108">
        <v>50</v>
      </c>
    </row>
    <row r="40" spans="1:16" x14ac:dyDescent="0.3">
      <c r="A40" s="280" t="s">
        <v>93</v>
      </c>
      <c r="B40" s="348" t="s">
        <v>94</v>
      </c>
      <c r="C40" s="348" t="s">
        <v>251</v>
      </c>
      <c r="D40" s="108">
        <v>6</v>
      </c>
      <c r="E40" s="108">
        <v>16</v>
      </c>
      <c r="F40" s="108">
        <v>10</v>
      </c>
      <c r="G40" s="108">
        <v>13</v>
      </c>
      <c r="H40" s="108">
        <v>3</v>
      </c>
      <c r="I40" s="108">
        <v>5</v>
      </c>
      <c r="J40" s="108">
        <v>8</v>
      </c>
      <c r="K40" s="108">
        <v>10</v>
      </c>
      <c r="L40" s="108">
        <v>6</v>
      </c>
      <c r="M40" s="108">
        <v>5</v>
      </c>
      <c r="N40" s="108">
        <v>7</v>
      </c>
      <c r="O40" s="108">
        <v>4</v>
      </c>
      <c r="P40" s="108">
        <v>93</v>
      </c>
    </row>
    <row r="41" spans="1:16" x14ac:dyDescent="0.3">
      <c r="A41" s="280" t="s">
        <v>95</v>
      </c>
      <c r="B41" s="348" t="s">
        <v>96</v>
      </c>
      <c r="C41" s="348" t="s">
        <v>253</v>
      </c>
      <c r="D41" s="108">
        <v>5</v>
      </c>
      <c r="E41" s="108">
        <v>3</v>
      </c>
      <c r="F41" s="108">
        <v>2</v>
      </c>
      <c r="G41" s="108">
        <v>5</v>
      </c>
      <c r="H41" s="108">
        <v>4</v>
      </c>
      <c r="I41" s="108"/>
      <c r="J41" s="108">
        <v>3</v>
      </c>
      <c r="K41" s="108">
        <v>2</v>
      </c>
      <c r="L41" s="108">
        <v>3</v>
      </c>
      <c r="M41" s="108">
        <v>1</v>
      </c>
      <c r="N41" s="108"/>
      <c r="O41" s="108">
        <v>2</v>
      </c>
      <c r="P41" s="108">
        <v>30</v>
      </c>
    </row>
    <row r="42" spans="1:16" x14ac:dyDescent="0.3">
      <c r="A42" s="280" t="s">
        <v>97</v>
      </c>
      <c r="B42" s="348" t="s">
        <v>98</v>
      </c>
      <c r="C42" s="348" t="s">
        <v>255</v>
      </c>
      <c r="D42" s="108"/>
      <c r="E42" s="108">
        <v>7</v>
      </c>
      <c r="F42" s="108"/>
      <c r="G42" s="108">
        <v>2</v>
      </c>
      <c r="H42" s="108"/>
      <c r="I42" s="108"/>
      <c r="J42" s="108"/>
      <c r="K42" s="108">
        <v>2</v>
      </c>
      <c r="L42" s="108">
        <v>6</v>
      </c>
      <c r="M42" s="108">
        <v>4</v>
      </c>
      <c r="N42" s="108">
        <v>2</v>
      </c>
      <c r="O42" s="108"/>
      <c r="P42" s="108">
        <v>23</v>
      </c>
    </row>
    <row r="43" spans="1:16" x14ac:dyDescent="0.3">
      <c r="A43" s="280" t="s">
        <v>99</v>
      </c>
      <c r="B43" s="348" t="s">
        <v>100</v>
      </c>
      <c r="C43" s="348" t="s">
        <v>254</v>
      </c>
      <c r="D43" s="108">
        <v>3</v>
      </c>
      <c r="E43" s="108">
        <v>10</v>
      </c>
      <c r="F43" s="108">
        <v>2</v>
      </c>
      <c r="G43" s="108">
        <v>1</v>
      </c>
      <c r="H43" s="108">
        <v>2</v>
      </c>
      <c r="I43" s="108">
        <v>3</v>
      </c>
      <c r="J43" s="108">
        <v>2</v>
      </c>
      <c r="K43" s="108">
        <v>8</v>
      </c>
      <c r="L43" s="108">
        <v>3</v>
      </c>
      <c r="M43" s="108"/>
      <c r="N43" s="108">
        <v>1</v>
      </c>
      <c r="O43" s="108">
        <v>2</v>
      </c>
      <c r="P43" s="108">
        <v>37</v>
      </c>
    </row>
    <row r="44" spans="1:16" x14ac:dyDescent="0.3">
      <c r="A44" s="280" t="s">
        <v>101</v>
      </c>
      <c r="B44" s="348" t="s">
        <v>263</v>
      </c>
      <c r="C44" s="348" t="s">
        <v>251</v>
      </c>
      <c r="D44" s="108">
        <v>10</v>
      </c>
      <c r="E44" s="108">
        <v>11</v>
      </c>
      <c r="F44" s="108">
        <v>13</v>
      </c>
      <c r="G44" s="108">
        <v>8</v>
      </c>
      <c r="H44" s="108">
        <v>10</v>
      </c>
      <c r="I44" s="108">
        <v>1</v>
      </c>
      <c r="J44" s="108">
        <v>12</v>
      </c>
      <c r="K44" s="108">
        <v>2</v>
      </c>
      <c r="L44" s="108">
        <v>5</v>
      </c>
      <c r="M44" s="108">
        <v>1</v>
      </c>
      <c r="N44" s="108">
        <v>1</v>
      </c>
      <c r="O44" s="108">
        <v>5</v>
      </c>
      <c r="P44" s="108">
        <v>79</v>
      </c>
    </row>
    <row r="45" spans="1:16" x14ac:dyDescent="0.3">
      <c r="A45" s="280" t="s">
        <v>103</v>
      </c>
      <c r="B45" s="348" t="s">
        <v>104</v>
      </c>
      <c r="C45" s="348" t="s">
        <v>252</v>
      </c>
      <c r="D45" s="108">
        <v>8</v>
      </c>
      <c r="E45" s="108">
        <v>8</v>
      </c>
      <c r="F45" s="108">
        <v>2</v>
      </c>
      <c r="G45" s="108">
        <v>7</v>
      </c>
      <c r="H45" s="108">
        <v>5</v>
      </c>
      <c r="I45" s="108">
        <v>4</v>
      </c>
      <c r="J45" s="108">
        <v>9</v>
      </c>
      <c r="K45" s="108">
        <v>5</v>
      </c>
      <c r="L45" s="108">
        <v>2</v>
      </c>
      <c r="M45" s="108">
        <v>5</v>
      </c>
      <c r="N45" s="108">
        <v>5</v>
      </c>
      <c r="O45" s="108">
        <v>3</v>
      </c>
      <c r="P45" s="108">
        <v>63</v>
      </c>
    </row>
    <row r="46" spans="1:16" x14ac:dyDescent="0.3">
      <c r="A46" s="280" t="s">
        <v>107</v>
      </c>
      <c r="B46" s="348" t="s">
        <v>108</v>
      </c>
      <c r="C46" s="348" t="s">
        <v>253</v>
      </c>
      <c r="D46" s="108">
        <v>19</v>
      </c>
      <c r="E46" s="108">
        <v>27</v>
      </c>
      <c r="F46" s="108">
        <v>13</v>
      </c>
      <c r="G46" s="108">
        <v>21</v>
      </c>
      <c r="H46" s="108">
        <v>12</v>
      </c>
      <c r="I46" s="108">
        <v>13</v>
      </c>
      <c r="J46" s="108">
        <v>37</v>
      </c>
      <c r="K46" s="108">
        <v>16</v>
      </c>
      <c r="L46" s="108">
        <v>13</v>
      </c>
      <c r="M46" s="108">
        <v>9</v>
      </c>
      <c r="N46" s="108">
        <v>17</v>
      </c>
      <c r="O46" s="108">
        <v>17</v>
      </c>
      <c r="P46" s="108">
        <v>214</v>
      </c>
    </row>
    <row r="47" spans="1:16" x14ac:dyDescent="0.3">
      <c r="A47" s="280" t="s">
        <v>109</v>
      </c>
      <c r="B47" s="348" t="s">
        <v>110</v>
      </c>
      <c r="C47" s="348" t="s">
        <v>253</v>
      </c>
      <c r="D47" s="108">
        <v>189</v>
      </c>
      <c r="E47" s="108">
        <v>190</v>
      </c>
      <c r="F47" s="108">
        <v>144</v>
      </c>
      <c r="G47" s="108">
        <v>158</v>
      </c>
      <c r="H47" s="108">
        <v>140</v>
      </c>
      <c r="I47" s="108">
        <v>112</v>
      </c>
      <c r="J47" s="108">
        <v>144</v>
      </c>
      <c r="K47" s="108">
        <v>124</v>
      </c>
      <c r="L47" s="108">
        <v>116</v>
      </c>
      <c r="M47" s="108">
        <v>75</v>
      </c>
      <c r="N47" s="108">
        <v>56</v>
      </c>
      <c r="O47" s="108">
        <v>70</v>
      </c>
      <c r="P47" s="108">
        <v>1518</v>
      </c>
    </row>
    <row r="48" spans="1:16" x14ac:dyDescent="0.3">
      <c r="A48" s="280" t="s">
        <v>111</v>
      </c>
      <c r="B48" s="348" t="s">
        <v>275</v>
      </c>
      <c r="C48" s="348" t="s">
        <v>252</v>
      </c>
      <c r="D48" s="108">
        <v>50</v>
      </c>
      <c r="E48" s="108">
        <v>28</v>
      </c>
      <c r="F48" s="108">
        <v>18</v>
      </c>
      <c r="G48" s="108">
        <v>22</v>
      </c>
      <c r="H48" s="108">
        <v>22</v>
      </c>
      <c r="I48" s="108">
        <v>11</v>
      </c>
      <c r="J48" s="108">
        <v>30</v>
      </c>
      <c r="K48" s="108">
        <v>17</v>
      </c>
      <c r="L48" s="108">
        <v>16</v>
      </c>
      <c r="M48" s="108">
        <v>6</v>
      </c>
      <c r="N48" s="108">
        <v>12</v>
      </c>
      <c r="O48" s="108">
        <v>17</v>
      </c>
      <c r="P48" s="108">
        <v>249</v>
      </c>
    </row>
    <row r="49" spans="1:16" x14ac:dyDescent="0.3">
      <c r="A49" s="280" t="s">
        <v>113</v>
      </c>
      <c r="B49" s="348" t="s">
        <v>114</v>
      </c>
      <c r="C49" s="348" t="s">
        <v>252</v>
      </c>
      <c r="D49" s="108"/>
      <c r="E49" s="108"/>
      <c r="F49" s="108">
        <v>1</v>
      </c>
      <c r="G49" s="108">
        <v>1</v>
      </c>
      <c r="H49" s="108">
        <v>1</v>
      </c>
      <c r="I49" s="108"/>
      <c r="J49" s="108"/>
      <c r="K49" s="108"/>
      <c r="L49" s="108"/>
      <c r="M49" s="108">
        <v>1</v>
      </c>
      <c r="N49" s="108"/>
      <c r="O49" s="108"/>
      <c r="P49" s="108">
        <v>4</v>
      </c>
    </row>
    <row r="50" spans="1:16" x14ac:dyDescent="0.3">
      <c r="A50" s="280" t="s">
        <v>117</v>
      </c>
      <c r="B50" s="348" t="s">
        <v>257</v>
      </c>
      <c r="C50" s="348" t="s">
        <v>251</v>
      </c>
      <c r="D50" s="108">
        <v>7</v>
      </c>
      <c r="E50" s="108">
        <v>7</v>
      </c>
      <c r="F50" s="108">
        <v>7</v>
      </c>
      <c r="G50" s="108">
        <v>3</v>
      </c>
      <c r="H50" s="108">
        <v>5</v>
      </c>
      <c r="I50" s="108">
        <v>2</v>
      </c>
      <c r="J50" s="108">
        <v>11</v>
      </c>
      <c r="K50" s="108">
        <v>5</v>
      </c>
      <c r="L50" s="108">
        <v>19</v>
      </c>
      <c r="M50" s="108">
        <v>2</v>
      </c>
      <c r="N50" s="108">
        <v>8</v>
      </c>
      <c r="O50" s="108">
        <v>11</v>
      </c>
      <c r="P50" s="108">
        <v>87</v>
      </c>
    </row>
    <row r="51" spans="1:16" x14ac:dyDescent="0.3">
      <c r="A51" s="280" t="s">
        <v>119</v>
      </c>
      <c r="B51" s="348" t="s">
        <v>120</v>
      </c>
      <c r="C51" s="348" t="s">
        <v>251</v>
      </c>
      <c r="D51" s="108">
        <v>25</v>
      </c>
      <c r="E51" s="108">
        <v>21</v>
      </c>
      <c r="F51" s="108">
        <v>21</v>
      </c>
      <c r="G51" s="108">
        <v>33</v>
      </c>
      <c r="H51" s="108">
        <v>14</v>
      </c>
      <c r="I51" s="108">
        <v>17</v>
      </c>
      <c r="J51" s="108">
        <v>14</v>
      </c>
      <c r="K51" s="108">
        <v>17</v>
      </c>
      <c r="L51" s="108">
        <v>9</v>
      </c>
      <c r="M51" s="108">
        <v>13</v>
      </c>
      <c r="N51" s="108">
        <v>9</v>
      </c>
      <c r="O51" s="108">
        <v>12</v>
      </c>
      <c r="P51" s="108">
        <v>205</v>
      </c>
    </row>
    <row r="52" spans="1:16" x14ac:dyDescent="0.3">
      <c r="A52" s="280" t="s">
        <v>121</v>
      </c>
      <c r="B52" s="348" t="s">
        <v>268</v>
      </c>
      <c r="C52" s="348" t="s">
        <v>253</v>
      </c>
      <c r="D52" s="108">
        <v>1</v>
      </c>
      <c r="E52" s="108"/>
      <c r="F52" s="108">
        <v>2</v>
      </c>
      <c r="G52" s="108"/>
      <c r="H52" s="108">
        <v>1</v>
      </c>
      <c r="I52" s="108">
        <v>2</v>
      </c>
      <c r="J52" s="108"/>
      <c r="K52" s="108">
        <v>2</v>
      </c>
      <c r="L52" s="108">
        <v>1</v>
      </c>
      <c r="M52" s="108">
        <v>1</v>
      </c>
      <c r="N52" s="108">
        <v>1</v>
      </c>
      <c r="O52" s="108">
        <v>1</v>
      </c>
      <c r="P52" s="108">
        <v>12</v>
      </c>
    </row>
    <row r="53" spans="1:16" x14ac:dyDescent="0.3">
      <c r="A53" s="280" t="s">
        <v>123</v>
      </c>
      <c r="B53" s="348" t="s">
        <v>124</v>
      </c>
      <c r="C53" s="348" t="s">
        <v>254</v>
      </c>
      <c r="D53" s="108">
        <v>4</v>
      </c>
      <c r="E53" s="108">
        <v>18</v>
      </c>
      <c r="F53" s="108">
        <v>16</v>
      </c>
      <c r="G53" s="108">
        <v>8</v>
      </c>
      <c r="H53" s="108">
        <v>5</v>
      </c>
      <c r="I53" s="108">
        <v>7</v>
      </c>
      <c r="J53" s="108">
        <v>7</v>
      </c>
      <c r="K53" s="108">
        <v>7</v>
      </c>
      <c r="L53" s="108">
        <v>3</v>
      </c>
      <c r="M53" s="108">
        <v>2</v>
      </c>
      <c r="N53" s="108">
        <v>5</v>
      </c>
      <c r="O53" s="108">
        <v>4</v>
      </c>
      <c r="P53" s="108">
        <v>86</v>
      </c>
    </row>
    <row r="54" spans="1:16" x14ac:dyDescent="0.3">
      <c r="A54" s="280" t="s">
        <v>125</v>
      </c>
      <c r="B54" s="348" t="s">
        <v>126</v>
      </c>
      <c r="C54" s="348" t="s">
        <v>253</v>
      </c>
      <c r="D54" s="108">
        <v>6</v>
      </c>
      <c r="E54" s="108">
        <v>7</v>
      </c>
      <c r="F54" s="108">
        <v>3</v>
      </c>
      <c r="G54" s="108">
        <v>5</v>
      </c>
      <c r="H54" s="108">
        <v>4</v>
      </c>
      <c r="I54" s="108">
        <v>3</v>
      </c>
      <c r="J54" s="108">
        <v>4</v>
      </c>
      <c r="K54" s="108">
        <v>5</v>
      </c>
      <c r="L54" s="108">
        <v>9</v>
      </c>
      <c r="M54" s="108">
        <v>2</v>
      </c>
      <c r="N54" s="108">
        <v>3</v>
      </c>
      <c r="O54" s="108">
        <v>4</v>
      </c>
      <c r="P54" s="108">
        <v>55</v>
      </c>
    </row>
    <row r="55" spans="1:16" x14ac:dyDescent="0.3">
      <c r="A55" s="280" t="s">
        <v>127</v>
      </c>
      <c r="B55" s="348" t="s">
        <v>128</v>
      </c>
      <c r="C55" s="348" t="s">
        <v>253</v>
      </c>
      <c r="D55" s="108">
        <v>2</v>
      </c>
      <c r="E55" s="108">
        <v>3</v>
      </c>
      <c r="F55" s="108">
        <v>4</v>
      </c>
      <c r="G55" s="108"/>
      <c r="H55" s="108"/>
      <c r="I55" s="108"/>
      <c r="J55" s="108">
        <v>7</v>
      </c>
      <c r="K55" s="108">
        <v>3</v>
      </c>
      <c r="L55" s="108">
        <v>4</v>
      </c>
      <c r="M55" s="108"/>
      <c r="N55" s="108"/>
      <c r="O55" s="108">
        <v>1</v>
      </c>
      <c r="P55" s="108">
        <v>24</v>
      </c>
    </row>
    <row r="56" spans="1:16" x14ac:dyDescent="0.3">
      <c r="A56" s="280" t="s">
        <v>129</v>
      </c>
      <c r="B56" s="348" t="s">
        <v>130</v>
      </c>
      <c r="C56" s="348" t="s">
        <v>255</v>
      </c>
      <c r="D56" s="108">
        <v>4</v>
      </c>
      <c r="E56" s="108">
        <v>4</v>
      </c>
      <c r="F56" s="108">
        <v>3</v>
      </c>
      <c r="G56" s="108">
        <v>3</v>
      </c>
      <c r="H56" s="108">
        <v>6</v>
      </c>
      <c r="I56" s="108">
        <v>2</v>
      </c>
      <c r="J56" s="108">
        <v>4</v>
      </c>
      <c r="K56" s="108">
        <v>1</v>
      </c>
      <c r="L56" s="108">
        <v>1</v>
      </c>
      <c r="M56" s="108">
        <v>2</v>
      </c>
      <c r="N56" s="108">
        <v>2</v>
      </c>
      <c r="O56" s="108">
        <v>3</v>
      </c>
      <c r="P56" s="108">
        <v>35</v>
      </c>
    </row>
    <row r="57" spans="1:16" x14ac:dyDescent="0.3">
      <c r="A57" s="280" t="s">
        <v>131</v>
      </c>
      <c r="B57" s="348" t="s">
        <v>132</v>
      </c>
      <c r="C57" s="348" t="s">
        <v>254</v>
      </c>
      <c r="D57" s="108">
        <v>78</v>
      </c>
      <c r="E57" s="108">
        <v>91</v>
      </c>
      <c r="F57" s="108">
        <v>65</v>
      </c>
      <c r="G57" s="108">
        <v>58</v>
      </c>
      <c r="H57" s="108">
        <v>52</v>
      </c>
      <c r="I57" s="108">
        <v>53</v>
      </c>
      <c r="J57" s="108">
        <v>61</v>
      </c>
      <c r="K57" s="108">
        <v>44</v>
      </c>
      <c r="L57" s="108">
        <v>49</v>
      </c>
      <c r="M57" s="108">
        <v>40</v>
      </c>
      <c r="N57" s="108">
        <v>24</v>
      </c>
      <c r="O57" s="108">
        <v>43</v>
      </c>
      <c r="P57" s="108">
        <v>658</v>
      </c>
    </row>
    <row r="58" spans="1:16" x14ac:dyDescent="0.3">
      <c r="A58" s="280" t="s">
        <v>133</v>
      </c>
      <c r="B58" s="348" t="s">
        <v>134</v>
      </c>
      <c r="C58" s="348" t="s">
        <v>254</v>
      </c>
      <c r="D58" s="108">
        <v>8</v>
      </c>
      <c r="E58" s="108">
        <v>11</v>
      </c>
      <c r="F58" s="108">
        <v>6</v>
      </c>
      <c r="G58" s="108">
        <v>7</v>
      </c>
      <c r="H58" s="108">
        <v>4</v>
      </c>
      <c r="I58" s="108">
        <v>4</v>
      </c>
      <c r="J58" s="108">
        <v>6</v>
      </c>
      <c r="K58" s="108">
        <v>4</v>
      </c>
      <c r="L58" s="108">
        <v>6</v>
      </c>
      <c r="M58" s="108">
        <v>3</v>
      </c>
      <c r="N58" s="108">
        <v>3</v>
      </c>
      <c r="O58" s="108">
        <v>5</v>
      </c>
      <c r="P58" s="108">
        <v>67</v>
      </c>
    </row>
    <row r="59" spans="1:16" x14ac:dyDescent="0.3">
      <c r="A59" s="280" t="s">
        <v>135</v>
      </c>
      <c r="B59" s="348" t="s">
        <v>136</v>
      </c>
      <c r="C59" s="348" t="s">
        <v>253</v>
      </c>
      <c r="D59" s="108">
        <v>2</v>
      </c>
      <c r="E59" s="108"/>
      <c r="F59" s="108">
        <v>4</v>
      </c>
      <c r="G59" s="108">
        <v>4</v>
      </c>
      <c r="H59" s="108"/>
      <c r="I59" s="108">
        <v>4</v>
      </c>
      <c r="J59" s="108">
        <v>1</v>
      </c>
      <c r="K59" s="108">
        <v>1</v>
      </c>
      <c r="L59" s="108">
        <v>3</v>
      </c>
      <c r="M59" s="108">
        <v>2</v>
      </c>
      <c r="N59" s="108">
        <v>1</v>
      </c>
      <c r="O59" s="108"/>
      <c r="P59" s="108">
        <v>22</v>
      </c>
    </row>
    <row r="60" spans="1:16" x14ac:dyDescent="0.3">
      <c r="A60" s="280" t="s">
        <v>139</v>
      </c>
      <c r="B60" s="348" t="s">
        <v>140</v>
      </c>
      <c r="C60" s="348" t="s">
        <v>254</v>
      </c>
      <c r="D60" s="108">
        <v>1</v>
      </c>
      <c r="E60" s="108">
        <v>4</v>
      </c>
      <c r="F60" s="108">
        <v>2</v>
      </c>
      <c r="G60" s="108">
        <v>5</v>
      </c>
      <c r="H60" s="108"/>
      <c r="I60" s="108"/>
      <c r="J60" s="108">
        <v>4</v>
      </c>
      <c r="K60" s="108">
        <v>3</v>
      </c>
      <c r="L60" s="108">
        <v>4</v>
      </c>
      <c r="M60" s="108">
        <v>1</v>
      </c>
      <c r="N60" s="108"/>
      <c r="O60" s="108">
        <v>1</v>
      </c>
      <c r="P60" s="108">
        <v>25</v>
      </c>
    </row>
    <row r="61" spans="1:16" x14ac:dyDescent="0.3">
      <c r="A61" s="280" t="s">
        <v>145</v>
      </c>
      <c r="B61" s="348" t="s">
        <v>146</v>
      </c>
      <c r="C61" s="348" t="s">
        <v>251</v>
      </c>
      <c r="D61" s="108"/>
      <c r="E61" s="108">
        <v>1</v>
      </c>
      <c r="F61" s="108">
        <v>4</v>
      </c>
      <c r="G61" s="108">
        <v>1</v>
      </c>
      <c r="H61" s="108">
        <v>1</v>
      </c>
      <c r="I61" s="108"/>
      <c r="J61" s="108">
        <v>1</v>
      </c>
      <c r="K61" s="108">
        <v>2</v>
      </c>
      <c r="L61" s="108"/>
      <c r="M61" s="108"/>
      <c r="N61" s="108">
        <v>2</v>
      </c>
      <c r="O61" s="108"/>
      <c r="P61" s="108">
        <v>12</v>
      </c>
    </row>
    <row r="62" spans="1:16" x14ac:dyDescent="0.3">
      <c r="A62" s="280" t="s">
        <v>147</v>
      </c>
      <c r="B62" s="348" t="s">
        <v>148</v>
      </c>
      <c r="C62" s="348" t="s">
        <v>252</v>
      </c>
      <c r="D62" s="108">
        <v>4</v>
      </c>
      <c r="E62" s="108">
        <v>7</v>
      </c>
      <c r="F62" s="108">
        <v>4</v>
      </c>
      <c r="G62" s="108">
        <v>4</v>
      </c>
      <c r="H62" s="108">
        <v>4</v>
      </c>
      <c r="I62" s="108">
        <v>4</v>
      </c>
      <c r="J62" s="108">
        <v>4</v>
      </c>
      <c r="K62" s="108">
        <v>2</v>
      </c>
      <c r="L62" s="108">
        <v>4</v>
      </c>
      <c r="M62" s="108">
        <v>1</v>
      </c>
      <c r="N62" s="108">
        <v>5</v>
      </c>
      <c r="O62" s="108">
        <v>6</v>
      </c>
      <c r="P62" s="108">
        <v>49</v>
      </c>
    </row>
    <row r="63" spans="1:16" x14ac:dyDescent="0.3">
      <c r="A63" s="280" t="s">
        <v>149</v>
      </c>
      <c r="B63" s="348" t="s">
        <v>150</v>
      </c>
      <c r="C63" s="348" t="s">
        <v>253</v>
      </c>
      <c r="D63" s="108">
        <v>8</v>
      </c>
      <c r="E63" s="108">
        <v>8</v>
      </c>
      <c r="F63" s="108">
        <v>10</v>
      </c>
      <c r="G63" s="108">
        <v>3</v>
      </c>
      <c r="H63" s="108">
        <v>5</v>
      </c>
      <c r="I63" s="108">
        <v>2</v>
      </c>
      <c r="J63" s="108">
        <v>2</v>
      </c>
      <c r="K63" s="108">
        <v>1</v>
      </c>
      <c r="L63" s="108">
        <v>3</v>
      </c>
      <c r="M63" s="108">
        <v>1</v>
      </c>
      <c r="N63" s="108"/>
      <c r="O63" s="108">
        <v>1</v>
      </c>
      <c r="P63" s="108">
        <v>44</v>
      </c>
    </row>
    <row r="64" spans="1:16" x14ac:dyDescent="0.3">
      <c r="A64" s="280" t="s">
        <v>151</v>
      </c>
      <c r="B64" s="348" t="s">
        <v>152</v>
      </c>
      <c r="C64" s="348" t="s">
        <v>255</v>
      </c>
      <c r="D64" s="108">
        <v>25</v>
      </c>
      <c r="E64" s="108">
        <v>38</v>
      </c>
      <c r="F64" s="108">
        <v>24</v>
      </c>
      <c r="G64" s="108">
        <v>24</v>
      </c>
      <c r="H64" s="108">
        <v>24</v>
      </c>
      <c r="I64" s="108">
        <v>26</v>
      </c>
      <c r="J64" s="108">
        <v>27</v>
      </c>
      <c r="K64" s="108">
        <v>19</v>
      </c>
      <c r="L64" s="108">
        <v>9</v>
      </c>
      <c r="M64" s="108">
        <v>12</v>
      </c>
      <c r="N64" s="108">
        <v>11</v>
      </c>
      <c r="O64" s="108">
        <v>10</v>
      </c>
      <c r="P64" s="108">
        <v>249</v>
      </c>
    </row>
    <row r="65" spans="1:16" x14ac:dyDescent="0.3">
      <c r="A65" s="280" t="s">
        <v>153</v>
      </c>
      <c r="B65" s="348" t="s">
        <v>154</v>
      </c>
      <c r="C65" s="348" t="s">
        <v>252</v>
      </c>
      <c r="D65" s="108">
        <v>1</v>
      </c>
      <c r="E65" s="108">
        <v>2</v>
      </c>
      <c r="F65" s="108"/>
      <c r="G65" s="108">
        <v>1</v>
      </c>
      <c r="H65" s="108">
        <v>2</v>
      </c>
      <c r="I65" s="108"/>
      <c r="J65" s="108">
        <v>1</v>
      </c>
      <c r="K65" s="108">
        <v>4</v>
      </c>
      <c r="L65" s="108">
        <v>1</v>
      </c>
      <c r="M65" s="108"/>
      <c r="N65" s="108">
        <v>3</v>
      </c>
      <c r="O65" s="108"/>
      <c r="P65" s="108">
        <v>15</v>
      </c>
    </row>
    <row r="66" spans="1:16" x14ac:dyDescent="0.3">
      <c r="A66" s="280" t="s">
        <v>155</v>
      </c>
      <c r="B66" s="348" t="s">
        <v>156</v>
      </c>
      <c r="C66" s="348" t="s">
        <v>253</v>
      </c>
      <c r="D66" s="108">
        <v>8</v>
      </c>
      <c r="E66" s="108">
        <v>4</v>
      </c>
      <c r="F66" s="108">
        <v>3</v>
      </c>
      <c r="G66" s="108">
        <v>3</v>
      </c>
      <c r="H66" s="108">
        <v>3</v>
      </c>
      <c r="I66" s="108">
        <v>1</v>
      </c>
      <c r="J66" s="108">
        <v>5</v>
      </c>
      <c r="K66" s="108">
        <v>2</v>
      </c>
      <c r="L66" s="108">
        <v>3</v>
      </c>
      <c r="M66" s="108">
        <v>3</v>
      </c>
      <c r="N66" s="108">
        <v>3</v>
      </c>
      <c r="O66" s="108">
        <v>4</v>
      </c>
      <c r="P66" s="108">
        <v>42</v>
      </c>
    </row>
    <row r="67" spans="1:16" x14ac:dyDescent="0.3">
      <c r="A67" s="280" t="s">
        <v>161</v>
      </c>
      <c r="B67" s="348" t="s">
        <v>162</v>
      </c>
      <c r="C67" s="348" t="s">
        <v>251</v>
      </c>
      <c r="D67" s="108">
        <v>2</v>
      </c>
      <c r="E67" s="108">
        <v>2</v>
      </c>
      <c r="F67" s="108">
        <v>2</v>
      </c>
      <c r="G67" s="108">
        <v>3</v>
      </c>
      <c r="H67" s="108">
        <v>1</v>
      </c>
      <c r="I67" s="108">
        <v>1</v>
      </c>
      <c r="J67" s="108">
        <v>3</v>
      </c>
      <c r="K67" s="108">
        <v>2</v>
      </c>
      <c r="L67" s="108">
        <v>3</v>
      </c>
      <c r="M67" s="108">
        <v>1</v>
      </c>
      <c r="N67" s="108"/>
      <c r="O67" s="108">
        <v>3</v>
      </c>
      <c r="P67" s="108">
        <v>23</v>
      </c>
    </row>
    <row r="68" spans="1:16" x14ac:dyDescent="0.3">
      <c r="A68" s="280" t="s">
        <v>163</v>
      </c>
      <c r="B68" s="348" t="s">
        <v>164</v>
      </c>
      <c r="C68" s="348" t="s">
        <v>253</v>
      </c>
      <c r="D68" s="108"/>
      <c r="E68" s="108">
        <v>3</v>
      </c>
      <c r="F68" s="108">
        <v>1</v>
      </c>
      <c r="G68" s="108">
        <v>2</v>
      </c>
      <c r="H68" s="108"/>
      <c r="I68" s="108">
        <v>2</v>
      </c>
      <c r="J68" s="108">
        <v>1</v>
      </c>
      <c r="K68" s="108"/>
      <c r="L68" s="108">
        <v>2</v>
      </c>
      <c r="M68" s="108">
        <v>1</v>
      </c>
      <c r="N68" s="108">
        <v>1</v>
      </c>
      <c r="O68" s="108"/>
      <c r="P68" s="108">
        <v>13</v>
      </c>
    </row>
    <row r="69" spans="1:16" x14ac:dyDescent="0.3">
      <c r="A69" s="280" t="s">
        <v>167</v>
      </c>
      <c r="B69" s="348" t="s">
        <v>168</v>
      </c>
      <c r="C69" s="348" t="s">
        <v>253</v>
      </c>
      <c r="D69" s="108">
        <v>4</v>
      </c>
      <c r="E69" s="108">
        <v>3</v>
      </c>
      <c r="F69" s="108">
        <v>1</v>
      </c>
      <c r="G69" s="108">
        <v>5</v>
      </c>
      <c r="H69" s="108">
        <v>5</v>
      </c>
      <c r="I69" s="108">
        <v>1</v>
      </c>
      <c r="J69" s="108">
        <v>3</v>
      </c>
      <c r="K69" s="108">
        <v>3</v>
      </c>
      <c r="L69" s="108">
        <v>4</v>
      </c>
      <c r="M69" s="108"/>
      <c r="N69" s="108">
        <v>1</v>
      </c>
      <c r="O69" s="108">
        <v>1</v>
      </c>
      <c r="P69" s="108">
        <v>31</v>
      </c>
    </row>
    <row r="70" spans="1:16" x14ac:dyDescent="0.3">
      <c r="A70" s="280" t="s">
        <v>169</v>
      </c>
      <c r="B70" s="348" t="s">
        <v>170</v>
      </c>
      <c r="C70" s="348" t="s">
        <v>254</v>
      </c>
      <c r="D70" s="108">
        <v>15</v>
      </c>
      <c r="E70" s="108">
        <v>17</v>
      </c>
      <c r="F70" s="108">
        <v>11</v>
      </c>
      <c r="G70" s="108">
        <v>7</v>
      </c>
      <c r="H70" s="108">
        <v>5</v>
      </c>
      <c r="I70" s="108">
        <v>5</v>
      </c>
      <c r="J70" s="108">
        <v>13</v>
      </c>
      <c r="K70" s="108">
        <v>5</v>
      </c>
      <c r="L70" s="108">
        <v>4</v>
      </c>
      <c r="M70" s="108">
        <v>4</v>
      </c>
      <c r="N70" s="108">
        <v>4</v>
      </c>
      <c r="O70" s="108">
        <v>4</v>
      </c>
      <c r="P70" s="108">
        <v>94</v>
      </c>
    </row>
    <row r="71" spans="1:16" x14ac:dyDescent="0.3">
      <c r="A71" s="280" t="s">
        <v>171</v>
      </c>
      <c r="B71" s="348" t="s">
        <v>172</v>
      </c>
      <c r="C71" s="348" t="s">
        <v>254</v>
      </c>
      <c r="D71" s="108">
        <v>2</v>
      </c>
      <c r="E71" s="108">
        <v>3</v>
      </c>
      <c r="F71" s="108"/>
      <c r="G71" s="108">
        <v>3</v>
      </c>
      <c r="H71" s="108">
        <v>5</v>
      </c>
      <c r="I71" s="108">
        <v>3</v>
      </c>
      <c r="J71" s="108">
        <v>5</v>
      </c>
      <c r="K71" s="108">
        <v>1</v>
      </c>
      <c r="L71" s="108">
        <v>6</v>
      </c>
      <c r="M71" s="108">
        <v>1</v>
      </c>
      <c r="N71" s="108">
        <v>1</v>
      </c>
      <c r="O71" s="108">
        <v>1</v>
      </c>
      <c r="P71" s="108">
        <v>31</v>
      </c>
    </row>
    <row r="72" spans="1:16" x14ac:dyDescent="0.3">
      <c r="A72" s="280" t="s">
        <v>173</v>
      </c>
      <c r="B72" s="348" t="s">
        <v>174</v>
      </c>
      <c r="C72" s="348" t="s">
        <v>255</v>
      </c>
      <c r="D72" s="108">
        <v>4</v>
      </c>
      <c r="E72" s="108"/>
      <c r="F72" s="108">
        <v>1</v>
      </c>
      <c r="G72" s="108">
        <v>1</v>
      </c>
      <c r="H72" s="108"/>
      <c r="I72" s="108">
        <v>2</v>
      </c>
      <c r="J72" s="108">
        <v>1</v>
      </c>
      <c r="K72" s="108">
        <v>1</v>
      </c>
      <c r="L72" s="108"/>
      <c r="M72" s="108">
        <v>2</v>
      </c>
      <c r="N72" s="108"/>
      <c r="O72" s="108">
        <v>1</v>
      </c>
      <c r="P72" s="108">
        <v>13</v>
      </c>
    </row>
    <row r="73" spans="1:16" x14ac:dyDescent="0.3">
      <c r="A73" s="280" t="s">
        <v>177</v>
      </c>
      <c r="B73" s="348" t="s">
        <v>178</v>
      </c>
      <c r="C73" s="348" t="s">
        <v>252</v>
      </c>
      <c r="D73" s="108">
        <v>12</v>
      </c>
      <c r="E73" s="108">
        <v>10</v>
      </c>
      <c r="F73" s="108">
        <v>17</v>
      </c>
      <c r="G73" s="108">
        <v>9</v>
      </c>
      <c r="H73" s="108">
        <v>12</v>
      </c>
      <c r="I73" s="108">
        <v>16</v>
      </c>
      <c r="J73" s="108">
        <v>22</v>
      </c>
      <c r="K73" s="108">
        <v>9</v>
      </c>
      <c r="L73" s="108">
        <v>15</v>
      </c>
      <c r="M73" s="108">
        <v>6</v>
      </c>
      <c r="N73" s="108">
        <v>6</v>
      </c>
      <c r="O73" s="108">
        <v>2</v>
      </c>
      <c r="P73" s="108">
        <v>136</v>
      </c>
    </row>
    <row r="74" spans="1:16" x14ac:dyDescent="0.3">
      <c r="A74" s="280" t="s">
        <v>181</v>
      </c>
      <c r="B74" s="348" t="s">
        <v>182</v>
      </c>
      <c r="C74" s="348" t="s">
        <v>253</v>
      </c>
      <c r="D74" s="108">
        <v>9</v>
      </c>
      <c r="E74" s="108">
        <v>9</v>
      </c>
      <c r="F74" s="108">
        <v>7</v>
      </c>
      <c r="G74" s="108">
        <v>3</v>
      </c>
      <c r="H74" s="108">
        <v>5</v>
      </c>
      <c r="I74" s="108">
        <v>5</v>
      </c>
      <c r="J74" s="108">
        <v>4</v>
      </c>
      <c r="K74" s="108"/>
      <c r="L74" s="108">
        <v>3</v>
      </c>
      <c r="M74" s="108">
        <v>4</v>
      </c>
      <c r="N74" s="108">
        <v>2</v>
      </c>
      <c r="O74" s="108">
        <v>3</v>
      </c>
      <c r="P74" s="108">
        <v>54</v>
      </c>
    </row>
    <row r="75" spans="1:16" x14ac:dyDescent="0.3">
      <c r="A75" s="280" t="s">
        <v>183</v>
      </c>
      <c r="B75" s="348" t="s">
        <v>184</v>
      </c>
      <c r="C75" s="348" t="s">
        <v>253</v>
      </c>
      <c r="D75" s="108">
        <v>12</v>
      </c>
      <c r="E75" s="108">
        <v>10</v>
      </c>
      <c r="F75" s="108">
        <v>2</v>
      </c>
      <c r="G75" s="108">
        <v>13</v>
      </c>
      <c r="H75" s="108">
        <v>7</v>
      </c>
      <c r="I75" s="108">
        <v>4</v>
      </c>
      <c r="J75" s="108">
        <v>8</v>
      </c>
      <c r="K75" s="108">
        <v>4</v>
      </c>
      <c r="L75" s="108">
        <v>4</v>
      </c>
      <c r="M75" s="108">
        <v>2</v>
      </c>
      <c r="N75" s="108">
        <v>3</v>
      </c>
      <c r="O75" s="108">
        <v>3</v>
      </c>
      <c r="P75" s="108">
        <v>72</v>
      </c>
    </row>
    <row r="76" spans="1:16" x14ac:dyDescent="0.3">
      <c r="A76" s="280" t="s">
        <v>185</v>
      </c>
      <c r="B76" s="348" t="s">
        <v>186</v>
      </c>
      <c r="C76" s="348" t="s">
        <v>251</v>
      </c>
      <c r="D76" s="108">
        <v>26</v>
      </c>
      <c r="E76" s="108">
        <v>12</v>
      </c>
      <c r="F76" s="108">
        <v>15</v>
      </c>
      <c r="G76" s="108">
        <v>13</v>
      </c>
      <c r="H76" s="108">
        <v>8</v>
      </c>
      <c r="I76" s="108">
        <v>6</v>
      </c>
      <c r="J76" s="108">
        <v>18</v>
      </c>
      <c r="K76" s="108">
        <v>7</v>
      </c>
      <c r="L76" s="108">
        <v>6</v>
      </c>
      <c r="M76" s="108">
        <v>4</v>
      </c>
      <c r="N76" s="108">
        <v>4</v>
      </c>
      <c r="O76" s="108">
        <v>12</v>
      </c>
      <c r="P76" s="108">
        <v>131</v>
      </c>
    </row>
    <row r="77" spans="1:16" x14ac:dyDescent="0.3">
      <c r="A77" s="280" t="s">
        <v>187</v>
      </c>
      <c r="B77" s="348" t="s">
        <v>188</v>
      </c>
      <c r="C77" s="348" t="s">
        <v>254</v>
      </c>
      <c r="D77" s="108">
        <v>250</v>
      </c>
      <c r="E77" s="108">
        <v>211</v>
      </c>
      <c r="F77" s="108">
        <v>179</v>
      </c>
      <c r="G77" s="108">
        <v>161</v>
      </c>
      <c r="H77" s="108">
        <v>156</v>
      </c>
      <c r="I77" s="108">
        <v>142</v>
      </c>
      <c r="J77" s="108">
        <v>172</v>
      </c>
      <c r="K77" s="108">
        <v>159</v>
      </c>
      <c r="L77" s="108">
        <v>130</v>
      </c>
      <c r="M77" s="108">
        <v>84</v>
      </c>
      <c r="N77" s="108">
        <v>76</v>
      </c>
      <c r="O77" s="108">
        <v>74</v>
      </c>
      <c r="P77" s="108">
        <v>1794</v>
      </c>
    </row>
    <row r="78" spans="1:16" x14ac:dyDescent="0.3">
      <c r="A78" s="280" t="s">
        <v>189</v>
      </c>
      <c r="B78" s="348" t="s">
        <v>190</v>
      </c>
      <c r="C78" s="348" t="s">
        <v>255</v>
      </c>
      <c r="D78" s="108">
        <v>12</v>
      </c>
      <c r="E78" s="108">
        <v>13</v>
      </c>
      <c r="F78" s="108">
        <v>5</v>
      </c>
      <c r="G78" s="108">
        <v>11</v>
      </c>
      <c r="H78" s="108">
        <v>6</v>
      </c>
      <c r="I78" s="108">
        <v>5</v>
      </c>
      <c r="J78" s="108">
        <v>9</v>
      </c>
      <c r="K78" s="108">
        <v>7</v>
      </c>
      <c r="L78" s="108">
        <v>5</v>
      </c>
      <c r="M78" s="108">
        <v>1</v>
      </c>
      <c r="N78" s="108">
        <v>6</v>
      </c>
      <c r="O78" s="108">
        <v>3</v>
      </c>
      <c r="P78" s="108">
        <v>83</v>
      </c>
    </row>
    <row r="79" spans="1:16" x14ac:dyDescent="0.3">
      <c r="A79" s="280" t="s">
        <v>193</v>
      </c>
      <c r="B79" s="348" t="s">
        <v>194</v>
      </c>
      <c r="C79" s="348" t="s">
        <v>254</v>
      </c>
      <c r="D79" s="108">
        <v>4</v>
      </c>
      <c r="E79" s="108">
        <v>1</v>
      </c>
      <c r="F79" s="108">
        <v>2</v>
      </c>
      <c r="G79" s="108"/>
      <c r="H79" s="108">
        <v>1</v>
      </c>
      <c r="I79" s="108">
        <v>2</v>
      </c>
      <c r="J79" s="108">
        <v>8</v>
      </c>
      <c r="K79" s="108">
        <v>1</v>
      </c>
      <c r="L79" s="108">
        <v>1</v>
      </c>
      <c r="M79" s="108">
        <v>2</v>
      </c>
      <c r="N79" s="108">
        <v>1</v>
      </c>
      <c r="O79" s="108"/>
      <c r="P79" s="108">
        <v>23</v>
      </c>
    </row>
    <row r="80" spans="1:16" x14ac:dyDescent="0.3">
      <c r="A80" s="280" t="s">
        <v>197</v>
      </c>
      <c r="B80" s="348" t="s">
        <v>259</v>
      </c>
      <c r="C80" s="348" t="s">
        <v>253</v>
      </c>
      <c r="D80" s="108">
        <v>7</v>
      </c>
      <c r="E80" s="108"/>
      <c r="F80" s="108">
        <v>3</v>
      </c>
      <c r="G80" s="108">
        <v>1</v>
      </c>
      <c r="H80" s="108">
        <v>2</v>
      </c>
      <c r="I80" s="108"/>
      <c r="J80" s="108">
        <v>5</v>
      </c>
      <c r="K80" s="108">
        <v>2</v>
      </c>
      <c r="L80" s="108"/>
      <c r="M80" s="108">
        <v>2</v>
      </c>
      <c r="N80" s="108">
        <v>2</v>
      </c>
      <c r="O80" s="108">
        <v>1</v>
      </c>
      <c r="P80" s="108">
        <v>25</v>
      </c>
    </row>
    <row r="81" spans="1:16" x14ac:dyDescent="0.3">
      <c r="A81" s="280" t="s">
        <v>201</v>
      </c>
      <c r="B81" s="348" t="s">
        <v>276</v>
      </c>
      <c r="C81" s="348" t="s">
        <v>252</v>
      </c>
      <c r="D81" s="108">
        <v>27</v>
      </c>
      <c r="E81" s="108">
        <v>37</v>
      </c>
      <c r="F81" s="108">
        <v>32</v>
      </c>
      <c r="G81" s="108">
        <v>32</v>
      </c>
      <c r="H81" s="108">
        <v>33</v>
      </c>
      <c r="I81" s="108">
        <v>31</v>
      </c>
      <c r="J81" s="108">
        <v>35</v>
      </c>
      <c r="K81" s="108">
        <v>28</v>
      </c>
      <c r="L81" s="108">
        <v>22</v>
      </c>
      <c r="M81" s="108">
        <v>14</v>
      </c>
      <c r="N81" s="108">
        <v>16</v>
      </c>
      <c r="O81" s="108">
        <v>21</v>
      </c>
      <c r="P81" s="108">
        <v>328</v>
      </c>
    </row>
    <row r="82" spans="1:16" x14ac:dyDescent="0.3">
      <c r="A82" s="280" t="s">
        <v>203</v>
      </c>
      <c r="B82" s="348" t="s">
        <v>269</v>
      </c>
      <c r="C82" s="348" t="s">
        <v>252</v>
      </c>
      <c r="D82" s="108">
        <v>3</v>
      </c>
      <c r="E82" s="108">
        <v>11</v>
      </c>
      <c r="F82" s="108">
        <v>8</v>
      </c>
      <c r="G82" s="108">
        <v>6</v>
      </c>
      <c r="H82" s="108">
        <v>7</v>
      </c>
      <c r="I82" s="108">
        <v>3</v>
      </c>
      <c r="J82" s="108">
        <v>9</v>
      </c>
      <c r="K82" s="108">
        <v>5</v>
      </c>
      <c r="L82" s="108">
        <v>2</v>
      </c>
      <c r="M82" s="108">
        <v>1</v>
      </c>
      <c r="N82" s="108">
        <v>2</v>
      </c>
      <c r="O82" s="108">
        <v>3</v>
      </c>
      <c r="P82" s="108">
        <v>60</v>
      </c>
    </row>
    <row r="83" spans="1:16" x14ac:dyDescent="0.3">
      <c r="A83" s="280" t="s">
        <v>205</v>
      </c>
      <c r="B83" s="348" t="s">
        <v>270</v>
      </c>
      <c r="C83" s="348" t="s">
        <v>254</v>
      </c>
      <c r="D83" s="108">
        <v>54</v>
      </c>
      <c r="E83" s="108">
        <v>28</v>
      </c>
      <c r="F83" s="108">
        <v>17</v>
      </c>
      <c r="G83" s="108">
        <v>21</v>
      </c>
      <c r="H83" s="108">
        <v>13</v>
      </c>
      <c r="I83" s="108">
        <v>20</v>
      </c>
      <c r="J83" s="108">
        <v>23</v>
      </c>
      <c r="K83" s="108">
        <v>16</v>
      </c>
      <c r="L83" s="108">
        <v>18</v>
      </c>
      <c r="M83" s="108">
        <v>17</v>
      </c>
      <c r="N83" s="108">
        <v>6</v>
      </c>
      <c r="O83" s="108">
        <v>13</v>
      </c>
      <c r="P83" s="108">
        <v>246</v>
      </c>
    </row>
    <row r="84" spans="1:16" x14ac:dyDescent="0.3">
      <c r="A84" s="280" t="s">
        <v>207</v>
      </c>
      <c r="B84" s="348" t="s">
        <v>208</v>
      </c>
      <c r="C84" s="348" t="s">
        <v>255</v>
      </c>
      <c r="D84" s="108">
        <v>3</v>
      </c>
      <c r="E84" s="108">
        <v>7</v>
      </c>
      <c r="F84" s="108">
        <v>7</v>
      </c>
      <c r="G84" s="108">
        <v>4</v>
      </c>
      <c r="H84" s="108">
        <v>2</v>
      </c>
      <c r="I84" s="108">
        <v>3</v>
      </c>
      <c r="J84" s="108">
        <v>1</v>
      </c>
      <c r="K84" s="108">
        <v>3</v>
      </c>
      <c r="L84" s="108">
        <v>1</v>
      </c>
      <c r="M84" s="108">
        <v>1</v>
      </c>
      <c r="N84" s="108">
        <v>2</v>
      </c>
      <c r="O84" s="108">
        <v>5</v>
      </c>
      <c r="P84" s="108">
        <v>39</v>
      </c>
    </row>
    <row r="85" spans="1:16" x14ac:dyDescent="0.3">
      <c r="A85" s="280" t="s">
        <v>209</v>
      </c>
      <c r="B85" s="348" t="s">
        <v>210</v>
      </c>
      <c r="C85" s="348" t="s">
        <v>255</v>
      </c>
      <c r="D85" s="108"/>
      <c r="E85" s="108">
        <v>1</v>
      </c>
      <c r="F85" s="108"/>
      <c r="G85" s="108">
        <v>1</v>
      </c>
      <c r="H85" s="108">
        <v>1</v>
      </c>
      <c r="I85" s="108"/>
      <c r="J85" s="108"/>
      <c r="K85" s="108">
        <v>1</v>
      </c>
      <c r="L85" s="108"/>
      <c r="M85" s="108"/>
      <c r="N85" s="108">
        <v>1</v>
      </c>
      <c r="O85" s="108">
        <v>1</v>
      </c>
      <c r="P85" s="108">
        <v>6</v>
      </c>
    </row>
    <row r="86" spans="1:16" x14ac:dyDescent="0.3">
      <c r="A86" s="280" t="s">
        <v>211</v>
      </c>
      <c r="B86" s="348" t="s">
        <v>212</v>
      </c>
      <c r="C86" s="348" t="s">
        <v>254</v>
      </c>
      <c r="D86" s="108">
        <v>25</v>
      </c>
      <c r="E86" s="108">
        <v>18</v>
      </c>
      <c r="F86" s="108">
        <v>18</v>
      </c>
      <c r="G86" s="108">
        <v>25</v>
      </c>
      <c r="H86" s="108">
        <v>8</v>
      </c>
      <c r="I86" s="108">
        <v>12</v>
      </c>
      <c r="J86" s="108">
        <v>18</v>
      </c>
      <c r="K86" s="108">
        <v>6</v>
      </c>
      <c r="L86" s="108">
        <v>11</v>
      </c>
      <c r="M86" s="108">
        <v>8</v>
      </c>
      <c r="N86" s="108">
        <v>7</v>
      </c>
      <c r="O86" s="108">
        <v>5</v>
      </c>
      <c r="P86" s="108">
        <v>161</v>
      </c>
    </row>
    <row r="87" spans="1:16" x14ac:dyDescent="0.3">
      <c r="A87" s="280" t="s">
        <v>213</v>
      </c>
      <c r="B87" s="348" t="s">
        <v>214</v>
      </c>
      <c r="C87" s="348" t="s">
        <v>255</v>
      </c>
      <c r="D87" s="108">
        <v>7</v>
      </c>
      <c r="E87" s="108">
        <v>5</v>
      </c>
      <c r="F87" s="108">
        <v>5</v>
      </c>
      <c r="G87" s="108">
        <v>5</v>
      </c>
      <c r="H87" s="108">
        <v>5</v>
      </c>
      <c r="I87" s="108">
        <v>4</v>
      </c>
      <c r="J87" s="108">
        <v>8</v>
      </c>
      <c r="K87" s="108">
        <v>6</v>
      </c>
      <c r="L87" s="108">
        <v>6</v>
      </c>
      <c r="M87" s="108">
        <v>4</v>
      </c>
      <c r="N87" s="108">
        <v>1</v>
      </c>
      <c r="O87" s="108">
        <v>5</v>
      </c>
      <c r="P87" s="108">
        <v>61</v>
      </c>
    </row>
    <row r="88" spans="1:16" x14ac:dyDescent="0.3">
      <c r="A88" s="280" t="s">
        <v>215</v>
      </c>
      <c r="B88" s="348" t="s">
        <v>216</v>
      </c>
      <c r="C88" s="348" t="s">
        <v>251</v>
      </c>
      <c r="D88" s="108">
        <v>5</v>
      </c>
      <c r="E88" s="108">
        <v>2</v>
      </c>
      <c r="F88" s="108">
        <v>3</v>
      </c>
      <c r="G88" s="108">
        <v>3</v>
      </c>
      <c r="H88" s="108">
        <v>3</v>
      </c>
      <c r="I88" s="108">
        <v>6</v>
      </c>
      <c r="J88" s="108">
        <v>5</v>
      </c>
      <c r="K88" s="108">
        <v>3</v>
      </c>
      <c r="L88" s="108">
        <v>2</v>
      </c>
      <c r="M88" s="108">
        <v>1</v>
      </c>
      <c r="N88" s="108">
        <v>1</v>
      </c>
      <c r="O88" s="108">
        <v>5</v>
      </c>
      <c r="P88" s="108">
        <v>39</v>
      </c>
    </row>
    <row r="89" spans="1:16" x14ac:dyDescent="0.3">
      <c r="A89" s="280" t="s">
        <v>217</v>
      </c>
      <c r="B89" s="348" t="s">
        <v>218</v>
      </c>
      <c r="C89" s="348" t="s">
        <v>254</v>
      </c>
      <c r="D89" s="108">
        <v>47</v>
      </c>
      <c r="E89" s="108">
        <v>63</v>
      </c>
      <c r="F89" s="108">
        <v>39</v>
      </c>
      <c r="G89" s="108">
        <v>50</v>
      </c>
      <c r="H89" s="108">
        <v>40</v>
      </c>
      <c r="I89" s="108">
        <v>38</v>
      </c>
      <c r="J89" s="108">
        <v>54</v>
      </c>
      <c r="K89" s="108">
        <v>35</v>
      </c>
      <c r="L89" s="108">
        <v>28</v>
      </c>
      <c r="M89" s="108">
        <v>33</v>
      </c>
      <c r="N89" s="108">
        <v>24</v>
      </c>
      <c r="O89" s="108">
        <v>29</v>
      </c>
      <c r="P89" s="108">
        <v>480</v>
      </c>
    </row>
    <row r="90" spans="1:16" x14ac:dyDescent="0.3">
      <c r="A90" s="280" t="s">
        <v>219</v>
      </c>
      <c r="B90" s="348" t="s">
        <v>220</v>
      </c>
      <c r="C90" s="348" t="s">
        <v>254</v>
      </c>
      <c r="D90" s="108">
        <v>65</v>
      </c>
      <c r="E90" s="108">
        <v>88</v>
      </c>
      <c r="F90" s="108">
        <v>67</v>
      </c>
      <c r="G90" s="108">
        <v>65</v>
      </c>
      <c r="H90" s="108">
        <v>50</v>
      </c>
      <c r="I90" s="108">
        <v>39</v>
      </c>
      <c r="J90" s="108">
        <v>48</v>
      </c>
      <c r="K90" s="108">
        <v>47</v>
      </c>
      <c r="L90" s="108">
        <v>33</v>
      </c>
      <c r="M90" s="108">
        <v>17</v>
      </c>
      <c r="N90" s="108">
        <v>19</v>
      </c>
      <c r="O90" s="108">
        <v>30</v>
      </c>
      <c r="P90" s="108">
        <v>568</v>
      </c>
    </row>
    <row r="91" spans="1:16" x14ac:dyDescent="0.3">
      <c r="A91" s="280" t="s">
        <v>223</v>
      </c>
      <c r="B91" s="348" t="s">
        <v>224</v>
      </c>
      <c r="C91" s="348" t="s">
        <v>251</v>
      </c>
      <c r="D91" s="108">
        <v>1</v>
      </c>
      <c r="E91" s="108">
        <v>1</v>
      </c>
      <c r="F91" s="108">
        <v>3</v>
      </c>
      <c r="G91" s="108">
        <v>1</v>
      </c>
      <c r="H91" s="108">
        <v>1</v>
      </c>
      <c r="I91" s="108"/>
      <c r="J91" s="108"/>
      <c r="K91" s="108"/>
      <c r="L91" s="108">
        <v>2</v>
      </c>
      <c r="M91" s="108"/>
      <c r="N91" s="108"/>
      <c r="O91" s="108"/>
      <c r="P91" s="108">
        <v>9</v>
      </c>
    </row>
    <row r="92" spans="1:16" x14ac:dyDescent="0.3">
      <c r="A92" s="280" t="s">
        <v>225</v>
      </c>
      <c r="B92" s="348" t="s">
        <v>226</v>
      </c>
      <c r="C92" s="348" t="s">
        <v>251</v>
      </c>
      <c r="D92" s="108">
        <v>2</v>
      </c>
      <c r="E92" s="108">
        <v>1</v>
      </c>
      <c r="F92" s="108">
        <v>3</v>
      </c>
      <c r="G92" s="108">
        <v>3</v>
      </c>
      <c r="H92" s="108"/>
      <c r="I92" s="108">
        <v>2</v>
      </c>
      <c r="J92" s="108">
        <v>1</v>
      </c>
      <c r="K92" s="108">
        <v>4</v>
      </c>
      <c r="L92" s="108">
        <v>1</v>
      </c>
      <c r="M92" s="108">
        <v>2</v>
      </c>
      <c r="N92" s="108">
        <v>3</v>
      </c>
      <c r="O92" s="108">
        <v>1</v>
      </c>
      <c r="P92" s="108">
        <v>23</v>
      </c>
    </row>
    <row r="93" spans="1:16" x14ac:dyDescent="0.3">
      <c r="A93" s="280" t="s">
        <v>227</v>
      </c>
      <c r="B93" s="348" t="s">
        <v>228</v>
      </c>
      <c r="C93" s="348" t="s">
        <v>255</v>
      </c>
      <c r="D93" s="108">
        <v>12</v>
      </c>
      <c r="E93" s="108">
        <v>16</v>
      </c>
      <c r="F93" s="108">
        <v>9</v>
      </c>
      <c r="G93" s="108">
        <v>8</v>
      </c>
      <c r="H93" s="108">
        <v>7</v>
      </c>
      <c r="I93" s="108">
        <v>6</v>
      </c>
      <c r="J93" s="108">
        <v>10</v>
      </c>
      <c r="K93" s="108">
        <v>6</v>
      </c>
      <c r="L93" s="108">
        <v>9</v>
      </c>
      <c r="M93" s="108">
        <v>5</v>
      </c>
      <c r="N93" s="108">
        <v>8</v>
      </c>
      <c r="O93" s="108">
        <v>6</v>
      </c>
      <c r="P93" s="108">
        <v>102</v>
      </c>
    </row>
    <row r="94" spans="1:16" x14ac:dyDescent="0.3">
      <c r="A94" s="280" t="s">
        <v>231</v>
      </c>
      <c r="B94" s="348" t="s">
        <v>232</v>
      </c>
      <c r="C94" s="348" t="s">
        <v>254</v>
      </c>
      <c r="D94" s="108">
        <v>14</v>
      </c>
      <c r="E94" s="108">
        <v>15</v>
      </c>
      <c r="F94" s="108">
        <v>16</v>
      </c>
      <c r="G94" s="108">
        <v>20</v>
      </c>
      <c r="H94" s="108">
        <v>13</v>
      </c>
      <c r="I94" s="108">
        <v>12</v>
      </c>
      <c r="J94" s="108">
        <v>17</v>
      </c>
      <c r="K94" s="108">
        <v>16</v>
      </c>
      <c r="L94" s="108">
        <v>13</v>
      </c>
      <c r="M94" s="108">
        <v>3</v>
      </c>
      <c r="N94" s="108">
        <v>8</v>
      </c>
      <c r="O94" s="108">
        <v>9</v>
      </c>
      <c r="P94" s="108">
        <v>156</v>
      </c>
    </row>
    <row r="95" spans="1:16" x14ac:dyDescent="0.3">
      <c r="A95" s="280" t="s">
        <v>233</v>
      </c>
      <c r="B95" s="348" t="s">
        <v>234</v>
      </c>
      <c r="C95" s="348" t="s">
        <v>255</v>
      </c>
      <c r="D95" s="108">
        <v>13</v>
      </c>
      <c r="E95" s="108">
        <v>10</v>
      </c>
      <c r="F95" s="108">
        <v>12</v>
      </c>
      <c r="G95" s="108">
        <v>8</v>
      </c>
      <c r="H95" s="108">
        <v>7</v>
      </c>
      <c r="I95" s="108">
        <v>4</v>
      </c>
      <c r="J95" s="108">
        <v>11</v>
      </c>
      <c r="K95" s="108">
        <v>11</v>
      </c>
      <c r="L95" s="108">
        <v>8</v>
      </c>
      <c r="M95" s="108">
        <v>9</v>
      </c>
      <c r="N95" s="108">
        <v>6</v>
      </c>
      <c r="O95" s="108">
        <v>6</v>
      </c>
      <c r="P95" s="108">
        <v>105</v>
      </c>
    </row>
    <row r="96" spans="1:16" x14ac:dyDescent="0.3">
      <c r="A96" s="280" t="s">
        <v>235</v>
      </c>
      <c r="B96" s="348" t="s">
        <v>236</v>
      </c>
      <c r="C96" s="348" t="s">
        <v>253</v>
      </c>
      <c r="D96" s="108">
        <v>6</v>
      </c>
      <c r="E96" s="108">
        <v>10</v>
      </c>
      <c r="F96" s="108">
        <v>6</v>
      </c>
      <c r="G96" s="108">
        <v>8</v>
      </c>
      <c r="H96" s="108">
        <v>7</v>
      </c>
      <c r="I96" s="108">
        <v>7</v>
      </c>
      <c r="J96" s="108">
        <v>4</v>
      </c>
      <c r="K96" s="108">
        <v>3</v>
      </c>
      <c r="L96" s="108">
        <v>9</v>
      </c>
      <c r="M96" s="108"/>
      <c r="N96" s="108">
        <v>5</v>
      </c>
      <c r="O96" s="108">
        <v>4</v>
      </c>
      <c r="P96" s="108">
        <v>69</v>
      </c>
    </row>
    <row r="97" spans="1:16" x14ac:dyDescent="0.3">
      <c r="A97" s="280" t="s">
        <v>241</v>
      </c>
      <c r="B97" s="348" t="s">
        <v>242</v>
      </c>
      <c r="C97" s="348" t="s">
        <v>255</v>
      </c>
      <c r="D97" s="108">
        <v>7</v>
      </c>
      <c r="E97" s="108">
        <v>3</v>
      </c>
      <c r="F97" s="108">
        <v>5</v>
      </c>
      <c r="G97" s="108">
        <v>4</v>
      </c>
      <c r="H97" s="108">
        <v>6</v>
      </c>
      <c r="I97" s="108"/>
      <c r="J97" s="108"/>
      <c r="K97" s="108">
        <v>3</v>
      </c>
      <c r="L97" s="108">
        <v>4</v>
      </c>
      <c r="M97" s="108">
        <v>3</v>
      </c>
      <c r="N97" s="108">
        <v>3</v>
      </c>
      <c r="O97" s="108">
        <v>3</v>
      </c>
      <c r="P97" s="108">
        <v>41</v>
      </c>
    </row>
    <row r="98" spans="1:16" x14ac:dyDescent="0.3">
      <c r="A98" s="280" t="s">
        <v>243</v>
      </c>
      <c r="B98" s="348" t="s">
        <v>244</v>
      </c>
      <c r="C98" s="348" t="s">
        <v>255</v>
      </c>
      <c r="D98" s="108">
        <v>12</v>
      </c>
      <c r="E98" s="108">
        <v>13</v>
      </c>
      <c r="F98" s="108">
        <v>8</v>
      </c>
      <c r="G98" s="108">
        <v>7</v>
      </c>
      <c r="H98" s="108">
        <v>4</v>
      </c>
      <c r="I98" s="108">
        <v>1</v>
      </c>
      <c r="J98" s="108">
        <v>2</v>
      </c>
      <c r="K98" s="108">
        <v>2</v>
      </c>
      <c r="L98" s="108">
        <v>3</v>
      </c>
      <c r="M98" s="108">
        <v>4</v>
      </c>
      <c r="N98" s="108">
        <v>3</v>
      </c>
      <c r="O98" s="108">
        <v>1</v>
      </c>
      <c r="P98" s="108">
        <v>60</v>
      </c>
    </row>
    <row r="99" spans="1:16" x14ac:dyDescent="0.3">
      <c r="A99" s="280" t="s">
        <v>245</v>
      </c>
      <c r="B99" s="348" t="s">
        <v>246</v>
      </c>
      <c r="C99" s="348" t="s">
        <v>251</v>
      </c>
      <c r="D99" s="108">
        <v>19</v>
      </c>
      <c r="E99" s="108">
        <v>10</v>
      </c>
      <c r="F99" s="108">
        <v>12</v>
      </c>
      <c r="G99" s="108">
        <v>15</v>
      </c>
      <c r="H99" s="108">
        <v>13</v>
      </c>
      <c r="I99" s="108">
        <v>10</v>
      </c>
      <c r="J99" s="108">
        <v>13</v>
      </c>
      <c r="K99" s="108">
        <v>10</v>
      </c>
      <c r="L99" s="108">
        <v>10</v>
      </c>
      <c r="M99" s="108">
        <v>8</v>
      </c>
      <c r="N99" s="108">
        <v>4</v>
      </c>
      <c r="O99" s="108">
        <v>14</v>
      </c>
      <c r="P99" s="108">
        <v>138</v>
      </c>
    </row>
    <row r="100" spans="1:16" x14ac:dyDescent="0.3">
      <c r="A100" s="280" t="s">
        <v>13</v>
      </c>
      <c r="B100" s="348" t="s">
        <v>14</v>
      </c>
      <c r="C100" s="348" t="s">
        <v>254</v>
      </c>
      <c r="D100" s="108">
        <v>65</v>
      </c>
      <c r="E100" s="108">
        <v>67</v>
      </c>
      <c r="F100" s="108">
        <v>53</v>
      </c>
      <c r="G100" s="108">
        <v>44</v>
      </c>
      <c r="H100" s="108">
        <v>40</v>
      </c>
      <c r="I100" s="108">
        <v>36</v>
      </c>
      <c r="J100" s="108">
        <v>60</v>
      </c>
      <c r="K100" s="108">
        <v>67</v>
      </c>
      <c r="L100" s="108">
        <v>47</v>
      </c>
      <c r="M100" s="108">
        <v>25</v>
      </c>
      <c r="N100" s="108">
        <v>22</v>
      </c>
      <c r="O100" s="108">
        <v>29</v>
      </c>
      <c r="P100" s="108">
        <v>555</v>
      </c>
    </row>
    <row r="101" spans="1:16" x14ac:dyDescent="0.3">
      <c r="A101" s="280" t="s">
        <v>33</v>
      </c>
      <c r="B101" s="348" t="s">
        <v>34</v>
      </c>
      <c r="C101" s="348" t="s">
        <v>255</v>
      </c>
      <c r="D101" s="108">
        <v>20</v>
      </c>
      <c r="E101" s="108">
        <v>13</v>
      </c>
      <c r="F101" s="108">
        <v>14</v>
      </c>
      <c r="G101" s="108">
        <v>9</v>
      </c>
      <c r="H101" s="108">
        <v>10</v>
      </c>
      <c r="I101" s="108">
        <v>6</v>
      </c>
      <c r="J101" s="108">
        <v>21</v>
      </c>
      <c r="K101" s="108">
        <v>12</v>
      </c>
      <c r="L101" s="108">
        <v>6</v>
      </c>
      <c r="M101" s="108">
        <v>3</v>
      </c>
      <c r="N101" s="108">
        <v>5</v>
      </c>
      <c r="O101" s="108">
        <v>5</v>
      </c>
      <c r="P101" s="108">
        <v>124</v>
      </c>
    </row>
    <row r="102" spans="1:16" x14ac:dyDescent="0.3">
      <c r="A102" s="280" t="s">
        <v>51</v>
      </c>
      <c r="B102" s="348" t="s">
        <v>52</v>
      </c>
      <c r="C102" s="348" t="s">
        <v>252</v>
      </c>
      <c r="D102" s="108">
        <v>25</v>
      </c>
      <c r="E102" s="108">
        <v>21</v>
      </c>
      <c r="F102" s="108">
        <v>18</v>
      </c>
      <c r="G102" s="108">
        <v>5</v>
      </c>
      <c r="H102" s="108">
        <v>11</v>
      </c>
      <c r="I102" s="108">
        <v>11</v>
      </c>
      <c r="J102" s="108">
        <v>7</v>
      </c>
      <c r="K102" s="108">
        <v>6</v>
      </c>
      <c r="L102" s="108">
        <v>8</v>
      </c>
      <c r="M102" s="108">
        <v>4</v>
      </c>
      <c r="N102" s="108">
        <v>1</v>
      </c>
      <c r="O102" s="108">
        <v>5</v>
      </c>
      <c r="P102" s="108">
        <v>122</v>
      </c>
    </row>
    <row r="103" spans="1:16" x14ac:dyDescent="0.3">
      <c r="A103" s="280" t="s">
        <v>53</v>
      </c>
      <c r="B103" s="348" t="s">
        <v>54</v>
      </c>
      <c r="C103" s="348" t="s">
        <v>251</v>
      </c>
      <c r="D103" s="108">
        <v>130</v>
      </c>
      <c r="E103" s="108">
        <v>138</v>
      </c>
      <c r="F103" s="108">
        <v>129</v>
      </c>
      <c r="G103" s="108">
        <v>97</v>
      </c>
      <c r="H103" s="108">
        <v>86</v>
      </c>
      <c r="I103" s="108">
        <v>73</v>
      </c>
      <c r="J103" s="108">
        <v>116</v>
      </c>
      <c r="K103" s="108">
        <v>95</v>
      </c>
      <c r="L103" s="108">
        <v>86</v>
      </c>
      <c r="M103" s="108">
        <v>48</v>
      </c>
      <c r="N103" s="108">
        <v>51</v>
      </c>
      <c r="O103" s="108">
        <v>68</v>
      </c>
      <c r="P103" s="108">
        <v>1117</v>
      </c>
    </row>
    <row r="104" spans="1:16" x14ac:dyDescent="0.3">
      <c r="A104" s="280" t="s">
        <v>65</v>
      </c>
      <c r="B104" s="348" t="s">
        <v>66</v>
      </c>
      <c r="C104" s="348" t="s">
        <v>252</v>
      </c>
      <c r="D104" s="108">
        <v>22</v>
      </c>
      <c r="E104" s="108">
        <v>24</v>
      </c>
      <c r="F104" s="108">
        <v>16</v>
      </c>
      <c r="G104" s="108">
        <v>19</v>
      </c>
      <c r="H104" s="108">
        <v>17</v>
      </c>
      <c r="I104" s="108">
        <v>18</v>
      </c>
      <c r="J104" s="108">
        <v>23</v>
      </c>
      <c r="K104" s="108">
        <v>17</v>
      </c>
      <c r="L104" s="108">
        <v>18</v>
      </c>
      <c r="M104" s="108">
        <v>3</v>
      </c>
      <c r="N104" s="108">
        <v>2</v>
      </c>
      <c r="O104" s="108">
        <v>10</v>
      </c>
      <c r="P104" s="108">
        <v>189</v>
      </c>
    </row>
    <row r="105" spans="1:16" x14ac:dyDescent="0.3">
      <c r="A105" s="280" t="s">
        <v>81</v>
      </c>
      <c r="B105" s="348" t="s">
        <v>82</v>
      </c>
      <c r="C105" s="348" t="s">
        <v>251</v>
      </c>
      <c r="D105" s="108">
        <v>4</v>
      </c>
      <c r="E105" s="108">
        <v>5</v>
      </c>
      <c r="F105" s="108">
        <v>4</v>
      </c>
      <c r="G105" s="108">
        <v>6</v>
      </c>
      <c r="H105" s="108">
        <v>3</v>
      </c>
      <c r="I105" s="108"/>
      <c r="J105" s="108">
        <v>4</v>
      </c>
      <c r="K105" s="108">
        <v>4</v>
      </c>
      <c r="L105" s="108">
        <v>9</v>
      </c>
      <c r="M105" s="108">
        <v>6</v>
      </c>
      <c r="N105" s="108"/>
      <c r="O105" s="108">
        <v>1</v>
      </c>
      <c r="P105" s="108">
        <v>46</v>
      </c>
    </row>
    <row r="106" spans="1:16" x14ac:dyDescent="0.3">
      <c r="A106" s="280" t="s">
        <v>87</v>
      </c>
      <c r="B106" s="348" t="s">
        <v>88</v>
      </c>
      <c r="C106" s="348" t="s">
        <v>254</v>
      </c>
      <c r="D106" s="108">
        <v>21</v>
      </c>
      <c r="E106" s="108">
        <v>16</v>
      </c>
      <c r="F106" s="108">
        <v>18</v>
      </c>
      <c r="G106" s="108">
        <v>27</v>
      </c>
      <c r="H106" s="108">
        <v>21</v>
      </c>
      <c r="I106" s="108">
        <v>25</v>
      </c>
      <c r="J106" s="108">
        <v>25</v>
      </c>
      <c r="K106" s="108">
        <v>19</v>
      </c>
      <c r="L106" s="108">
        <v>11</v>
      </c>
      <c r="M106" s="108">
        <v>11</v>
      </c>
      <c r="N106" s="108">
        <v>9</v>
      </c>
      <c r="O106" s="108">
        <v>10</v>
      </c>
      <c r="P106" s="108">
        <v>213</v>
      </c>
    </row>
    <row r="107" spans="1:16" x14ac:dyDescent="0.3">
      <c r="A107" s="280" t="s">
        <v>89</v>
      </c>
      <c r="B107" s="348" t="s">
        <v>90</v>
      </c>
      <c r="C107" s="348" t="s">
        <v>255</v>
      </c>
      <c r="D107" s="108">
        <v>2</v>
      </c>
      <c r="E107" s="108"/>
      <c r="F107" s="108">
        <v>1</v>
      </c>
      <c r="G107" s="108"/>
      <c r="H107" s="108"/>
      <c r="I107" s="108"/>
      <c r="J107" s="108">
        <v>1</v>
      </c>
      <c r="K107" s="108"/>
      <c r="L107" s="108">
        <v>3</v>
      </c>
      <c r="M107" s="108"/>
      <c r="N107" s="108"/>
      <c r="O107" s="108">
        <v>2</v>
      </c>
      <c r="P107" s="108">
        <v>9</v>
      </c>
    </row>
    <row r="108" spans="1:16" x14ac:dyDescent="0.3">
      <c r="A108" s="280" t="s">
        <v>105</v>
      </c>
      <c r="B108" s="348" t="s">
        <v>106</v>
      </c>
      <c r="C108" s="348" t="s">
        <v>251</v>
      </c>
      <c r="D108" s="108">
        <v>124</v>
      </c>
      <c r="E108" s="108">
        <v>103</v>
      </c>
      <c r="F108" s="108">
        <v>119</v>
      </c>
      <c r="G108" s="108">
        <v>101</v>
      </c>
      <c r="H108" s="108">
        <v>92</v>
      </c>
      <c r="I108" s="108">
        <v>81</v>
      </c>
      <c r="J108" s="108">
        <v>151</v>
      </c>
      <c r="K108" s="108">
        <v>52</v>
      </c>
      <c r="L108" s="108">
        <v>65</v>
      </c>
      <c r="M108" s="108">
        <v>32</v>
      </c>
      <c r="N108" s="108">
        <v>35</v>
      </c>
      <c r="O108" s="108">
        <v>48</v>
      </c>
      <c r="P108" s="108">
        <v>1003</v>
      </c>
    </row>
    <row r="109" spans="1:16" x14ac:dyDescent="0.3">
      <c r="A109" s="280" t="s">
        <v>115</v>
      </c>
      <c r="B109" s="348" t="s">
        <v>116</v>
      </c>
      <c r="C109" s="348" t="s">
        <v>253</v>
      </c>
      <c r="D109" s="108">
        <v>30</v>
      </c>
      <c r="E109" s="108">
        <v>19</v>
      </c>
      <c r="F109" s="108">
        <v>16</v>
      </c>
      <c r="G109" s="108">
        <v>19</v>
      </c>
      <c r="H109" s="108">
        <v>10</v>
      </c>
      <c r="I109" s="108">
        <v>14</v>
      </c>
      <c r="J109" s="108">
        <v>25</v>
      </c>
      <c r="K109" s="108">
        <v>22</v>
      </c>
      <c r="L109" s="108">
        <v>11</v>
      </c>
      <c r="M109" s="108">
        <v>8</v>
      </c>
      <c r="N109" s="108">
        <v>8</v>
      </c>
      <c r="O109" s="108">
        <v>10</v>
      </c>
      <c r="P109" s="108">
        <v>192</v>
      </c>
    </row>
    <row r="110" spans="1:16" x14ac:dyDescent="0.3">
      <c r="A110" s="280" t="s">
        <v>137</v>
      </c>
      <c r="B110" s="348" t="s">
        <v>138</v>
      </c>
      <c r="C110" s="348" t="s">
        <v>252</v>
      </c>
      <c r="D110" s="108">
        <v>74</v>
      </c>
      <c r="E110" s="108">
        <v>71</v>
      </c>
      <c r="F110" s="108">
        <v>38</v>
      </c>
      <c r="G110" s="108">
        <v>47</v>
      </c>
      <c r="H110" s="108">
        <v>41</v>
      </c>
      <c r="I110" s="108">
        <v>29</v>
      </c>
      <c r="J110" s="108">
        <v>44</v>
      </c>
      <c r="K110" s="108">
        <v>24</v>
      </c>
      <c r="L110" s="108">
        <v>28</v>
      </c>
      <c r="M110" s="108">
        <v>12</v>
      </c>
      <c r="N110" s="108">
        <v>9</v>
      </c>
      <c r="O110" s="108">
        <v>15</v>
      </c>
      <c r="P110" s="108">
        <v>432</v>
      </c>
    </row>
    <row r="111" spans="1:16" x14ac:dyDescent="0.3">
      <c r="A111" s="280" t="s">
        <v>141</v>
      </c>
      <c r="B111" s="348" t="s">
        <v>142</v>
      </c>
      <c r="C111" s="348" t="s">
        <v>254</v>
      </c>
      <c r="D111" s="108">
        <v>12</v>
      </c>
      <c r="E111" s="108">
        <v>17</v>
      </c>
      <c r="F111" s="108">
        <v>13</v>
      </c>
      <c r="G111" s="108">
        <v>17</v>
      </c>
      <c r="H111" s="108">
        <v>12</v>
      </c>
      <c r="I111" s="108">
        <v>9</v>
      </c>
      <c r="J111" s="108">
        <v>22</v>
      </c>
      <c r="K111" s="108">
        <v>10</v>
      </c>
      <c r="L111" s="108">
        <v>13</v>
      </c>
      <c r="M111" s="108">
        <v>8</v>
      </c>
      <c r="N111" s="108">
        <v>5</v>
      </c>
      <c r="O111" s="108">
        <v>10</v>
      </c>
      <c r="P111" s="108">
        <v>148</v>
      </c>
    </row>
    <row r="112" spans="1:16" x14ac:dyDescent="0.3">
      <c r="A112" s="280" t="s">
        <v>143</v>
      </c>
      <c r="B112" s="348" t="s">
        <v>144</v>
      </c>
      <c r="C112" s="348" t="s">
        <v>254</v>
      </c>
      <c r="D112" s="108">
        <v>5</v>
      </c>
      <c r="E112" s="108">
        <v>6</v>
      </c>
      <c r="F112" s="108">
        <v>4</v>
      </c>
      <c r="G112" s="108">
        <v>3</v>
      </c>
      <c r="H112" s="108">
        <v>2</v>
      </c>
      <c r="I112" s="108">
        <v>6</v>
      </c>
      <c r="J112" s="108">
        <v>5</v>
      </c>
      <c r="K112" s="108">
        <v>1</v>
      </c>
      <c r="L112" s="108">
        <v>6</v>
      </c>
      <c r="M112" s="108">
        <v>2</v>
      </c>
      <c r="N112" s="108">
        <v>3</v>
      </c>
      <c r="O112" s="108">
        <v>1</v>
      </c>
      <c r="P112" s="108">
        <v>44</v>
      </c>
    </row>
    <row r="113" spans="1:16" x14ac:dyDescent="0.3">
      <c r="A113" s="280" t="s">
        <v>157</v>
      </c>
      <c r="B113" s="348" t="s">
        <v>158</v>
      </c>
      <c r="C113" s="348" t="s">
        <v>251</v>
      </c>
      <c r="D113" s="108">
        <v>230</v>
      </c>
      <c r="E113" s="108">
        <v>231</v>
      </c>
      <c r="F113" s="108">
        <v>185</v>
      </c>
      <c r="G113" s="108">
        <v>191</v>
      </c>
      <c r="H113" s="108">
        <v>144</v>
      </c>
      <c r="I113" s="108">
        <v>171</v>
      </c>
      <c r="J113" s="108">
        <v>174</v>
      </c>
      <c r="K113" s="108">
        <v>124</v>
      </c>
      <c r="L113" s="108">
        <v>111</v>
      </c>
      <c r="M113" s="108">
        <v>65</v>
      </c>
      <c r="N113" s="108">
        <v>58</v>
      </c>
      <c r="O113" s="108">
        <v>66</v>
      </c>
      <c r="P113" s="108">
        <v>1750</v>
      </c>
    </row>
    <row r="114" spans="1:16" x14ac:dyDescent="0.3">
      <c r="A114" s="280" t="s">
        <v>159</v>
      </c>
      <c r="B114" s="348" t="s">
        <v>160</v>
      </c>
      <c r="C114" s="348" t="s">
        <v>251</v>
      </c>
      <c r="D114" s="108">
        <v>232</v>
      </c>
      <c r="E114" s="108">
        <v>211</v>
      </c>
      <c r="F114" s="108">
        <v>213</v>
      </c>
      <c r="G114" s="108">
        <v>197</v>
      </c>
      <c r="H114" s="108">
        <v>169</v>
      </c>
      <c r="I114" s="108">
        <v>154</v>
      </c>
      <c r="J114" s="108">
        <v>229</v>
      </c>
      <c r="K114" s="108">
        <v>131</v>
      </c>
      <c r="L114" s="108">
        <v>149</v>
      </c>
      <c r="M114" s="108">
        <v>73</v>
      </c>
      <c r="N114" s="108">
        <v>93</v>
      </c>
      <c r="O114" s="108">
        <v>113</v>
      </c>
      <c r="P114" s="108">
        <v>1964</v>
      </c>
    </row>
    <row r="115" spans="1:16" x14ac:dyDescent="0.3">
      <c r="A115" s="280" t="s">
        <v>165</v>
      </c>
      <c r="B115" s="348" t="s">
        <v>166</v>
      </c>
      <c r="C115" s="348" t="s">
        <v>255</v>
      </c>
      <c r="D115" s="108">
        <v>2</v>
      </c>
      <c r="E115" s="108"/>
      <c r="F115" s="108">
        <v>1</v>
      </c>
      <c r="G115" s="108"/>
      <c r="H115" s="108">
        <v>1</v>
      </c>
      <c r="I115" s="108"/>
      <c r="J115" s="108"/>
      <c r="K115" s="108"/>
      <c r="L115" s="108">
        <v>1</v>
      </c>
      <c r="M115" s="108"/>
      <c r="N115" s="108"/>
      <c r="O115" s="108"/>
      <c r="P115" s="108">
        <v>5</v>
      </c>
    </row>
    <row r="116" spans="1:16" x14ac:dyDescent="0.3">
      <c r="A116" s="280" t="s">
        <v>175</v>
      </c>
      <c r="B116" s="348" t="s">
        <v>176</v>
      </c>
      <c r="C116" s="348" t="s">
        <v>253</v>
      </c>
      <c r="D116" s="108">
        <v>47</v>
      </c>
      <c r="E116" s="108">
        <v>54</v>
      </c>
      <c r="F116" s="108">
        <v>63</v>
      </c>
      <c r="G116" s="108">
        <v>54</v>
      </c>
      <c r="H116" s="108">
        <v>37</v>
      </c>
      <c r="I116" s="108">
        <v>29</v>
      </c>
      <c r="J116" s="108">
        <v>39</v>
      </c>
      <c r="K116" s="108">
        <v>34</v>
      </c>
      <c r="L116" s="108">
        <v>29</v>
      </c>
      <c r="M116" s="108">
        <v>17</v>
      </c>
      <c r="N116" s="108">
        <v>9</v>
      </c>
      <c r="O116" s="108">
        <v>21</v>
      </c>
      <c r="P116" s="108">
        <v>433</v>
      </c>
    </row>
    <row r="117" spans="1:16" x14ac:dyDescent="0.3">
      <c r="A117" s="280" t="s">
        <v>179</v>
      </c>
      <c r="B117" s="348" t="s">
        <v>180</v>
      </c>
      <c r="C117" s="348" t="s">
        <v>251</v>
      </c>
      <c r="D117" s="108">
        <v>75</v>
      </c>
      <c r="E117" s="108">
        <v>63</v>
      </c>
      <c r="F117" s="108">
        <v>81</v>
      </c>
      <c r="G117" s="108">
        <v>65</v>
      </c>
      <c r="H117" s="108">
        <v>55</v>
      </c>
      <c r="I117" s="108">
        <v>44</v>
      </c>
      <c r="J117" s="108">
        <v>85</v>
      </c>
      <c r="K117" s="108">
        <v>69</v>
      </c>
      <c r="L117" s="108">
        <v>63</v>
      </c>
      <c r="M117" s="108">
        <v>29</v>
      </c>
      <c r="N117" s="108">
        <v>38</v>
      </c>
      <c r="O117" s="108">
        <v>26</v>
      </c>
      <c r="P117" s="108">
        <v>693</v>
      </c>
    </row>
    <row r="118" spans="1:16" x14ac:dyDescent="0.3">
      <c r="A118" s="280" t="s">
        <v>191</v>
      </c>
      <c r="B118" s="348" t="s">
        <v>192</v>
      </c>
      <c r="C118" s="348" t="s">
        <v>255</v>
      </c>
      <c r="D118" s="108">
        <v>6</v>
      </c>
      <c r="E118" s="108">
        <v>8</v>
      </c>
      <c r="F118" s="108">
        <v>7</v>
      </c>
      <c r="G118" s="108">
        <v>3</v>
      </c>
      <c r="H118" s="108">
        <v>5</v>
      </c>
      <c r="I118" s="108">
        <v>3</v>
      </c>
      <c r="J118" s="108">
        <v>4</v>
      </c>
      <c r="K118" s="108">
        <v>4</v>
      </c>
      <c r="L118" s="108">
        <v>4</v>
      </c>
      <c r="M118" s="108">
        <v>3</v>
      </c>
      <c r="N118" s="108">
        <v>2</v>
      </c>
      <c r="O118" s="108">
        <v>3</v>
      </c>
      <c r="P118" s="108">
        <v>52</v>
      </c>
    </row>
    <row r="119" spans="1:16" x14ac:dyDescent="0.3">
      <c r="A119" s="280" t="s">
        <v>195</v>
      </c>
      <c r="B119" s="348" t="s">
        <v>196</v>
      </c>
      <c r="C119" s="348" t="s">
        <v>253</v>
      </c>
      <c r="D119" s="108">
        <v>173</v>
      </c>
      <c r="E119" s="108">
        <v>188</v>
      </c>
      <c r="F119" s="108">
        <v>167</v>
      </c>
      <c r="G119" s="108">
        <v>152</v>
      </c>
      <c r="H119" s="108">
        <v>130</v>
      </c>
      <c r="I119" s="108">
        <v>105</v>
      </c>
      <c r="J119" s="108">
        <v>139</v>
      </c>
      <c r="K119" s="108">
        <v>101</v>
      </c>
      <c r="L119" s="108">
        <v>90</v>
      </c>
      <c r="M119" s="108">
        <v>59</v>
      </c>
      <c r="N119" s="108">
        <v>35</v>
      </c>
      <c r="O119" s="108">
        <v>51</v>
      </c>
      <c r="P119" s="108">
        <v>1390</v>
      </c>
    </row>
    <row r="120" spans="1:16" x14ac:dyDescent="0.3">
      <c r="A120" s="280" t="s">
        <v>199</v>
      </c>
      <c r="B120" s="348" t="s">
        <v>200</v>
      </c>
      <c r="C120" s="348" t="s">
        <v>252</v>
      </c>
      <c r="D120" s="108">
        <v>81</v>
      </c>
      <c r="E120" s="108">
        <v>97</v>
      </c>
      <c r="F120" s="108">
        <v>69</v>
      </c>
      <c r="G120" s="108">
        <v>62</v>
      </c>
      <c r="H120" s="108">
        <v>51</v>
      </c>
      <c r="I120" s="108">
        <v>69</v>
      </c>
      <c r="J120" s="108">
        <v>82</v>
      </c>
      <c r="K120" s="108">
        <v>56</v>
      </c>
      <c r="L120" s="108">
        <v>43</v>
      </c>
      <c r="M120" s="108">
        <v>36</v>
      </c>
      <c r="N120" s="108">
        <v>21</v>
      </c>
      <c r="O120" s="108">
        <v>33</v>
      </c>
      <c r="P120" s="108">
        <v>700</v>
      </c>
    </row>
    <row r="121" spans="1:16" x14ac:dyDescent="0.3">
      <c r="A121" s="280" t="s">
        <v>221</v>
      </c>
      <c r="B121" s="348" t="s">
        <v>222</v>
      </c>
      <c r="C121" s="348" t="s">
        <v>251</v>
      </c>
      <c r="D121" s="108">
        <v>53</v>
      </c>
      <c r="E121" s="108">
        <v>49</v>
      </c>
      <c r="F121" s="108">
        <v>40</v>
      </c>
      <c r="G121" s="108">
        <v>35</v>
      </c>
      <c r="H121" s="108">
        <v>34</v>
      </c>
      <c r="I121" s="108">
        <v>45</v>
      </c>
      <c r="J121" s="108">
        <v>45</v>
      </c>
      <c r="K121" s="108">
        <v>22</v>
      </c>
      <c r="L121" s="108">
        <v>22</v>
      </c>
      <c r="M121" s="108">
        <v>16</v>
      </c>
      <c r="N121" s="108">
        <v>10</v>
      </c>
      <c r="O121" s="108">
        <v>21</v>
      </c>
      <c r="P121" s="108">
        <v>392</v>
      </c>
    </row>
    <row r="122" spans="1:16" x14ac:dyDescent="0.3">
      <c r="A122" s="280" t="s">
        <v>229</v>
      </c>
      <c r="B122" s="348" t="s">
        <v>230</v>
      </c>
      <c r="C122" s="348" t="s">
        <v>251</v>
      </c>
      <c r="D122" s="108">
        <v>208</v>
      </c>
      <c r="E122" s="108">
        <v>243</v>
      </c>
      <c r="F122" s="108">
        <v>208</v>
      </c>
      <c r="G122" s="108">
        <v>196</v>
      </c>
      <c r="H122" s="108">
        <v>156</v>
      </c>
      <c r="I122" s="108">
        <v>132</v>
      </c>
      <c r="J122" s="108">
        <v>200</v>
      </c>
      <c r="K122" s="108">
        <v>161</v>
      </c>
      <c r="L122" s="108">
        <v>170</v>
      </c>
      <c r="M122" s="108">
        <v>92</v>
      </c>
      <c r="N122" s="108">
        <v>69</v>
      </c>
      <c r="O122" s="108">
        <v>117</v>
      </c>
      <c r="P122" s="108">
        <v>1952</v>
      </c>
    </row>
    <row r="123" spans="1:16" x14ac:dyDescent="0.3">
      <c r="A123" s="280" t="s">
        <v>237</v>
      </c>
      <c r="B123" s="348" t="s">
        <v>238</v>
      </c>
      <c r="C123" s="348" t="s">
        <v>251</v>
      </c>
      <c r="D123" s="108">
        <v>1</v>
      </c>
      <c r="E123" s="108">
        <v>2</v>
      </c>
      <c r="F123" s="108">
        <v>6</v>
      </c>
      <c r="G123" s="108">
        <v>5</v>
      </c>
      <c r="H123" s="108">
        <v>5</v>
      </c>
      <c r="I123" s="108">
        <v>2</v>
      </c>
      <c r="J123" s="108">
        <v>11</v>
      </c>
      <c r="K123" s="108">
        <v>2</v>
      </c>
      <c r="L123" s="108"/>
      <c r="M123" s="108">
        <v>4</v>
      </c>
      <c r="N123" s="108">
        <v>3</v>
      </c>
      <c r="O123" s="108">
        <v>3</v>
      </c>
      <c r="P123" s="108">
        <v>44</v>
      </c>
    </row>
    <row r="124" spans="1:16" x14ac:dyDescent="0.3">
      <c r="A124" s="281" t="s">
        <v>239</v>
      </c>
      <c r="B124" s="282" t="s">
        <v>240</v>
      </c>
      <c r="C124" s="282" t="s">
        <v>254</v>
      </c>
      <c r="D124" s="108">
        <v>21</v>
      </c>
      <c r="E124" s="108">
        <v>31</v>
      </c>
      <c r="F124" s="108">
        <v>16</v>
      </c>
      <c r="G124" s="108">
        <v>7</v>
      </c>
      <c r="H124" s="108">
        <v>8</v>
      </c>
      <c r="I124" s="108">
        <v>8</v>
      </c>
      <c r="J124" s="108">
        <v>15</v>
      </c>
      <c r="K124" s="108">
        <v>13</v>
      </c>
      <c r="L124" s="108">
        <v>12</v>
      </c>
      <c r="M124" s="108">
        <v>9</v>
      </c>
      <c r="N124" s="108">
        <v>5</v>
      </c>
      <c r="O124" s="108">
        <v>7</v>
      </c>
      <c r="P124" s="108">
        <v>152</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P130"/>
  <sheetViews>
    <sheetView workbookViewId="0">
      <pane xSplit="3" ySplit="5" topLeftCell="D116" activePane="bottomRight" state="frozen"/>
      <selection pane="topRight" activeCell="D1" sqref="D1"/>
      <selection pane="bottomLeft" activeCell="A6" sqref="A6"/>
      <selection pane="bottomRight" activeCell="B127" sqref="B127"/>
    </sheetView>
  </sheetViews>
  <sheetFormatPr defaultColWidth="9" defaultRowHeight="15.6" x14ac:dyDescent="0.3"/>
  <cols>
    <col min="1" max="1" width="6.09765625" style="41" bestFit="1" customWidth="1"/>
    <col min="2" max="2" width="29.296875" style="64" customWidth="1"/>
    <col min="3" max="3" width="9.19921875" style="64" customWidth="1"/>
    <col min="4" max="8" width="15.19921875" style="472" customWidth="1"/>
    <col min="9" max="9" width="13.59765625" style="472" bestFit="1" customWidth="1"/>
    <col min="10" max="10" width="14.796875" style="472" customWidth="1"/>
    <col min="11" max="11" width="12.59765625" style="472" bestFit="1" customWidth="1"/>
    <col min="12" max="12" width="12.59765625" style="472" customWidth="1"/>
    <col min="13" max="13" width="13.59765625" style="472" bestFit="1" customWidth="1"/>
    <col min="14" max="14" width="14.796875" style="472" bestFit="1" customWidth="1"/>
    <col min="15" max="28" width="16" style="472" customWidth="1"/>
    <col min="29" max="29" width="3.19921875" style="472" customWidth="1"/>
    <col min="30" max="30" width="9" style="107" customWidth="1"/>
    <col min="31" max="33" width="9" style="107"/>
    <col min="34" max="34" width="11" style="107" customWidth="1"/>
    <col min="35" max="35" width="3.796875" style="426" customWidth="1"/>
    <col min="36" max="38" width="12.5" style="105" customWidth="1"/>
    <col min="39" max="39" width="4.09765625" style="426" customWidth="1"/>
    <col min="40" max="42" width="12.5" style="105" customWidth="1"/>
    <col min="43" max="16384" width="9" style="426"/>
  </cols>
  <sheetData>
    <row r="1" spans="1:42" x14ac:dyDescent="0.3">
      <c r="A1" s="425" t="s">
        <v>914</v>
      </c>
      <c r="B1" s="426"/>
      <c r="C1" s="426"/>
    </row>
    <row r="3" spans="1:42" x14ac:dyDescent="0.3">
      <c r="D3" s="2469" t="s">
        <v>450</v>
      </c>
      <c r="E3" s="2470"/>
      <c r="F3" s="2471"/>
      <c r="G3" s="2470"/>
      <c r="H3" s="2472"/>
      <c r="I3" s="2473" t="s">
        <v>451</v>
      </c>
      <c r="J3" s="2474"/>
      <c r="K3" s="2474"/>
      <c r="L3" s="2475"/>
      <c r="M3" s="2476"/>
      <c r="N3" s="2477" t="s">
        <v>735</v>
      </c>
      <c r="O3" s="2478"/>
      <c r="P3" s="2478"/>
      <c r="Q3" s="2479"/>
      <c r="R3" s="2480"/>
      <c r="S3" s="2486" t="s">
        <v>818</v>
      </c>
      <c r="T3" s="2471"/>
      <c r="U3" s="2471"/>
      <c r="V3" s="2471"/>
      <c r="W3" s="2487"/>
      <c r="X3" s="2482" t="s">
        <v>736</v>
      </c>
      <c r="Y3" s="2483"/>
      <c r="Z3" s="2483"/>
      <c r="AA3" s="2484"/>
      <c r="AB3" s="2485"/>
      <c r="AC3" s="473"/>
      <c r="AD3" s="2466" t="s">
        <v>446</v>
      </c>
      <c r="AE3" s="2467"/>
      <c r="AF3" s="2467"/>
      <c r="AG3" s="2481"/>
      <c r="AH3" s="2468"/>
      <c r="AJ3" s="2466" t="s">
        <v>611</v>
      </c>
      <c r="AK3" s="2467"/>
      <c r="AL3" s="2468"/>
      <c r="AN3" s="2466" t="s">
        <v>612</v>
      </c>
      <c r="AO3" s="2467"/>
      <c r="AP3" s="2468"/>
    </row>
    <row r="4" spans="1:42" ht="31.2" x14ac:dyDescent="0.3">
      <c r="A4" s="427" t="s">
        <v>4</v>
      </c>
      <c r="B4" s="78" t="s">
        <v>5</v>
      </c>
      <c r="C4" s="78" t="s">
        <v>250</v>
      </c>
      <c r="D4" s="1392" t="s">
        <v>287</v>
      </c>
      <c r="E4" s="1393" t="s">
        <v>288</v>
      </c>
      <c r="F4" s="1393" t="s">
        <v>289</v>
      </c>
      <c r="G4" s="1394" t="s">
        <v>279</v>
      </c>
      <c r="H4" s="1395" t="s">
        <v>262</v>
      </c>
      <c r="I4" s="1392" t="s">
        <v>287</v>
      </c>
      <c r="J4" s="1393" t="s">
        <v>288</v>
      </c>
      <c r="K4" s="1394" t="s">
        <v>289</v>
      </c>
      <c r="L4" s="1394" t="s">
        <v>279</v>
      </c>
      <c r="M4" s="1395" t="s">
        <v>262</v>
      </c>
      <c r="N4" s="1388" t="s">
        <v>287</v>
      </c>
      <c r="O4" s="1389" t="s">
        <v>288</v>
      </c>
      <c r="P4" s="1390" t="s">
        <v>289</v>
      </c>
      <c r="Q4" s="1775" t="s">
        <v>279</v>
      </c>
      <c r="R4" s="1391" t="s">
        <v>262</v>
      </c>
      <c r="S4" s="1381" t="s">
        <v>287</v>
      </c>
      <c r="T4" s="1382" t="s">
        <v>288</v>
      </c>
      <c r="U4" s="1382" t="s">
        <v>289</v>
      </c>
      <c r="V4" s="1779" t="s">
        <v>279</v>
      </c>
      <c r="W4" s="1383" t="s">
        <v>262</v>
      </c>
      <c r="X4" s="1381" t="s">
        <v>287</v>
      </c>
      <c r="Y4" s="1384" t="s">
        <v>288</v>
      </c>
      <c r="Z4" s="1382" t="s">
        <v>289</v>
      </c>
      <c r="AA4" s="1779" t="s">
        <v>279</v>
      </c>
      <c r="AB4" s="1383" t="s">
        <v>262</v>
      </c>
      <c r="AC4" s="474"/>
      <c r="AD4" s="816" t="s">
        <v>447</v>
      </c>
      <c r="AE4" s="492" t="s">
        <v>448</v>
      </c>
      <c r="AF4" s="492" t="s">
        <v>449</v>
      </c>
      <c r="AG4" s="492" t="s">
        <v>819</v>
      </c>
      <c r="AH4" s="485" t="s">
        <v>457</v>
      </c>
      <c r="AJ4" s="484" t="s">
        <v>454</v>
      </c>
      <c r="AK4" s="492" t="s">
        <v>455</v>
      </c>
      <c r="AL4" s="493" t="s">
        <v>456</v>
      </c>
      <c r="AN4" s="484" t="s">
        <v>454</v>
      </c>
      <c r="AO4" s="492" t="s">
        <v>455</v>
      </c>
      <c r="AP4" s="493" t="s">
        <v>456</v>
      </c>
    </row>
    <row r="5" spans="1:42" x14ac:dyDescent="0.3">
      <c r="A5" s="475" t="s">
        <v>7</v>
      </c>
      <c r="B5" s="476" t="s">
        <v>8</v>
      </c>
      <c r="C5" s="476"/>
      <c r="D5" s="479">
        <f>'Administration LASER'!D4+'Other Oper Exp. LASER'!D4</f>
        <v>366815823.25999999</v>
      </c>
      <c r="E5" s="480">
        <f>'Administration LASER'!E4+'Other Oper Exp. LASER'!E4</f>
        <v>111531387.14000005</v>
      </c>
      <c r="F5" s="1781">
        <f>'Administration LASER'!F4+'Other Oper Exp. LASER'!F4</f>
        <v>226416404.12</v>
      </c>
      <c r="G5" s="480">
        <f>'Administration LASER'!J4 + 'Other Oper Exp. LASER'!J4</f>
        <v>39949117.839999996</v>
      </c>
      <c r="H5" s="1369">
        <f>'Administration LASER'!I4+'Other Oper Exp. LASER'!I4</f>
        <v>744712732.35999966</v>
      </c>
      <c r="I5" s="479">
        <f>'Client Services LASER'!D4</f>
        <v>10601990.880000001</v>
      </c>
      <c r="J5" s="480">
        <f>'Client Services LASER'!E4</f>
        <v>8642703.8000000045</v>
      </c>
      <c r="K5" s="480">
        <f>'Client Services LASER'!F4</f>
        <v>3952816.61</v>
      </c>
      <c r="L5" s="1781">
        <f>'Client Services LASER'!G4+'Client Services LASER'!H4</f>
        <v>4605601.0599999977</v>
      </c>
      <c r="M5" s="1369">
        <f>'Client Services LASER'!I4</f>
        <v>27803112.350000009</v>
      </c>
      <c r="N5" s="1370">
        <f>'Statewide Benefits'!D5</f>
        <v>7756046206.124321</v>
      </c>
      <c r="O5" s="1371">
        <f>'Statewide Benefits'!E5</f>
        <v>6409701417.2972021</v>
      </c>
      <c r="P5" s="1371">
        <f>'Statewide Benefits'!F5</f>
        <v>164294048.40000004</v>
      </c>
      <c r="Q5" s="1776">
        <f>'Statewide Benefits'!G5</f>
        <v>0</v>
      </c>
      <c r="R5" s="1372">
        <f>'Statewide Benefits'!H5</f>
        <v>14330041671.821526</v>
      </c>
      <c r="S5" s="1379">
        <f>'Other Benefits LASER'!D4+'FC &amp; Adoptions LASER'!D4</f>
        <v>96705973.799999982</v>
      </c>
      <c r="T5" s="1380">
        <f>'Other Benefits LASER'!E4+'FC &amp; Adoptions LASER'!E4</f>
        <v>125314610.80000001</v>
      </c>
      <c r="U5" s="1380">
        <f>'Other Benefits LASER'!F4+'FC &amp; Adoptions LASER'!F4</f>
        <v>4682551.7</v>
      </c>
      <c r="V5" s="1780">
        <f>'FC &amp; Adoptions LASER'!J4+'Other Benefits LASER'!J4</f>
        <v>1465677.8199999998</v>
      </c>
      <c r="W5" s="1372">
        <f>'Other Benefits LASER'!I4+'FC &amp; Adoptions LASER'!I4</f>
        <v>228168814.12</v>
      </c>
      <c r="X5" s="1385">
        <f t="shared" ref="X5:AB5" si="0">SUM(X6:X125)</f>
        <v>8230169994.0643225</v>
      </c>
      <c r="Y5" s="1386">
        <f t="shared" si="0"/>
        <v>6655190119.037199</v>
      </c>
      <c r="Z5" s="1386">
        <f>F5+K5+P5+U5</f>
        <v>399345820.83000004</v>
      </c>
      <c r="AA5" s="1782">
        <f>G5+L5+Q5+V5</f>
        <v>46020396.719999991</v>
      </c>
      <c r="AB5" s="1387">
        <f t="shared" si="0"/>
        <v>15330726330.651518</v>
      </c>
      <c r="AC5" s="477"/>
      <c r="AD5" s="486">
        <f t="shared" ref="AD5" si="1">D5/H5</f>
        <v>0.49256016087915966</v>
      </c>
      <c r="AE5" s="487">
        <f t="shared" ref="AE5" si="2">E5/H5</f>
        <v>0.1497643081602168</v>
      </c>
      <c r="AF5" s="487">
        <f>F5/H5</f>
        <v>0.30403186931219089</v>
      </c>
      <c r="AG5" s="1783">
        <f>G5/H5</f>
        <v>5.3643661648433177E-2</v>
      </c>
      <c r="AH5" s="488">
        <f>(D5+E5)/H5</f>
        <v>0.64232446903937646</v>
      </c>
      <c r="AJ5" s="808">
        <f>H5/AB5</f>
        <v>4.8576480741884795E-2</v>
      </c>
      <c r="AK5" s="809">
        <f>M5/AB5</f>
        <v>1.8135548016672766E-3</v>
      </c>
      <c r="AL5" s="810">
        <f>(R5+W5)/AB5</f>
        <v>0.94960996445644841</v>
      </c>
      <c r="AN5" s="808">
        <f>F5/Z5</f>
        <v>0.56696825736004031</v>
      </c>
      <c r="AO5" s="809">
        <f>K5/Z5</f>
        <v>9.8982295640016194E-3</v>
      </c>
      <c r="AP5" s="810">
        <f>(P5+U5)/Z5</f>
        <v>0.42313351307595803</v>
      </c>
    </row>
    <row r="6" spans="1:42" x14ac:dyDescent="0.3">
      <c r="A6" s="435" t="s">
        <v>9</v>
      </c>
      <c r="B6" s="319" t="s">
        <v>10</v>
      </c>
      <c r="C6" s="436" t="s">
        <v>251</v>
      </c>
      <c r="D6" s="481">
        <f>'Administration LASER'!D5+'Other Oper Exp. LASER'!D5</f>
        <v>2007174.21</v>
      </c>
      <c r="E6" s="482">
        <f>'Administration LASER'!E5+'Other Oper Exp. LASER'!E5</f>
        <v>806252.63</v>
      </c>
      <c r="F6" s="482">
        <f>'Administration LASER'!F5+'Other Oper Exp. LASER'!F5</f>
        <v>544988.86</v>
      </c>
      <c r="G6" s="482">
        <f>'Administration LASER'!J5 + 'Other Oper Exp. LASER'!J5</f>
        <v>195669.15999999997</v>
      </c>
      <c r="H6" s="483">
        <f>'Administration LASER'!I5+'Other Oper Exp. LASER'!I5</f>
        <v>3554084.8600000003</v>
      </c>
      <c r="I6" s="481">
        <f>'Client Services LASER'!D5</f>
        <v>70435.286302097724</v>
      </c>
      <c r="J6" s="482">
        <f>'Client Services LASER'!E5</f>
        <v>8047.6336979022735</v>
      </c>
      <c r="K6" s="482">
        <f>'Client Services LASER'!F5</f>
        <v>22358.52</v>
      </c>
      <c r="L6" s="482">
        <f>'Client Services LASER'!J5</f>
        <v>-0.11</v>
      </c>
      <c r="M6" s="483">
        <f>'Client Services LASER'!I5</f>
        <v>100841.33</v>
      </c>
      <c r="N6" s="1373">
        <f>'Statewide Benefits'!D6</f>
        <v>49270644.864709705</v>
      </c>
      <c r="O6" s="1374">
        <f>'Statewide Benefits'!E6</f>
        <v>39056951.924917102</v>
      </c>
      <c r="P6" s="1374">
        <f>'Statewide Benefits'!F6</f>
        <v>93415.29</v>
      </c>
      <c r="Q6" s="1777">
        <f>'Statewide Benefits'!G6</f>
        <v>0</v>
      </c>
      <c r="R6" s="1375">
        <f t="shared" ref="R6:R36" si="3">SUM(N6:P6)</f>
        <v>88421012.079626814</v>
      </c>
      <c r="S6" s="1373">
        <f>'Other Benefits LASER'!D5+'FC &amp; Adoptions LASER'!D5</f>
        <v>197066.71000000002</v>
      </c>
      <c r="T6" s="1374">
        <f>'Other Benefits LASER'!E5 + 'FC &amp; Adoptions LASER'!E5</f>
        <v>314035.01</v>
      </c>
      <c r="U6" s="1374">
        <f>'Other Benefits LASER'!F5+'FC &amp; Adoptions LASER'!F5</f>
        <v>17191.400000000001</v>
      </c>
      <c r="V6" s="1777">
        <f>'FC &amp; Adoptions LASER'!J5+'Other Benefits LASER'!J5</f>
        <v>-9.9999999999999985E-3</v>
      </c>
      <c r="W6" s="1375">
        <f>'Other Benefits LASER'!I5+'FC &amp; Adoptions LASER'!I5</f>
        <v>528293.11</v>
      </c>
      <c r="X6" s="1373">
        <f>D6+I6+N6+S6</f>
        <v>51545321.071011804</v>
      </c>
      <c r="Y6" s="1374">
        <f>E6+J6+O6+T6</f>
        <v>40185287.198615</v>
      </c>
      <c r="Z6" s="1374">
        <f>F6+K6+P6+U6</f>
        <v>677954.07000000007</v>
      </c>
      <c r="AA6" s="1777">
        <f>G6+L6+Q6+V6</f>
        <v>195669.03999999998</v>
      </c>
      <c r="AB6" s="1375">
        <f>H6+M6+R6+W6</f>
        <v>92604231.379626811</v>
      </c>
      <c r="AD6" s="340">
        <f t="shared" ref="AD6:AD69" si="4">D6/H6</f>
        <v>0.56475134642677038</v>
      </c>
      <c r="AE6" s="341">
        <f t="shared" ref="AE6:AE69" si="5">E6/H6</f>
        <v>0.22685238584877232</v>
      </c>
      <c r="AF6" s="341">
        <f t="shared" ref="AF6:AF69" si="6">F6/H6</f>
        <v>0.15334154401704408</v>
      </c>
      <c r="AG6" s="341">
        <f t="shared" ref="AG6:AG69" si="7">G6/H6</f>
        <v>5.5054723707413093E-2</v>
      </c>
      <c r="AH6" s="342">
        <f t="shared" ref="AH6:AH69" si="8">(D6+E6)/H6</f>
        <v>0.7916037322755427</v>
      </c>
      <c r="AJ6" s="812">
        <f t="shared" ref="AJ6:AJ69" si="9">H6/AB6</f>
        <v>3.8379292253182172E-2</v>
      </c>
      <c r="AK6" s="790">
        <f t="shared" ref="AK6:AK69" si="10">M6/AB6</f>
        <v>1.0889494842477078E-3</v>
      </c>
      <c r="AL6" s="814">
        <f t="shared" ref="AL6:AL69" si="11">(R6+W6)/AB6</f>
        <v>0.9605317582625702</v>
      </c>
      <c r="AN6" s="812">
        <f t="shared" ref="AN6:AN69" si="12">F6/Z6</f>
        <v>0.80387283463022785</v>
      </c>
      <c r="AO6" s="790">
        <f t="shared" ref="AO6:AO69" si="13">K6/Z6</f>
        <v>3.2979402277207359E-2</v>
      </c>
      <c r="AP6" s="814">
        <f t="shared" ref="AP6:AP69" si="14">(P6+U6)/Z6</f>
        <v>0.16314776309256465</v>
      </c>
    </row>
    <row r="7" spans="1:42" x14ac:dyDescent="0.3">
      <c r="A7" s="435" t="s">
        <v>11</v>
      </c>
      <c r="B7" s="319" t="s">
        <v>12</v>
      </c>
      <c r="C7" s="436" t="s">
        <v>252</v>
      </c>
      <c r="D7" s="481">
        <f>'Administration LASER'!D6+'Other Oper Exp. LASER'!D6</f>
        <v>5393785.96</v>
      </c>
      <c r="E7" s="482">
        <f>'Administration LASER'!E6+'Other Oper Exp. LASER'!E6</f>
        <v>869433.67</v>
      </c>
      <c r="F7" s="482">
        <f>'Administration LASER'!F6+'Other Oper Exp. LASER'!F6</f>
        <v>5362922.0299999993</v>
      </c>
      <c r="G7" s="482">
        <f>'Administration LASER'!J6 + 'Other Oper Exp. LASER'!J6</f>
        <v>1721169.06</v>
      </c>
      <c r="H7" s="483">
        <f>'Administration LASER'!I6+'Other Oper Exp. LASER'!I6</f>
        <v>13347310.720000003</v>
      </c>
      <c r="I7" s="481">
        <f>'Client Services LASER'!D6</f>
        <v>225639.95798492414</v>
      </c>
      <c r="J7" s="482">
        <f>'Client Services LASER'!E6</f>
        <v>62132.272015075825</v>
      </c>
      <c r="K7" s="482">
        <f>'Client Services LASER'!F6</f>
        <v>72449.88</v>
      </c>
      <c r="L7" s="482">
        <f>'Client Services LASER'!J6</f>
        <v>3283.37</v>
      </c>
      <c r="M7" s="483">
        <f>'Client Services LASER'!I6</f>
        <v>363505.48</v>
      </c>
      <c r="N7" s="1373">
        <f>'Statewide Benefits'!D7</f>
        <v>61152309.58550714</v>
      </c>
      <c r="O7" s="1374">
        <f>'Statewide Benefits'!E7</f>
        <v>55706466.486508325</v>
      </c>
      <c r="P7" s="1374">
        <f>'Statewide Benefits'!F7</f>
        <v>3890837.42</v>
      </c>
      <c r="Q7" s="1777">
        <f>'Statewide Benefits'!G7</f>
        <v>0</v>
      </c>
      <c r="R7" s="1375">
        <f t="shared" si="3"/>
        <v>120749613.49201547</v>
      </c>
      <c r="S7" s="1373">
        <f>'Other Benefits LASER'!D6+'FC &amp; Adoptions LASER'!D6</f>
        <v>1644206.4</v>
      </c>
      <c r="T7" s="1374">
        <f>'Other Benefits LASER'!E6 + 'FC &amp; Adoptions LASER'!E6</f>
        <v>1826676.8599999999</v>
      </c>
      <c r="U7" s="1374">
        <f>'Other Benefits LASER'!F6+'FC &amp; Adoptions LASER'!F6</f>
        <v>35264.659999999996</v>
      </c>
      <c r="V7" s="1777">
        <f>'FC &amp; Adoptions LASER'!J6+'Other Benefits LASER'!J6</f>
        <v>33211.89</v>
      </c>
      <c r="W7" s="1375">
        <f>'Other Benefits LASER'!I6+'FC &amp; Adoptions LASER'!I6</f>
        <v>3539359.8099999996</v>
      </c>
      <c r="X7" s="1373">
        <f t="shared" ref="X7:X70" si="15">D7+I7+N7+S7</f>
        <v>68415941.903492063</v>
      </c>
      <c r="Y7" s="1374">
        <f t="shared" ref="Y7:Y70" si="16">E7+J7+O7+T7</f>
        <v>58464709.288523398</v>
      </c>
      <c r="Z7" s="1374">
        <f t="shared" ref="Z7:Z70" si="17">F7+K7+P7+U7</f>
        <v>9361473.9899999984</v>
      </c>
      <c r="AA7" s="1777">
        <f t="shared" ref="AA7:AA70" si="18">G7+L7+Q7+V7</f>
        <v>1757664.32</v>
      </c>
      <c r="AB7" s="1375">
        <f t="shared" ref="AB7:AB70" si="19">H7+M7+R7+W7</f>
        <v>137999789.50201547</v>
      </c>
      <c r="AD7" s="340">
        <f t="shared" si="4"/>
        <v>0.40411031653873108</v>
      </c>
      <c r="AE7" s="341">
        <f t="shared" si="5"/>
        <v>6.5139239524649339E-2</v>
      </c>
      <c r="AF7" s="341">
        <f t="shared" si="6"/>
        <v>0.40179794585616707</v>
      </c>
      <c r="AG7" s="341">
        <f t="shared" si="7"/>
        <v>0.12895249808045225</v>
      </c>
      <c r="AH7" s="342">
        <f t="shared" si="8"/>
        <v>0.46924955606338042</v>
      </c>
      <c r="AJ7" s="812">
        <f t="shared" si="9"/>
        <v>9.6719790429861965E-2</v>
      </c>
      <c r="AK7" s="790">
        <f t="shared" si="10"/>
        <v>2.6341016990804253E-3</v>
      </c>
      <c r="AL7" s="814">
        <f t="shared" si="11"/>
        <v>0.90064610787105759</v>
      </c>
      <c r="AN7" s="812">
        <f t="shared" si="12"/>
        <v>0.57287154092707149</v>
      </c>
      <c r="AO7" s="790">
        <f t="shared" si="13"/>
        <v>7.7391530519009665E-3</v>
      </c>
      <c r="AP7" s="814">
        <f t="shared" si="14"/>
        <v>0.41938930602102764</v>
      </c>
    </row>
    <row r="8" spans="1:42" x14ac:dyDescent="0.3">
      <c r="A8" s="435" t="s">
        <v>15</v>
      </c>
      <c r="B8" s="319" t="s">
        <v>273</v>
      </c>
      <c r="C8" s="436" t="s">
        <v>252</v>
      </c>
      <c r="D8" s="481">
        <f>'Administration LASER'!D7+'Other Oper Exp. LASER'!D7</f>
        <v>1204655.68</v>
      </c>
      <c r="E8" s="482">
        <f>'Administration LASER'!E7+'Other Oper Exp. LASER'!E7</f>
        <v>459559.14</v>
      </c>
      <c r="F8" s="482">
        <f>'Administration LASER'!F7+'Other Oper Exp. LASER'!F7</f>
        <v>389895.08</v>
      </c>
      <c r="G8" s="482">
        <f>'Administration LASER'!J7 + 'Other Oper Exp. LASER'!J7</f>
        <v>108410.77</v>
      </c>
      <c r="H8" s="483">
        <f>'Administration LASER'!I7+'Other Oper Exp. LASER'!I7</f>
        <v>2162520.67</v>
      </c>
      <c r="I8" s="481">
        <f>'Client Services LASER'!D7</f>
        <v>47869.375751415668</v>
      </c>
      <c r="J8" s="482">
        <f>'Client Services LASER'!E7</f>
        <v>7013.7542485843378</v>
      </c>
      <c r="K8" s="482">
        <f>'Client Services LASER'!F7</f>
        <v>12641.1</v>
      </c>
      <c r="L8" s="482">
        <f>'Client Services LASER'!J7</f>
        <v>58.51</v>
      </c>
      <c r="M8" s="483">
        <f>'Client Services LASER'!I7</f>
        <v>67582.740000000005</v>
      </c>
      <c r="N8" s="1373">
        <f>'Statewide Benefits'!D8</f>
        <v>31551711.018459313</v>
      </c>
      <c r="O8" s="1374">
        <f>'Statewide Benefits'!E8</f>
        <v>28207582.513792392</v>
      </c>
      <c r="P8" s="1374">
        <f>'Statewide Benefits'!F8</f>
        <v>838416.32000000007</v>
      </c>
      <c r="Q8" s="1777">
        <f>'Statewide Benefits'!G8</f>
        <v>0</v>
      </c>
      <c r="R8" s="1375">
        <f t="shared" si="3"/>
        <v>60597709.852251701</v>
      </c>
      <c r="S8" s="1373">
        <f>'Other Benefits LASER'!D7+'FC &amp; Adoptions LASER'!D7</f>
        <v>114373.50999999998</v>
      </c>
      <c r="T8" s="1374">
        <f>'Other Benefits LASER'!E7 + 'FC &amp; Adoptions LASER'!E7</f>
        <v>172754.76</v>
      </c>
      <c r="U8" s="1374">
        <f>'Other Benefits LASER'!F7+'FC &amp; Adoptions LASER'!F7</f>
        <v>8724.7999999999993</v>
      </c>
      <c r="V8" s="1777">
        <f>'FC &amp; Adoptions LASER'!J7+'Other Benefits LASER'!J7</f>
        <v>-0.1</v>
      </c>
      <c r="W8" s="1375">
        <f>'Other Benefits LASER'!I7+'FC &amp; Adoptions LASER'!I7</f>
        <v>295852.96999999997</v>
      </c>
      <c r="X8" s="1373">
        <f t="shared" si="15"/>
        <v>32918609.584210731</v>
      </c>
      <c r="Y8" s="1374">
        <f t="shared" si="16"/>
        <v>28846910.16804098</v>
      </c>
      <c r="Z8" s="1374">
        <f t="shared" si="17"/>
        <v>1249677.3</v>
      </c>
      <c r="AA8" s="1777">
        <f t="shared" si="18"/>
        <v>108469.18</v>
      </c>
      <c r="AB8" s="1375">
        <f t="shared" si="19"/>
        <v>63123666.232251704</v>
      </c>
      <c r="AD8" s="340">
        <f t="shared" si="4"/>
        <v>0.55706088580415736</v>
      </c>
      <c r="AE8" s="341">
        <f t="shared" si="5"/>
        <v>0.21251086584989731</v>
      </c>
      <c r="AF8" s="341">
        <f t="shared" si="6"/>
        <v>0.18029657954668246</v>
      </c>
      <c r="AG8" s="341">
        <f t="shared" si="7"/>
        <v>5.0131668799262855E-2</v>
      </c>
      <c r="AH8" s="342">
        <f t="shared" si="8"/>
        <v>0.76957175165405467</v>
      </c>
      <c r="AJ8" s="812">
        <f t="shared" si="9"/>
        <v>3.4258477035275646E-2</v>
      </c>
      <c r="AK8" s="790">
        <f t="shared" si="10"/>
        <v>1.0706402849185277E-3</v>
      </c>
      <c r="AL8" s="814">
        <f t="shared" si="11"/>
        <v>0.96467088267980572</v>
      </c>
      <c r="AN8" s="812">
        <f t="shared" si="12"/>
        <v>0.31199660904459098</v>
      </c>
      <c r="AO8" s="790">
        <f t="shared" si="13"/>
        <v>1.0115491415263765E-2</v>
      </c>
      <c r="AP8" s="814">
        <f t="shared" si="14"/>
        <v>0.67788789954014539</v>
      </c>
    </row>
    <row r="9" spans="1:42" x14ac:dyDescent="0.3">
      <c r="A9" s="435" t="s">
        <v>17</v>
      </c>
      <c r="B9" s="319" t="s">
        <v>18</v>
      </c>
      <c r="C9" s="436" t="s">
        <v>253</v>
      </c>
      <c r="D9" s="481">
        <f>'Administration LASER'!D8+'Other Oper Exp. LASER'!D8</f>
        <v>716503.66</v>
      </c>
      <c r="E9" s="482">
        <f>'Administration LASER'!E8+'Other Oper Exp. LASER'!E8</f>
        <v>240249.03</v>
      </c>
      <c r="F9" s="482">
        <f>'Administration LASER'!F8+'Other Oper Exp. LASER'!F8</f>
        <v>355312.64999999997</v>
      </c>
      <c r="G9" s="482">
        <f>'Administration LASER'!J8 + 'Other Oper Exp. LASER'!J8</f>
        <v>75833.850000000006</v>
      </c>
      <c r="H9" s="483">
        <f>'Administration LASER'!I8+'Other Oper Exp. LASER'!I8</f>
        <v>1387899.1900000002</v>
      </c>
      <c r="I9" s="481">
        <f>'Client Services LASER'!D8</f>
        <v>12463.000863654841</v>
      </c>
      <c r="J9" s="482">
        <f>'Client Services LASER'!E8</f>
        <v>6115.4391363451577</v>
      </c>
      <c r="K9" s="482">
        <f>'Client Services LASER'!F8</f>
        <v>3551.4700000000003</v>
      </c>
      <c r="L9" s="482">
        <f>'Client Services LASER'!J8</f>
        <v>9.9999999999999967E-3</v>
      </c>
      <c r="M9" s="483">
        <f>'Client Services LASER'!I8</f>
        <v>22129.919999999998</v>
      </c>
      <c r="N9" s="1373">
        <f>'Statewide Benefits'!D9</f>
        <v>15305563.234043676</v>
      </c>
      <c r="O9" s="1374">
        <f>'Statewide Benefits'!E9</f>
        <v>12945037.66584439</v>
      </c>
      <c r="P9" s="1374">
        <f>'Statewide Benefits'!F9</f>
        <v>255379.77</v>
      </c>
      <c r="Q9" s="1777">
        <f>'Statewide Benefits'!G9</f>
        <v>0</v>
      </c>
      <c r="R9" s="1375">
        <f t="shared" si="3"/>
        <v>28505980.669888068</v>
      </c>
      <c r="S9" s="1373">
        <f>'Other Benefits LASER'!D8+'FC &amp; Adoptions LASER'!D8</f>
        <v>25514.48</v>
      </c>
      <c r="T9" s="1374">
        <f>'Other Benefits LASER'!E8 + 'FC &amp; Adoptions LASER'!E8</f>
        <v>115138.06</v>
      </c>
      <c r="U9" s="1374">
        <f>'Other Benefits LASER'!F8+'FC &amp; Adoptions LASER'!F8</f>
        <v>14296.4</v>
      </c>
      <c r="V9" s="1777">
        <f>'FC &amp; Adoptions LASER'!J8+'Other Benefits LASER'!J8</f>
        <v>0</v>
      </c>
      <c r="W9" s="1375">
        <f>'Other Benefits LASER'!I8+'FC &amp; Adoptions LASER'!I8</f>
        <v>154948.94</v>
      </c>
      <c r="X9" s="1373">
        <f t="shared" si="15"/>
        <v>16060044.374907332</v>
      </c>
      <c r="Y9" s="1374">
        <f t="shared" si="16"/>
        <v>13306540.194980735</v>
      </c>
      <c r="Z9" s="1374">
        <f t="shared" si="17"/>
        <v>628540.28999999992</v>
      </c>
      <c r="AA9" s="1777">
        <f t="shared" si="18"/>
        <v>75833.86</v>
      </c>
      <c r="AB9" s="1375">
        <f t="shared" si="19"/>
        <v>30070958.719888069</v>
      </c>
      <c r="AD9" s="340">
        <f t="shared" si="4"/>
        <v>0.51625050663802174</v>
      </c>
      <c r="AE9" s="341">
        <f t="shared" si="5"/>
        <v>0.17310265164143512</v>
      </c>
      <c r="AF9" s="341">
        <f t="shared" si="6"/>
        <v>0.25600753466827797</v>
      </c>
      <c r="AG9" s="341">
        <f t="shared" si="7"/>
        <v>5.4639307052265086E-2</v>
      </c>
      <c r="AH9" s="342">
        <f t="shared" si="8"/>
        <v>0.68935315827945687</v>
      </c>
      <c r="AJ9" s="812">
        <f t="shared" si="9"/>
        <v>4.6154138380765479E-2</v>
      </c>
      <c r="AK9" s="790">
        <f t="shared" si="10"/>
        <v>7.3592332742500506E-4</v>
      </c>
      <c r="AL9" s="814">
        <f t="shared" si="11"/>
        <v>0.95310993829180957</v>
      </c>
      <c r="AN9" s="812">
        <f t="shared" si="12"/>
        <v>0.56529812909845445</v>
      </c>
      <c r="AO9" s="790">
        <f t="shared" si="13"/>
        <v>5.6503458195177924E-3</v>
      </c>
      <c r="AP9" s="814">
        <f t="shared" si="14"/>
        <v>0.42905152508202776</v>
      </c>
    </row>
    <row r="10" spans="1:42" x14ac:dyDescent="0.3">
      <c r="A10" s="435" t="s">
        <v>19</v>
      </c>
      <c r="B10" s="319" t="s">
        <v>20</v>
      </c>
      <c r="C10" s="436" t="s">
        <v>252</v>
      </c>
      <c r="D10" s="481">
        <f>'Administration LASER'!D9+'Other Oper Exp. LASER'!D9</f>
        <v>1353817.42</v>
      </c>
      <c r="E10" s="482">
        <f>'Administration LASER'!E9+'Other Oper Exp. LASER'!E9</f>
        <v>457258.1</v>
      </c>
      <c r="F10" s="482">
        <f>'Administration LASER'!F9+'Other Oper Exp. LASER'!F9</f>
        <v>692656.53</v>
      </c>
      <c r="G10" s="482">
        <f>'Administration LASER'!J9 + 'Other Oper Exp. LASER'!J9</f>
        <v>155056.85</v>
      </c>
      <c r="H10" s="483">
        <f>'Administration LASER'!I9+'Other Oper Exp. LASER'!I9</f>
        <v>2658788.9</v>
      </c>
      <c r="I10" s="481">
        <f>'Client Services LASER'!D9</f>
        <v>49383.36393491707</v>
      </c>
      <c r="J10" s="482">
        <f>'Client Services LASER'!E9</f>
        <v>10357.386065082934</v>
      </c>
      <c r="K10" s="482">
        <f>'Client Services LASER'!F9</f>
        <v>12029.93</v>
      </c>
      <c r="L10" s="482">
        <f>'Client Services LASER'!J9</f>
        <v>-0.05</v>
      </c>
      <c r="M10" s="483">
        <f>'Client Services LASER'!I9</f>
        <v>71770.62999999999</v>
      </c>
      <c r="N10" s="1373">
        <f>'Statewide Benefits'!D10</f>
        <v>39811181.521774784</v>
      </c>
      <c r="O10" s="1374">
        <f>'Statewide Benefits'!E10</f>
        <v>34271915.652910911</v>
      </c>
      <c r="P10" s="1374">
        <f>'Statewide Benefits'!F10</f>
        <v>656233.03</v>
      </c>
      <c r="Q10" s="1777">
        <f>'Statewide Benefits'!G10</f>
        <v>0</v>
      </c>
      <c r="R10" s="1375">
        <f t="shared" si="3"/>
        <v>74739330.204685688</v>
      </c>
      <c r="S10" s="1373">
        <f>'Other Benefits LASER'!D9+'FC &amp; Adoptions LASER'!D9</f>
        <v>259607.59</v>
      </c>
      <c r="T10" s="1374">
        <f>'Other Benefits LASER'!E9 + 'FC &amp; Adoptions LASER'!E9</f>
        <v>311951.54999999993</v>
      </c>
      <c r="U10" s="1374">
        <f>'Other Benefits LASER'!F9+'FC &amp; Adoptions LASER'!F9</f>
        <v>12393.4</v>
      </c>
      <c r="V10" s="1777">
        <f>'FC &amp; Adoptions LASER'!J9+'Other Benefits LASER'!J9</f>
        <v>5109.42</v>
      </c>
      <c r="W10" s="1375">
        <f>'Other Benefits LASER'!I9+'FC &amp; Adoptions LASER'!I9</f>
        <v>589061.96</v>
      </c>
      <c r="X10" s="1373">
        <f t="shared" si="15"/>
        <v>41473989.895709701</v>
      </c>
      <c r="Y10" s="1374">
        <f t="shared" si="16"/>
        <v>35051482.68897599</v>
      </c>
      <c r="Z10" s="1374">
        <f t="shared" si="17"/>
        <v>1373312.8900000001</v>
      </c>
      <c r="AA10" s="1777">
        <f t="shared" si="18"/>
        <v>160166.22000000003</v>
      </c>
      <c r="AB10" s="1375">
        <f t="shared" si="19"/>
        <v>78058951.694685683</v>
      </c>
      <c r="AD10" s="340">
        <f t="shared" si="4"/>
        <v>0.50918574994803079</v>
      </c>
      <c r="AE10" s="341">
        <f t="shared" si="5"/>
        <v>0.17197984390562185</v>
      </c>
      <c r="AF10" s="341">
        <f t="shared" si="6"/>
        <v>0.26051580477111214</v>
      </c>
      <c r="AG10" s="341">
        <f t="shared" si="7"/>
        <v>5.8318601375235174E-2</v>
      </c>
      <c r="AH10" s="342">
        <f t="shared" si="8"/>
        <v>0.68116559385365272</v>
      </c>
      <c r="AJ10" s="812">
        <f t="shared" si="9"/>
        <v>3.4061293961510024E-2</v>
      </c>
      <c r="AK10" s="790">
        <f t="shared" si="10"/>
        <v>9.1944137657290871E-4</v>
      </c>
      <c r="AL10" s="814">
        <f t="shared" si="11"/>
        <v>0.96501926466191701</v>
      </c>
      <c r="AN10" s="812">
        <f t="shared" si="12"/>
        <v>0.50436905896951123</v>
      </c>
      <c r="AO10" s="790">
        <f t="shared" si="13"/>
        <v>8.7597881645165351E-3</v>
      </c>
      <c r="AP10" s="814">
        <f t="shared" si="14"/>
        <v>0.48687115286597216</v>
      </c>
    </row>
    <row r="11" spans="1:42" x14ac:dyDescent="0.3">
      <c r="A11" s="435" t="s">
        <v>21</v>
      </c>
      <c r="B11" s="319" t="s">
        <v>22</v>
      </c>
      <c r="C11" s="436" t="s">
        <v>252</v>
      </c>
      <c r="D11" s="481">
        <f>'Administration LASER'!D10+'Other Oper Exp. LASER'!D10</f>
        <v>816593.08000000007</v>
      </c>
      <c r="E11" s="482">
        <f>'Administration LASER'!E10+'Other Oper Exp. LASER'!E10</f>
        <v>307980.87</v>
      </c>
      <c r="F11" s="482">
        <f>'Administration LASER'!F10+'Other Oper Exp. LASER'!F10</f>
        <v>295278.92</v>
      </c>
      <c r="G11" s="482">
        <f>'Administration LASER'!J10 + 'Other Oper Exp. LASER'!J10</f>
        <v>62138.360000000015</v>
      </c>
      <c r="H11" s="483">
        <f>'Administration LASER'!I10+'Other Oper Exp. LASER'!I10</f>
        <v>1481991.23</v>
      </c>
      <c r="I11" s="481">
        <f>'Client Services LASER'!D10</f>
        <v>14277.02619765823</v>
      </c>
      <c r="J11" s="482">
        <f>'Client Services LASER'!E10</f>
        <v>19082.423802341771</v>
      </c>
      <c r="K11" s="482">
        <f>'Client Services LASER'!F10</f>
        <v>5954.13</v>
      </c>
      <c r="L11" s="482">
        <f>'Client Services LASER'!J10</f>
        <v>-1.7347234759768071E-18</v>
      </c>
      <c r="M11" s="483">
        <f>'Client Services LASER'!I10</f>
        <v>39313.579999999994</v>
      </c>
      <c r="N11" s="1373">
        <f>'Statewide Benefits'!D11</f>
        <v>22790916.952465728</v>
      </c>
      <c r="O11" s="1374">
        <f>'Statewide Benefits'!E11</f>
        <v>19694175.067361359</v>
      </c>
      <c r="P11" s="1374">
        <f>'Statewide Benefits'!F11</f>
        <v>611043.09</v>
      </c>
      <c r="Q11" s="1777">
        <f>'Statewide Benefits'!G11</f>
        <v>0</v>
      </c>
      <c r="R11" s="1375">
        <f t="shared" si="3"/>
        <v>43096135.109827086</v>
      </c>
      <c r="S11" s="1373">
        <f>'Other Benefits LASER'!D10+'FC &amp; Adoptions LASER'!D10</f>
        <v>234624.27000000002</v>
      </c>
      <c r="T11" s="1374">
        <f>'Other Benefits LASER'!E10 + 'FC &amp; Adoptions LASER'!E10</f>
        <v>296252.30999999994</v>
      </c>
      <c r="U11" s="1374">
        <f>'Other Benefits LASER'!F10+'FC &amp; Adoptions LASER'!F10</f>
        <v>11718.2</v>
      </c>
      <c r="V11" s="1777">
        <f>'FC &amp; Adoptions LASER'!J10+'Other Benefits LASER'!J10</f>
        <v>405.93</v>
      </c>
      <c r="W11" s="1375">
        <f>'Other Benefits LASER'!I10+'FC &amp; Adoptions LASER'!I10</f>
        <v>543000.71</v>
      </c>
      <c r="X11" s="1373">
        <f t="shared" si="15"/>
        <v>23856411.328663386</v>
      </c>
      <c r="Y11" s="1374">
        <f t="shared" si="16"/>
        <v>20317490.671163701</v>
      </c>
      <c r="Z11" s="1374">
        <f t="shared" si="17"/>
        <v>923994.33999999985</v>
      </c>
      <c r="AA11" s="1777">
        <f t="shared" si="18"/>
        <v>62544.290000000015</v>
      </c>
      <c r="AB11" s="1375">
        <f t="shared" si="19"/>
        <v>45160440.62982709</v>
      </c>
      <c r="AD11" s="340">
        <f t="shared" si="4"/>
        <v>0.55101073708783022</v>
      </c>
      <c r="AE11" s="341">
        <f t="shared" si="5"/>
        <v>0.20781558201258721</v>
      </c>
      <c r="AF11" s="341">
        <f t="shared" si="6"/>
        <v>0.19924471482871056</v>
      </c>
      <c r="AG11" s="341">
        <f t="shared" si="7"/>
        <v>4.1928966070872105E-2</v>
      </c>
      <c r="AH11" s="342">
        <f t="shared" si="8"/>
        <v>0.75882631910041753</v>
      </c>
      <c r="AJ11" s="812">
        <f t="shared" si="9"/>
        <v>3.2816137516186901E-2</v>
      </c>
      <c r="AK11" s="790">
        <f t="shared" si="10"/>
        <v>8.7053136443568217E-4</v>
      </c>
      <c r="AL11" s="814">
        <f t="shared" si="11"/>
        <v>0.96631333111937734</v>
      </c>
      <c r="AN11" s="812">
        <f t="shared" si="12"/>
        <v>0.31956788826217269</v>
      </c>
      <c r="AO11" s="790">
        <f t="shared" si="13"/>
        <v>6.4439031087571395E-3</v>
      </c>
      <c r="AP11" s="814">
        <f t="shared" si="14"/>
        <v>0.67398820862907016</v>
      </c>
    </row>
    <row r="12" spans="1:42" x14ac:dyDescent="0.3">
      <c r="A12" s="435" t="s">
        <v>23</v>
      </c>
      <c r="B12" s="319" t="s">
        <v>24</v>
      </c>
      <c r="C12" s="436" t="s">
        <v>254</v>
      </c>
      <c r="D12" s="481">
        <f>'Administration LASER'!D11+'Other Oper Exp. LASER'!D11</f>
        <v>9499262.1799999997</v>
      </c>
      <c r="E12" s="482">
        <f>'Administration LASER'!E11+'Other Oper Exp. LASER'!E11</f>
        <v>2130710.7200000002</v>
      </c>
      <c r="F12" s="482">
        <f>'Administration LASER'!F11+'Other Oper Exp. LASER'!F11</f>
        <v>8074652.7600000007</v>
      </c>
      <c r="G12" s="482">
        <f>'Administration LASER'!J11 + 'Other Oper Exp. LASER'!J11</f>
        <v>1697900.65</v>
      </c>
      <c r="H12" s="483">
        <f>'Administration LASER'!I11+'Other Oper Exp. LASER'!I11</f>
        <v>21402526.309999999</v>
      </c>
      <c r="I12" s="481">
        <f>'Client Services LASER'!D11</f>
        <v>270716.86943996075</v>
      </c>
      <c r="J12" s="482">
        <f>'Client Services LASER'!E11</f>
        <v>61003.690560039242</v>
      </c>
      <c r="K12" s="482">
        <f>'Client Services LASER'!F11</f>
        <v>83963.750000000015</v>
      </c>
      <c r="L12" s="482">
        <f>'Client Services LASER'!J11</f>
        <v>1105465.53</v>
      </c>
      <c r="M12" s="483">
        <f>'Client Services LASER'!I11</f>
        <v>1521149.84</v>
      </c>
      <c r="N12" s="1373">
        <f>'Statewide Benefits'!D12</f>
        <v>94772767.567374036</v>
      </c>
      <c r="O12" s="1374">
        <f>'Statewide Benefits'!E12</f>
        <v>80586033.609283298</v>
      </c>
      <c r="P12" s="1374">
        <f>'Statewide Benefits'!F12</f>
        <v>2634279.96</v>
      </c>
      <c r="Q12" s="1777">
        <f>'Statewide Benefits'!G12</f>
        <v>0</v>
      </c>
      <c r="R12" s="1375">
        <f t="shared" si="3"/>
        <v>177993081.13665733</v>
      </c>
      <c r="S12" s="1373">
        <f>'Other Benefits LASER'!D11+'FC &amp; Adoptions LASER'!D11</f>
        <v>1183910.28</v>
      </c>
      <c r="T12" s="1374">
        <f>'Other Benefits LASER'!E11 + 'FC &amp; Adoptions LASER'!E11</f>
        <v>1630987.19</v>
      </c>
      <c r="U12" s="1374">
        <f>'Other Benefits LASER'!F11+'FC &amp; Adoptions LASER'!F11</f>
        <v>115390.76</v>
      </c>
      <c r="V12" s="1777">
        <f>'FC &amp; Adoptions LASER'!J11+'Other Benefits LASER'!J11</f>
        <v>375989.27</v>
      </c>
      <c r="W12" s="1375">
        <f>'Other Benefits LASER'!I11+'FC &amp; Adoptions LASER'!I11</f>
        <v>3306277.5000000005</v>
      </c>
      <c r="X12" s="1373">
        <f t="shared" si="15"/>
        <v>105726656.896814</v>
      </c>
      <c r="Y12" s="1374">
        <f t="shared" si="16"/>
        <v>84408735.209843338</v>
      </c>
      <c r="Z12" s="1374">
        <f t="shared" si="17"/>
        <v>10908287.23</v>
      </c>
      <c r="AA12" s="1777">
        <f t="shared" si="18"/>
        <v>3179355.4499999997</v>
      </c>
      <c r="AB12" s="1375">
        <f t="shared" si="19"/>
        <v>204223034.78665733</v>
      </c>
      <c r="AD12" s="340">
        <f t="shared" si="4"/>
        <v>0.44383836012674899</v>
      </c>
      <c r="AE12" s="341">
        <f t="shared" si="5"/>
        <v>9.9554168939601242E-2</v>
      </c>
      <c r="AF12" s="341">
        <f t="shared" si="6"/>
        <v>0.37727568433018321</v>
      </c>
      <c r="AG12" s="341">
        <f t="shared" si="7"/>
        <v>7.9331786603466625E-2</v>
      </c>
      <c r="AH12" s="342">
        <f t="shared" si="8"/>
        <v>0.54339252906635027</v>
      </c>
      <c r="AJ12" s="812">
        <f t="shared" si="9"/>
        <v>0.10479976625730912</v>
      </c>
      <c r="AK12" s="790">
        <f t="shared" si="10"/>
        <v>7.448473388856831E-3</v>
      </c>
      <c r="AL12" s="814">
        <f t="shared" si="11"/>
        <v>0.88775176035383396</v>
      </c>
      <c r="AN12" s="812">
        <f t="shared" si="12"/>
        <v>0.74023103625224218</v>
      </c>
      <c r="AO12" s="790">
        <f t="shared" si="13"/>
        <v>7.6972441437994669E-3</v>
      </c>
      <c r="AP12" s="814">
        <f t="shared" si="14"/>
        <v>0.25207171960395836</v>
      </c>
    </row>
    <row r="13" spans="1:42" x14ac:dyDescent="0.3">
      <c r="A13" s="435" t="s">
        <v>25</v>
      </c>
      <c r="B13" s="319" t="s">
        <v>274</v>
      </c>
      <c r="C13" s="436" t="s">
        <v>252</v>
      </c>
      <c r="D13" s="481">
        <f>'Administration LASER'!D12+'Other Oper Exp. LASER'!D12</f>
        <v>5481622.2199999997</v>
      </c>
      <c r="E13" s="482">
        <f>'Administration LASER'!E12+'Other Oper Exp. LASER'!E12</f>
        <v>1790410.0699999998</v>
      </c>
      <c r="F13" s="482">
        <f>'Administration LASER'!F12+'Other Oper Exp. LASER'!F12</f>
        <v>2978977.7700000005</v>
      </c>
      <c r="G13" s="482">
        <f>'Administration LASER'!J12 + 'Other Oper Exp. LASER'!J12</f>
        <v>268303.90000000002</v>
      </c>
      <c r="H13" s="483">
        <f>'Administration LASER'!I12+'Other Oper Exp. LASER'!I12</f>
        <v>10519313.960000001</v>
      </c>
      <c r="I13" s="481">
        <f>'Client Services LASER'!D12</f>
        <v>132824.27658020193</v>
      </c>
      <c r="J13" s="482">
        <f>'Client Services LASER'!E12</f>
        <v>151027.34341979807</v>
      </c>
      <c r="K13" s="482">
        <f>'Client Services LASER'!F12</f>
        <v>53479.65</v>
      </c>
      <c r="L13" s="482">
        <f>'Client Services LASER'!J12</f>
        <v>-0.15999999999999998</v>
      </c>
      <c r="M13" s="483">
        <f>'Client Services LASER'!I12</f>
        <v>337331.11000000004</v>
      </c>
      <c r="N13" s="1373">
        <f>'Statewide Benefits'!D13</f>
        <v>121571950.90305597</v>
      </c>
      <c r="O13" s="1374">
        <f>'Statewide Benefits'!E13</f>
        <v>106459402.64348081</v>
      </c>
      <c r="P13" s="1374">
        <f>'Statewide Benefits'!F13</f>
        <v>3999890.01</v>
      </c>
      <c r="Q13" s="1777">
        <f>'Statewide Benefits'!G13</f>
        <v>0</v>
      </c>
      <c r="R13" s="1375">
        <f t="shared" si="3"/>
        <v>232031243.55653676</v>
      </c>
      <c r="S13" s="1373">
        <f>'Other Benefits LASER'!D12+'FC &amp; Adoptions LASER'!D12</f>
        <v>3026815.3000000003</v>
      </c>
      <c r="T13" s="1374">
        <f>'Other Benefits LASER'!E12 + 'FC &amp; Adoptions LASER'!E12</f>
        <v>3397322.8</v>
      </c>
      <c r="U13" s="1374">
        <f>'Other Benefits LASER'!F12+'FC &amp; Adoptions LASER'!F12</f>
        <v>98595.859999999986</v>
      </c>
      <c r="V13" s="1777">
        <f>'FC &amp; Adoptions LASER'!J12+'Other Benefits LASER'!J12</f>
        <v>21998.749999999996</v>
      </c>
      <c r="W13" s="1375">
        <f>'Other Benefits LASER'!I12+'FC &amp; Adoptions LASER'!I12</f>
        <v>6544732.71</v>
      </c>
      <c r="X13" s="1373">
        <f t="shared" si="15"/>
        <v>130213212.69963616</v>
      </c>
      <c r="Y13" s="1374">
        <f t="shared" si="16"/>
        <v>111798162.8569006</v>
      </c>
      <c r="Z13" s="1374">
        <f t="shared" si="17"/>
        <v>7130943.29</v>
      </c>
      <c r="AA13" s="1777">
        <f t="shared" si="18"/>
        <v>290302.49000000005</v>
      </c>
      <c r="AB13" s="1375">
        <f t="shared" si="19"/>
        <v>249432621.33653677</v>
      </c>
      <c r="AD13" s="340">
        <f t="shared" si="4"/>
        <v>0.52110073345505503</v>
      </c>
      <c r="AE13" s="341">
        <f t="shared" si="5"/>
        <v>0.17020217067463586</v>
      </c>
      <c r="AF13" s="341">
        <f t="shared" si="6"/>
        <v>0.28319125955624586</v>
      </c>
      <c r="AG13" s="341">
        <f t="shared" si="7"/>
        <v>2.5505836314063203E-2</v>
      </c>
      <c r="AH13" s="342">
        <f t="shared" si="8"/>
        <v>0.69130290412969086</v>
      </c>
      <c r="AJ13" s="812">
        <f t="shared" si="9"/>
        <v>4.2172968008892656E-2</v>
      </c>
      <c r="AK13" s="790">
        <f t="shared" si="10"/>
        <v>1.3523937173593257E-3</v>
      </c>
      <c r="AL13" s="814">
        <f t="shared" si="11"/>
        <v>0.95647463827374801</v>
      </c>
      <c r="AN13" s="812">
        <f t="shared" si="12"/>
        <v>0.41775367561505322</v>
      </c>
      <c r="AO13" s="790">
        <f t="shared" si="13"/>
        <v>7.4996599783645175E-3</v>
      </c>
      <c r="AP13" s="814">
        <f t="shared" si="14"/>
        <v>0.57474666440658229</v>
      </c>
    </row>
    <row r="14" spans="1:42" x14ac:dyDescent="0.3">
      <c r="A14" s="435" t="s">
        <v>26</v>
      </c>
      <c r="B14" s="319" t="s">
        <v>27</v>
      </c>
      <c r="C14" s="436" t="s">
        <v>252</v>
      </c>
      <c r="D14" s="481">
        <f>'Administration LASER'!D13+'Other Oper Exp. LASER'!D13</f>
        <v>339399.54000000004</v>
      </c>
      <c r="E14" s="482">
        <f>'Administration LASER'!E13+'Other Oper Exp. LASER'!E13</f>
        <v>122446.95999999999</v>
      </c>
      <c r="F14" s="482">
        <f>'Administration LASER'!F13+'Other Oper Exp. LASER'!F13</f>
        <v>144539.03</v>
      </c>
      <c r="G14" s="482">
        <f>'Administration LASER'!J13 + 'Other Oper Exp. LASER'!J13</f>
        <v>44009.77</v>
      </c>
      <c r="H14" s="483">
        <f>'Administration LASER'!I13+'Other Oper Exp. LASER'!I13</f>
        <v>650395.30000000005</v>
      </c>
      <c r="I14" s="481">
        <f>'Client Services LASER'!D13</f>
        <v>1021.98</v>
      </c>
      <c r="J14" s="482">
        <f>'Client Services LASER'!E13</f>
        <v>359.78</v>
      </c>
      <c r="K14" s="482">
        <f>'Client Services LASER'!F13</f>
        <v>253.45000000000002</v>
      </c>
      <c r="L14" s="482">
        <f>'Client Services LASER'!J13</f>
        <v>0.03</v>
      </c>
      <c r="M14" s="483">
        <f>'Client Services LASER'!I13</f>
        <v>1635.24</v>
      </c>
      <c r="N14" s="1373">
        <f>'Statewide Benefits'!D14</f>
        <v>4127386.5401930939</v>
      </c>
      <c r="O14" s="1374">
        <f>'Statewide Benefits'!E14</f>
        <v>3550151.7897719964</v>
      </c>
      <c r="P14" s="1374">
        <f>'Statewide Benefits'!F14</f>
        <v>50213.440000000002</v>
      </c>
      <c r="Q14" s="1777">
        <f>'Statewide Benefits'!G14</f>
        <v>0</v>
      </c>
      <c r="R14" s="1375">
        <f t="shared" si="3"/>
        <v>7727751.7699650908</v>
      </c>
      <c r="S14" s="1373">
        <f>'Other Benefits LASER'!D13+'FC &amp; Adoptions LASER'!D13</f>
        <v>46185.13</v>
      </c>
      <c r="T14" s="1374">
        <f>'Other Benefits LASER'!E13 + 'FC &amp; Adoptions LASER'!E13</f>
        <v>37502.129999999997</v>
      </c>
      <c r="U14" s="1374">
        <f>'Other Benefits LASER'!F13+'FC &amp; Adoptions LASER'!F13</f>
        <v>0</v>
      </c>
      <c r="V14" s="1777">
        <f>'FC &amp; Adoptions LASER'!J13+'Other Benefits LASER'!J13</f>
        <v>-0.01</v>
      </c>
      <c r="W14" s="1375">
        <f>'Other Benefits LASER'!I13+'FC &amp; Adoptions LASER'!I13</f>
        <v>83687.25</v>
      </c>
      <c r="X14" s="1373">
        <f t="shared" si="15"/>
        <v>4513993.1901930934</v>
      </c>
      <c r="Y14" s="1374">
        <f t="shared" si="16"/>
        <v>3710460.6597719966</v>
      </c>
      <c r="Z14" s="1374">
        <f t="shared" si="17"/>
        <v>195005.92</v>
      </c>
      <c r="AA14" s="1777">
        <f t="shared" si="18"/>
        <v>44009.789999999994</v>
      </c>
      <c r="AB14" s="1375">
        <f t="shared" si="19"/>
        <v>8463469.5599650908</v>
      </c>
      <c r="AD14" s="340">
        <f t="shared" si="4"/>
        <v>0.52183578202364012</v>
      </c>
      <c r="AE14" s="341">
        <f t="shared" si="5"/>
        <v>0.18826544410760654</v>
      </c>
      <c r="AF14" s="341">
        <f t="shared" si="6"/>
        <v>0.22223258685909936</v>
      </c>
      <c r="AG14" s="341">
        <f t="shared" si="7"/>
        <v>6.7666187009653961E-2</v>
      </c>
      <c r="AH14" s="342">
        <f t="shared" si="8"/>
        <v>0.7101012261312466</v>
      </c>
      <c r="AJ14" s="812">
        <f t="shared" si="9"/>
        <v>7.6847360930625566E-2</v>
      </c>
      <c r="AK14" s="790">
        <f t="shared" si="10"/>
        <v>1.9321154148591808E-4</v>
      </c>
      <c r="AL14" s="814">
        <f t="shared" si="11"/>
        <v>0.92295942752788851</v>
      </c>
      <c r="AN14" s="812">
        <f t="shared" si="12"/>
        <v>0.74120329270003693</v>
      </c>
      <c r="AO14" s="790">
        <f t="shared" si="13"/>
        <v>1.2997041320591703E-3</v>
      </c>
      <c r="AP14" s="814">
        <f t="shared" si="14"/>
        <v>0.2574970031679038</v>
      </c>
    </row>
    <row r="15" spans="1:42" x14ac:dyDescent="0.3">
      <c r="A15" s="435" t="s">
        <v>28</v>
      </c>
      <c r="B15" s="319" t="s">
        <v>568</v>
      </c>
      <c r="C15" s="436" t="s">
        <v>252</v>
      </c>
      <c r="D15" s="481">
        <f>'Administration LASER'!D14+'Other Oper Exp. LASER'!D14</f>
        <v>3040210.63</v>
      </c>
      <c r="E15" s="482">
        <f>'Administration LASER'!E14+'Other Oper Exp. LASER'!E14</f>
        <v>728421.15999999992</v>
      </c>
      <c r="F15" s="482">
        <f>'Administration LASER'!F14+'Other Oper Exp. LASER'!F14</f>
        <v>2751040.52</v>
      </c>
      <c r="G15" s="482">
        <f>'Administration LASER'!J14 + 'Other Oper Exp. LASER'!J14</f>
        <v>154003.80000000002</v>
      </c>
      <c r="H15" s="483">
        <f>'Administration LASER'!I14+'Other Oper Exp. LASER'!I14</f>
        <v>6673676.1099999994</v>
      </c>
      <c r="I15" s="481">
        <f>'Client Services LASER'!D14</f>
        <v>111459.8661942047</v>
      </c>
      <c r="J15" s="482">
        <f>'Client Services LASER'!E14</f>
        <v>120274.2138057953</v>
      </c>
      <c r="K15" s="482">
        <f>'Client Services LASER'!F14</f>
        <v>40221.360000000001</v>
      </c>
      <c r="L15" s="482">
        <f>'Client Services LASER'!J14</f>
        <v>582.89</v>
      </c>
      <c r="M15" s="483">
        <f>'Client Services LASER'!I14</f>
        <v>272538.33</v>
      </c>
      <c r="N15" s="1373">
        <f>'Statewide Benefits'!D15</f>
        <v>72301270.594452322</v>
      </c>
      <c r="O15" s="1374">
        <f>'Statewide Benefits'!E15</f>
        <v>65048718.199975602</v>
      </c>
      <c r="P15" s="1374">
        <f>'Statewide Benefits'!F15</f>
        <v>2420548.0700000003</v>
      </c>
      <c r="Q15" s="1777">
        <f>'Statewide Benefits'!G15</f>
        <v>0</v>
      </c>
      <c r="R15" s="1375">
        <f t="shared" si="3"/>
        <v>139770536.86442792</v>
      </c>
      <c r="S15" s="1373">
        <f>'Other Benefits LASER'!D14+'FC &amp; Adoptions LASER'!D14</f>
        <v>1169034.6000000001</v>
      </c>
      <c r="T15" s="1374">
        <f>'Other Benefits LASER'!E14 + 'FC &amp; Adoptions LASER'!E14</f>
        <v>1500198.17</v>
      </c>
      <c r="U15" s="1374">
        <f>'Other Benefits LASER'!F14+'FC &amp; Adoptions LASER'!F14</f>
        <v>25027.599999999999</v>
      </c>
      <c r="V15" s="1777">
        <f>'FC &amp; Adoptions LASER'!J14+'Other Benefits LASER'!J14</f>
        <v>-0.18</v>
      </c>
      <c r="W15" s="1375">
        <f>'Other Benefits LASER'!I14+'FC &amp; Adoptions LASER'!I14</f>
        <v>2694260.19</v>
      </c>
      <c r="X15" s="1373">
        <f t="shared" si="15"/>
        <v>76621975.690646514</v>
      </c>
      <c r="Y15" s="1374">
        <f t="shared" si="16"/>
        <v>67397611.743781403</v>
      </c>
      <c r="Z15" s="1374">
        <f t="shared" si="17"/>
        <v>5236837.55</v>
      </c>
      <c r="AA15" s="1777">
        <f t="shared" si="18"/>
        <v>154586.51000000004</v>
      </c>
      <c r="AB15" s="1375">
        <f t="shared" si="19"/>
        <v>149411011.49442792</v>
      </c>
      <c r="AD15" s="340">
        <f t="shared" si="4"/>
        <v>0.45555261895980748</v>
      </c>
      <c r="AE15" s="341">
        <f t="shared" si="5"/>
        <v>0.1091484135570373</v>
      </c>
      <c r="AF15" s="341">
        <f t="shared" si="6"/>
        <v>0.4122226602932938</v>
      </c>
      <c r="AG15" s="341">
        <f t="shared" si="7"/>
        <v>2.3076307189861516E-2</v>
      </c>
      <c r="AH15" s="342">
        <f t="shared" si="8"/>
        <v>0.56470103251684478</v>
      </c>
      <c r="AJ15" s="812">
        <f t="shared" si="9"/>
        <v>4.4666561341423522E-2</v>
      </c>
      <c r="AK15" s="790">
        <f t="shared" si="10"/>
        <v>1.8240846325450648E-3</v>
      </c>
      <c r="AL15" s="814">
        <f t="shared" si="11"/>
        <v>0.95350935402603143</v>
      </c>
      <c r="AN15" s="812">
        <f t="shared" si="12"/>
        <v>0.52532477735537164</v>
      </c>
      <c r="AO15" s="790">
        <f t="shared" si="13"/>
        <v>7.6804673843663537E-3</v>
      </c>
      <c r="AP15" s="814">
        <f t="shared" si="14"/>
        <v>0.46699475526026207</v>
      </c>
    </row>
    <row r="16" spans="1:42" x14ac:dyDescent="0.3">
      <c r="A16" s="435" t="s">
        <v>29</v>
      </c>
      <c r="B16" s="319" t="s">
        <v>30</v>
      </c>
      <c r="C16" s="436" t="s">
        <v>255</v>
      </c>
      <c r="D16" s="481">
        <f>'Administration LASER'!D15+'Other Oper Exp. LASER'!D15</f>
        <v>477925.37</v>
      </c>
      <c r="E16" s="482">
        <f>'Administration LASER'!E15+'Other Oper Exp. LASER'!E15</f>
        <v>163101.53</v>
      </c>
      <c r="F16" s="482">
        <f>'Administration LASER'!F15+'Other Oper Exp. LASER'!F15</f>
        <v>222370.2</v>
      </c>
      <c r="G16" s="482">
        <f>'Administration LASER'!J15 + 'Other Oper Exp. LASER'!J15</f>
        <v>81825.88</v>
      </c>
      <c r="H16" s="483">
        <f>'Administration LASER'!I15+'Other Oper Exp. LASER'!I15</f>
        <v>945222.9800000001</v>
      </c>
      <c r="I16" s="481">
        <f>'Client Services LASER'!D15</f>
        <v>54111.452096026427</v>
      </c>
      <c r="J16" s="482">
        <f>'Client Services LASER'!E15</f>
        <v>4808.6579039735725</v>
      </c>
      <c r="K16" s="482">
        <f>'Client Services LASER'!F15</f>
        <v>13749.32</v>
      </c>
      <c r="L16" s="482">
        <f>'Client Services LASER'!J15</f>
        <v>0.01</v>
      </c>
      <c r="M16" s="483">
        <f>'Client Services LASER'!I15</f>
        <v>72669.439999999988</v>
      </c>
      <c r="N16" s="1373">
        <f>'Statewide Benefits'!D16</f>
        <v>5380956.5848817518</v>
      </c>
      <c r="O16" s="1374">
        <f>'Statewide Benefits'!E16</f>
        <v>4709026.2250709319</v>
      </c>
      <c r="P16" s="1374">
        <f>'Statewide Benefits'!F16</f>
        <v>73346.350000000006</v>
      </c>
      <c r="Q16" s="1777">
        <f>'Statewide Benefits'!G16</f>
        <v>0</v>
      </c>
      <c r="R16" s="1375">
        <f t="shared" si="3"/>
        <v>10163329.159952683</v>
      </c>
      <c r="S16" s="1373">
        <f>'Other Benefits LASER'!D15+'FC &amp; Adoptions LASER'!D15</f>
        <v>83981.55</v>
      </c>
      <c r="T16" s="1374">
        <f>'Other Benefits LASER'!E15 + 'FC &amp; Adoptions LASER'!E15</f>
        <v>109661.24</v>
      </c>
      <c r="U16" s="1374">
        <f>'Other Benefits LASER'!F15+'FC &amp; Adoptions LASER'!F15</f>
        <v>1754.2</v>
      </c>
      <c r="V16" s="1777">
        <f>'FC &amp; Adoptions LASER'!J15+'Other Benefits LASER'!J15</f>
        <v>-0.05</v>
      </c>
      <c r="W16" s="1375">
        <f>'Other Benefits LASER'!I15+'FC &amp; Adoptions LASER'!I15</f>
        <v>195396.94</v>
      </c>
      <c r="X16" s="1373">
        <f t="shared" si="15"/>
        <v>5996974.9569777781</v>
      </c>
      <c r="Y16" s="1374">
        <f t="shared" si="16"/>
        <v>4986597.6529749054</v>
      </c>
      <c r="Z16" s="1374">
        <f t="shared" si="17"/>
        <v>311220.07</v>
      </c>
      <c r="AA16" s="1777">
        <f t="shared" si="18"/>
        <v>81825.84</v>
      </c>
      <c r="AB16" s="1375">
        <f t="shared" si="19"/>
        <v>11376618.519952683</v>
      </c>
      <c r="AD16" s="340">
        <f t="shared" si="4"/>
        <v>0.50562182692595981</v>
      </c>
      <c r="AE16" s="341">
        <f t="shared" si="5"/>
        <v>0.17255349631893205</v>
      </c>
      <c r="AF16" s="341">
        <f t="shared" si="6"/>
        <v>0.23525687028895551</v>
      </c>
      <c r="AG16" s="341">
        <f t="shared" si="7"/>
        <v>8.6567806466152558E-2</v>
      </c>
      <c r="AH16" s="342">
        <f t="shared" si="8"/>
        <v>0.67817532324489183</v>
      </c>
      <c r="AJ16" s="812">
        <f t="shared" si="9"/>
        <v>8.3084703802121643E-2</v>
      </c>
      <c r="AK16" s="790">
        <f t="shared" si="10"/>
        <v>6.3876133204739142E-3</v>
      </c>
      <c r="AL16" s="814">
        <f t="shared" si="11"/>
        <v>0.91052768287740449</v>
      </c>
      <c r="AN16" s="812">
        <f t="shared" si="12"/>
        <v>0.71451111748673535</v>
      </c>
      <c r="AO16" s="790">
        <f t="shared" si="13"/>
        <v>4.4178770347297974E-2</v>
      </c>
      <c r="AP16" s="814">
        <f t="shared" si="14"/>
        <v>0.24131011216596668</v>
      </c>
    </row>
    <row r="17" spans="1:42" x14ac:dyDescent="0.3">
      <c r="A17" s="435" t="s">
        <v>31</v>
      </c>
      <c r="B17" s="319" t="s">
        <v>32</v>
      </c>
      <c r="C17" s="436" t="s">
        <v>252</v>
      </c>
      <c r="D17" s="481">
        <f>'Administration LASER'!D16+'Other Oper Exp. LASER'!D16</f>
        <v>702684.71</v>
      </c>
      <c r="E17" s="482">
        <f>'Administration LASER'!E16+'Other Oper Exp. LASER'!E16</f>
        <v>270075.09000000003</v>
      </c>
      <c r="F17" s="482">
        <f>'Administration LASER'!F16+'Other Oper Exp. LASER'!F16</f>
        <v>246003.58000000002</v>
      </c>
      <c r="G17" s="482">
        <f>'Administration LASER'!J16 + 'Other Oper Exp. LASER'!J16</f>
        <v>54837.91</v>
      </c>
      <c r="H17" s="483">
        <f>'Administration LASER'!I16+'Other Oper Exp. LASER'!I16</f>
        <v>1273601.2899999998</v>
      </c>
      <c r="I17" s="481">
        <f>'Client Services LASER'!D16</f>
        <v>29200.188991152172</v>
      </c>
      <c r="J17" s="482">
        <f>'Client Services LASER'!E16</f>
        <v>7559.4910088478291</v>
      </c>
      <c r="K17" s="482">
        <f>'Client Services LASER'!F16</f>
        <v>7570.69</v>
      </c>
      <c r="L17" s="482">
        <f>'Client Services LASER'!J16</f>
        <v>-2.0000000000000004E-2</v>
      </c>
      <c r="M17" s="483">
        <f>'Client Services LASER'!I16</f>
        <v>44330.350000000006</v>
      </c>
      <c r="N17" s="1373">
        <f>'Statewide Benefits'!D17</f>
        <v>22261502.335505392</v>
      </c>
      <c r="O17" s="1374">
        <f>'Statewide Benefits'!E17</f>
        <v>19988667.541811794</v>
      </c>
      <c r="P17" s="1374">
        <f>'Statewide Benefits'!F17</f>
        <v>606044.74</v>
      </c>
      <c r="Q17" s="1777">
        <f>'Statewide Benefits'!G17</f>
        <v>0</v>
      </c>
      <c r="R17" s="1375">
        <f t="shared" si="3"/>
        <v>42856214.617317192</v>
      </c>
      <c r="S17" s="1373">
        <f>'Other Benefits LASER'!D16+'FC &amp; Adoptions LASER'!D16</f>
        <v>262966.21999999997</v>
      </c>
      <c r="T17" s="1374">
        <f>'Other Benefits LASER'!E16 + 'FC &amp; Adoptions LASER'!E16</f>
        <v>314133.62</v>
      </c>
      <c r="U17" s="1374">
        <f>'Other Benefits LASER'!F16+'FC &amp; Adoptions LASER'!F16</f>
        <v>12133.8</v>
      </c>
      <c r="V17" s="1777">
        <f>'FC &amp; Adoptions LASER'!J16+'Other Benefits LASER'!J16</f>
        <v>-0.09</v>
      </c>
      <c r="W17" s="1375">
        <f>'Other Benefits LASER'!I16+'FC &amp; Adoptions LASER'!I16</f>
        <v>589233.54999999993</v>
      </c>
      <c r="X17" s="1373">
        <f t="shared" si="15"/>
        <v>23256353.454496544</v>
      </c>
      <c r="Y17" s="1374">
        <f t="shared" si="16"/>
        <v>20580435.742820643</v>
      </c>
      <c r="Z17" s="1374">
        <f t="shared" si="17"/>
        <v>871752.81</v>
      </c>
      <c r="AA17" s="1777">
        <f t="shared" si="18"/>
        <v>54837.80000000001</v>
      </c>
      <c r="AB17" s="1375">
        <f t="shared" si="19"/>
        <v>44763379.80731719</v>
      </c>
      <c r="AD17" s="340">
        <f t="shared" si="4"/>
        <v>0.55173052627796892</v>
      </c>
      <c r="AE17" s="341">
        <f t="shared" si="5"/>
        <v>0.21205623150711481</v>
      </c>
      <c r="AF17" s="341">
        <f t="shared" si="6"/>
        <v>0.19315588161817898</v>
      </c>
      <c r="AG17" s="341">
        <f t="shared" si="7"/>
        <v>4.3057360596737468E-2</v>
      </c>
      <c r="AH17" s="342">
        <f t="shared" si="8"/>
        <v>0.76378675778508376</v>
      </c>
      <c r="AJ17" s="812">
        <f t="shared" si="9"/>
        <v>2.8451857198499835E-2</v>
      </c>
      <c r="AK17" s="790">
        <f t="shared" si="10"/>
        <v>9.9032624861703595E-4</v>
      </c>
      <c r="AL17" s="814">
        <f t="shared" si="11"/>
        <v>0.97055781655288309</v>
      </c>
      <c r="AN17" s="812">
        <f t="shared" si="12"/>
        <v>0.28219419218161168</v>
      </c>
      <c r="AO17" s="790">
        <f t="shared" si="13"/>
        <v>8.684445766225863E-3</v>
      </c>
      <c r="AP17" s="814">
        <f t="shared" si="14"/>
        <v>0.70912136205216247</v>
      </c>
    </row>
    <row r="18" spans="1:42" x14ac:dyDescent="0.3">
      <c r="A18" s="435" t="s">
        <v>35</v>
      </c>
      <c r="B18" s="319" t="s">
        <v>36</v>
      </c>
      <c r="C18" s="436" t="s">
        <v>251</v>
      </c>
      <c r="D18" s="481">
        <f>'Administration LASER'!D17+'Other Oper Exp. LASER'!D17</f>
        <v>1149968.4099999999</v>
      </c>
      <c r="E18" s="482">
        <f>'Administration LASER'!E17+'Other Oper Exp. LASER'!E17</f>
        <v>425124.83</v>
      </c>
      <c r="F18" s="482">
        <f>'Administration LASER'!F17+'Other Oper Exp. LASER'!F17</f>
        <v>430449.53</v>
      </c>
      <c r="G18" s="482">
        <f>'Administration LASER'!J17 + 'Other Oper Exp. LASER'!J17</f>
        <v>95839.28</v>
      </c>
      <c r="H18" s="483">
        <f>'Administration LASER'!I17+'Other Oper Exp. LASER'!I17</f>
        <v>2101382.0499999998</v>
      </c>
      <c r="I18" s="481">
        <f>'Client Services LASER'!D17</f>
        <v>44082.78131053962</v>
      </c>
      <c r="J18" s="482">
        <f>'Client Services LASER'!E17</f>
        <v>18539.778689460378</v>
      </c>
      <c r="K18" s="482">
        <f>'Client Services LASER'!F17</f>
        <v>12649.169999999998</v>
      </c>
      <c r="L18" s="482">
        <f>'Client Services LASER'!J17</f>
        <v>-0.08</v>
      </c>
      <c r="M18" s="483">
        <f>'Client Services LASER'!I17</f>
        <v>75271.649999999994</v>
      </c>
      <c r="N18" s="1373">
        <f>'Statewide Benefits'!D18</f>
        <v>30543412.785015143</v>
      </c>
      <c r="O18" s="1374">
        <f>'Statewide Benefits'!E18</f>
        <v>25051392.224773858</v>
      </c>
      <c r="P18" s="1374">
        <f>'Statewide Benefits'!F18</f>
        <v>209825.47</v>
      </c>
      <c r="Q18" s="1777">
        <f>'Statewide Benefits'!G18</f>
        <v>0</v>
      </c>
      <c r="R18" s="1375">
        <f t="shared" si="3"/>
        <v>55804630.479789004</v>
      </c>
      <c r="S18" s="1373">
        <f>'Other Benefits LASER'!D17+'FC &amp; Adoptions LASER'!D17</f>
        <v>88800.01999999999</v>
      </c>
      <c r="T18" s="1374">
        <f>'Other Benefits LASER'!E17 + 'FC &amp; Adoptions LASER'!E17</f>
        <v>219090.27</v>
      </c>
      <c r="U18" s="1374">
        <f>'Other Benefits LASER'!F17+'FC &amp; Adoptions LASER'!F17</f>
        <v>35778.199999999997</v>
      </c>
      <c r="V18" s="1777">
        <f>'FC &amp; Adoptions LASER'!J17+'Other Benefits LASER'!J17</f>
        <v>81.99</v>
      </c>
      <c r="W18" s="1375">
        <f>'Other Benefits LASER'!I17+'FC &amp; Adoptions LASER'!I17</f>
        <v>343750.48</v>
      </c>
      <c r="X18" s="1373">
        <f t="shared" si="15"/>
        <v>31826263.996325683</v>
      </c>
      <c r="Y18" s="1374">
        <f t="shared" si="16"/>
        <v>25714147.103463318</v>
      </c>
      <c r="Z18" s="1374">
        <f t="shared" si="17"/>
        <v>688702.37</v>
      </c>
      <c r="AA18" s="1777">
        <f t="shared" si="18"/>
        <v>95921.19</v>
      </c>
      <c r="AB18" s="1375">
        <f t="shared" si="19"/>
        <v>58325034.659789003</v>
      </c>
      <c r="AD18" s="340">
        <f t="shared" si="4"/>
        <v>0.5472438531584487</v>
      </c>
      <c r="AE18" s="341">
        <f t="shared" si="5"/>
        <v>0.2023072529814367</v>
      </c>
      <c r="AF18" s="341">
        <f t="shared" si="6"/>
        <v>0.20484115679964054</v>
      </c>
      <c r="AG18" s="341">
        <f t="shared" si="7"/>
        <v>4.5607737060474086E-2</v>
      </c>
      <c r="AH18" s="342">
        <f t="shared" si="8"/>
        <v>0.74955110613988551</v>
      </c>
      <c r="AJ18" s="812">
        <f t="shared" si="9"/>
        <v>3.6028817852529364E-2</v>
      </c>
      <c r="AK18" s="790">
        <f t="shared" si="10"/>
        <v>1.2905547410140587E-3</v>
      </c>
      <c r="AL18" s="814">
        <f t="shared" si="11"/>
        <v>0.96268062740645655</v>
      </c>
      <c r="AN18" s="812">
        <f t="shared" si="12"/>
        <v>0.62501531684869915</v>
      </c>
      <c r="AO18" s="790">
        <f t="shared" si="13"/>
        <v>1.836667122257761E-2</v>
      </c>
      <c r="AP18" s="814">
        <f t="shared" si="14"/>
        <v>0.35661801192872328</v>
      </c>
    </row>
    <row r="19" spans="1:42" x14ac:dyDescent="0.3">
      <c r="A19" s="435" t="s">
        <v>37</v>
      </c>
      <c r="B19" s="319" t="s">
        <v>38</v>
      </c>
      <c r="C19" s="436" t="s">
        <v>255</v>
      </c>
      <c r="D19" s="481">
        <f>'Administration LASER'!D18+'Other Oper Exp. LASER'!D18</f>
        <v>2306974.11</v>
      </c>
      <c r="E19" s="482">
        <f>'Administration LASER'!E18+'Other Oper Exp. LASER'!E18</f>
        <v>845418.75</v>
      </c>
      <c r="F19" s="482">
        <f>'Administration LASER'!F18+'Other Oper Exp. LASER'!F18</f>
        <v>911706.47</v>
      </c>
      <c r="G19" s="482">
        <f>'Administration LASER'!J18 + 'Other Oper Exp. LASER'!J18</f>
        <v>86200.150000000023</v>
      </c>
      <c r="H19" s="483">
        <f>'Administration LASER'!I18+'Other Oper Exp. LASER'!I18</f>
        <v>4150299.48</v>
      </c>
      <c r="I19" s="481">
        <f>'Client Services LASER'!D18</f>
        <v>128814.50535461845</v>
      </c>
      <c r="J19" s="482">
        <f>'Client Services LASER'!E18</f>
        <v>30281.724645381542</v>
      </c>
      <c r="K19" s="482">
        <f>'Client Services LASER'!F18</f>
        <v>34624.589999999997</v>
      </c>
      <c r="L19" s="482">
        <f>'Client Services LASER'!J18</f>
        <v>-0.12</v>
      </c>
      <c r="M19" s="483">
        <f>'Client Services LASER'!I18</f>
        <v>193720.69999999998</v>
      </c>
      <c r="N19" s="1373">
        <f>'Statewide Benefits'!D19</f>
        <v>41071944.385500193</v>
      </c>
      <c r="O19" s="1374">
        <f>'Statewide Benefits'!E19</f>
        <v>32537334.581661452</v>
      </c>
      <c r="P19" s="1374">
        <f>'Statewide Benefits'!F19</f>
        <v>500776.07</v>
      </c>
      <c r="Q19" s="1777">
        <f>'Statewide Benefits'!G19</f>
        <v>0</v>
      </c>
      <c r="R19" s="1375">
        <f t="shared" si="3"/>
        <v>74110055.037161633</v>
      </c>
      <c r="S19" s="1373">
        <f>'Other Benefits LASER'!D18+'FC &amp; Adoptions LASER'!D18</f>
        <v>1168075.4699999997</v>
      </c>
      <c r="T19" s="1374">
        <f>'Other Benefits LASER'!E18 + 'FC &amp; Adoptions LASER'!E18</f>
        <v>1375052.63</v>
      </c>
      <c r="U19" s="1374">
        <f>'Other Benefits LASER'!F18+'FC &amp; Adoptions LASER'!F18</f>
        <v>30485.8</v>
      </c>
      <c r="V19" s="1777">
        <f>'FC &amp; Adoptions LASER'!J18+'Other Benefits LASER'!J18</f>
        <v>37697.25</v>
      </c>
      <c r="W19" s="1375">
        <f>'Other Benefits LASER'!I18+'FC &amp; Adoptions LASER'!I18</f>
        <v>2611311.1499999994</v>
      </c>
      <c r="X19" s="1373">
        <f t="shared" si="15"/>
        <v>44675808.470854811</v>
      </c>
      <c r="Y19" s="1374">
        <f t="shared" si="16"/>
        <v>34788087.686306834</v>
      </c>
      <c r="Z19" s="1374">
        <f t="shared" si="17"/>
        <v>1477592.93</v>
      </c>
      <c r="AA19" s="1777">
        <f t="shared" si="18"/>
        <v>123897.28000000003</v>
      </c>
      <c r="AB19" s="1375">
        <f t="shared" si="19"/>
        <v>81065386.367161632</v>
      </c>
      <c r="AD19" s="340">
        <f t="shared" si="4"/>
        <v>0.55585726310044492</v>
      </c>
      <c r="AE19" s="341">
        <f t="shared" si="5"/>
        <v>0.20370066162068864</v>
      </c>
      <c r="AF19" s="341">
        <f t="shared" si="6"/>
        <v>0.21967245361291374</v>
      </c>
      <c r="AG19" s="341">
        <f t="shared" si="7"/>
        <v>2.0769621665952653E-2</v>
      </c>
      <c r="AH19" s="342">
        <f t="shared" si="8"/>
        <v>0.75955792472113359</v>
      </c>
      <c r="AJ19" s="812">
        <f t="shared" si="9"/>
        <v>5.1196937015786849E-2</v>
      </c>
      <c r="AK19" s="790">
        <f t="shared" si="10"/>
        <v>2.3896845334530265E-3</v>
      </c>
      <c r="AL19" s="814">
        <f t="shared" si="11"/>
        <v>0.94641337845076023</v>
      </c>
      <c r="AN19" s="812">
        <f t="shared" si="12"/>
        <v>0.61702140791916216</v>
      </c>
      <c r="AO19" s="790">
        <f t="shared" si="13"/>
        <v>2.3433104813245145E-2</v>
      </c>
      <c r="AP19" s="814">
        <f t="shared" si="14"/>
        <v>0.35954548726759272</v>
      </c>
    </row>
    <row r="20" spans="1:42" x14ac:dyDescent="0.3">
      <c r="A20" s="435" t="s">
        <v>39</v>
      </c>
      <c r="B20" s="319" t="s">
        <v>40</v>
      </c>
      <c r="C20" s="436" t="s">
        <v>253</v>
      </c>
      <c r="D20" s="481">
        <f>'Administration LASER'!D19+'Other Oper Exp. LASER'!D19</f>
        <v>858898.97</v>
      </c>
      <c r="E20" s="482">
        <f>'Administration LASER'!E19+'Other Oper Exp. LASER'!E19</f>
        <v>313111.3</v>
      </c>
      <c r="F20" s="482">
        <f>'Administration LASER'!F19+'Other Oper Exp. LASER'!F19</f>
        <v>330079.86</v>
      </c>
      <c r="G20" s="482">
        <f>'Administration LASER'!J19 + 'Other Oper Exp. LASER'!J19</f>
        <v>108584.84000000003</v>
      </c>
      <c r="H20" s="483">
        <f>'Administration LASER'!I19+'Other Oper Exp. LASER'!I19</f>
        <v>1610674.9699999997</v>
      </c>
      <c r="I20" s="481">
        <f>'Client Services LASER'!D19</f>
        <v>15619.469844554704</v>
      </c>
      <c r="J20" s="482">
        <f>'Client Services LASER'!E19</f>
        <v>9273.1401554452968</v>
      </c>
      <c r="K20" s="482">
        <f>'Client Services LASER'!F19</f>
        <v>4803.93</v>
      </c>
      <c r="L20" s="482">
        <f>'Client Services LASER'!J19</f>
        <v>9.9999999999999967E-3</v>
      </c>
      <c r="M20" s="483">
        <f>'Client Services LASER'!I19</f>
        <v>29696.55</v>
      </c>
      <c r="N20" s="1373">
        <f>'Statewide Benefits'!D20</f>
        <v>23231158.673144691</v>
      </c>
      <c r="O20" s="1374">
        <f>'Statewide Benefits'!E20</f>
        <v>19548568.109165605</v>
      </c>
      <c r="P20" s="1374">
        <f>'Statewide Benefits'!F20</f>
        <v>373285.44</v>
      </c>
      <c r="Q20" s="1777">
        <f>'Statewide Benefits'!G20</f>
        <v>0</v>
      </c>
      <c r="R20" s="1375">
        <f t="shared" si="3"/>
        <v>43153012.22231029</v>
      </c>
      <c r="S20" s="1373">
        <f>'Other Benefits LASER'!D19+'FC &amp; Adoptions LASER'!D19</f>
        <v>205376.32</v>
      </c>
      <c r="T20" s="1374">
        <f>'Other Benefits LASER'!E19 + 'FC &amp; Adoptions LASER'!E19</f>
        <v>270525.46000000002</v>
      </c>
      <c r="U20" s="1374">
        <f>'Other Benefits LASER'!F19+'FC &amp; Adoptions LASER'!F19</f>
        <v>12345.6</v>
      </c>
      <c r="V20" s="1777">
        <f>'FC &amp; Adoptions LASER'!J19+'Other Benefits LASER'!J19</f>
        <v>-0.04</v>
      </c>
      <c r="W20" s="1375">
        <f>'Other Benefits LASER'!I19+'FC &amp; Adoptions LASER'!I19</f>
        <v>488247.34</v>
      </c>
      <c r="X20" s="1373">
        <f t="shared" si="15"/>
        <v>24311053.432989247</v>
      </c>
      <c r="Y20" s="1374">
        <f t="shared" si="16"/>
        <v>20141478.009321053</v>
      </c>
      <c r="Z20" s="1374">
        <f t="shared" si="17"/>
        <v>720514.83</v>
      </c>
      <c r="AA20" s="1777">
        <f t="shared" si="18"/>
        <v>108584.81000000003</v>
      </c>
      <c r="AB20" s="1375">
        <f t="shared" si="19"/>
        <v>45281631.082310297</v>
      </c>
      <c r="AD20" s="340">
        <f t="shared" si="4"/>
        <v>0.53325406180490909</v>
      </c>
      <c r="AE20" s="341">
        <f t="shared" si="5"/>
        <v>0.19439756985855441</v>
      </c>
      <c r="AF20" s="341">
        <f t="shared" si="6"/>
        <v>0.20493263144208421</v>
      </c>
      <c r="AG20" s="341">
        <f t="shared" si="7"/>
        <v>6.7415736894452419E-2</v>
      </c>
      <c r="AH20" s="342">
        <f t="shared" si="8"/>
        <v>0.72765163166346358</v>
      </c>
      <c r="AJ20" s="812">
        <f t="shared" si="9"/>
        <v>3.5570162370525238E-2</v>
      </c>
      <c r="AK20" s="790">
        <f t="shared" si="10"/>
        <v>6.5581891133778623E-4</v>
      </c>
      <c r="AL20" s="814">
        <f t="shared" si="11"/>
        <v>0.96377401871813695</v>
      </c>
      <c r="AN20" s="812">
        <f t="shared" si="12"/>
        <v>0.45811667748740165</v>
      </c>
      <c r="AO20" s="790">
        <f t="shared" si="13"/>
        <v>6.6673575615369372E-3</v>
      </c>
      <c r="AP20" s="814">
        <f t="shared" si="14"/>
        <v>0.5352159649510615</v>
      </c>
    </row>
    <row r="21" spans="1:42" x14ac:dyDescent="0.3">
      <c r="A21" s="435" t="s">
        <v>41</v>
      </c>
      <c r="B21" s="319" t="s">
        <v>42</v>
      </c>
      <c r="C21" s="436" t="s">
        <v>252</v>
      </c>
      <c r="D21" s="481">
        <f>'Administration LASER'!D20+'Other Oper Exp. LASER'!D20</f>
        <v>2708933.34</v>
      </c>
      <c r="E21" s="482">
        <f>'Administration LASER'!E20+'Other Oper Exp. LASER'!E20</f>
        <v>942168.28999999992</v>
      </c>
      <c r="F21" s="482">
        <f>'Administration LASER'!F20+'Other Oper Exp. LASER'!F20</f>
        <v>1195482.73</v>
      </c>
      <c r="G21" s="482">
        <f>'Administration LASER'!J20 + 'Other Oper Exp. LASER'!J20</f>
        <v>336277.39</v>
      </c>
      <c r="H21" s="483">
        <f>'Administration LASER'!I20+'Other Oper Exp. LASER'!I20</f>
        <v>5182861.7499999991</v>
      </c>
      <c r="I21" s="481">
        <f>'Client Services LASER'!D20</f>
        <v>128451.48903600902</v>
      </c>
      <c r="J21" s="482">
        <f>'Client Services LASER'!E20</f>
        <v>64903.370963990987</v>
      </c>
      <c r="K21" s="482">
        <f>'Client Services LASER'!F20</f>
        <v>39619.090000000004</v>
      </c>
      <c r="L21" s="482">
        <f>'Client Services LASER'!J20</f>
        <v>46893.25</v>
      </c>
      <c r="M21" s="483">
        <f>'Client Services LASER'!I20</f>
        <v>279867.2</v>
      </c>
      <c r="N21" s="1373">
        <f>'Statewide Benefits'!D21</f>
        <v>65601121.286071315</v>
      </c>
      <c r="O21" s="1374">
        <f>'Statewide Benefits'!E21</f>
        <v>55544683.128423452</v>
      </c>
      <c r="P21" s="1374">
        <f>'Statewide Benefits'!F21</f>
        <v>1547674.7</v>
      </c>
      <c r="Q21" s="1777">
        <f>'Statewide Benefits'!G21</f>
        <v>0</v>
      </c>
      <c r="R21" s="1375">
        <f t="shared" si="3"/>
        <v>122693479.11449477</v>
      </c>
      <c r="S21" s="1373">
        <f>'Other Benefits LASER'!D20+'FC &amp; Adoptions LASER'!D20</f>
        <v>1067593.1799999997</v>
      </c>
      <c r="T21" s="1374">
        <f>'Other Benefits LASER'!E20 + 'FC &amp; Adoptions LASER'!E20</f>
        <v>1432743.34</v>
      </c>
      <c r="U21" s="1374">
        <f>'Other Benefits LASER'!F20+'FC &amp; Adoptions LASER'!F20</f>
        <v>30506.04</v>
      </c>
      <c r="V21" s="1777">
        <f>'FC &amp; Adoptions LASER'!J20+'Other Benefits LASER'!J20</f>
        <v>2047.6299999999999</v>
      </c>
      <c r="W21" s="1375">
        <f>'Other Benefits LASER'!I20+'FC &amp; Adoptions LASER'!I20</f>
        <v>2532890.19</v>
      </c>
      <c r="X21" s="1373">
        <f t="shared" si="15"/>
        <v>69506099.295107335</v>
      </c>
      <c r="Y21" s="1374">
        <f t="shared" si="16"/>
        <v>57984498.129387446</v>
      </c>
      <c r="Z21" s="1374">
        <f t="shared" si="17"/>
        <v>2813282.56</v>
      </c>
      <c r="AA21" s="1777">
        <f t="shared" si="18"/>
        <v>385218.27</v>
      </c>
      <c r="AB21" s="1375">
        <f t="shared" si="19"/>
        <v>130689098.25449477</v>
      </c>
      <c r="AD21" s="340">
        <f t="shared" si="4"/>
        <v>0.52267134850741492</v>
      </c>
      <c r="AE21" s="341">
        <f t="shared" si="5"/>
        <v>0.18178534088816861</v>
      </c>
      <c r="AF21" s="341">
        <f t="shared" si="6"/>
        <v>0.23066074066127659</v>
      </c>
      <c r="AG21" s="341">
        <f t="shared" si="7"/>
        <v>6.4882569943140012E-2</v>
      </c>
      <c r="AH21" s="342">
        <f t="shared" si="8"/>
        <v>0.70445668939558359</v>
      </c>
      <c r="AJ21" s="812">
        <f t="shared" si="9"/>
        <v>3.9657950198013138E-2</v>
      </c>
      <c r="AK21" s="790">
        <f t="shared" si="10"/>
        <v>2.1414731889495961E-3</v>
      </c>
      <c r="AL21" s="814">
        <f t="shared" si="11"/>
        <v>0.95820057661303726</v>
      </c>
      <c r="AN21" s="812">
        <f t="shared" si="12"/>
        <v>0.42494228876888923</v>
      </c>
      <c r="AO21" s="790">
        <f t="shared" si="13"/>
        <v>1.4082869087988092E-2</v>
      </c>
      <c r="AP21" s="814">
        <f t="shared" si="14"/>
        <v>0.56097484214312265</v>
      </c>
    </row>
    <row r="22" spans="1:42" x14ac:dyDescent="0.3">
      <c r="A22" s="435" t="s">
        <v>43</v>
      </c>
      <c r="B22" s="319" t="s">
        <v>44</v>
      </c>
      <c r="C22" s="436" t="s">
        <v>253</v>
      </c>
      <c r="D22" s="481">
        <f>'Administration LASER'!D21+'Other Oper Exp. LASER'!D21</f>
        <v>1336412.5299999998</v>
      </c>
      <c r="E22" s="482">
        <f>'Administration LASER'!E21+'Other Oper Exp. LASER'!E21</f>
        <v>445498.09</v>
      </c>
      <c r="F22" s="482">
        <f>'Administration LASER'!F21+'Other Oper Exp. LASER'!F21</f>
        <v>685453.97</v>
      </c>
      <c r="G22" s="482">
        <f>'Administration LASER'!J21 + 'Other Oper Exp. LASER'!J21</f>
        <v>124982.89</v>
      </c>
      <c r="H22" s="483">
        <f>'Administration LASER'!I21+'Other Oper Exp. LASER'!I21</f>
        <v>2592347.48</v>
      </c>
      <c r="I22" s="481">
        <f>'Client Services LASER'!D21</f>
        <v>24588.854744847602</v>
      </c>
      <c r="J22" s="482">
        <f>'Client Services LASER'!E21</f>
        <v>22755.855255152401</v>
      </c>
      <c r="K22" s="482">
        <f>'Client Services LASER'!F21</f>
        <v>8651.27</v>
      </c>
      <c r="L22" s="482">
        <f>'Client Services LASER'!J21</f>
        <v>3969.93</v>
      </c>
      <c r="M22" s="483">
        <f>'Client Services LASER'!I21</f>
        <v>59965.910000000011</v>
      </c>
      <c r="N22" s="1373">
        <f>'Statewide Benefits'!D22</f>
        <v>34300696.43091128</v>
      </c>
      <c r="O22" s="1374">
        <f>'Statewide Benefits'!E22</f>
        <v>27672000.273849133</v>
      </c>
      <c r="P22" s="1374">
        <f>'Statewide Benefits'!F22</f>
        <v>534316.25</v>
      </c>
      <c r="Q22" s="1777">
        <f>'Statewide Benefits'!G22</f>
        <v>0</v>
      </c>
      <c r="R22" s="1375">
        <f t="shared" si="3"/>
        <v>62507012.954760417</v>
      </c>
      <c r="S22" s="1373">
        <f>'Other Benefits LASER'!D21+'FC &amp; Adoptions LASER'!D21</f>
        <v>288356.15999999997</v>
      </c>
      <c r="T22" s="1374">
        <f>'Other Benefits LASER'!E21 + 'FC &amp; Adoptions LASER'!E21</f>
        <v>302620.81999999995</v>
      </c>
      <c r="U22" s="1374">
        <f>'Other Benefits LASER'!F21+'FC &amp; Adoptions LASER'!F21</f>
        <v>497.4</v>
      </c>
      <c r="V22" s="1777">
        <f>'FC &amp; Adoptions LASER'!J21+'Other Benefits LASER'!J21</f>
        <v>39.799999999999997</v>
      </c>
      <c r="W22" s="1375">
        <f>'Other Benefits LASER'!I21+'FC &amp; Adoptions LASER'!I21</f>
        <v>591514.17999999993</v>
      </c>
      <c r="X22" s="1373">
        <f t="shared" si="15"/>
        <v>35950053.975656122</v>
      </c>
      <c r="Y22" s="1374">
        <f t="shared" si="16"/>
        <v>28442875.039104287</v>
      </c>
      <c r="Z22" s="1374">
        <f t="shared" si="17"/>
        <v>1228918.8899999999</v>
      </c>
      <c r="AA22" s="1777">
        <f t="shared" si="18"/>
        <v>128992.62</v>
      </c>
      <c r="AB22" s="1375">
        <f t="shared" si="19"/>
        <v>65750840.524760418</v>
      </c>
      <c r="AD22" s="340">
        <f t="shared" si="4"/>
        <v>0.51552214365953741</v>
      </c>
      <c r="AE22" s="341">
        <f t="shared" si="5"/>
        <v>0.17185122497544197</v>
      </c>
      <c r="AF22" s="341">
        <f t="shared" si="6"/>
        <v>0.26441438707128873</v>
      </c>
      <c r="AG22" s="341">
        <f t="shared" si="7"/>
        <v>4.8212244293731797E-2</v>
      </c>
      <c r="AH22" s="342">
        <f t="shared" si="8"/>
        <v>0.68737336863497944</v>
      </c>
      <c r="AJ22" s="812">
        <f t="shared" si="9"/>
        <v>3.9426834080147993E-2</v>
      </c>
      <c r="AK22" s="790">
        <f t="shared" si="10"/>
        <v>9.1201739052169343E-4</v>
      </c>
      <c r="AL22" s="814">
        <f t="shared" si="11"/>
        <v>0.95966114852933027</v>
      </c>
      <c r="AN22" s="812">
        <f t="shared" si="12"/>
        <v>0.55776990294290296</v>
      </c>
      <c r="AO22" s="790">
        <f t="shared" si="13"/>
        <v>7.0397404339679415E-3</v>
      </c>
      <c r="AP22" s="814">
        <f t="shared" si="14"/>
        <v>0.43519035662312916</v>
      </c>
    </row>
    <row r="23" spans="1:42" x14ac:dyDescent="0.3">
      <c r="A23" s="435" t="s">
        <v>45</v>
      </c>
      <c r="B23" s="319" t="s">
        <v>46</v>
      </c>
      <c r="C23" s="436" t="s">
        <v>255</v>
      </c>
      <c r="D23" s="481">
        <f>'Administration LASER'!D22+'Other Oper Exp. LASER'!D22</f>
        <v>1435666.11</v>
      </c>
      <c r="E23" s="482">
        <f>'Administration LASER'!E22+'Other Oper Exp. LASER'!E22</f>
        <v>564285.1</v>
      </c>
      <c r="F23" s="482">
        <f>'Administration LASER'!F22+'Other Oper Exp. LASER'!F22</f>
        <v>420133.91</v>
      </c>
      <c r="G23" s="482">
        <f>'Administration LASER'!J22 + 'Other Oper Exp. LASER'!J22</f>
        <v>109914.77</v>
      </c>
      <c r="H23" s="483">
        <f>'Administration LASER'!I22+'Other Oper Exp. LASER'!I22</f>
        <v>2529999.89</v>
      </c>
      <c r="I23" s="481">
        <f>'Client Services LASER'!D22</f>
        <v>57885.678620417297</v>
      </c>
      <c r="J23" s="482">
        <f>'Client Services LASER'!E22</f>
        <v>49465.561379582708</v>
      </c>
      <c r="K23" s="482">
        <f>'Client Services LASER'!F22</f>
        <v>20087.41</v>
      </c>
      <c r="L23" s="482">
        <f>'Client Services LASER'!J22</f>
        <v>-9.9999999999999985E-3</v>
      </c>
      <c r="M23" s="483">
        <f>'Client Services LASER'!I22</f>
        <v>127438.64000000001</v>
      </c>
      <c r="N23" s="1373">
        <f>'Statewide Benefits'!D23</f>
        <v>43608107.204047218</v>
      </c>
      <c r="O23" s="1374">
        <f>'Statewide Benefits'!E23</f>
        <v>37383995.433092259</v>
      </c>
      <c r="P23" s="1374">
        <f>'Statewide Benefits'!F23</f>
        <v>1281568.6599999999</v>
      </c>
      <c r="Q23" s="1777">
        <f>'Statewide Benefits'!G23</f>
        <v>0</v>
      </c>
      <c r="R23" s="1375">
        <f t="shared" si="3"/>
        <v>82273671.297139466</v>
      </c>
      <c r="S23" s="1373">
        <f>'Other Benefits LASER'!D22+'FC &amp; Adoptions LASER'!D22</f>
        <v>1003625.74</v>
      </c>
      <c r="T23" s="1374">
        <f>'Other Benefits LASER'!E22 + 'FC &amp; Adoptions LASER'!E22</f>
        <v>1189438.23</v>
      </c>
      <c r="U23" s="1374">
        <f>'Other Benefits LASER'!F22+'FC &amp; Adoptions LASER'!F22</f>
        <v>38309.199999999997</v>
      </c>
      <c r="V23" s="1777">
        <f>'FC &amp; Adoptions LASER'!J22+'Other Benefits LASER'!J22</f>
        <v>46.93</v>
      </c>
      <c r="W23" s="1375">
        <f>'Other Benefits LASER'!I22+'FC &amp; Adoptions LASER'!I22</f>
        <v>2231420.0999999996</v>
      </c>
      <c r="X23" s="1373">
        <f t="shared" si="15"/>
        <v>46105284.73266764</v>
      </c>
      <c r="Y23" s="1374">
        <f t="shared" si="16"/>
        <v>39187184.324471839</v>
      </c>
      <c r="Z23" s="1374">
        <f t="shared" si="17"/>
        <v>1760099.18</v>
      </c>
      <c r="AA23" s="1777">
        <f t="shared" si="18"/>
        <v>109961.69</v>
      </c>
      <c r="AB23" s="1375">
        <f t="shared" si="19"/>
        <v>87162529.927139461</v>
      </c>
      <c r="AD23" s="340">
        <f t="shared" si="4"/>
        <v>0.56745698514635112</v>
      </c>
      <c r="AE23" s="341">
        <f t="shared" si="5"/>
        <v>0.2230375986300932</v>
      </c>
      <c r="AF23" s="341">
        <f t="shared" si="6"/>
        <v>0.16606084121213141</v>
      </c>
      <c r="AG23" s="341">
        <f t="shared" si="7"/>
        <v>4.3444575011424208E-2</v>
      </c>
      <c r="AH23" s="342">
        <f t="shared" si="8"/>
        <v>0.79049458377644433</v>
      </c>
      <c r="AJ23" s="812">
        <f t="shared" si="9"/>
        <v>2.9026232856192529E-2</v>
      </c>
      <c r="AK23" s="790">
        <f t="shared" si="10"/>
        <v>1.4620805534961868E-3</v>
      </c>
      <c r="AL23" s="814">
        <f t="shared" si="11"/>
        <v>0.96951168659031128</v>
      </c>
      <c r="AN23" s="812">
        <f t="shared" si="12"/>
        <v>0.23869899763262203</v>
      </c>
      <c r="AO23" s="790">
        <f t="shared" si="13"/>
        <v>1.1412658007147075E-2</v>
      </c>
      <c r="AP23" s="814">
        <f t="shared" si="14"/>
        <v>0.74988834436023089</v>
      </c>
    </row>
    <row r="24" spans="1:42" x14ac:dyDescent="0.3">
      <c r="A24" s="435" t="s">
        <v>47</v>
      </c>
      <c r="B24" s="319" t="s">
        <v>256</v>
      </c>
      <c r="C24" s="436" t="s">
        <v>253</v>
      </c>
      <c r="D24" s="481">
        <f>'Administration LASER'!D23+'Other Oper Exp. LASER'!D23</f>
        <v>495197.28</v>
      </c>
      <c r="E24" s="482">
        <f>'Administration LASER'!E23+'Other Oper Exp. LASER'!E23</f>
        <v>182762.5</v>
      </c>
      <c r="F24" s="482">
        <f>'Administration LASER'!F23+'Other Oper Exp. LASER'!F23</f>
        <v>168039.47</v>
      </c>
      <c r="G24" s="482">
        <f>'Administration LASER'!J23 + 'Other Oper Exp. LASER'!J23</f>
        <v>91478.92</v>
      </c>
      <c r="H24" s="483">
        <f>'Administration LASER'!I23+'Other Oper Exp. LASER'!I23</f>
        <v>937478.17</v>
      </c>
      <c r="I24" s="481">
        <f>'Client Services LASER'!D23</f>
        <v>33335.991844483207</v>
      </c>
      <c r="J24" s="482">
        <f>'Client Services LASER'!E23</f>
        <v>5412.7381555167949</v>
      </c>
      <c r="K24" s="482">
        <f>'Client Services LASER'!F23</f>
        <v>8243.76</v>
      </c>
      <c r="L24" s="482">
        <f>'Client Services LASER'!J23</f>
        <v>-0.02</v>
      </c>
      <c r="M24" s="483">
        <f>'Client Services LASER'!I23</f>
        <v>46992.470000000008</v>
      </c>
      <c r="N24" s="1373">
        <f>'Statewide Benefits'!D24</f>
        <v>8676368.3065609019</v>
      </c>
      <c r="O24" s="1374">
        <f>'Statewide Benefits'!E24</f>
        <v>7352938.1583769275</v>
      </c>
      <c r="P24" s="1374">
        <f>'Statewide Benefits'!F24</f>
        <v>182791.28</v>
      </c>
      <c r="Q24" s="1777">
        <f>'Statewide Benefits'!G24</f>
        <v>0</v>
      </c>
      <c r="R24" s="1375">
        <f t="shared" si="3"/>
        <v>16212097.744937828</v>
      </c>
      <c r="S24" s="1373">
        <f>'Other Benefits LASER'!D23+'FC &amp; Adoptions LASER'!D23</f>
        <v>19574.22</v>
      </c>
      <c r="T24" s="1374">
        <f>'Other Benefits LASER'!E23 + 'FC &amp; Adoptions LASER'!E23</f>
        <v>39641.18</v>
      </c>
      <c r="U24" s="1374">
        <f>'Other Benefits LASER'!F23+'FC &amp; Adoptions LASER'!F23</f>
        <v>4193.6000000000004</v>
      </c>
      <c r="V24" s="1777">
        <f>'FC &amp; Adoptions LASER'!J23+'Other Benefits LASER'!J23</f>
        <v>2487.91</v>
      </c>
      <c r="W24" s="1375">
        <f>'Other Benefits LASER'!I23+'FC &amp; Adoptions LASER'!I23</f>
        <v>65896.91</v>
      </c>
      <c r="X24" s="1373">
        <f t="shared" si="15"/>
        <v>9224475.7984053865</v>
      </c>
      <c r="Y24" s="1374">
        <f t="shared" si="16"/>
        <v>7580754.576532444</v>
      </c>
      <c r="Z24" s="1374">
        <f t="shared" si="17"/>
        <v>363268.11</v>
      </c>
      <c r="AA24" s="1777">
        <f t="shared" si="18"/>
        <v>93966.81</v>
      </c>
      <c r="AB24" s="1375">
        <f t="shared" si="19"/>
        <v>17262465.294937827</v>
      </c>
      <c r="AD24" s="340">
        <f t="shared" si="4"/>
        <v>0.52822273184238522</v>
      </c>
      <c r="AE24" s="341">
        <f t="shared" si="5"/>
        <v>0.19495120617048609</v>
      </c>
      <c r="AF24" s="341">
        <f t="shared" si="6"/>
        <v>0.17924627514259878</v>
      </c>
      <c r="AG24" s="341">
        <f t="shared" si="7"/>
        <v>9.7579786844529934E-2</v>
      </c>
      <c r="AH24" s="342">
        <f t="shared" si="8"/>
        <v>0.72317393801287122</v>
      </c>
      <c r="AJ24" s="812">
        <f t="shared" si="9"/>
        <v>5.4307316711878523E-2</v>
      </c>
      <c r="AK24" s="790">
        <f t="shared" si="10"/>
        <v>2.7222340029138497E-3</v>
      </c>
      <c r="AL24" s="814">
        <f t="shared" si="11"/>
        <v>0.94297044928520768</v>
      </c>
      <c r="AN24" s="812">
        <f t="shared" si="12"/>
        <v>0.46257699306443389</v>
      </c>
      <c r="AO24" s="790">
        <f t="shared" si="13"/>
        <v>2.2693321469919286E-2</v>
      </c>
      <c r="AP24" s="814">
        <f t="shared" si="14"/>
        <v>0.5147296854656469</v>
      </c>
    </row>
    <row r="25" spans="1:42" x14ac:dyDescent="0.3">
      <c r="A25" s="435" t="s">
        <v>49</v>
      </c>
      <c r="B25" s="319" t="s">
        <v>50</v>
      </c>
      <c r="C25" s="436" t="s">
        <v>252</v>
      </c>
      <c r="D25" s="481">
        <f>'Administration LASER'!D24+'Other Oper Exp. LASER'!D24</f>
        <v>829221.42</v>
      </c>
      <c r="E25" s="482">
        <f>'Administration LASER'!E24+'Other Oper Exp. LASER'!E24</f>
        <v>305810.44999999995</v>
      </c>
      <c r="F25" s="482">
        <f>'Administration LASER'!F24+'Other Oper Exp. LASER'!F24</f>
        <v>322295.79000000004</v>
      </c>
      <c r="G25" s="482">
        <f>'Administration LASER'!J24 + 'Other Oper Exp. LASER'!J24</f>
        <v>147974.99</v>
      </c>
      <c r="H25" s="483">
        <f>'Administration LASER'!I24+'Other Oper Exp. LASER'!I24</f>
        <v>1605302.65</v>
      </c>
      <c r="I25" s="481">
        <f>'Client Services LASER'!D24</f>
        <v>49137.6259058715</v>
      </c>
      <c r="J25" s="482">
        <f>'Client Services LASER'!E24</f>
        <v>8519.9440941285011</v>
      </c>
      <c r="K25" s="482">
        <f>'Client Services LASER'!F24</f>
        <v>13312.26</v>
      </c>
      <c r="L25" s="482">
        <f>'Client Services LASER'!J24</f>
        <v>3.0000000000000002E-2</v>
      </c>
      <c r="M25" s="483">
        <f>'Client Services LASER'!I24</f>
        <v>70969.86</v>
      </c>
      <c r="N25" s="1373">
        <f>'Statewide Benefits'!D25</f>
        <v>17514088.56093803</v>
      </c>
      <c r="O25" s="1374">
        <f>'Statewide Benefits'!E25</f>
        <v>14608530.043920135</v>
      </c>
      <c r="P25" s="1374">
        <f>'Statewide Benefits'!F25</f>
        <v>217417.47</v>
      </c>
      <c r="Q25" s="1777">
        <f>'Statewide Benefits'!G25</f>
        <v>0</v>
      </c>
      <c r="R25" s="1375">
        <f t="shared" si="3"/>
        <v>32340036.074858166</v>
      </c>
      <c r="S25" s="1373">
        <f>'Other Benefits LASER'!D24+'FC &amp; Adoptions LASER'!D24</f>
        <v>336284.79000000004</v>
      </c>
      <c r="T25" s="1374">
        <f>'Other Benefits LASER'!E24 + 'FC &amp; Adoptions LASER'!E24</f>
        <v>332807.18</v>
      </c>
      <c r="U25" s="1374">
        <f>'Other Benefits LASER'!F24+'FC &amp; Adoptions LASER'!F24</f>
        <v>13864.8</v>
      </c>
      <c r="V25" s="1777">
        <f>'FC &amp; Adoptions LASER'!J24+'Other Benefits LASER'!J24</f>
        <v>1999.89</v>
      </c>
      <c r="W25" s="1375">
        <f>'Other Benefits LASER'!I24+'FC &amp; Adoptions LASER'!I24</f>
        <v>684956.66</v>
      </c>
      <c r="X25" s="1373">
        <f t="shared" si="15"/>
        <v>18728732.396843903</v>
      </c>
      <c r="Y25" s="1374">
        <f t="shared" si="16"/>
        <v>15255667.618014263</v>
      </c>
      <c r="Z25" s="1374">
        <f t="shared" si="17"/>
        <v>566890.32000000007</v>
      </c>
      <c r="AA25" s="1777">
        <f t="shared" si="18"/>
        <v>149974.91</v>
      </c>
      <c r="AB25" s="1375">
        <f t="shared" si="19"/>
        <v>34701265.244858161</v>
      </c>
      <c r="AD25" s="340">
        <f t="shared" si="4"/>
        <v>0.51655145526608337</v>
      </c>
      <c r="AE25" s="341">
        <f t="shared" si="5"/>
        <v>0.19050018387498455</v>
      </c>
      <c r="AF25" s="341">
        <f t="shared" si="6"/>
        <v>0.20076948729885921</v>
      </c>
      <c r="AG25" s="341">
        <f t="shared" si="7"/>
        <v>9.2178873560072927E-2</v>
      </c>
      <c r="AH25" s="342">
        <f t="shared" si="8"/>
        <v>0.70705163914106794</v>
      </c>
      <c r="AJ25" s="812">
        <f t="shared" si="9"/>
        <v>4.6260637434188789E-2</v>
      </c>
      <c r="AK25" s="790">
        <f t="shared" si="10"/>
        <v>2.0451663505415244E-3</v>
      </c>
      <c r="AL25" s="814">
        <f t="shared" si="11"/>
        <v>0.95169419621526985</v>
      </c>
      <c r="AN25" s="812">
        <f t="shared" si="12"/>
        <v>0.56853288657319112</v>
      </c>
      <c r="AO25" s="790">
        <f t="shared" si="13"/>
        <v>2.3482955221390971E-2</v>
      </c>
      <c r="AP25" s="814">
        <f t="shared" si="14"/>
        <v>0.40798415820541789</v>
      </c>
    </row>
    <row r="26" spans="1:42" x14ac:dyDescent="0.3">
      <c r="A26" s="435" t="s">
        <v>55</v>
      </c>
      <c r="B26" s="319" t="s">
        <v>271</v>
      </c>
      <c r="C26" s="436" t="s">
        <v>253</v>
      </c>
      <c r="D26" s="481">
        <f>'Administration LASER'!D25+'Other Oper Exp. LASER'!D25</f>
        <v>8109475.9100000001</v>
      </c>
      <c r="E26" s="482">
        <f>'Administration LASER'!E25+'Other Oper Exp. LASER'!E25</f>
        <v>2605308.09</v>
      </c>
      <c r="F26" s="482">
        <f>'Administration LASER'!F25+'Other Oper Exp. LASER'!F25</f>
        <v>4818888.8599999994</v>
      </c>
      <c r="G26" s="482">
        <f>'Administration LASER'!J25 + 'Other Oper Exp. LASER'!J25</f>
        <v>1082153.4200000002</v>
      </c>
      <c r="H26" s="483">
        <f>'Administration LASER'!I25+'Other Oper Exp. LASER'!I25</f>
        <v>16615826.279999999</v>
      </c>
      <c r="I26" s="481">
        <f>'Client Services LASER'!D25</f>
        <v>271605.36960197432</v>
      </c>
      <c r="J26" s="482">
        <f>'Client Services LASER'!E25</f>
        <v>374201.40039802564</v>
      </c>
      <c r="K26" s="482">
        <f>'Client Services LASER'!F25</f>
        <v>116868.8</v>
      </c>
      <c r="L26" s="482">
        <f>'Client Services LASER'!J25</f>
        <v>4589.7700000000004</v>
      </c>
      <c r="M26" s="483">
        <f>'Client Services LASER'!I25</f>
        <v>767265.34000000008</v>
      </c>
      <c r="N26" s="1373">
        <f>'Statewide Benefits'!D26</f>
        <v>328066232.98077542</v>
      </c>
      <c r="O26" s="1374">
        <f>'Statewide Benefits'!E26</f>
        <v>271241559.17681736</v>
      </c>
      <c r="P26" s="1374">
        <f>'Statewide Benefits'!F26</f>
        <v>6308063.5499999998</v>
      </c>
      <c r="Q26" s="1777">
        <f>'Statewide Benefits'!G26</f>
        <v>0</v>
      </c>
      <c r="R26" s="1375">
        <f t="shared" si="3"/>
        <v>605615855.70759273</v>
      </c>
      <c r="S26" s="1373">
        <f>'Other Benefits LASER'!D25+'FC &amp; Adoptions LASER'!D25</f>
        <v>2017587.23</v>
      </c>
      <c r="T26" s="1374">
        <f>'Other Benefits LASER'!E25 + 'FC &amp; Adoptions LASER'!E25</f>
        <v>2781508.6999999997</v>
      </c>
      <c r="U26" s="1374">
        <f>'Other Benefits LASER'!F25+'FC &amp; Adoptions LASER'!F25</f>
        <v>147790.76999999999</v>
      </c>
      <c r="V26" s="1777">
        <f>'FC &amp; Adoptions LASER'!J25+'Other Benefits LASER'!J25</f>
        <v>5685.8</v>
      </c>
      <c r="W26" s="1375">
        <f>'Other Benefits LASER'!I25+'FC &amp; Adoptions LASER'!I25</f>
        <v>4952572.5</v>
      </c>
      <c r="X26" s="1373">
        <f t="shared" si="15"/>
        <v>338464901.49037743</v>
      </c>
      <c r="Y26" s="1374">
        <f t="shared" si="16"/>
        <v>277002577.36721539</v>
      </c>
      <c r="Z26" s="1374">
        <f t="shared" si="17"/>
        <v>11391611.979999999</v>
      </c>
      <c r="AA26" s="1777">
        <f t="shared" si="18"/>
        <v>1092428.9900000002</v>
      </c>
      <c r="AB26" s="1375">
        <f t="shared" si="19"/>
        <v>627951519.82759273</v>
      </c>
      <c r="AD26" s="340">
        <f t="shared" si="4"/>
        <v>0.48805733602072787</v>
      </c>
      <c r="AE26" s="341">
        <f t="shared" si="5"/>
        <v>0.15679678194131913</v>
      </c>
      <c r="AF26" s="341">
        <f t="shared" si="6"/>
        <v>0.29001800926387633</v>
      </c>
      <c r="AG26" s="341">
        <f t="shared" si="7"/>
        <v>6.5127872774076709E-2</v>
      </c>
      <c r="AH26" s="342">
        <f t="shared" si="8"/>
        <v>0.64485411796204695</v>
      </c>
      <c r="AJ26" s="812">
        <f t="shared" si="9"/>
        <v>2.6460364781921316E-2</v>
      </c>
      <c r="AK26" s="790">
        <f t="shared" si="10"/>
        <v>1.2218544199250551E-3</v>
      </c>
      <c r="AL26" s="814">
        <f t="shared" si="11"/>
        <v>0.97231778079815367</v>
      </c>
      <c r="AN26" s="812">
        <f t="shared" si="12"/>
        <v>0.42302080411976956</v>
      </c>
      <c r="AO26" s="790">
        <f t="shared" si="13"/>
        <v>1.0259197750518888E-2</v>
      </c>
      <c r="AP26" s="814">
        <f t="shared" si="14"/>
        <v>0.56671999812971163</v>
      </c>
    </row>
    <row r="27" spans="1:42" x14ac:dyDescent="0.3">
      <c r="A27" s="435" t="s">
        <v>57</v>
      </c>
      <c r="B27" s="319" t="s">
        <v>58</v>
      </c>
      <c r="C27" s="436" t="s">
        <v>254</v>
      </c>
      <c r="D27" s="481">
        <f>'Administration LASER'!D26+'Other Oper Exp. LASER'!D26</f>
        <v>583632.43999999994</v>
      </c>
      <c r="E27" s="482">
        <f>'Administration LASER'!E26+'Other Oper Exp. LASER'!E26</f>
        <v>162175.77000000002</v>
      </c>
      <c r="F27" s="482">
        <f>'Administration LASER'!F26+'Other Oper Exp. LASER'!F26</f>
        <v>431391.66000000003</v>
      </c>
      <c r="G27" s="482">
        <f>'Administration LASER'!J26 + 'Other Oper Exp. LASER'!J26</f>
        <v>59492.160000000003</v>
      </c>
      <c r="H27" s="483">
        <f>'Administration LASER'!I26+'Other Oper Exp. LASER'!I26</f>
        <v>1236692.03</v>
      </c>
      <c r="I27" s="481">
        <f>'Client Services LASER'!D26</f>
        <v>12801.796403699555</v>
      </c>
      <c r="J27" s="482">
        <f>'Client Services LASER'!E26</f>
        <v>3926.873596300446</v>
      </c>
      <c r="K27" s="482">
        <f>'Client Services LASER'!F26</f>
        <v>3494.1899999999996</v>
      </c>
      <c r="L27" s="482">
        <f>'Client Services LASER'!J26</f>
        <v>-0.03</v>
      </c>
      <c r="M27" s="483">
        <f>'Client Services LASER'!I26</f>
        <v>20222.830000000002</v>
      </c>
      <c r="N27" s="1373">
        <f>'Statewide Benefits'!D27</f>
        <v>8503281.8849740904</v>
      </c>
      <c r="O27" s="1374">
        <f>'Statewide Benefits'!E27</f>
        <v>7459882.3074609414</v>
      </c>
      <c r="P27" s="1374">
        <f>'Statewide Benefits'!F27</f>
        <v>103323.28</v>
      </c>
      <c r="Q27" s="1777">
        <f>'Statewide Benefits'!G27</f>
        <v>0</v>
      </c>
      <c r="R27" s="1375">
        <f t="shared" si="3"/>
        <v>16066487.472435031</v>
      </c>
      <c r="S27" s="1373">
        <f>'Other Benefits LASER'!D26+'FC &amp; Adoptions LASER'!D26</f>
        <v>57812.03</v>
      </c>
      <c r="T27" s="1374">
        <f>'Other Benefits LASER'!E26 + 'FC &amp; Adoptions LASER'!E26</f>
        <v>148262.5</v>
      </c>
      <c r="U27" s="1374">
        <f>'Other Benefits LASER'!F26+'FC &amp; Adoptions LASER'!F26</f>
        <v>2596.4</v>
      </c>
      <c r="V27" s="1777">
        <f>'FC &amp; Adoptions LASER'!J26+'Other Benefits LASER'!J26</f>
        <v>-0.01</v>
      </c>
      <c r="W27" s="1375">
        <f>'Other Benefits LASER'!I26+'FC &amp; Adoptions LASER'!I26</f>
        <v>208670.91999999998</v>
      </c>
      <c r="X27" s="1373">
        <f t="shared" si="15"/>
        <v>9157528.1513777897</v>
      </c>
      <c r="Y27" s="1374">
        <f t="shared" si="16"/>
        <v>7774247.4510572422</v>
      </c>
      <c r="Z27" s="1374">
        <f t="shared" si="17"/>
        <v>540805.53</v>
      </c>
      <c r="AA27" s="1777">
        <f t="shared" si="18"/>
        <v>59492.12</v>
      </c>
      <c r="AB27" s="1375">
        <f t="shared" si="19"/>
        <v>17532073.252435032</v>
      </c>
      <c r="AD27" s="340">
        <f t="shared" si="4"/>
        <v>0.47193029941334702</v>
      </c>
      <c r="AE27" s="341">
        <f t="shared" si="5"/>
        <v>0.13113674711722692</v>
      </c>
      <c r="AF27" s="341">
        <f t="shared" si="6"/>
        <v>0.34882707216929343</v>
      </c>
      <c r="AG27" s="341">
        <f t="shared" si="7"/>
        <v>4.8105881300132582E-2</v>
      </c>
      <c r="AH27" s="342">
        <f t="shared" si="8"/>
        <v>0.60306704653057397</v>
      </c>
      <c r="AJ27" s="812">
        <f t="shared" si="9"/>
        <v>7.0538835435691311E-2</v>
      </c>
      <c r="AK27" s="790">
        <f t="shared" si="10"/>
        <v>1.1534762437289754E-3</v>
      </c>
      <c r="AL27" s="814">
        <f t="shared" si="11"/>
        <v>0.92830768832057964</v>
      </c>
      <c r="AN27" s="812">
        <f t="shared" si="12"/>
        <v>0.79768352220806615</v>
      </c>
      <c r="AO27" s="790">
        <f t="shared" si="13"/>
        <v>6.4610840795211533E-3</v>
      </c>
      <c r="AP27" s="814">
        <f t="shared" si="14"/>
        <v>0.19585539371241265</v>
      </c>
    </row>
    <row r="28" spans="1:42" x14ac:dyDescent="0.3">
      <c r="A28" s="435" t="s">
        <v>59</v>
      </c>
      <c r="B28" s="319" t="s">
        <v>60</v>
      </c>
      <c r="C28" s="436" t="s">
        <v>252</v>
      </c>
      <c r="D28" s="481">
        <f>'Administration LASER'!D27+'Other Oper Exp. LASER'!D27</f>
        <v>311623.98</v>
      </c>
      <c r="E28" s="482">
        <f>'Administration LASER'!E27+'Other Oper Exp. LASER'!E27</f>
        <v>108146.47</v>
      </c>
      <c r="F28" s="482">
        <f>'Administration LASER'!F27+'Other Oper Exp. LASER'!F27</f>
        <v>150528.91</v>
      </c>
      <c r="G28" s="482">
        <f>'Administration LASER'!J27 + 'Other Oper Exp. LASER'!J27</f>
        <v>84283.31</v>
      </c>
      <c r="H28" s="483">
        <f>'Administration LASER'!I27+'Other Oper Exp. LASER'!I27</f>
        <v>654582.67000000004</v>
      </c>
      <c r="I28" s="481">
        <f>'Client Services LASER'!D27</f>
        <v>16346.60141888185</v>
      </c>
      <c r="J28" s="482">
        <f>'Client Services LASER'!E27</f>
        <v>3369.4685811181521</v>
      </c>
      <c r="K28" s="482">
        <f>'Client Services LASER'!F27</f>
        <v>3415.55</v>
      </c>
      <c r="L28" s="482">
        <f>'Client Services LASER'!J27</f>
        <v>199.91</v>
      </c>
      <c r="M28" s="483">
        <f>'Client Services LASER'!I27</f>
        <v>23331.530000000002</v>
      </c>
      <c r="N28" s="1373">
        <f>'Statewide Benefits'!D28</f>
        <v>4914143.7692571077</v>
      </c>
      <c r="O28" s="1374">
        <f>'Statewide Benefits'!E28</f>
        <v>4499998.4882056788</v>
      </c>
      <c r="P28" s="1374">
        <f>'Statewide Benefits'!F28</f>
        <v>208319.03999999998</v>
      </c>
      <c r="Q28" s="1777">
        <f>'Statewide Benefits'!G28</f>
        <v>0</v>
      </c>
      <c r="R28" s="1375">
        <f t="shared" si="3"/>
        <v>9622461.2974627856</v>
      </c>
      <c r="S28" s="1373">
        <f>'Other Benefits LASER'!D27+'FC &amp; Adoptions LASER'!D27</f>
        <v>210891.68</v>
      </c>
      <c r="T28" s="1374">
        <f>'Other Benefits LASER'!E27 + 'FC &amp; Adoptions LASER'!E27</f>
        <v>237000.33000000002</v>
      </c>
      <c r="U28" s="1374">
        <f>'Other Benefits LASER'!F27+'FC &amp; Adoptions LASER'!F27</f>
        <v>2697.8</v>
      </c>
      <c r="V28" s="1777">
        <f>'FC &amp; Adoptions LASER'!J27+'Other Benefits LASER'!J27</f>
        <v>5151.9399999999996</v>
      </c>
      <c r="W28" s="1375">
        <f>'Other Benefits LASER'!I27+'FC &amp; Adoptions LASER'!I27</f>
        <v>455741.75</v>
      </c>
      <c r="X28" s="1373">
        <f t="shared" si="15"/>
        <v>5453006.0306759896</v>
      </c>
      <c r="Y28" s="1374">
        <f t="shared" si="16"/>
        <v>4848514.7567867972</v>
      </c>
      <c r="Z28" s="1374">
        <f t="shared" si="17"/>
        <v>364961.3</v>
      </c>
      <c r="AA28" s="1777">
        <f t="shared" si="18"/>
        <v>89635.16</v>
      </c>
      <c r="AB28" s="1375">
        <f t="shared" si="19"/>
        <v>10756117.247462785</v>
      </c>
      <c r="AD28" s="340">
        <f t="shared" si="4"/>
        <v>0.4760651240583561</v>
      </c>
      <c r="AE28" s="341">
        <f t="shared" si="5"/>
        <v>0.16521438002628452</v>
      </c>
      <c r="AF28" s="341">
        <f t="shared" si="6"/>
        <v>0.22996164869442692</v>
      </c>
      <c r="AG28" s="341">
        <f t="shared" si="7"/>
        <v>0.12875884722093237</v>
      </c>
      <c r="AH28" s="342">
        <f t="shared" si="8"/>
        <v>0.64127950408464052</v>
      </c>
      <c r="AJ28" s="812">
        <f t="shared" si="9"/>
        <v>6.0856780838309178E-2</v>
      </c>
      <c r="AK28" s="790">
        <f t="shared" si="10"/>
        <v>2.1691405423740224E-3</v>
      </c>
      <c r="AL28" s="814">
        <f t="shared" si="11"/>
        <v>0.93697407861931692</v>
      </c>
      <c r="AN28" s="812">
        <f t="shared" si="12"/>
        <v>0.41245170378338747</v>
      </c>
      <c r="AO28" s="790">
        <f t="shared" si="13"/>
        <v>9.3586635076102591E-3</v>
      </c>
      <c r="AP28" s="814">
        <f t="shared" si="14"/>
        <v>0.57818963270900225</v>
      </c>
    </row>
    <row r="29" spans="1:42" x14ac:dyDescent="0.3">
      <c r="A29" s="435" t="s">
        <v>61</v>
      </c>
      <c r="B29" s="319" t="s">
        <v>62</v>
      </c>
      <c r="C29" s="436" t="s">
        <v>254</v>
      </c>
      <c r="D29" s="481">
        <f>'Administration LASER'!D28+'Other Oper Exp. LASER'!D28</f>
        <v>2141844.5500000003</v>
      </c>
      <c r="E29" s="482">
        <f>'Administration LASER'!E28+'Other Oper Exp. LASER'!E28</f>
        <v>630202.45000000007</v>
      </c>
      <c r="F29" s="482">
        <f>'Administration LASER'!F28+'Other Oper Exp. LASER'!F28</f>
        <v>1433203.16</v>
      </c>
      <c r="G29" s="482">
        <f>'Administration LASER'!J28 + 'Other Oper Exp. LASER'!J28</f>
        <v>284854.19999999995</v>
      </c>
      <c r="H29" s="483">
        <f>'Administration LASER'!I28+'Other Oper Exp. LASER'!I28</f>
        <v>4490104.3600000003</v>
      </c>
      <c r="I29" s="481">
        <f>'Client Services LASER'!D28</f>
        <v>38284.897258133809</v>
      </c>
      <c r="J29" s="482">
        <f>'Client Services LASER'!E28</f>
        <v>42588.662741866196</v>
      </c>
      <c r="K29" s="482">
        <f>'Client Services LASER'!F28</f>
        <v>20776.740000000002</v>
      </c>
      <c r="L29" s="482">
        <f>'Client Services LASER'!J28</f>
        <v>1.0000000000000007E-2</v>
      </c>
      <c r="M29" s="483">
        <f>'Client Services LASER'!I28</f>
        <v>101650.31</v>
      </c>
      <c r="N29" s="1373">
        <f>'Statewide Benefits'!D29</f>
        <v>49990851.278112844</v>
      </c>
      <c r="O29" s="1374">
        <f>'Statewide Benefits'!E29</f>
        <v>41910148.973972417</v>
      </c>
      <c r="P29" s="1374">
        <f>'Statewide Benefits'!F29</f>
        <v>1120126.02</v>
      </c>
      <c r="Q29" s="1777">
        <f>'Statewide Benefits'!G29</f>
        <v>0</v>
      </c>
      <c r="R29" s="1375">
        <f t="shared" si="3"/>
        <v>93021126.272085264</v>
      </c>
      <c r="S29" s="1373">
        <f>'Other Benefits LASER'!D28+'FC &amp; Adoptions LASER'!D28</f>
        <v>862274.29</v>
      </c>
      <c r="T29" s="1374">
        <f>'Other Benefits LASER'!E28 + 'FC &amp; Adoptions LASER'!E28</f>
        <v>974357.40999999992</v>
      </c>
      <c r="U29" s="1374">
        <f>'Other Benefits LASER'!F28+'FC &amp; Adoptions LASER'!F28</f>
        <v>7262.8</v>
      </c>
      <c r="V29" s="1777">
        <f>'FC &amp; Adoptions LASER'!J28+'Other Benefits LASER'!J28</f>
        <v>-0.15</v>
      </c>
      <c r="W29" s="1375">
        <f>'Other Benefits LASER'!I28+'FC &amp; Adoptions LASER'!I28</f>
        <v>1843894.3499999999</v>
      </c>
      <c r="X29" s="1373">
        <f t="shared" si="15"/>
        <v>53033255.01537098</v>
      </c>
      <c r="Y29" s="1374">
        <f t="shared" si="16"/>
        <v>43557297.496714279</v>
      </c>
      <c r="Z29" s="1374">
        <f t="shared" si="17"/>
        <v>2581368.7199999997</v>
      </c>
      <c r="AA29" s="1777">
        <f t="shared" si="18"/>
        <v>284854.05999999994</v>
      </c>
      <c r="AB29" s="1375">
        <f t="shared" si="19"/>
        <v>99456775.29208526</v>
      </c>
      <c r="AD29" s="340">
        <f t="shared" si="4"/>
        <v>0.47701442511683628</v>
      </c>
      <c r="AE29" s="341">
        <f t="shared" si="5"/>
        <v>0.1403536308897729</v>
      </c>
      <c r="AF29" s="341">
        <f t="shared" si="6"/>
        <v>0.31919150315695555</v>
      </c>
      <c r="AG29" s="341">
        <f t="shared" si="7"/>
        <v>6.3440440836435241E-2</v>
      </c>
      <c r="AH29" s="342">
        <f t="shared" si="8"/>
        <v>0.61736805600660927</v>
      </c>
      <c r="AJ29" s="812">
        <f t="shared" si="9"/>
        <v>4.5146289398720549E-2</v>
      </c>
      <c r="AK29" s="790">
        <f t="shared" si="10"/>
        <v>1.0220551561366509E-3</v>
      </c>
      <c r="AL29" s="814">
        <f t="shared" si="11"/>
        <v>0.95383165544514281</v>
      </c>
      <c r="AN29" s="812">
        <f t="shared" si="12"/>
        <v>0.55521055511976614</v>
      </c>
      <c r="AO29" s="790">
        <f t="shared" si="13"/>
        <v>8.0487300551158776E-3</v>
      </c>
      <c r="AP29" s="814">
        <f t="shared" si="14"/>
        <v>0.43674071482511811</v>
      </c>
    </row>
    <row r="30" spans="1:42" x14ac:dyDescent="0.3">
      <c r="A30" s="435" t="s">
        <v>63</v>
      </c>
      <c r="B30" s="319" t="s">
        <v>64</v>
      </c>
      <c r="C30" s="436" t="s">
        <v>253</v>
      </c>
      <c r="D30" s="481">
        <f>'Administration LASER'!D29+'Other Oper Exp. LASER'!D29</f>
        <v>599380.5</v>
      </c>
      <c r="E30" s="482">
        <f>'Administration LASER'!E29+'Other Oper Exp. LASER'!E29</f>
        <v>227299.02000000002</v>
      </c>
      <c r="F30" s="482">
        <f>'Administration LASER'!F29+'Other Oper Exp. LASER'!F29</f>
        <v>241807.7</v>
      </c>
      <c r="G30" s="482">
        <f>'Administration LASER'!J29 + 'Other Oper Exp. LASER'!J29</f>
        <v>15999.38</v>
      </c>
      <c r="H30" s="483">
        <f>'Administration LASER'!I29+'Other Oper Exp. LASER'!I29</f>
        <v>1084486.5999999999</v>
      </c>
      <c r="I30" s="481">
        <f>'Client Services LASER'!D29</f>
        <v>8669.0177409567877</v>
      </c>
      <c r="J30" s="482">
        <f>'Client Services LASER'!E29</f>
        <v>23085.20225904321</v>
      </c>
      <c r="K30" s="482">
        <f>'Client Services LASER'!F29</f>
        <v>5968.3700000000008</v>
      </c>
      <c r="L30" s="482">
        <f>'Client Services LASER'!J29</f>
        <v>-0.05</v>
      </c>
      <c r="M30" s="483">
        <f>'Client Services LASER'!I29</f>
        <v>37722.539999999994</v>
      </c>
      <c r="N30" s="1373">
        <f>'Statewide Benefits'!D30</f>
        <v>17265197.051410854</v>
      </c>
      <c r="O30" s="1374">
        <f>'Statewide Benefits'!E30</f>
        <v>14249283.433473602</v>
      </c>
      <c r="P30" s="1374">
        <f>'Statewide Benefits'!F30</f>
        <v>332714.07</v>
      </c>
      <c r="Q30" s="1777">
        <f>'Statewide Benefits'!G30</f>
        <v>0</v>
      </c>
      <c r="R30" s="1375">
        <f t="shared" si="3"/>
        <v>31847194.554884456</v>
      </c>
      <c r="S30" s="1373">
        <f>'Other Benefits LASER'!D29+'FC &amp; Adoptions LASER'!D29</f>
        <v>134778.6</v>
      </c>
      <c r="T30" s="1374">
        <f>'Other Benefits LASER'!E29 + 'FC &amp; Adoptions LASER'!E29</f>
        <v>187324.7</v>
      </c>
      <c r="U30" s="1374">
        <f>'Other Benefits LASER'!F29+'FC &amp; Adoptions LASER'!F29</f>
        <v>14854.6</v>
      </c>
      <c r="V30" s="1777">
        <f>'FC &amp; Adoptions LASER'!J29+'Other Benefits LASER'!J29</f>
        <v>-0.02</v>
      </c>
      <c r="W30" s="1375">
        <f>'Other Benefits LASER'!I29+'FC &amp; Adoptions LASER'!I29</f>
        <v>336957.88</v>
      </c>
      <c r="X30" s="1373">
        <f t="shared" si="15"/>
        <v>18008025.169151813</v>
      </c>
      <c r="Y30" s="1374">
        <f t="shared" si="16"/>
        <v>14686992.355732644</v>
      </c>
      <c r="Z30" s="1374">
        <f t="shared" si="17"/>
        <v>595344.74</v>
      </c>
      <c r="AA30" s="1777">
        <f t="shared" si="18"/>
        <v>15999.31</v>
      </c>
      <c r="AB30" s="1375">
        <f t="shared" si="19"/>
        <v>33306361.574884456</v>
      </c>
      <c r="AD30" s="340">
        <f t="shared" si="4"/>
        <v>0.55268594374517865</v>
      </c>
      <c r="AE30" s="341">
        <f t="shared" si="5"/>
        <v>0.20959135871296156</v>
      </c>
      <c r="AF30" s="341">
        <f t="shared" si="6"/>
        <v>0.22296974439333786</v>
      </c>
      <c r="AG30" s="341">
        <f t="shared" si="7"/>
        <v>1.4752953148522076E-2</v>
      </c>
      <c r="AH30" s="342">
        <f t="shared" si="8"/>
        <v>0.76227730245814018</v>
      </c>
      <c r="AJ30" s="812">
        <f t="shared" si="9"/>
        <v>3.2560944778122679E-2</v>
      </c>
      <c r="AK30" s="790">
        <f t="shared" si="10"/>
        <v>1.1325926404535786E-3</v>
      </c>
      <c r="AL30" s="814">
        <f t="shared" si="11"/>
        <v>0.96630646258142372</v>
      </c>
      <c r="AN30" s="812">
        <f t="shared" si="12"/>
        <v>0.40616416632823532</v>
      </c>
      <c r="AO30" s="790">
        <f t="shared" si="13"/>
        <v>1.0025065477188899E-2</v>
      </c>
      <c r="AP30" s="814">
        <f t="shared" si="14"/>
        <v>0.58381076819457578</v>
      </c>
    </row>
    <row r="31" spans="1:42" x14ac:dyDescent="0.3">
      <c r="A31" s="435" t="s">
        <v>67</v>
      </c>
      <c r="B31" s="319" t="s">
        <v>68</v>
      </c>
      <c r="C31" s="436" t="s">
        <v>255</v>
      </c>
      <c r="D31" s="481">
        <f>'Administration LASER'!D30+'Other Oper Exp. LASER'!D30</f>
        <v>1744885.61</v>
      </c>
      <c r="E31" s="482">
        <f>'Administration LASER'!E30+'Other Oper Exp. LASER'!E30</f>
        <v>583247.03</v>
      </c>
      <c r="F31" s="482">
        <f>'Administration LASER'!F30+'Other Oper Exp. LASER'!F30</f>
        <v>887682.43</v>
      </c>
      <c r="G31" s="482">
        <f>'Administration LASER'!J30 + 'Other Oper Exp. LASER'!J30</f>
        <v>238300.96000000002</v>
      </c>
      <c r="H31" s="483">
        <f>'Administration LASER'!I30+'Other Oper Exp. LASER'!I30</f>
        <v>3454116.0300000003</v>
      </c>
      <c r="I31" s="481">
        <f>'Client Services LASER'!D30</f>
        <v>44670.608525074858</v>
      </c>
      <c r="J31" s="482">
        <f>'Client Services LASER'!E30</f>
        <v>21073.261474925141</v>
      </c>
      <c r="K31" s="482">
        <f>'Client Services LASER'!F30</f>
        <v>12750.039999999999</v>
      </c>
      <c r="L31" s="482">
        <f>'Client Services LASER'!J30</f>
        <v>-0.06</v>
      </c>
      <c r="M31" s="483">
        <f>'Client Services LASER'!I30</f>
        <v>78493.849999999991</v>
      </c>
      <c r="N31" s="1373">
        <f>'Statewide Benefits'!D31</f>
        <v>25418360.486476641</v>
      </c>
      <c r="O31" s="1374">
        <f>'Statewide Benefits'!E31</f>
        <v>20573319.670811988</v>
      </c>
      <c r="P31" s="1374">
        <f>'Statewide Benefits'!F31</f>
        <v>335655.86</v>
      </c>
      <c r="Q31" s="1777">
        <f>'Statewide Benefits'!G31</f>
        <v>0</v>
      </c>
      <c r="R31" s="1375">
        <f t="shared" si="3"/>
        <v>46327336.017288625</v>
      </c>
      <c r="S31" s="1373">
        <f>'Other Benefits LASER'!D30+'FC &amp; Adoptions LASER'!D30</f>
        <v>916889.82</v>
      </c>
      <c r="T31" s="1374">
        <f>'Other Benefits LASER'!E30 + 'FC &amp; Adoptions LASER'!E30</f>
        <v>1263740.9600000002</v>
      </c>
      <c r="U31" s="1374">
        <f>'Other Benefits LASER'!F30+'FC &amp; Adoptions LASER'!F30</f>
        <v>12955.8</v>
      </c>
      <c r="V31" s="1777">
        <f>'FC &amp; Adoptions LASER'!J30+'Other Benefits LASER'!J30</f>
        <v>6761.06</v>
      </c>
      <c r="W31" s="1375">
        <f>'Other Benefits LASER'!I30+'FC &amp; Adoptions LASER'!I30</f>
        <v>2200347.64</v>
      </c>
      <c r="X31" s="1373">
        <f t="shared" si="15"/>
        <v>28124806.525001716</v>
      </c>
      <c r="Y31" s="1374">
        <f t="shared" si="16"/>
        <v>22441380.922286913</v>
      </c>
      <c r="Z31" s="1374">
        <f t="shared" si="17"/>
        <v>1249044.1300000001</v>
      </c>
      <c r="AA31" s="1777">
        <f t="shared" si="18"/>
        <v>245061.96000000002</v>
      </c>
      <c r="AB31" s="1375">
        <f t="shared" si="19"/>
        <v>52060293.537288629</v>
      </c>
      <c r="AD31" s="340">
        <f t="shared" si="4"/>
        <v>0.50516126118670079</v>
      </c>
      <c r="AE31" s="341">
        <f t="shared" si="5"/>
        <v>0.16885565653681878</v>
      </c>
      <c r="AF31" s="341">
        <f t="shared" si="6"/>
        <v>0.25699264943337757</v>
      </c>
      <c r="AG31" s="341">
        <f t="shared" si="7"/>
        <v>6.8990432843102842E-2</v>
      </c>
      <c r="AH31" s="342">
        <f t="shared" si="8"/>
        <v>0.67401691772351957</v>
      </c>
      <c r="AJ31" s="812">
        <f t="shared" si="9"/>
        <v>6.6348377915425319E-2</v>
      </c>
      <c r="AK31" s="790">
        <f t="shared" si="10"/>
        <v>1.5077488939584658E-3</v>
      </c>
      <c r="AL31" s="814">
        <f t="shared" si="11"/>
        <v>0.9321438731906162</v>
      </c>
      <c r="AN31" s="812">
        <f t="shared" si="12"/>
        <v>0.71068940534551006</v>
      </c>
      <c r="AO31" s="790">
        <f t="shared" si="13"/>
        <v>1.0207837892805275E-2</v>
      </c>
      <c r="AP31" s="814">
        <f t="shared" si="14"/>
        <v>0.27910275676168461</v>
      </c>
    </row>
    <row r="32" spans="1:42" x14ac:dyDescent="0.3">
      <c r="A32" s="435" t="s">
        <v>69</v>
      </c>
      <c r="B32" s="319" t="s">
        <v>70</v>
      </c>
      <c r="C32" s="436" t="s">
        <v>251</v>
      </c>
      <c r="D32" s="481">
        <f>'Administration LASER'!D31+'Other Oper Exp. LASER'!D31</f>
        <v>1145462.9400000002</v>
      </c>
      <c r="E32" s="482">
        <f>'Administration LASER'!E31+'Other Oper Exp. LASER'!E31</f>
        <v>440581.77</v>
      </c>
      <c r="F32" s="482">
        <f>'Administration LASER'!F31+'Other Oper Exp. LASER'!F31</f>
        <v>390952.27999999997</v>
      </c>
      <c r="G32" s="482">
        <f>'Administration LASER'!J31 + 'Other Oper Exp. LASER'!J31</f>
        <v>72484.66</v>
      </c>
      <c r="H32" s="483">
        <f>'Administration LASER'!I31+'Other Oper Exp. LASER'!I31</f>
        <v>2049481.6500000001</v>
      </c>
      <c r="I32" s="481">
        <f>'Client Services LASER'!D31</f>
        <v>56616.875186829944</v>
      </c>
      <c r="J32" s="482">
        <f>'Client Services LASER'!E31</f>
        <v>17907.304813170045</v>
      </c>
      <c r="K32" s="482">
        <f>'Client Services LASER'!F31</f>
        <v>15818.01</v>
      </c>
      <c r="L32" s="482">
        <f>'Client Services LASER'!J31</f>
        <v>94354.77</v>
      </c>
      <c r="M32" s="483">
        <f>'Client Services LASER'!I31</f>
        <v>184696.95999999999</v>
      </c>
      <c r="N32" s="1373">
        <f>'Statewide Benefits'!D32</f>
        <v>35412428.415921398</v>
      </c>
      <c r="O32" s="1374">
        <f>'Statewide Benefits'!E32</f>
        <v>28728908.623834834</v>
      </c>
      <c r="P32" s="1374">
        <f>'Statewide Benefits'!F32</f>
        <v>840183.57000000007</v>
      </c>
      <c r="Q32" s="1777">
        <f>'Statewide Benefits'!G32</f>
        <v>0</v>
      </c>
      <c r="R32" s="1375">
        <f t="shared" si="3"/>
        <v>64981520.609756231</v>
      </c>
      <c r="S32" s="1373">
        <f>'Other Benefits LASER'!D31+'FC &amp; Adoptions LASER'!D31</f>
        <v>238771.8</v>
      </c>
      <c r="T32" s="1374">
        <f>'Other Benefits LASER'!E31 + 'FC &amp; Adoptions LASER'!E31</f>
        <v>367258.03</v>
      </c>
      <c r="U32" s="1374">
        <f>'Other Benefits LASER'!F31+'FC &amp; Adoptions LASER'!F31</f>
        <v>35827</v>
      </c>
      <c r="V32" s="1777">
        <f>'FC &amp; Adoptions LASER'!J31+'Other Benefits LASER'!J31</f>
        <v>9097.92</v>
      </c>
      <c r="W32" s="1375">
        <f>'Other Benefits LASER'!I31+'FC &amp; Adoptions LASER'!I31</f>
        <v>650954.75</v>
      </c>
      <c r="X32" s="1373">
        <f t="shared" si="15"/>
        <v>36853280.031108223</v>
      </c>
      <c r="Y32" s="1374">
        <f t="shared" si="16"/>
        <v>29554655.728648003</v>
      </c>
      <c r="Z32" s="1374">
        <f t="shared" si="17"/>
        <v>1282780.8600000001</v>
      </c>
      <c r="AA32" s="1777">
        <f t="shared" si="18"/>
        <v>175937.35</v>
      </c>
      <c r="AB32" s="1375">
        <f t="shared" si="19"/>
        <v>67866653.969756231</v>
      </c>
      <c r="AD32" s="340">
        <f t="shared" si="4"/>
        <v>0.55890373060915188</v>
      </c>
      <c r="AE32" s="341">
        <f t="shared" si="5"/>
        <v>0.21497229311616428</v>
      </c>
      <c r="AF32" s="341">
        <f t="shared" si="6"/>
        <v>0.19075666278836892</v>
      </c>
      <c r="AG32" s="341">
        <f t="shared" si="7"/>
        <v>3.5367313486314944E-2</v>
      </c>
      <c r="AH32" s="342">
        <f t="shared" si="8"/>
        <v>0.77387602372531616</v>
      </c>
      <c r="AJ32" s="812">
        <f t="shared" si="9"/>
        <v>3.019865471654638E-2</v>
      </c>
      <c r="AK32" s="790">
        <f t="shared" si="10"/>
        <v>2.7214684855733045E-3</v>
      </c>
      <c r="AL32" s="814">
        <f t="shared" si="11"/>
        <v>0.96707987679788032</v>
      </c>
      <c r="AN32" s="812">
        <f t="shared" si="12"/>
        <v>0.30476934306612585</v>
      </c>
      <c r="AO32" s="790">
        <f t="shared" si="13"/>
        <v>1.2331030570568382E-2</v>
      </c>
      <c r="AP32" s="814">
        <f t="shared" si="14"/>
        <v>0.6828996263633057</v>
      </c>
    </row>
    <row r="33" spans="1:42" x14ac:dyDescent="0.3">
      <c r="A33" s="435" t="s">
        <v>71</v>
      </c>
      <c r="B33" s="319" t="s">
        <v>72</v>
      </c>
      <c r="C33" s="436" t="s">
        <v>253</v>
      </c>
      <c r="D33" s="481">
        <f>'Administration LASER'!D32+'Other Oper Exp. LASER'!D32</f>
        <v>697447.66</v>
      </c>
      <c r="E33" s="482">
        <f>'Administration LASER'!E32+'Other Oper Exp. LASER'!E32</f>
        <v>223588.71</v>
      </c>
      <c r="F33" s="482">
        <f>'Administration LASER'!F32+'Other Oper Exp. LASER'!F32</f>
        <v>416089.33</v>
      </c>
      <c r="G33" s="482">
        <f>'Administration LASER'!J32 + 'Other Oper Exp. LASER'!J32</f>
        <v>46009.73</v>
      </c>
      <c r="H33" s="483">
        <f>'Administration LASER'!I32+'Other Oper Exp. LASER'!I32</f>
        <v>1383135.43</v>
      </c>
      <c r="I33" s="481">
        <f>'Client Services LASER'!D32</f>
        <v>14339.746567303435</v>
      </c>
      <c r="J33" s="482">
        <f>'Client Services LASER'!E32</f>
        <v>13525.253432696565</v>
      </c>
      <c r="K33" s="482">
        <f>'Client Services LASER'!F32</f>
        <v>5191.28</v>
      </c>
      <c r="L33" s="482">
        <f>'Client Services LASER'!J32</f>
        <v>-0.13</v>
      </c>
      <c r="M33" s="483">
        <f>'Client Services LASER'!I32</f>
        <v>33056.15</v>
      </c>
      <c r="N33" s="1373">
        <f>'Statewide Benefits'!D33</f>
        <v>16868257.134012479</v>
      </c>
      <c r="O33" s="1374">
        <f>'Statewide Benefits'!E33</f>
        <v>13781784.338368373</v>
      </c>
      <c r="P33" s="1374">
        <f>'Statewide Benefits'!F33</f>
        <v>416500.08999999997</v>
      </c>
      <c r="Q33" s="1777">
        <f>'Statewide Benefits'!G33</f>
        <v>0</v>
      </c>
      <c r="R33" s="1375">
        <f t="shared" si="3"/>
        <v>31066541.562380854</v>
      </c>
      <c r="S33" s="1373">
        <f>'Other Benefits LASER'!D32+'FC &amp; Adoptions LASER'!D32</f>
        <v>202932.61</v>
      </c>
      <c r="T33" s="1374">
        <f>'Other Benefits LASER'!E32 + 'FC &amp; Adoptions LASER'!E32</f>
        <v>243299.7</v>
      </c>
      <c r="U33" s="1374">
        <f>'Other Benefits LASER'!F32+'FC &amp; Adoptions LASER'!F32</f>
        <v>11442.8</v>
      </c>
      <c r="V33" s="1777">
        <f>'FC &amp; Adoptions LASER'!J32+'Other Benefits LASER'!J32</f>
        <v>40.760000000000005</v>
      </c>
      <c r="W33" s="1375">
        <f>'Other Benefits LASER'!I32+'FC &amp; Adoptions LASER'!I32</f>
        <v>457715.87</v>
      </c>
      <c r="X33" s="1373">
        <f t="shared" si="15"/>
        <v>17782977.15057978</v>
      </c>
      <c r="Y33" s="1374">
        <f t="shared" si="16"/>
        <v>14262198.001801068</v>
      </c>
      <c r="Z33" s="1374">
        <f t="shared" si="17"/>
        <v>849223.5</v>
      </c>
      <c r="AA33" s="1777">
        <f t="shared" si="18"/>
        <v>46050.360000000008</v>
      </c>
      <c r="AB33" s="1375">
        <f t="shared" si="19"/>
        <v>32940449.012380853</v>
      </c>
      <c r="AD33" s="340">
        <f t="shared" si="4"/>
        <v>0.50425117083437021</v>
      </c>
      <c r="AE33" s="341">
        <f t="shared" si="5"/>
        <v>0.16165351935204206</v>
      </c>
      <c r="AF33" s="341">
        <f t="shared" si="6"/>
        <v>0.30083050507931824</v>
      </c>
      <c r="AG33" s="341">
        <f t="shared" si="7"/>
        <v>3.3264804734269592E-2</v>
      </c>
      <c r="AH33" s="342">
        <f t="shared" si="8"/>
        <v>0.66590469018641218</v>
      </c>
      <c r="AJ33" s="812">
        <f t="shared" si="9"/>
        <v>4.1988967104854599E-2</v>
      </c>
      <c r="AK33" s="790">
        <f t="shared" si="10"/>
        <v>1.0035124289767775E-3</v>
      </c>
      <c r="AL33" s="814">
        <f t="shared" si="11"/>
        <v>0.95700752046616866</v>
      </c>
      <c r="AN33" s="812">
        <f t="shared" si="12"/>
        <v>0.48996445576458969</v>
      </c>
      <c r="AO33" s="790">
        <f t="shared" si="13"/>
        <v>6.1129726155717545E-3</v>
      </c>
      <c r="AP33" s="814">
        <f t="shared" si="14"/>
        <v>0.50392257161983856</v>
      </c>
    </row>
    <row r="34" spans="1:42" x14ac:dyDescent="0.3">
      <c r="A34" s="435" t="s">
        <v>73</v>
      </c>
      <c r="B34" s="319" t="s">
        <v>405</v>
      </c>
      <c r="C34" s="436" t="s">
        <v>254</v>
      </c>
      <c r="D34" s="481">
        <f>'Administration LASER'!D33+'Other Oper Exp. LASER'!D33</f>
        <v>35717226</v>
      </c>
      <c r="E34" s="482">
        <f>'Administration LASER'!E33+'Other Oper Exp. LASER'!E33</f>
        <v>6508186.2699999996</v>
      </c>
      <c r="F34" s="482">
        <f>'Administration LASER'!F33+'Other Oper Exp. LASER'!F33</f>
        <v>39084032.07</v>
      </c>
      <c r="G34" s="482">
        <f>'Administration LASER'!J33 + 'Other Oper Exp. LASER'!J33</f>
        <v>2284379.9099999997</v>
      </c>
      <c r="H34" s="483">
        <f>'Administration LASER'!I33+'Other Oper Exp. LASER'!I33</f>
        <v>83593824.25</v>
      </c>
      <c r="I34" s="481">
        <f>'Client Services LASER'!D33</f>
        <v>660031.26940322353</v>
      </c>
      <c r="J34" s="482">
        <f>'Client Services LASER'!E33</f>
        <v>688789.30059677642</v>
      </c>
      <c r="K34" s="482">
        <f>'Client Services LASER'!F33</f>
        <v>374343.43999999994</v>
      </c>
      <c r="L34" s="482">
        <f>'Client Services LASER'!J33</f>
        <v>1702358.02</v>
      </c>
      <c r="M34" s="483">
        <f>'Client Services LASER'!I33</f>
        <v>3425522.03</v>
      </c>
      <c r="N34" s="1373">
        <f>'Statewide Benefits'!D34</f>
        <v>553376698.34224427</v>
      </c>
      <c r="O34" s="1374">
        <f>'Statewide Benefits'!E34</f>
        <v>459024833.21328455</v>
      </c>
      <c r="P34" s="1374">
        <f>'Statewide Benefits'!F34</f>
        <v>17422104.309999999</v>
      </c>
      <c r="Q34" s="1777">
        <f>'Statewide Benefits'!G34</f>
        <v>0</v>
      </c>
      <c r="R34" s="1375">
        <f t="shared" si="3"/>
        <v>1029823635.8655288</v>
      </c>
      <c r="S34" s="1373">
        <f>'Other Benefits LASER'!D33+'FC &amp; Adoptions LASER'!D33</f>
        <v>4572144.28</v>
      </c>
      <c r="T34" s="1374">
        <f>'Other Benefits LASER'!E33 + 'FC &amp; Adoptions LASER'!E33</f>
        <v>6168821.6200000001</v>
      </c>
      <c r="U34" s="1374">
        <f>'Other Benefits LASER'!F33+'FC &amp; Adoptions LASER'!F33</f>
        <v>292349.96000000002</v>
      </c>
      <c r="V34" s="1777">
        <f>'FC &amp; Adoptions LASER'!J33+'Other Benefits LASER'!J33</f>
        <v>-9853.2500000000018</v>
      </c>
      <c r="W34" s="1375">
        <f>'Other Benefits LASER'!I33+'FC &amp; Adoptions LASER'!I33</f>
        <v>11023462.610000001</v>
      </c>
      <c r="X34" s="1373">
        <f t="shared" si="15"/>
        <v>594326099.89164746</v>
      </c>
      <c r="Y34" s="1374">
        <f t="shared" si="16"/>
        <v>472390630.40388131</v>
      </c>
      <c r="Z34" s="1374">
        <f t="shared" si="17"/>
        <v>57172829.779999994</v>
      </c>
      <c r="AA34" s="1777">
        <f t="shared" si="18"/>
        <v>3976884.6799999997</v>
      </c>
      <c r="AB34" s="1375">
        <f t="shared" si="19"/>
        <v>1127866444.7555287</v>
      </c>
      <c r="AD34" s="340">
        <f t="shared" si="4"/>
        <v>0.42727110908554944</v>
      </c>
      <c r="AE34" s="341">
        <f t="shared" si="5"/>
        <v>7.785486940442253E-2</v>
      </c>
      <c r="AF34" s="341">
        <f t="shared" si="6"/>
        <v>0.46754688424246843</v>
      </c>
      <c r="AG34" s="341">
        <f t="shared" si="7"/>
        <v>2.7327137267559566E-2</v>
      </c>
      <c r="AH34" s="342">
        <f t="shared" si="8"/>
        <v>0.50512597848997198</v>
      </c>
      <c r="AJ34" s="812">
        <f t="shared" si="9"/>
        <v>7.4116775650790306E-2</v>
      </c>
      <c r="AK34" s="790">
        <f t="shared" si="10"/>
        <v>3.0371699113209282E-3</v>
      </c>
      <c r="AL34" s="814">
        <f t="shared" si="11"/>
        <v>0.92284605443788892</v>
      </c>
      <c r="AN34" s="812">
        <f t="shared" si="12"/>
        <v>0.68361199227665737</v>
      </c>
      <c r="AO34" s="790">
        <f t="shared" si="13"/>
        <v>6.5475758579812589E-3</v>
      </c>
      <c r="AP34" s="814">
        <f t="shared" si="14"/>
        <v>0.30984043186536153</v>
      </c>
    </row>
    <row r="35" spans="1:42" x14ac:dyDescent="0.3">
      <c r="A35" s="435" t="s">
        <v>75</v>
      </c>
      <c r="B35" s="319" t="s">
        <v>76</v>
      </c>
      <c r="C35" s="436" t="s">
        <v>254</v>
      </c>
      <c r="D35" s="481">
        <f>'Administration LASER'!D34+'Other Oper Exp. LASER'!D34</f>
        <v>2161202.64</v>
      </c>
      <c r="E35" s="482">
        <f>'Administration LASER'!E34+'Other Oper Exp. LASER'!E34</f>
        <v>518979.37</v>
      </c>
      <c r="F35" s="482">
        <f>'Administration LASER'!F34+'Other Oper Exp. LASER'!F34</f>
        <v>1929526.9700000002</v>
      </c>
      <c r="G35" s="482">
        <f>'Administration LASER'!J34 + 'Other Oper Exp. LASER'!J34</f>
        <v>140763.4</v>
      </c>
      <c r="H35" s="483">
        <f>'Administration LASER'!I34+'Other Oper Exp. LASER'!I34</f>
        <v>4750472.3800000008</v>
      </c>
      <c r="I35" s="481">
        <f>'Client Services LASER'!D34</f>
        <v>78571.399273391318</v>
      </c>
      <c r="J35" s="482">
        <f>'Client Services LASER'!E34</f>
        <v>32207.25072660868</v>
      </c>
      <c r="K35" s="482">
        <f>'Client Services LASER'!F34</f>
        <v>24010.59</v>
      </c>
      <c r="L35" s="482">
        <f>'Client Services LASER'!J34</f>
        <v>3017.7299999999996</v>
      </c>
      <c r="M35" s="483">
        <f>'Client Services LASER'!I34</f>
        <v>137806.97</v>
      </c>
      <c r="N35" s="1373">
        <f>'Statewide Benefits'!D35</f>
        <v>41045642.02038794</v>
      </c>
      <c r="O35" s="1374">
        <f>'Statewide Benefits'!E35</f>
        <v>36726348.42675475</v>
      </c>
      <c r="P35" s="1374">
        <f>'Statewide Benefits'!F35</f>
        <v>2143896.29</v>
      </c>
      <c r="Q35" s="1777">
        <f>'Statewide Benefits'!G35</f>
        <v>0</v>
      </c>
      <c r="R35" s="1375">
        <f t="shared" si="3"/>
        <v>79915886.737142697</v>
      </c>
      <c r="S35" s="1373">
        <f>'Other Benefits LASER'!D34+'FC &amp; Adoptions LASER'!D34</f>
        <v>986581.11</v>
      </c>
      <c r="T35" s="1374">
        <f>'Other Benefits LASER'!E34 + 'FC &amp; Adoptions LASER'!E34</f>
        <v>1117509.6099999999</v>
      </c>
      <c r="U35" s="1374">
        <f>'Other Benefits LASER'!F34+'FC &amp; Adoptions LASER'!F34</f>
        <v>22776.82</v>
      </c>
      <c r="V35" s="1777">
        <f>'FC &amp; Adoptions LASER'!J34+'Other Benefits LASER'!J34</f>
        <v>32550.69</v>
      </c>
      <c r="W35" s="1375">
        <f>'Other Benefits LASER'!I34+'FC &amp; Adoptions LASER'!I34</f>
        <v>2159418.23</v>
      </c>
      <c r="X35" s="1373">
        <f t="shared" si="15"/>
        <v>44271997.169661328</v>
      </c>
      <c r="Y35" s="1374">
        <f t="shared" si="16"/>
        <v>38395044.657481357</v>
      </c>
      <c r="Z35" s="1374">
        <f t="shared" si="17"/>
        <v>4120210.6700000004</v>
      </c>
      <c r="AA35" s="1777">
        <f t="shared" si="18"/>
        <v>176331.82</v>
      </c>
      <c r="AB35" s="1375">
        <f t="shared" si="19"/>
        <v>86963584.317142695</v>
      </c>
      <c r="AD35" s="340">
        <f t="shared" si="4"/>
        <v>0.45494478593305698</v>
      </c>
      <c r="AE35" s="341">
        <f t="shared" si="5"/>
        <v>0.10924795020069139</v>
      </c>
      <c r="AF35" s="341">
        <f t="shared" si="6"/>
        <v>0.40617581066748565</v>
      </c>
      <c r="AG35" s="341">
        <f t="shared" si="7"/>
        <v>2.9631453198765881E-2</v>
      </c>
      <c r="AH35" s="342">
        <f t="shared" si="8"/>
        <v>0.56419273613374843</v>
      </c>
      <c r="AJ35" s="812">
        <f t="shared" si="9"/>
        <v>5.4625995665907298E-2</v>
      </c>
      <c r="AK35" s="790">
        <f t="shared" si="10"/>
        <v>1.584651450168376E-3</v>
      </c>
      <c r="AL35" s="814">
        <f t="shared" si="11"/>
        <v>0.9437893528839244</v>
      </c>
      <c r="AN35" s="812">
        <f t="shared" si="12"/>
        <v>0.46830784261815428</v>
      </c>
      <c r="AO35" s="790">
        <f t="shared" si="13"/>
        <v>5.8275151255797308E-3</v>
      </c>
      <c r="AP35" s="814">
        <f t="shared" si="14"/>
        <v>0.52586464225626595</v>
      </c>
    </row>
    <row r="36" spans="1:42" x14ac:dyDescent="0.3">
      <c r="A36" s="435" t="s">
        <v>77</v>
      </c>
      <c r="B36" s="319" t="s">
        <v>78</v>
      </c>
      <c r="C36" s="436" t="s">
        <v>255</v>
      </c>
      <c r="D36" s="481">
        <f>'Administration LASER'!D35+'Other Oper Exp. LASER'!D35</f>
        <v>570762.55000000005</v>
      </c>
      <c r="E36" s="482">
        <f>'Administration LASER'!E35+'Other Oper Exp. LASER'!E35</f>
        <v>211917.41</v>
      </c>
      <c r="F36" s="482">
        <f>'Administration LASER'!F35+'Other Oper Exp. LASER'!F35</f>
        <v>227600.87</v>
      </c>
      <c r="G36" s="482">
        <f>'Administration LASER'!J35 + 'Other Oper Exp. LASER'!J35</f>
        <v>51622.12</v>
      </c>
      <c r="H36" s="483">
        <f>'Administration LASER'!I35+'Other Oper Exp. LASER'!I35</f>
        <v>1061902.95</v>
      </c>
      <c r="I36" s="481">
        <f>'Client Services LASER'!D35</f>
        <v>8588.3930004042595</v>
      </c>
      <c r="J36" s="482">
        <f>'Client Services LASER'!E35</f>
        <v>15181.15699959574</v>
      </c>
      <c r="K36" s="482">
        <f>'Client Services LASER'!F35</f>
        <v>4687.6299999999992</v>
      </c>
      <c r="L36" s="482">
        <f>'Client Services LASER'!J35</f>
        <v>-9.0000000000000011E-2</v>
      </c>
      <c r="M36" s="483">
        <f>'Client Services LASER'!I35</f>
        <v>28457.09</v>
      </c>
      <c r="N36" s="1373">
        <f>'Statewide Benefits'!D36</f>
        <v>18552836.139187485</v>
      </c>
      <c r="O36" s="1374">
        <f>'Statewide Benefits'!E36</f>
        <v>16115445.265670191</v>
      </c>
      <c r="P36" s="1374">
        <f>'Statewide Benefits'!F36</f>
        <v>318846.24</v>
      </c>
      <c r="Q36" s="1777">
        <f>'Statewide Benefits'!G36</f>
        <v>0</v>
      </c>
      <c r="R36" s="1375">
        <f t="shared" si="3"/>
        <v>34987127.644857682</v>
      </c>
      <c r="S36" s="1373">
        <f>'Other Benefits LASER'!D35+'FC &amp; Adoptions LASER'!D35</f>
        <v>372829.86000000004</v>
      </c>
      <c r="T36" s="1374">
        <f>'Other Benefits LASER'!E35 + 'FC &amp; Adoptions LASER'!E35</f>
        <v>408800.17</v>
      </c>
      <c r="U36" s="1374">
        <f>'Other Benefits LASER'!F35+'FC &amp; Adoptions LASER'!F35</f>
        <v>13982.2</v>
      </c>
      <c r="V36" s="1777">
        <f>'FC &amp; Adoptions LASER'!J35+'Other Benefits LASER'!J35</f>
        <v>19.91</v>
      </c>
      <c r="W36" s="1375">
        <f>'Other Benefits LASER'!I35+'FC &amp; Adoptions LASER'!I35</f>
        <v>795632.14</v>
      </c>
      <c r="X36" s="1373">
        <f t="shared" si="15"/>
        <v>19505016.94218789</v>
      </c>
      <c r="Y36" s="1374">
        <f t="shared" si="16"/>
        <v>16751344.002669787</v>
      </c>
      <c r="Z36" s="1374">
        <f t="shared" si="17"/>
        <v>565116.93999999994</v>
      </c>
      <c r="AA36" s="1777">
        <f t="shared" si="18"/>
        <v>51641.94000000001</v>
      </c>
      <c r="AB36" s="1375">
        <f t="shared" si="19"/>
        <v>36873119.824857682</v>
      </c>
      <c r="AD36" s="340">
        <f t="shared" si="4"/>
        <v>0.53749031396889901</v>
      </c>
      <c r="AE36" s="341">
        <f t="shared" si="5"/>
        <v>0.19956382078042068</v>
      </c>
      <c r="AF36" s="341">
        <f t="shared" si="6"/>
        <v>0.21433302355926218</v>
      </c>
      <c r="AG36" s="341">
        <f t="shared" si="7"/>
        <v>4.8612841691418225E-2</v>
      </c>
      <c r="AH36" s="342">
        <f t="shared" si="8"/>
        <v>0.73705413474931969</v>
      </c>
      <c r="AJ36" s="812">
        <f t="shared" si="9"/>
        <v>2.879883652492371E-2</v>
      </c>
      <c r="AK36" s="790">
        <f t="shared" si="10"/>
        <v>7.7175704510948134E-4</v>
      </c>
      <c r="AL36" s="814">
        <f t="shared" si="11"/>
        <v>0.97042940642996678</v>
      </c>
      <c r="AN36" s="812">
        <f t="shared" si="12"/>
        <v>0.40275003966435691</v>
      </c>
      <c r="AO36" s="790">
        <f t="shared" si="13"/>
        <v>8.294973426208033E-3</v>
      </c>
      <c r="AP36" s="814">
        <f t="shared" si="14"/>
        <v>0.58895498690943515</v>
      </c>
    </row>
    <row r="37" spans="1:42" x14ac:dyDescent="0.3">
      <c r="A37" s="435" t="s">
        <v>79</v>
      </c>
      <c r="B37" s="319" t="s">
        <v>80</v>
      </c>
      <c r="C37" s="436" t="s">
        <v>253</v>
      </c>
      <c r="D37" s="481">
        <f>'Administration LASER'!D36+'Other Oper Exp. LASER'!D36</f>
        <v>1191318.8700000001</v>
      </c>
      <c r="E37" s="482">
        <f>'Administration LASER'!E36+'Other Oper Exp. LASER'!E36</f>
        <v>269918.07</v>
      </c>
      <c r="F37" s="482">
        <f>'Administration LASER'!F36+'Other Oper Exp. LASER'!F36</f>
        <v>1075910.74</v>
      </c>
      <c r="G37" s="482">
        <f>'Administration LASER'!J36 + 'Other Oper Exp. LASER'!J36</f>
        <v>159319.86000000002</v>
      </c>
      <c r="H37" s="483">
        <f>'Administration LASER'!I36+'Other Oper Exp. LASER'!I36</f>
        <v>2696467.54</v>
      </c>
      <c r="I37" s="481">
        <f>'Client Services LASER'!D36</f>
        <v>36512.066182455572</v>
      </c>
      <c r="J37" s="482">
        <f>'Client Services LASER'!E36</f>
        <v>15108.463817544434</v>
      </c>
      <c r="K37" s="482">
        <f>'Client Services LASER'!F36</f>
        <v>7521.29</v>
      </c>
      <c r="L37" s="482">
        <f>'Client Services LASER'!J36</f>
        <v>-4.9999999999999996E-2</v>
      </c>
      <c r="M37" s="483">
        <f>'Client Services LASER'!I36</f>
        <v>59141.770000000004</v>
      </c>
      <c r="N37" s="1373">
        <f>'Statewide Benefits'!D37</f>
        <v>18704565.012182895</v>
      </c>
      <c r="O37" s="1374">
        <f>'Statewide Benefits'!E37</f>
        <v>16926291.080164611</v>
      </c>
      <c r="P37" s="1374">
        <f>'Statewide Benefits'!F37</f>
        <v>937270.85</v>
      </c>
      <c r="Q37" s="1777">
        <f>'Statewide Benefits'!G37</f>
        <v>0</v>
      </c>
      <c r="R37" s="1375">
        <f t="shared" ref="R37:R68" si="20">SUM(N37:P37)</f>
        <v>36568126.942347504</v>
      </c>
      <c r="S37" s="1373">
        <f>'Other Benefits LASER'!D36+'FC &amp; Adoptions LASER'!D36</f>
        <v>319420.61</v>
      </c>
      <c r="T37" s="1374">
        <f>'Other Benefits LASER'!E36 + 'FC &amp; Adoptions LASER'!E36</f>
        <v>353052.11</v>
      </c>
      <c r="U37" s="1374">
        <f>'Other Benefits LASER'!F36+'FC &amp; Adoptions LASER'!F36</f>
        <v>3445.81</v>
      </c>
      <c r="V37" s="1777">
        <f>'FC &amp; Adoptions LASER'!J36+'Other Benefits LASER'!J36</f>
        <v>-0.24</v>
      </c>
      <c r="W37" s="1375">
        <f>'Other Benefits LASER'!I36+'FC &amp; Adoptions LASER'!I36</f>
        <v>675918.28999999992</v>
      </c>
      <c r="X37" s="1373">
        <f t="shared" si="15"/>
        <v>20251816.558365349</v>
      </c>
      <c r="Y37" s="1374">
        <f t="shared" si="16"/>
        <v>17564369.723982155</v>
      </c>
      <c r="Z37" s="1374">
        <f t="shared" si="17"/>
        <v>2024148.69</v>
      </c>
      <c r="AA37" s="1777">
        <f t="shared" si="18"/>
        <v>159319.57000000004</v>
      </c>
      <c r="AB37" s="1375">
        <f t="shared" si="19"/>
        <v>39999654.542347506</v>
      </c>
      <c r="AD37" s="340">
        <f t="shared" si="4"/>
        <v>0.44180723569919189</v>
      </c>
      <c r="AE37" s="341">
        <f t="shared" si="5"/>
        <v>0.10010061904917275</v>
      </c>
      <c r="AF37" s="341">
        <f t="shared" si="6"/>
        <v>0.39900748814502696</v>
      </c>
      <c r="AG37" s="341">
        <f t="shared" si="7"/>
        <v>5.908465710660845E-2</v>
      </c>
      <c r="AH37" s="342">
        <f t="shared" si="8"/>
        <v>0.54190785474836467</v>
      </c>
      <c r="AJ37" s="812">
        <f t="shared" si="9"/>
        <v>6.741227070211965E-2</v>
      </c>
      <c r="AK37" s="790">
        <f t="shared" si="10"/>
        <v>1.4785570194709257E-3</v>
      </c>
      <c r="AL37" s="814">
        <f t="shared" si="11"/>
        <v>0.93110917227840939</v>
      </c>
      <c r="AN37" s="812">
        <f t="shared" si="12"/>
        <v>0.53153740400365546</v>
      </c>
      <c r="AO37" s="790">
        <f t="shared" si="13"/>
        <v>3.7157793976093723E-3</v>
      </c>
      <c r="AP37" s="814">
        <f t="shared" si="14"/>
        <v>0.46474681659873518</v>
      </c>
    </row>
    <row r="38" spans="1:42" x14ac:dyDescent="0.3">
      <c r="A38" s="435" t="s">
        <v>83</v>
      </c>
      <c r="B38" s="319" t="s">
        <v>281</v>
      </c>
      <c r="C38" s="436" t="s">
        <v>252</v>
      </c>
      <c r="D38" s="481">
        <f>'Administration LASER'!D37+'Other Oper Exp. LASER'!D37</f>
        <v>2373295.7900000005</v>
      </c>
      <c r="E38" s="482">
        <f>'Administration LASER'!E37+'Other Oper Exp. LASER'!E37</f>
        <v>706004.85000000009</v>
      </c>
      <c r="F38" s="482">
        <f>'Administration LASER'!F37+'Other Oper Exp. LASER'!F37</f>
        <v>1578503.42</v>
      </c>
      <c r="G38" s="482">
        <f>'Administration LASER'!J37 + 'Other Oper Exp. LASER'!J37</f>
        <v>199846.73</v>
      </c>
      <c r="H38" s="483">
        <f>'Administration LASER'!I37+'Other Oper Exp. LASER'!I37</f>
        <v>4857650.79</v>
      </c>
      <c r="I38" s="481">
        <f>'Client Services LASER'!D37</f>
        <v>89912.317248471431</v>
      </c>
      <c r="J38" s="482">
        <f>'Client Services LASER'!E37</f>
        <v>60772.052751528572</v>
      </c>
      <c r="K38" s="482">
        <f>'Client Services LASER'!F37</f>
        <v>28412.29</v>
      </c>
      <c r="L38" s="482">
        <f>'Client Services LASER'!J37</f>
        <v>-9.0000000000000011E-2</v>
      </c>
      <c r="M38" s="483">
        <f>'Client Services LASER'!I37</f>
        <v>179096.57</v>
      </c>
      <c r="N38" s="1373">
        <f>'Statewide Benefits'!D38</f>
        <v>60500368.293051302</v>
      </c>
      <c r="O38" s="1374">
        <f>'Statewide Benefits'!E38</f>
        <v>52339131.543989331</v>
      </c>
      <c r="P38" s="1374">
        <f>'Statewide Benefits'!F38</f>
        <v>2085626.43</v>
      </c>
      <c r="Q38" s="1777">
        <f>'Statewide Benefits'!G38</f>
        <v>0</v>
      </c>
      <c r="R38" s="1375">
        <f t="shared" si="20"/>
        <v>114925126.26704064</v>
      </c>
      <c r="S38" s="1373">
        <f>'Other Benefits LASER'!D37+'FC &amp; Adoptions LASER'!D37</f>
        <v>1529275.73</v>
      </c>
      <c r="T38" s="1374">
        <f>'Other Benefits LASER'!E37 + 'FC &amp; Adoptions LASER'!E37</f>
        <v>1655488.05</v>
      </c>
      <c r="U38" s="1374">
        <f>'Other Benefits LASER'!F37+'FC &amp; Adoptions LASER'!F37</f>
        <v>33546</v>
      </c>
      <c r="V38" s="1777">
        <f>'FC &amp; Adoptions LASER'!J37+'Other Benefits LASER'!J37</f>
        <v>-0.11000000000000001</v>
      </c>
      <c r="W38" s="1375">
        <f>'Other Benefits LASER'!I37+'FC &amp; Adoptions LASER'!I37</f>
        <v>3218309.67</v>
      </c>
      <c r="X38" s="1373">
        <f t="shared" si="15"/>
        <v>64492852.130299769</v>
      </c>
      <c r="Y38" s="1374">
        <f t="shared" si="16"/>
        <v>54761396.496740855</v>
      </c>
      <c r="Z38" s="1374">
        <f t="shared" si="17"/>
        <v>3726088.1399999997</v>
      </c>
      <c r="AA38" s="1777">
        <f t="shared" si="18"/>
        <v>199846.53000000003</v>
      </c>
      <c r="AB38" s="1375">
        <f t="shared" si="19"/>
        <v>123180183.29704064</v>
      </c>
      <c r="AD38" s="340">
        <f t="shared" si="4"/>
        <v>0.48856862969353143</v>
      </c>
      <c r="AE38" s="341">
        <f t="shared" si="5"/>
        <v>0.14533874099253646</v>
      </c>
      <c r="AF38" s="341">
        <f t="shared" si="6"/>
        <v>0.32495201656930961</v>
      </c>
      <c r="AG38" s="341">
        <f t="shared" si="7"/>
        <v>4.1140612744622593E-2</v>
      </c>
      <c r="AH38" s="342">
        <f t="shared" si="8"/>
        <v>0.63390737068606795</v>
      </c>
      <c r="AJ38" s="812">
        <f t="shared" si="9"/>
        <v>3.9435326851934495E-2</v>
      </c>
      <c r="AK38" s="790">
        <f t="shared" si="10"/>
        <v>1.4539397913390078E-3</v>
      </c>
      <c r="AL38" s="814">
        <f t="shared" si="11"/>
        <v>0.95911073335672647</v>
      </c>
      <c r="AN38" s="812">
        <f t="shared" si="12"/>
        <v>0.42363555576009537</v>
      </c>
      <c r="AO38" s="790">
        <f t="shared" si="13"/>
        <v>7.6252329339691902E-3</v>
      </c>
      <c r="AP38" s="814">
        <f t="shared" si="14"/>
        <v>0.56873921130593541</v>
      </c>
    </row>
    <row r="39" spans="1:42" x14ac:dyDescent="0.3">
      <c r="A39" s="435" t="s">
        <v>85</v>
      </c>
      <c r="B39" s="319" t="s">
        <v>86</v>
      </c>
      <c r="C39" s="436" t="s">
        <v>254</v>
      </c>
      <c r="D39" s="481">
        <f>'Administration LASER'!D38+'Other Oper Exp. LASER'!D38</f>
        <v>3020376.0999999996</v>
      </c>
      <c r="E39" s="482">
        <f>'Administration LASER'!E38+'Other Oper Exp. LASER'!E38</f>
        <v>686485.73</v>
      </c>
      <c r="F39" s="482">
        <f>'Administration LASER'!F38+'Other Oper Exp. LASER'!F38</f>
        <v>2819985.0599999996</v>
      </c>
      <c r="G39" s="482">
        <f>'Administration LASER'!J38 + 'Other Oper Exp. LASER'!J38</f>
        <v>232400.26000000004</v>
      </c>
      <c r="H39" s="483">
        <f>'Administration LASER'!I38+'Other Oper Exp. LASER'!I38</f>
        <v>6759247.1499999985</v>
      </c>
      <c r="I39" s="481">
        <f>'Client Services LASER'!D38</f>
        <v>130513.35842821861</v>
      </c>
      <c r="J39" s="482">
        <f>'Client Services LASER'!E38</f>
        <v>68649.731571781391</v>
      </c>
      <c r="K39" s="482">
        <f>'Client Services LASER'!F38</f>
        <v>39683.9</v>
      </c>
      <c r="L39" s="482">
        <f>'Client Services LASER'!J38</f>
        <v>10376.189999999999</v>
      </c>
      <c r="M39" s="483">
        <f>'Client Services LASER'!I38</f>
        <v>249223.18</v>
      </c>
      <c r="N39" s="1373">
        <f>'Statewide Benefits'!D39</f>
        <v>56788798.510772459</v>
      </c>
      <c r="O39" s="1374">
        <f>'Statewide Benefits'!E39</f>
        <v>47247184.968780711</v>
      </c>
      <c r="P39" s="1374">
        <f>'Statewide Benefits'!F39</f>
        <v>1625786.73</v>
      </c>
      <c r="Q39" s="1777">
        <f>'Statewide Benefits'!G39</f>
        <v>0</v>
      </c>
      <c r="R39" s="1375">
        <f t="shared" si="20"/>
        <v>105661770.20955317</v>
      </c>
      <c r="S39" s="1373">
        <f>'Other Benefits LASER'!D38+'FC &amp; Adoptions LASER'!D38</f>
        <v>868730.31</v>
      </c>
      <c r="T39" s="1374">
        <f>'Other Benefits LASER'!E38 + 'FC &amp; Adoptions LASER'!E38</f>
        <v>863437.46</v>
      </c>
      <c r="U39" s="1374">
        <f>'Other Benefits LASER'!F38+'FC &amp; Adoptions LASER'!F38</f>
        <v>14220.03</v>
      </c>
      <c r="V39" s="1777">
        <f>'FC &amp; Adoptions LASER'!J38+'Other Benefits LASER'!J38</f>
        <v>3168.95</v>
      </c>
      <c r="W39" s="1375">
        <f>'Other Benefits LASER'!I38+'FC &amp; Adoptions LASER'!I38</f>
        <v>1749556.75</v>
      </c>
      <c r="X39" s="1373">
        <f t="shared" si="15"/>
        <v>60808418.279200681</v>
      </c>
      <c r="Y39" s="1374">
        <f t="shared" si="16"/>
        <v>48865757.890352495</v>
      </c>
      <c r="Z39" s="1374">
        <f t="shared" si="17"/>
        <v>4499675.72</v>
      </c>
      <c r="AA39" s="1777">
        <f t="shared" si="18"/>
        <v>245945.40000000005</v>
      </c>
      <c r="AB39" s="1375">
        <f t="shared" si="19"/>
        <v>114419797.28955317</v>
      </c>
      <c r="AD39" s="340">
        <f t="shared" si="4"/>
        <v>0.44685096327628743</v>
      </c>
      <c r="AE39" s="341">
        <f t="shared" si="5"/>
        <v>0.10156245433339424</v>
      </c>
      <c r="AF39" s="341">
        <f t="shared" si="6"/>
        <v>0.41720401657453821</v>
      </c>
      <c r="AG39" s="341">
        <f t="shared" si="7"/>
        <v>3.4382565815780253E-2</v>
      </c>
      <c r="AH39" s="342">
        <f t="shared" si="8"/>
        <v>0.54841341760968165</v>
      </c>
      <c r="AJ39" s="812">
        <f t="shared" si="9"/>
        <v>5.9074105269518215E-2</v>
      </c>
      <c r="AK39" s="790">
        <f t="shared" si="10"/>
        <v>2.1781473652615424E-3</v>
      </c>
      <c r="AL39" s="814">
        <f t="shared" si="11"/>
        <v>0.93874774736522026</v>
      </c>
      <c r="AN39" s="812">
        <f t="shared" si="12"/>
        <v>0.62670850867448724</v>
      </c>
      <c r="AO39" s="790">
        <f t="shared" si="13"/>
        <v>8.8192799813583012E-3</v>
      </c>
      <c r="AP39" s="814">
        <f t="shared" si="14"/>
        <v>0.36447221134415442</v>
      </c>
    </row>
    <row r="40" spans="1:42" x14ac:dyDescent="0.3">
      <c r="A40" s="435" t="s">
        <v>91</v>
      </c>
      <c r="B40" s="319" t="s">
        <v>92</v>
      </c>
      <c r="C40" s="436" t="s">
        <v>255</v>
      </c>
      <c r="D40" s="481">
        <f>'Administration LASER'!D39+'Other Oper Exp. LASER'!D39</f>
        <v>997515.39999999991</v>
      </c>
      <c r="E40" s="482">
        <f>'Administration LASER'!E39+'Other Oper Exp. LASER'!E39</f>
        <v>346025.02</v>
      </c>
      <c r="F40" s="482">
        <f>'Administration LASER'!F39+'Other Oper Exp. LASER'!F39</f>
        <v>476793.26999999996</v>
      </c>
      <c r="G40" s="482">
        <f>'Administration LASER'!J39 + 'Other Oper Exp. LASER'!J39</f>
        <v>60651.35</v>
      </c>
      <c r="H40" s="483">
        <f>'Administration LASER'!I39+'Other Oper Exp. LASER'!I39</f>
        <v>1880985.04</v>
      </c>
      <c r="I40" s="481">
        <f>'Client Services LASER'!D39</f>
        <v>46746.852051216192</v>
      </c>
      <c r="J40" s="482">
        <f>'Client Services LASER'!E39</f>
        <v>9833.6979487838053</v>
      </c>
      <c r="K40" s="482">
        <f>'Client Services LASER'!F39</f>
        <v>11747.900000000001</v>
      </c>
      <c r="L40" s="482">
        <f>'Client Services LASER'!J39</f>
        <v>1.0000000000000004E-2</v>
      </c>
      <c r="M40" s="483">
        <f>'Client Services LASER'!I39</f>
        <v>68328.459999999992</v>
      </c>
      <c r="N40" s="1373">
        <f>'Statewide Benefits'!D40</f>
        <v>20357477.542241301</v>
      </c>
      <c r="O40" s="1374">
        <f>'Statewide Benefits'!E40</f>
        <v>18106119.632597856</v>
      </c>
      <c r="P40" s="1374">
        <f>'Statewide Benefits'!F40</f>
        <v>643288.61</v>
      </c>
      <c r="Q40" s="1777">
        <f>'Statewide Benefits'!G40</f>
        <v>0</v>
      </c>
      <c r="R40" s="1375">
        <f t="shared" si="20"/>
        <v>39106885.784839153</v>
      </c>
      <c r="S40" s="1373">
        <f>'Other Benefits LASER'!D39+'FC &amp; Adoptions LASER'!D39</f>
        <v>880189.69000000006</v>
      </c>
      <c r="T40" s="1374">
        <f>'Other Benefits LASER'!E39 + 'FC &amp; Adoptions LASER'!E39</f>
        <v>888951.51</v>
      </c>
      <c r="U40" s="1374">
        <f>'Other Benefits LASER'!F39+'FC &amp; Adoptions LASER'!F39</f>
        <v>3455.2</v>
      </c>
      <c r="V40" s="1777">
        <f>'FC &amp; Adoptions LASER'!J39+'Other Benefits LASER'!J39</f>
        <v>-0.08</v>
      </c>
      <c r="W40" s="1375">
        <f>'Other Benefits LASER'!I39+'FC &amp; Adoptions LASER'!I39</f>
        <v>1772596.3199999998</v>
      </c>
      <c r="X40" s="1373">
        <f t="shared" si="15"/>
        <v>22281929.484292518</v>
      </c>
      <c r="Y40" s="1374">
        <f t="shared" si="16"/>
        <v>19350929.860546641</v>
      </c>
      <c r="Z40" s="1374">
        <f t="shared" si="17"/>
        <v>1135284.98</v>
      </c>
      <c r="AA40" s="1777">
        <f t="shared" si="18"/>
        <v>60651.28</v>
      </c>
      <c r="AB40" s="1375">
        <f t="shared" si="19"/>
        <v>42828795.604839154</v>
      </c>
      <c r="AD40" s="340">
        <f t="shared" si="4"/>
        <v>0.53031543515093549</v>
      </c>
      <c r="AE40" s="341">
        <f t="shared" si="5"/>
        <v>0.18395947476541336</v>
      </c>
      <c r="AF40" s="341">
        <f t="shared" si="6"/>
        <v>0.2534806284264759</v>
      </c>
      <c r="AG40" s="341">
        <f t="shared" si="7"/>
        <v>3.2244461657175115E-2</v>
      </c>
      <c r="AH40" s="342">
        <f t="shared" si="8"/>
        <v>0.7142749099163489</v>
      </c>
      <c r="AJ40" s="812">
        <f t="shared" si="9"/>
        <v>4.3918700337850981E-2</v>
      </c>
      <c r="AK40" s="790">
        <f t="shared" si="10"/>
        <v>1.5953859788735145E-3</v>
      </c>
      <c r="AL40" s="814">
        <f t="shared" si="11"/>
        <v>0.95448591368327551</v>
      </c>
      <c r="AN40" s="812">
        <f t="shared" si="12"/>
        <v>0.4199767269007646</v>
      </c>
      <c r="AO40" s="790">
        <f t="shared" si="13"/>
        <v>1.0347974479500295E-2</v>
      </c>
      <c r="AP40" s="814">
        <f t="shared" si="14"/>
        <v>0.56967529861973509</v>
      </c>
    </row>
    <row r="41" spans="1:42" x14ac:dyDescent="0.3">
      <c r="A41" s="435" t="s">
        <v>93</v>
      </c>
      <c r="B41" s="319" t="s">
        <v>94</v>
      </c>
      <c r="C41" s="436" t="s">
        <v>251</v>
      </c>
      <c r="D41" s="481">
        <f>'Administration LASER'!D40+'Other Oper Exp. LASER'!D40</f>
        <v>1784949.2399999998</v>
      </c>
      <c r="E41" s="482">
        <f>'Administration LASER'!E40+'Other Oper Exp. LASER'!E40</f>
        <v>451607.63</v>
      </c>
      <c r="F41" s="482">
        <f>'Administration LASER'!F40+'Other Oper Exp. LASER'!F40</f>
        <v>1442370.41</v>
      </c>
      <c r="G41" s="482">
        <f>'Administration LASER'!J40 + 'Other Oper Exp. LASER'!J40</f>
        <v>195211.94</v>
      </c>
      <c r="H41" s="483">
        <f>'Administration LASER'!I40+'Other Oper Exp. LASER'!I40</f>
        <v>3874139.2199999997</v>
      </c>
      <c r="I41" s="481">
        <f>'Client Services LASER'!D40</f>
        <v>37466.82765080739</v>
      </c>
      <c r="J41" s="482">
        <f>'Client Services LASER'!E40</f>
        <v>15229.60234919261</v>
      </c>
      <c r="K41" s="482">
        <f>'Client Services LASER'!F40</f>
        <v>9556.3599999999988</v>
      </c>
      <c r="L41" s="482">
        <f>'Client Services LASER'!J40</f>
        <v>599.92000000000007</v>
      </c>
      <c r="M41" s="483">
        <f>'Client Services LASER'!I40</f>
        <v>62852.71</v>
      </c>
      <c r="N41" s="1373">
        <f>'Statewide Benefits'!D41</f>
        <v>34994314.096319385</v>
      </c>
      <c r="O41" s="1374">
        <f>'Statewide Benefits'!E41</f>
        <v>28779923.015915811</v>
      </c>
      <c r="P41" s="1374">
        <f>'Statewide Benefits'!F41</f>
        <v>370940.75</v>
      </c>
      <c r="Q41" s="1777">
        <f>'Statewide Benefits'!G41</f>
        <v>0</v>
      </c>
      <c r="R41" s="1375">
        <f t="shared" si="20"/>
        <v>64145177.862235196</v>
      </c>
      <c r="S41" s="1373">
        <f>'Other Benefits LASER'!D40+'FC &amp; Adoptions LASER'!D40</f>
        <v>364365.26999999996</v>
      </c>
      <c r="T41" s="1374">
        <f>'Other Benefits LASER'!E40 + 'FC &amp; Adoptions LASER'!E40</f>
        <v>814388.24</v>
      </c>
      <c r="U41" s="1374">
        <f>'Other Benefits LASER'!F40+'FC &amp; Adoptions LASER'!F40</f>
        <v>31770.400000000001</v>
      </c>
      <c r="V41" s="1777">
        <f>'FC &amp; Adoptions LASER'!J40+'Other Benefits LASER'!J40</f>
        <v>-0.15000000000000002</v>
      </c>
      <c r="W41" s="1375">
        <f>'Other Benefits LASER'!I40+'FC &amp; Adoptions LASER'!I40</f>
        <v>1210523.76</v>
      </c>
      <c r="X41" s="1373">
        <f t="shared" si="15"/>
        <v>37181095.433970198</v>
      </c>
      <c r="Y41" s="1374">
        <f t="shared" si="16"/>
        <v>30061148.488265</v>
      </c>
      <c r="Z41" s="1374">
        <f t="shared" si="17"/>
        <v>1854637.92</v>
      </c>
      <c r="AA41" s="1777">
        <f t="shared" si="18"/>
        <v>195811.71000000002</v>
      </c>
      <c r="AB41" s="1375">
        <f t="shared" si="19"/>
        <v>69292693.552235201</v>
      </c>
      <c r="AD41" s="340">
        <f t="shared" si="4"/>
        <v>0.46073440799063486</v>
      </c>
      <c r="AE41" s="341">
        <f t="shared" si="5"/>
        <v>0.11656979895523735</v>
      </c>
      <c r="AF41" s="341">
        <f t="shared" si="6"/>
        <v>0.37230732508368658</v>
      </c>
      <c r="AG41" s="341">
        <f t="shared" si="7"/>
        <v>5.0388467970441192E-2</v>
      </c>
      <c r="AH41" s="342">
        <f t="shared" si="8"/>
        <v>0.57730420694587214</v>
      </c>
      <c r="AJ41" s="812">
        <f t="shared" si="9"/>
        <v>5.5909779536561691E-2</v>
      </c>
      <c r="AK41" s="790">
        <f t="shared" si="10"/>
        <v>9.0706114566926855E-4</v>
      </c>
      <c r="AL41" s="814">
        <f t="shared" si="11"/>
        <v>0.94318315931776897</v>
      </c>
      <c r="AN41" s="812">
        <f t="shared" si="12"/>
        <v>0.77770997478580617</v>
      </c>
      <c r="AO41" s="790">
        <f t="shared" si="13"/>
        <v>5.1526823090083263E-3</v>
      </c>
      <c r="AP41" s="814">
        <f t="shared" si="14"/>
        <v>0.21713734290518552</v>
      </c>
    </row>
    <row r="42" spans="1:42" x14ac:dyDescent="0.3">
      <c r="A42" s="435" t="s">
        <v>95</v>
      </c>
      <c r="B42" s="319" t="s">
        <v>96</v>
      </c>
      <c r="C42" s="436" t="s">
        <v>253</v>
      </c>
      <c r="D42" s="481">
        <f>'Administration LASER'!D41+'Other Oper Exp. LASER'!D41</f>
        <v>956152.07000000007</v>
      </c>
      <c r="E42" s="482">
        <f>'Administration LASER'!E41+'Other Oper Exp. LASER'!E41</f>
        <v>256984.39</v>
      </c>
      <c r="F42" s="482">
        <f>'Administration LASER'!F41+'Other Oper Exp. LASER'!F41</f>
        <v>695199.7</v>
      </c>
      <c r="G42" s="482">
        <f>'Administration LASER'!J41 + 'Other Oper Exp. LASER'!J41</f>
        <v>175654.62000000002</v>
      </c>
      <c r="H42" s="483">
        <f>'Administration LASER'!I41+'Other Oper Exp. LASER'!I41</f>
        <v>2083990.7799999998</v>
      </c>
      <c r="I42" s="481">
        <f>'Client Services LASER'!D41</f>
        <v>59267.24589204193</v>
      </c>
      <c r="J42" s="482">
        <f>'Client Services LASER'!E41</f>
        <v>9103.6241079580759</v>
      </c>
      <c r="K42" s="482">
        <f>'Client Services LASER'!F41</f>
        <v>16432.64</v>
      </c>
      <c r="L42" s="482">
        <f>'Client Services LASER'!J41</f>
        <v>52018.86</v>
      </c>
      <c r="M42" s="483">
        <f>'Client Services LASER'!I41</f>
        <v>136822.37</v>
      </c>
      <c r="N42" s="1373">
        <f>'Statewide Benefits'!D42</f>
        <v>13409856.731834468</v>
      </c>
      <c r="O42" s="1374">
        <f>'Statewide Benefits'!E42</f>
        <v>11517822.450570056</v>
      </c>
      <c r="P42" s="1374">
        <f>'Statewide Benefits'!F42</f>
        <v>440046.97</v>
      </c>
      <c r="Q42" s="1777">
        <f>'Statewide Benefits'!G42</f>
        <v>0</v>
      </c>
      <c r="R42" s="1375">
        <f t="shared" si="20"/>
        <v>25367726.152404524</v>
      </c>
      <c r="S42" s="1373">
        <f>'Other Benefits LASER'!D41+'FC &amp; Adoptions LASER'!D41</f>
        <v>155267.49</v>
      </c>
      <c r="T42" s="1374">
        <f>'Other Benefits LASER'!E41 + 'FC &amp; Adoptions LASER'!E41</f>
        <v>186607.25</v>
      </c>
      <c r="U42" s="1374">
        <f>'Other Benefits LASER'!F41+'FC &amp; Adoptions LASER'!F41</f>
        <v>4506.6000000000004</v>
      </c>
      <c r="V42" s="1777">
        <f>'FC &amp; Adoptions LASER'!J41+'Other Benefits LASER'!J41</f>
        <v>268226.99</v>
      </c>
      <c r="W42" s="1375">
        <f>'Other Benefits LASER'!I41+'FC &amp; Adoptions LASER'!I41</f>
        <v>614608.32999999996</v>
      </c>
      <c r="X42" s="1373">
        <f t="shared" si="15"/>
        <v>14580543.53772651</v>
      </c>
      <c r="Y42" s="1374">
        <f t="shared" si="16"/>
        <v>11970517.714678014</v>
      </c>
      <c r="Z42" s="1374">
        <f t="shared" si="17"/>
        <v>1156185.9100000001</v>
      </c>
      <c r="AA42" s="1777">
        <f t="shared" si="18"/>
        <v>495900.47000000003</v>
      </c>
      <c r="AB42" s="1375">
        <f t="shared" si="19"/>
        <v>28203147.632404521</v>
      </c>
      <c r="AD42" s="340">
        <f t="shared" si="4"/>
        <v>0.45880820547584195</v>
      </c>
      <c r="AE42" s="341">
        <f t="shared" si="5"/>
        <v>0.12331359258700753</v>
      </c>
      <c r="AF42" s="341">
        <f t="shared" si="6"/>
        <v>0.33359058335181313</v>
      </c>
      <c r="AG42" s="341">
        <f t="shared" si="7"/>
        <v>8.4287618585337523E-2</v>
      </c>
      <c r="AH42" s="342">
        <f t="shared" si="8"/>
        <v>0.58212179806284947</v>
      </c>
      <c r="AJ42" s="812">
        <f t="shared" si="9"/>
        <v>7.3892134564638473E-2</v>
      </c>
      <c r="AK42" s="790">
        <f t="shared" si="10"/>
        <v>4.8513155972277162E-3</v>
      </c>
      <c r="AL42" s="814">
        <f t="shared" si="11"/>
        <v>0.92125654983813388</v>
      </c>
      <c r="AN42" s="812">
        <f t="shared" si="12"/>
        <v>0.60128712345231738</v>
      </c>
      <c r="AO42" s="790">
        <f t="shared" si="13"/>
        <v>1.4212800776996147E-2</v>
      </c>
      <c r="AP42" s="814">
        <f t="shared" si="14"/>
        <v>0.38450007577068629</v>
      </c>
    </row>
    <row r="43" spans="1:42" x14ac:dyDescent="0.3">
      <c r="A43" s="435" t="s">
        <v>97</v>
      </c>
      <c r="B43" s="319" t="s">
        <v>98</v>
      </c>
      <c r="C43" s="436" t="s">
        <v>255</v>
      </c>
      <c r="D43" s="481">
        <f>'Administration LASER'!D42+'Other Oper Exp. LASER'!D42</f>
        <v>943014.98</v>
      </c>
      <c r="E43" s="482">
        <f>'Administration LASER'!E42+'Other Oper Exp. LASER'!E42</f>
        <v>332673.08</v>
      </c>
      <c r="F43" s="482">
        <f>'Administration LASER'!F42+'Other Oper Exp. LASER'!F42</f>
        <v>386906.62</v>
      </c>
      <c r="G43" s="482">
        <f>'Administration LASER'!J42 + 'Other Oper Exp. LASER'!J42</f>
        <v>158055.46999999997</v>
      </c>
      <c r="H43" s="483">
        <f>'Administration LASER'!I42+'Other Oper Exp. LASER'!I42</f>
        <v>1820650.1500000001</v>
      </c>
      <c r="I43" s="481">
        <f>'Client Services LASER'!D42</f>
        <v>19023.530977951476</v>
      </c>
      <c r="J43" s="482">
        <f>'Client Services LASER'!E42</f>
        <v>14799.629022048524</v>
      </c>
      <c r="K43" s="482">
        <f>'Client Services LASER'!F42</f>
        <v>5947.7100000000009</v>
      </c>
      <c r="L43" s="482">
        <f>'Client Services LASER'!J42</f>
        <v>7.0000000000000007E-2</v>
      </c>
      <c r="M43" s="483">
        <f>'Client Services LASER'!I42</f>
        <v>39770.94</v>
      </c>
      <c r="N43" s="1373">
        <f>'Statewide Benefits'!D43</f>
        <v>21176412.889633544</v>
      </c>
      <c r="O43" s="1374">
        <f>'Statewide Benefits'!E43</f>
        <v>17282834.28269342</v>
      </c>
      <c r="P43" s="1374">
        <f>'Statewide Benefits'!F43</f>
        <v>195740.13</v>
      </c>
      <c r="Q43" s="1777">
        <f>'Statewide Benefits'!G43</f>
        <v>0</v>
      </c>
      <c r="R43" s="1375">
        <f t="shared" si="20"/>
        <v>38654987.30232697</v>
      </c>
      <c r="S43" s="1373">
        <f>'Other Benefits LASER'!D42+'FC &amp; Adoptions LASER'!D42</f>
        <v>412281.01</v>
      </c>
      <c r="T43" s="1374">
        <f>'Other Benefits LASER'!E42 + 'FC &amp; Adoptions LASER'!E42</f>
        <v>534053.12000000011</v>
      </c>
      <c r="U43" s="1374">
        <f>'Other Benefits LASER'!F42+'FC &amp; Adoptions LASER'!F42</f>
        <v>34292</v>
      </c>
      <c r="V43" s="1777">
        <f>'FC &amp; Adoptions LASER'!J42+'Other Benefits LASER'!J42</f>
        <v>-0.1</v>
      </c>
      <c r="W43" s="1375">
        <f>'Other Benefits LASER'!I42+'FC &amp; Adoptions LASER'!I42</f>
        <v>980626.03000000014</v>
      </c>
      <c r="X43" s="1373">
        <f t="shared" si="15"/>
        <v>22550732.410611495</v>
      </c>
      <c r="Y43" s="1374">
        <f t="shared" si="16"/>
        <v>18164360.11171547</v>
      </c>
      <c r="Z43" s="1374">
        <f t="shared" si="17"/>
        <v>622886.46</v>
      </c>
      <c r="AA43" s="1777">
        <f t="shared" si="18"/>
        <v>158055.43999999997</v>
      </c>
      <c r="AB43" s="1375">
        <f t="shared" si="19"/>
        <v>41496034.422326975</v>
      </c>
      <c r="AD43" s="340">
        <f t="shared" si="4"/>
        <v>0.5179550722581161</v>
      </c>
      <c r="AE43" s="341">
        <f t="shared" si="5"/>
        <v>0.18272213362902257</v>
      </c>
      <c r="AF43" s="341">
        <f t="shared" si="6"/>
        <v>0.21251014095157159</v>
      </c>
      <c r="AG43" s="341">
        <f t="shared" si="7"/>
        <v>8.6812653161289638E-2</v>
      </c>
      <c r="AH43" s="342">
        <f t="shared" si="8"/>
        <v>0.70067720588713867</v>
      </c>
      <c r="AJ43" s="812">
        <f t="shared" si="9"/>
        <v>4.3875280501994136E-2</v>
      </c>
      <c r="AK43" s="790">
        <f t="shared" si="10"/>
        <v>9.5842748719625163E-4</v>
      </c>
      <c r="AL43" s="814">
        <f t="shared" si="11"/>
        <v>0.95516629201080949</v>
      </c>
      <c r="AN43" s="812">
        <f t="shared" si="12"/>
        <v>0.62115111636878417</v>
      </c>
      <c r="AO43" s="790">
        <f t="shared" si="13"/>
        <v>9.5486262456242841E-3</v>
      </c>
      <c r="AP43" s="814">
        <f t="shared" si="14"/>
        <v>0.36930025738559163</v>
      </c>
    </row>
    <row r="44" spans="1:42" x14ac:dyDescent="0.3">
      <c r="A44" s="435" t="s">
        <v>99</v>
      </c>
      <c r="B44" s="319" t="s">
        <v>100</v>
      </c>
      <c r="C44" s="436" t="s">
        <v>254</v>
      </c>
      <c r="D44" s="481">
        <f>'Administration LASER'!D43+'Other Oper Exp. LASER'!D43</f>
        <v>718273.0199999999</v>
      </c>
      <c r="E44" s="482">
        <f>'Administration LASER'!E43+'Other Oper Exp. LASER'!E43</f>
        <v>235414.21</v>
      </c>
      <c r="F44" s="482">
        <f>'Administration LASER'!F43+'Other Oper Exp. LASER'!F43</f>
        <v>414868.94000000006</v>
      </c>
      <c r="G44" s="482">
        <f>'Administration LASER'!J43 + 'Other Oper Exp. LASER'!J43</f>
        <v>49296.78</v>
      </c>
      <c r="H44" s="483">
        <f>'Administration LASER'!I43+'Other Oper Exp. LASER'!I43</f>
        <v>1417852.95</v>
      </c>
      <c r="I44" s="481">
        <f>'Client Services LASER'!D43</f>
        <v>10548.313722261693</v>
      </c>
      <c r="J44" s="482">
        <f>'Client Services LASER'!E43</f>
        <v>7725.0062777383073</v>
      </c>
      <c r="K44" s="482">
        <f>'Client Services LASER'!F43</f>
        <v>3101.0999999999995</v>
      </c>
      <c r="L44" s="482">
        <f>'Client Services LASER'!J43</f>
        <v>0.05</v>
      </c>
      <c r="M44" s="483">
        <f>'Client Services LASER'!I43</f>
        <v>21374.469999999998</v>
      </c>
      <c r="N44" s="1373">
        <f>'Statewide Benefits'!D44</f>
        <v>17229877.82334749</v>
      </c>
      <c r="O44" s="1374">
        <f>'Statewide Benefits'!E44</f>
        <v>14233410.079016367</v>
      </c>
      <c r="P44" s="1374">
        <f>'Statewide Benefits'!F44</f>
        <v>501074.82</v>
      </c>
      <c r="Q44" s="1777">
        <f>'Statewide Benefits'!G44</f>
        <v>0</v>
      </c>
      <c r="R44" s="1375">
        <f t="shared" si="20"/>
        <v>31964362.722363859</v>
      </c>
      <c r="S44" s="1373">
        <f>'Other Benefits LASER'!D43+'FC &amp; Adoptions LASER'!D43</f>
        <v>75137.66</v>
      </c>
      <c r="T44" s="1374">
        <f>'Other Benefits LASER'!E43 + 'FC &amp; Adoptions LASER'!E43</f>
        <v>96803.36</v>
      </c>
      <c r="U44" s="1374">
        <f>'Other Benefits LASER'!F43+'FC &amp; Adoptions LASER'!F43</f>
        <v>3467.8</v>
      </c>
      <c r="V44" s="1777">
        <f>'FC &amp; Adoptions LASER'!J43+'Other Benefits LASER'!J43</f>
        <v>-0.04</v>
      </c>
      <c r="W44" s="1375">
        <f>'Other Benefits LASER'!I43+'FC &amp; Adoptions LASER'!I43</f>
        <v>175408.78</v>
      </c>
      <c r="X44" s="1373">
        <f t="shared" si="15"/>
        <v>18033836.81706975</v>
      </c>
      <c r="Y44" s="1374">
        <f t="shared" si="16"/>
        <v>14573352.655294105</v>
      </c>
      <c r="Z44" s="1374">
        <f t="shared" si="17"/>
        <v>922512.66000000015</v>
      </c>
      <c r="AA44" s="1777">
        <f t="shared" si="18"/>
        <v>49296.79</v>
      </c>
      <c r="AB44" s="1375">
        <f t="shared" si="19"/>
        <v>33578998.922363862</v>
      </c>
      <c r="AD44" s="340">
        <f t="shared" si="4"/>
        <v>0.50659204115631307</v>
      </c>
      <c r="AE44" s="341">
        <f t="shared" si="5"/>
        <v>0.16603570208038851</v>
      </c>
      <c r="AF44" s="341">
        <f t="shared" si="6"/>
        <v>0.29260364412261519</v>
      </c>
      <c r="AG44" s="341">
        <f t="shared" si="7"/>
        <v>3.4768612640683226E-2</v>
      </c>
      <c r="AH44" s="342">
        <f t="shared" si="8"/>
        <v>0.6726277432367016</v>
      </c>
      <c r="AJ44" s="812">
        <f t="shared" si="9"/>
        <v>4.222439606606912E-2</v>
      </c>
      <c r="AK44" s="790">
        <f t="shared" si="10"/>
        <v>6.3654280014180061E-4</v>
      </c>
      <c r="AL44" s="814">
        <f t="shared" si="11"/>
        <v>0.95713906113378899</v>
      </c>
      <c r="AN44" s="812">
        <f t="shared" si="12"/>
        <v>0.449716256468502</v>
      </c>
      <c r="AO44" s="790">
        <f t="shared" si="13"/>
        <v>3.3615798833589979E-3</v>
      </c>
      <c r="AP44" s="814">
        <f t="shared" si="14"/>
        <v>0.54692216364813884</v>
      </c>
    </row>
    <row r="45" spans="1:42" x14ac:dyDescent="0.3">
      <c r="A45" s="435" t="s">
        <v>101</v>
      </c>
      <c r="B45" s="319" t="s">
        <v>263</v>
      </c>
      <c r="C45" s="436" t="s">
        <v>251</v>
      </c>
      <c r="D45" s="481">
        <f>'Administration LASER'!D44+'Other Oper Exp. LASER'!D44</f>
        <v>1313043.1600000001</v>
      </c>
      <c r="E45" s="482">
        <f>'Administration LASER'!E44+'Other Oper Exp. LASER'!E44</f>
        <v>507622.94</v>
      </c>
      <c r="F45" s="482">
        <f>'Administration LASER'!F44+'Other Oper Exp. LASER'!F44</f>
        <v>418933.64</v>
      </c>
      <c r="G45" s="482">
        <f>'Administration LASER'!J44 + 'Other Oper Exp. LASER'!J44</f>
        <v>232553.47999999998</v>
      </c>
      <c r="H45" s="483">
        <f>'Administration LASER'!I44+'Other Oper Exp. LASER'!I44</f>
        <v>2472153.2200000002</v>
      </c>
      <c r="I45" s="481">
        <f>'Client Services LASER'!D44</f>
        <v>19989.827883397938</v>
      </c>
      <c r="J45" s="482">
        <f>'Client Services LASER'!E44</f>
        <v>62292.762116602062</v>
      </c>
      <c r="K45" s="482">
        <f>'Client Services LASER'!F44</f>
        <v>17779.87</v>
      </c>
      <c r="L45" s="482">
        <f>'Client Services LASER'!J44</f>
        <v>-0.05</v>
      </c>
      <c r="M45" s="483">
        <f>'Client Services LASER'!I44</f>
        <v>100062.40999999999</v>
      </c>
      <c r="N45" s="1373">
        <f>'Statewide Benefits'!D45</f>
        <v>31228407.20001078</v>
      </c>
      <c r="O45" s="1374">
        <f>'Statewide Benefits'!E45</f>
        <v>25488252.18977778</v>
      </c>
      <c r="P45" s="1374">
        <f>'Statewide Benefits'!F45</f>
        <v>348532.36</v>
      </c>
      <c r="Q45" s="1777">
        <f>'Statewide Benefits'!G45</f>
        <v>0</v>
      </c>
      <c r="R45" s="1375">
        <f t="shared" si="20"/>
        <v>57065191.74978856</v>
      </c>
      <c r="S45" s="1373">
        <f>'Other Benefits LASER'!D44+'FC &amp; Adoptions LASER'!D44</f>
        <v>196312.98</v>
      </c>
      <c r="T45" s="1374">
        <f>'Other Benefits LASER'!E44 + 'FC &amp; Adoptions LASER'!E44</f>
        <v>249722.2</v>
      </c>
      <c r="U45" s="1374">
        <f>'Other Benefits LASER'!F44+'FC &amp; Adoptions LASER'!F44</f>
        <v>10469</v>
      </c>
      <c r="V45" s="1777">
        <f>'FC &amp; Adoptions LASER'!J44+'Other Benefits LASER'!J44</f>
        <v>-0.03</v>
      </c>
      <c r="W45" s="1375">
        <f>'Other Benefits LASER'!I44+'FC &amp; Adoptions LASER'!I44</f>
        <v>456504.15</v>
      </c>
      <c r="X45" s="1373">
        <f t="shared" si="15"/>
        <v>32757753.167894177</v>
      </c>
      <c r="Y45" s="1374">
        <f t="shared" si="16"/>
        <v>26307890.091894381</v>
      </c>
      <c r="Z45" s="1374">
        <f t="shared" si="17"/>
        <v>795714.87</v>
      </c>
      <c r="AA45" s="1777">
        <f t="shared" si="18"/>
        <v>232553.4</v>
      </c>
      <c r="AB45" s="1375">
        <f t="shared" si="19"/>
        <v>60093911.529788561</v>
      </c>
      <c r="AD45" s="340">
        <f t="shared" si="4"/>
        <v>0.53113340604349757</v>
      </c>
      <c r="AE45" s="341">
        <f t="shared" si="5"/>
        <v>0.20533635856114127</v>
      </c>
      <c r="AF45" s="341">
        <f t="shared" si="6"/>
        <v>0.16946103364903894</v>
      </c>
      <c r="AG45" s="341">
        <f t="shared" si="7"/>
        <v>9.4069201746322162E-2</v>
      </c>
      <c r="AH45" s="342">
        <f t="shared" si="8"/>
        <v>0.73646976460463887</v>
      </c>
      <c r="AJ45" s="812">
        <f t="shared" si="9"/>
        <v>4.1138164533932084E-2</v>
      </c>
      <c r="AK45" s="790">
        <f t="shared" si="10"/>
        <v>1.6651006308750435E-3</v>
      </c>
      <c r="AL45" s="814">
        <f t="shared" si="11"/>
        <v>0.95719673483519285</v>
      </c>
      <c r="AN45" s="812">
        <f t="shared" si="12"/>
        <v>0.52648713225630683</v>
      </c>
      <c r="AO45" s="790">
        <f t="shared" si="13"/>
        <v>2.2344523987593696E-2</v>
      </c>
      <c r="AP45" s="814">
        <f t="shared" si="14"/>
        <v>0.45116834375609943</v>
      </c>
    </row>
    <row r="46" spans="1:42" x14ac:dyDescent="0.3">
      <c r="A46" s="435" t="s">
        <v>103</v>
      </c>
      <c r="B46" s="319" t="s">
        <v>398</v>
      </c>
      <c r="C46" s="436" t="s">
        <v>252</v>
      </c>
      <c r="D46" s="481">
        <f>'Administration LASER'!D45+'Other Oper Exp. LASER'!D45</f>
        <v>2061712.35</v>
      </c>
      <c r="E46" s="482">
        <f>'Administration LASER'!E45+'Other Oper Exp. LASER'!E45</f>
        <v>774910.86</v>
      </c>
      <c r="F46" s="482">
        <f>'Administration LASER'!F45+'Other Oper Exp. LASER'!F45</f>
        <v>707454.47000000009</v>
      </c>
      <c r="G46" s="482">
        <f>'Administration LASER'!J45 + 'Other Oper Exp. LASER'!J45</f>
        <v>434999.42000000004</v>
      </c>
      <c r="H46" s="483">
        <f>'Administration LASER'!I45+'Other Oper Exp. LASER'!I45</f>
        <v>3979077.1000000006</v>
      </c>
      <c r="I46" s="481">
        <f>'Client Services LASER'!D45</f>
        <v>17809.068090507146</v>
      </c>
      <c r="J46" s="482">
        <f>'Client Services LASER'!E45</f>
        <v>21762.001909492854</v>
      </c>
      <c r="K46" s="482">
        <f>'Client Services LASER'!F45</f>
        <v>7943.42</v>
      </c>
      <c r="L46" s="482">
        <f>'Client Services LASER'!J45</f>
        <v>-4.9999999999999996E-2</v>
      </c>
      <c r="M46" s="483">
        <f>'Client Services LASER'!I45</f>
        <v>47514.439999999995</v>
      </c>
      <c r="N46" s="1373">
        <f>'Statewide Benefits'!D46</f>
        <v>57545660.627198257</v>
      </c>
      <c r="O46" s="1374">
        <f>'Statewide Benefits'!E46</f>
        <v>48363892.199830703</v>
      </c>
      <c r="P46" s="1374">
        <f>'Statewide Benefits'!F46</f>
        <v>1032421.68</v>
      </c>
      <c r="Q46" s="1777">
        <f>'Statewide Benefits'!G46</f>
        <v>0</v>
      </c>
      <c r="R46" s="1375">
        <f t="shared" si="20"/>
        <v>106941974.50702897</v>
      </c>
      <c r="S46" s="1373">
        <f>'Other Benefits LASER'!D45+'FC &amp; Adoptions LASER'!D45</f>
        <v>482608.67</v>
      </c>
      <c r="T46" s="1374">
        <f>'Other Benefits LASER'!E45 + 'FC &amp; Adoptions LASER'!E45</f>
        <v>605484.88</v>
      </c>
      <c r="U46" s="1374">
        <f>'Other Benefits LASER'!F45+'FC &amp; Adoptions LASER'!F45</f>
        <v>34200.6</v>
      </c>
      <c r="V46" s="1777">
        <f>'FC &amp; Adoptions LASER'!J45+'Other Benefits LASER'!J45</f>
        <v>-0.06</v>
      </c>
      <c r="W46" s="1375">
        <f>'Other Benefits LASER'!I45+'FC &amp; Adoptions LASER'!I45</f>
        <v>1122294.0899999999</v>
      </c>
      <c r="X46" s="1373">
        <f t="shared" si="15"/>
        <v>60107790.715288766</v>
      </c>
      <c r="Y46" s="1374">
        <f t="shared" si="16"/>
        <v>49766049.9417402</v>
      </c>
      <c r="Z46" s="1374">
        <f t="shared" si="17"/>
        <v>1782020.1700000004</v>
      </c>
      <c r="AA46" s="1777">
        <f t="shared" si="18"/>
        <v>434999.31000000006</v>
      </c>
      <c r="AB46" s="1375">
        <f t="shared" si="19"/>
        <v>112090860.13702898</v>
      </c>
      <c r="AD46" s="340">
        <f t="shared" si="4"/>
        <v>0.51813832659839631</v>
      </c>
      <c r="AE46" s="341">
        <f t="shared" si="5"/>
        <v>0.19474637975725573</v>
      </c>
      <c r="AF46" s="341">
        <f t="shared" si="6"/>
        <v>0.17779360696479091</v>
      </c>
      <c r="AG46" s="341">
        <f t="shared" si="7"/>
        <v>0.10932168667955693</v>
      </c>
      <c r="AH46" s="342">
        <f t="shared" si="8"/>
        <v>0.71288470635565204</v>
      </c>
      <c r="AJ46" s="812">
        <f t="shared" si="9"/>
        <v>3.5498675762998456E-2</v>
      </c>
      <c r="AK46" s="790">
        <f t="shared" si="10"/>
        <v>4.2389218837213385E-4</v>
      </c>
      <c r="AL46" s="814">
        <f t="shared" si="11"/>
        <v>0.96407743204862939</v>
      </c>
      <c r="AN46" s="812">
        <f t="shared" si="12"/>
        <v>0.39699577025550725</v>
      </c>
      <c r="AO46" s="790">
        <f t="shared" si="13"/>
        <v>4.4575365272100142E-3</v>
      </c>
      <c r="AP46" s="814">
        <f t="shared" si="14"/>
        <v>0.5985466932172826</v>
      </c>
    </row>
    <row r="47" spans="1:42" x14ac:dyDescent="0.3">
      <c r="A47" s="435" t="s">
        <v>107</v>
      </c>
      <c r="B47" s="319" t="s">
        <v>108</v>
      </c>
      <c r="C47" s="436" t="s">
        <v>253</v>
      </c>
      <c r="D47" s="481">
        <f>'Administration LASER'!D46+'Other Oper Exp. LASER'!D46</f>
        <v>2394432.6199999996</v>
      </c>
      <c r="E47" s="482">
        <f>'Administration LASER'!E46+'Other Oper Exp. LASER'!E46</f>
        <v>610595.05999999994</v>
      </c>
      <c r="F47" s="482">
        <f>'Administration LASER'!F46+'Other Oper Exp. LASER'!F46</f>
        <v>1893304.1900000002</v>
      </c>
      <c r="G47" s="482">
        <f>'Administration LASER'!J46 + 'Other Oper Exp. LASER'!J46</f>
        <v>349519.8</v>
      </c>
      <c r="H47" s="483">
        <f>'Administration LASER'!I46+'Other Oper Exp. LASER'!I46</f>
        <v>5247851.67</v>
      </c>
      <c r="I47" s="481">
        <f>'Client Services LASER'!D46</f>
        <v>32735.999749321414</v>
      </c>
      <c r="J47" s="482">
        <f>'Client Services LASER'!E46</f>
        <v>43195.470250678605</v>
      </c>
      <c r="K47" s="482">
        <f>'Client Services LASER'!F46</f>
        <v>14238.569999999998</v>
      </c>
      <c r="L47" s="482">
        <f>'Client Services LASER'!J46</f>
        <v>-0.05</v>
      </c>
      <c r="M47" s="483">
        <f>'Client Services LASER'!I46</f>
        <v>90169.99</v>
      </c>
      <c r="N47" s="1373">
        <f>'Statewide Benefits'!D47</f>
        <v>60516735.159395911</v>
      </c>
      <c r="O47" s="1374">
        <f>'Statewide Benefits'!E47</f>
        <v>52656693.130159535</v>
      </c>
      <c r="P47" s="1374">
        <f>'Statewide Benefits'!F47</f>
        <v>2606474.5199999996</v>
      </c>
      <c r="Q47" s="1777">
        <f>'Statewide Benefits'!G47</f>
        <v>0</v>
      </c>
      <c r="R47" s="1375">
        <f t="shared" si="20"/>
        <v>115779902.80955544</v>
      </c>
      <c r="S47" s="1373">
        <f>'Other Benefits LASER'!D46+'FC &amp; Adoptions LASER'!D46</f>
        <v>522107.52</v>
      </c>
      <c r="T47" s="1374">
        <f>'Other Benefits LASER'!E46 + 'FC &amp; Adoptions LASER'!E46</f>
        <v>615681.15999999992</v>
      </c>
      <c r="U47" s="1374">
        <f>'Other Benefits LASER'!F46+'FC &amp; Adoptions LASER'!F46</f>
        <v>17551</v>
      </c>
      <c r="V47" s="1777">
        <f>'FC &amp; Adoptions LASER'!J46+'Other Benefits LASER'!J46</f>
        <v>583.21</v>
      </c>
      <c r="W47" s="1375">
        <f>'Other Benefits LASER'!I46+'FC &amp; Adoptions LASER'!I46</f>
        <v>1155922.8899999999</v>
      </c>
      <c r="X47" s="1373">
        <f t="shared" si="15"/>
        <v>63466011.299145237</v>
      </c>
      <c r="Y47" s="1374">
        <f t="shared" si="16"/>
        <v>53926164.820410207</v>
      </c>
      <c r="Z47" s="1374">
        <f t="shared" si="17"/>
        <v>4531568.2799999993</v>
      </c>
      <c r="AA47" s="1777">
        <f t="shared" si="18"/>
        <v>350102.96</v>
      </c>
      <c r="AB47" s="1375">
        <f t="shared" si="19"/>
        <v>122273847.35955544</v>
      </c>
      <c r="AD47" s="340">
        <f t="shared" si="4"/>
        <v>0.45626911173729873</v>
      </c>
      <c r="AE47" s="341">
        <f t="shared" si="5"/>
        <v>0.1163514326234758</v>
      </c>
      <c r="AF47" s="341">
        <f t="shared" si="6"/>
        <v>0.36077700153442033</v>
      </c>
      <c r="AG47" s="341">
        <f t="shared" si="7"/>
        <v>6.6602454104805142E-2</v>
      </c>
      <c r="AH47" s="342">
        <f t="shared" si="8"/>
        <v>0.57262054436077459</v>
      </c>
      <c r="AJ47" s="812">
        <f t="shared" si="9"/>
        <v>4.2918839828179262E-2</v>
      </c>
      <c r="AK47" s="790">
        <f t="shared" si="10"/>
        <v>7.3744297695032342E-4</v>
      </c>
      <c r="AL47" s="814">
        <f t="shared" si="11"/>
        <v>0.95634371719487044</v>
      </c>
      <c r="AN47" s="812">
        <f t="shared" si="12"/>
        <v>0.41780330186263914</v>
      </c>
      <c r="AO47" s="790">
        <f t="shared" si="13"/>
        <v>3.1420843999728941E-3</v>
      </c>
      <c r="AP47" s="814">
        <f t="shared" si="14"/>
        <v>0.57905461373738809</v>
      </c>
    </row>
    <row r="48" spans="1:42" x14ac:dyDescent="0.3">
      <c r="A48" s="435" t="s">
        <v>109</v>
      </c>
      <c r="B48" s="319" t="s">
        <v>110</v>
      </c>
      <c r="C48" s="436" t="s">
        <v>253</v>
      </c>
      <c r="D48" s="481">
        <f>'Administration LASER'!D47+'Other Oper Exp. LASER'!D47</f>
        <v>9063660.1100000013</v>
      </c>
      <c r="E48" s="482">
        <f>'Administration LASER'!E47+'Other Oper Exp. LASER'!E47</f>
        <v>2772097.32</v>
      </c>
      <c r="F48" s="482">
        <f>'Administration LASER'!F47+'Other Oper Exp. LASER'!F47</f>
        <v>5549079.7700000005</v>
      </c>
      <c r="G48" s="482">
        <f>'Administration LASER'!J47 + 'Other Oper Exp. LASER'!J47</f>
        <v>929423.71999999986</v>
      </c>
      <c r="H48" s="483">
        <f>'Administration LASER'!I47+'Other Oper Exp. LASER'!I47</f>
        <v>18314260.920000002</v>
      </c>
      <c r="I48" s="481">
        <f>'Client Services LASER'!D47</f>
        <v>512447.55838690419</v>
      </c>
      <c r="J48" s="482">
        <f>'Client Services LASER'!E47</f>
        <v>1157414.5916130962</v>
      </c>
      <c r="K48" s="482">
        <f>'Client Services LASER'!F47</f>
        <v>325089.15999999997</v>
      </c>
      <c r="L48" s="482">
        <f>'Client Services LASER'!J47</f>
        <v>-0.16000000000000003</v>
      </c>
      <c r="M48" s="483">
        <f>'Client Services LASER'!I47</f>
        <v>1994951.1500000004</v>
      </c>
      <c r="N48" s="1373">
        <f>'Statewide Benefits'!D48</f>
        <v>322216451.94070464</v>
      </c>
      <c r="O48" s="1374">
        <f>'Statewide Benefits'!E48</f>
        <v>263906613.82209736</v>
      </c>
      <c r="P48" s="1374">
        <f>'Statewide Benefits'!F48</f>
        <v>7717492.54</v>
      </c>
      <c r="Q48" s="1777">
        <f>'Statewide Benefits'!G48</f>
        <v>0</v>
      </c>
      <c r="R48" s="1375">
        <f t="shared" si="20"/>
        <v>593840558.30280197</v>
      </c>
      <c r="S48" s="1373">
        <f>'Other Benefits LASER'!D47+'FC &amp; Adoptions LASER'!D47</f>
        <v>2036972.8299999998</v>
      </c>
      <c r="T48" s="1374">
        <f>'Other Benefits LASER'!E47 + 'FC &amp; Adoptions LASER'!E47</f>
        <v>2535925.73</v>
      </c>
      <c r="U48" s="1374">
        <f>'Other Benefits LASER'!F47+'FC &amp; Adoptions LASER'!F47</f>
        <v>187140.56</v>
      </c>
      <c r="V48" s="1777">
        <f>'FC &amp; Adoptions LASER'!J47+'Other Benefits LASER'!J47</f>
        <v>57603.5</v>
      </c>
      <c r="W48" s="1375">
        <f>'Other Benefits LASER'!I47+'FC &amp; Adoptions LASER'!I47</f>
        <v>4817642.6199999992</v>
      </c>
      <c r="X48" s="1373">
        <f t="shared" si="15"/>
        <v>333829532.4390915</v>
      </c>
      <c r="Y48" s="1374">
        <f t="shared" si="16"/>
        <v>270372051.46371049</v>
      </c>
      <c r="Z48" s="1374">
        <f t="shared" si="17"/>
        <v>13778802.030000001</v>
      </c>
      <c r="AA48" s="1777">
        <f t="shared" si="18"/>
        <v>987027.05999999982</v>
      </c>
      <c r="AB48" s="1375">
        <f t="shared" si="19"/>
        <v>618967412.99280202</v>
      </c>
      <c r="AD48" s="340">
        <f t="shared" si="4"/>
        <v>0.49489630783309818</v>
      </c>
      <c r="AE48" s="341">
        <f t="shared" si="5"/>
        <v>0.15136277309300231</v>
      </c>
      <c r="AF48" s="341">
        <f t="shared" si="6"/>
        <v>0.3029922853146727</v>
      </c>
      <c r="AG48" s="341">
        <f t="shared" si="7"/>
        <v>5.074863375922678E-2</v>
      </c>
      <c r="AH48" s="342">
        <f t="shared" si="8"/>
        <v>0.64625908092610052</v>
      </c>
      <c r="AJ48" s="812">
        <f t="shared" si="9"/>
        <v>2.9588408913884097E-2</v>
      </c>
      <c r="AK48" s="790">
        <f t="shared" si="10"/>
        <v>3.2230309837380723E-3</v>
      </c>
      <c r="AL48" s="814">
        <f t="shared" si="11"/>
        <v>0.96718856010237775</v>
      </c>
      <c r="AN48" s="812">
        <f t="shared" si="12"/>
        <v>0.40272585076106215</v>
      </c>
      <c r="AO48" s="790">
        <f t="shared" si="13"/>
        <v>2.3593427011448249E-2</v>
      </c>
      <c r="AP48" s="814">
        <f t="shared" si="14"/>
        <v>0.57368072222748956</v>
      </c>
    </row>
    <row r="49" spans="1:42" x14ac:dyDescent="0.3">
      <c r="A49" s="435" t="s">
        <v>111</v>
      </c>
      <c r="B49" s="319" t="s">
        <v>275</v>
      </c>
      <c r="C49" s="436" t="s">
        <v>252</v>
      </c>
      <c r="D49" s="481">
        <f>'Administration LASER'!D48+'Other Oper Exp. LASER'!D48</f>
        <v>3417714.0399999996</v>
      </c>
      <c r="E49" s="482">
        <f>'Administration LASER'!E48+'Other Oper Exp. LASER'!E48</f>
        <v>1397303.63</v>
      </c>
      <c r="F49" s="482">
        <f>'Administration LASER'!F48+'Other Oper Exp. LASER'!F48</f>
        <v>886263.16</v>
      </c>
      <c r="G49" s="482">
        <f>'Administration LASER'!J48 + 'Other Oper Exp. LASER'!J48</f>
        <v>92690.559999999998</v>
      </c>
      <c r="H49" s="483">
        <f>'Administration LASER'!I48+'Other Oper Exp. LASER'!I48</f>
        <v>5793971.3899999997</v>
      </c>
      <c r="I49" s="481">
        <f>'Client Services LASER'!D48</f>
        <v>80389.905147831872</v>
      </c>
      <c r="J49" s="482">
        <f>'Client Services LASER'!E48</f>
        <v>102641.91485216813</v>
      </c>
      <c r="K49" s="482">
        <f>'Client Services LASER'!F48</f>
        <v>33436.479999999996</v>
      </c>
      <c r="L49" s="482">
        <f>'Client Services LASER'!J48</f>
        <v>-0.22000000000000003</v>
      </c>
      <c r="M49" s="483">
        <f>'Client Services LASER'!I48</f>
        <v>216468.08</v>
      </c>
      <c r="N49" s="1373">
        <f>'Statewide Benefits'!D49</f>
        <v>128231947.38706397</v>
      </c>
      <c r="O49" s="1374">
        <f>'Statewide Benefits'!E49</f>
        <v>104448742.88198417</v>
      </c>
      <c r="P49" s="1374">
        <f>'Statewide Benefits'!F49</f>
        <v>871660.24</v>
      </c>
      <c r="Q49" s="1777">
        <f>'Statewide Benefits'!G49</f>
        <v>0</v>
      </c>
      <c r="R49" s="1375">
        <f t="shared" si="20"/>
        <v>233552350.50904816</v>
      </c>
      <c r="S49" s="1373">
        <f>'Other Benefits LASER'!D48+'FC &amp; Adoptions LASER'!D48</f>
        <v>535648.01</v>
      </c>
      <c r="T49" s="1374">
        <f>'Other Benefits LASER'!E48 + 'FC &amp; Adoptions LASER'!E48</f>
        <v>772209.6</v>
      </c>
      <c r="U49" s="1374">
        <f>'Other Benefits LASER'!F48+'FC &amp; Adoptions LASER'!F48</f>
        <v>45263.399999999994</v>
      </c>
      <c r="V49" s="1777">
        <f>'FC &amp; Adoptions LASER'!J48+'Other Benefits LASER'!J48</f>
        <v>-6.9999999999999993E-2</v>
      </c>
      <c r="W49" s="1375">
        <f>'Other Benefits LASER'!I48+'FC &amp; Adoptions LASER'!I48</f>
        <v>1353120.94</v>
      </c>
      <c r="X49" s="1373">
        <f t="shared" si="15"/>
        <v>132265699.3422118</v>
      </c>
      <c r="Y49" s="1374">
        <f t="shared" si="16"/>
        <v>106720898.02683634</v>
      </c>
      <c r="Z49" s="1374">
        <f t="shared" si="17"/>
        <v>1836623.2799999998</v>
      </c>
      <c r="AA49" s="1777">
        <f t="shared" si="18"/>
        <v>92690.26999999999</v>
      </c>
      <c r="AB49" s="1375">
        <f t="shared" si="19"/>
        <v>240915910.91904816</v>
      </c>
      <c r="AD49" s="340">
        <f t="shared" si="4"/>
        <v>0.58987416574040064</v>
      </c>
      <c r="AE49" s="341">
        <f t="shared" si="5"/>
        <v>0.24116508970197037</v>
      </c>
      <c r="AF49" s="341">
        <f t="shared" si="6"/>
        <v>0.15296298520383272</v>
      </c>
      <c r="AG49" s="341">
        <f t="shared" si="7"/>
        <v>1.5997759353796187E-2</v>
      </c>
      <c r="AH49" s="342">
        <f t="shared" si="8"/>
        <v>0.83103925544237112</v>
      </c>
      <c r="AJ49" s="812">
        <f t="shared" si="9"/>
        <v>2.4049766442976333E-2</v>
      </c>
      <c r="AK49" s="790">
        <f t="shared" si="10"/>
        <v>8.9852131050297023E-4</v>
      </c>
      <c r="AL49" s="814">
        <f t="shared" si="11"/>
        <v>0.97505171224652065</v>
      </c>
      <c r="AN49" s="812">
        <f t="shared" si="12"/>
        <v>0.48255032463706993</v>
      </c>
      <c r="AO49" s="790">
        <f t="shared" si="13"/>
        <v>1.820541009368018E-2</v>
      </c>
      <c r="AP49" s="814">
        <f t="shared" si="14"/>
        <v>0.49924426526925003</v>
      </c>
    </row>
    <row r="50" spans="1:42" x14ac:dyDescent="0.3">
      <c r="A50" s="435" t="s">
        <v>113</v>
      </c>
      <c r="B50" s="319" t="s">
        <v>114</v>
      </c>
      <c r="C50" s="436" t="s">
        <v>252</v>
      </c>
      <c r="D50" s="481">
        <f>'Administration LASER'!D49+'Other Oper Exp. LASER'!D49</f>
        <v>222823.16999999995</v>
      </c>
      <c r="E50" s="482">
        <f>'Administration LASER'!E49+'Other Oper Exp. LASER'!E49</f>
        <v>79183.11</v>
      </c>
      <c r="F50" s="482">
        <f>'Administration LASER'!F49+'Other Oper Exp. LASER'!F49</f>
        <v>102191.57999999999</v>
      </c>
      <c r="G50" s="482">
        <f>'Administration LASER'!J49 + 'Other Oper Exp. LASER'!J49</f>
        <v>36046.54</v>
      </c>
      <c r="H50" s="483">
        <f>'Administration LASER'!I49+'Other Oper Exp. LASER'!I49</f>
        <v>440244.39999999997</v>
      </c>
      <c r="I50" s="481">
        <f>'Client Services LASER'!D49</f>
        <v>10909.11</v>
      </c>
      <c r="J50" s="482">
        <f>'Client Services LASER'!E49</f>
        <v>804.59</v>
      </c>
      <c r="K50" s="482">
        <f>'Client Services LASER'!F49</f>
        <v>2369.7800000000002</v>
      </c>
      <c r="L50" s="482">
        <f>'Client Services LASER'!J49</f>
        <v>-0.02</v>
      </c>
      <c r="M50" s="483">
        <f>'Client Services LASER'!I49</f>
        <v>14083.460000000001</v>
      </c>
      <c r="N50" s="1373">
        <f>'Statewide Benefits'!D50</f>
        <v>1834931.4608335623</v>
      </c>
      <c r="O50" s="1374">
        <f>'Statewide Benefits'!E50</f>
        <v>1581408.6791514589</v>
      </c>
      <c r="P50" s="1374">
        <f>'Statewide Benefits'!F50</f>
        <v>3093.15</v>
      </c>
      <c r="Q50" s="1777">
        <f>'Statewide Benefits'!G50</f>
        <v>0</v>
      </c>
      <c r="R50" s="1375">
        <f t="shared" si="20"/>
        <v>3419433.2899850211</v>
      </c>
      <c r="S50" s="1373">
        <f>'Other Benefits LASER'!D49+'FC &amp; Adoptions LASER'!D49</f>
        <v>54764.7</v>
      </c>
      <c r="T50" s="1374">
        <f>'Other Benefits LASER'!E49 + 'FC &amp; Adoptions LASER'!E49</f>
        <v>50795.11</v>
      </c>
      <c r="U50" s="1374">
        <f>'Other Benefits LASER'!F49+'FC &amp; Adoptions LASER'!F49</f>
        <v>0</v>
      </c>
      <c r="V50" s="1777">
        <f>'FC &amp; Adoptions LASER'!J49+'Other Benefits LASER'!J49</f>
        <v>0</v>
      </c>
      <c r="W50" s="1375">
        <f>'Other Benefits LASER'!I49+'FC &amp; Adoptions LASER'!I49</f>
        <v>105559.81</v>
      </c>
      <c r="X50" s="1373">
        <f t="shared" si="15"/>
        <v>2123428.4408335625</v>
      </c>
      <c r="Y50" s="1374">
        <f t="shared" si="16"/>
        <v>1712191.489151459</v>
      </c>
      <c r="Z50" s="1374">
        <f t="shared" si="17"/>
        <v>107654.50999999998</v>
      </c>
      <c r="AA50" s="1777">
        <f t="shared" si="18"/>
        <v>36046.520000000004</v>
      </c>
      <c r="AB50" s="1375">
        <f t="shared" si="19"/>
        <v>3979320.959985021</v>
      </c>
      <c r="AD50" s="340">
        <f t="shared" si="4"/>
        <v>0.50613516037909845</v>
      </c>
      <c r="AE50" s="341">
        <f t="shared" si="5"/>
        <v>0.17986170863275036</v>
      </c>
      <c r="AF50" s="341">
        <f t="shared" si="6"/>
        <v>0.23212465621368494</v>
      </c>
      <c r="AG50" s="341">
        <f t="shared" si="7"/>
        <v>8.1878474774466192E-2</v>
      </c>
      <c r="AH50" s="342">
        <f t="shared" si="8"/>
        <v>0.68599686901184886</v>
      </c>
      <c r="AJ50" s="812">
        <f t="shared" si="9"/>
        <v>0.11063304629784303</v>
      </c>
      <c r="AK50" s="790">
        <f t="shared" si="10"/>
        <v>3.5391616161700649E-3</v>
      </c>
      <c r="AL50" s="814">
        <f t="shared" si="11"/>
        <v>0.88582779208598694</v>
      </c>
      <c r="AN50" s="812">
        <f t="shared" si="12"/>
        <v>0.94925498244337381</v>
      </c>
      <c r="AO50" s="790">
        <f t="shared" si="13"/>
        <v>2.2012826030233204E-2</v>
      </c>
      <c r="AP50" s="814">
        <f t="shared" si="14"/>
        <v>2.8732191526393093E-2</v>
      </c>
    </row>
    <row r="51" spans="1:42" x14ac:dyDescent="0.3">
      <c r="A51" s="435" t="s">
        <v>117</v>
      </c>
      <c r="B51" s="319" t="s">
        <v>118</v>
      </c>
      <c r="C51" s="436" t="s">
        <v>251</v>
      </c>
      <c r="D51" s="481">
        <f>'Administration LASER'!D50+'Other Oper Exp. LASER'!D50</f>
        <v>1515373.09</v>
      </c>
      <c r="E51" s="482">
        <f>'Administration LASER'!E50+'Other Oper Exp. LASER'!E50</f>
        <v>510058.91</v>
      </c>
      <c r="F51" s="482">
        <f>'Administration LASER'!F50+'Other Oper Exp. LASER'!F50</f>
        <v>751833.72</v>
      </c>
      <c r="G51" s="482">
        <f>'Administration LASER'!J50 + 'Other Oper Exp. LASER'!J50</f>
        <v>113151.73000000001</v>
      </c>
      <c r="H51" s="483">
        <f>'Administration LASER'!I50+'Other Oper Exp. LASER'!I50</f>
        <v>2890417.4499999997</v>
      </c>
      <c r="I51" s="481">
        <f>'Client Services LASER'!D50</f>
        <v>56647.413935674085</v>
      </c>
      <c r="J51" s="482">
        <f>'Client Services LASER'!E50</f>
        <v>9860.3960643259143</v>
      </c>
      <c r="K51" s="482">
        <f>'Client Services LASER'!F50</f>
        <v>15278.82</v>
      </c>
      <c r="L51" s="482">
        <f>'Client Services LASER'!J50</f>
        <v>47367.8</v>
      </c>
      <c r="M51" s="483">
        <f>'Client Services LASER'!I50</f>
        <v>129154.43000000001</v>
      </c>
      <c r="N51" s="1373">
        <f>'Statewide Benefits'!D51</f>
        <v>31077521.582372826</v>
      </c>
      <c r="O51" s="1374">
        <f>'Statewide Benefits'!E51</f>
        <v>25202797.474888217</v>
      </c>
      <c r="P51" s="1374">
        <f>'Statewide Benefits'!F51</f>
        <v>114199.36</v>
      </c>
      <c r="Q51" s="1777">
        <f>'Statewide Benefits'!G51</f>
        <v>0</v>
      </c>
      <c r="R51" s="1375">
        <f t="shared" si="20"/>
        <v>56394518.417261042</v>
      </c>
      <c r="S51" s="1373">
        <f>'Other Benefits LASER'!D50+'FC &amp; Adoptions LASER'!D50</f>
        <v>199033.63</v>
      </c>
      <c r="T51" s="1374">
        <f>'Other Benefits LASER'!E50 + 'FC &amp; Adoptions LASER'!E50</f>
        <v>305248.59999999998</v>
      </c>
      <c r="U51" s="1374">
        <f>'Other Benefits LASER'!F50+'FC &amp; Adoptions LASER'!F50</f>
        <v>13515.04</v>
      </c>
      <c r="V51" s="1777">
        <f>'FC &amp; Adoptions LASER'!J50+'Other Benefits LASER'!J50</f>
        <v>-0.09</v>
      </c>
      <c r="W51" s="1375">
        <f>'Other Benefits LASER'!I50+'FC &amp; Adoptions LASER'!I50</f>
        <v>517797.18</v>
      </c>
      <c r="X51" s="1373">
        <f t="shared" si="15"/>
        <v>32848575.716308501</v>
      </c>
      <c r="Y51" s="1374">
        <f t="shared" si="16"/>
        <v>26027965.380952545</v>
      </c>
      <c r="Z51" s="1374">
        <f t="shared" si="17"/>
        <v>894826.94</v>
      </c>
      <c r="AA51" s="1777">
        <f t="shared" si="18"/>
        <v>160519.44000000003</v>
      </c>
      <c r="AB51" s="1375">
        <f t="shared" si="19"/>
        <v>59931887.477261044</v>
      </c>
      <c r="AD51" s="340">
        <f t="shared" si="4"/>
        <v>0.52427482057998243</v>
      </c>
      <c r="AE51" s="341">
        <f t="shared" si="5"/>
        <v>0.17646548252052657</v>
      </c>
      <c r="AF51" s="341">
        <f t="shared" si="6"/>
        <v>0.26011250381843637</v>
      </c>
      <c r="AG51" s="341">
        <f t="shared" si="7"/>
        <v>3.9147193081054785E-2</v>
      </c>
      <c r="AH51" s="342">
        <f t="shared" si="8"/>
        <v>0.70074030310050894</v>
      </c>
      <c r="AJ51" s="812">
        <f t="shared" si="9"/>
        <v>4.8228373436372457E-2</v>
      </c>
      <c r="AK51" s="790">
        <f t="shared" si="10"/>
        <v>2.1550202310748668E-3</v>
      </c>
      <c r="AL51" s="814">
        <f t="shared" si="11"/>
        <v>0.94961660633255263</v>
      </c>
      <c r="AN51" s="812">
        <f t="shared" si="12"/>
        <v>0.84020013970522611</v>
      </c>
      <c r="AO51" s="790">
        <f t="shared" si="13"/>
        <v>1.7074608862357229E-2</v>
      </c>
      <c r="AP51" s="814">
        <f t="shared" si="14"/>
        <v>0.14272525143241666</v>
      </c>
    </row>
    <row r="52" spans="1:42" x14ac:dyDescent="0.3">
      <c r="A52" s="435" t="s">
        <v>119</v>
      </c>
      <c r="B52" s="319" t="s">
        <v>120</v>
      </c>
      <c r="C52" s="436" t="s">
        <v>251</v>
      </c>
      <c r="D52" s="481">
        <f>'Administration LASER'!D51+'Other Oper Exp. LASER'!D51</f>
        <v>2142367.7800000003</v>
      </c>
      <c r="E52" s="482">
        <f>'Administration LASER'!E51+'Other Oper Exp. LASER'!E51</f>
        <v>596449.54999999993</v>
      </c>
      <c r="F52" s="482">
        <f>'Administration LASER'!F51+'Other Oper Exp. LASER'!F51</f>
        <v>1453532.59</v>
      </c>
      <c r="G52" s="482">
        <f>'Administration LASER'!J51 + 'Other Oper Exp. LASER'!J51</f>
        <v>691964.19</v>
      </c>
      <c r="H52" s="483">
        <f>'Administration LASER'!I51+'Other Oper Exp. LASER'!I51</f>
        <v>4884314.1099999994</v>
      </c>
      <c r="I52" s="481">
        <f>'Client Services LASER'!D51</f>
        <v>48862.310583596773</v>
      </c>
      <c r="J52" s="482">
        <f>'Client Services LASER'!E51</f>
        <v>42787.619416403228</v>
      </c>
      <c r="K52" s="482">
        <f>'Client Services LASER'!F51</f>
        <v>20800.420000000002</v>
      </c>
      <c r="L52" s="482">
        <f>'Client Services LASER'!J51</f>
        <v>-0.17</v>
      </c>
      <c r="M52" s="483">
        <f>'Client Services LASER'!I51</f>
        <v>112450.18</v>
      </c>
      <c r="N52" s="1373">
        <f>'Statewide Benefits'!D52</f>
        <v>35953487.240402929</v>
      </c>
      <c r="O52" s="1374">
        <f>'Statewide Benefits'!E52</f>
        <v>28289395.091837965</v>
      </c>
      <c r="P52" s="1374">
        <f>'Statewide Benefits'!F52</f>
        <v>922394.42999999993</v>
      </c>
      <c r="Q52" s="1777">
        <f>'Statewide Benefits'!G52</f>
        <v>0</v>
      </c>
      <c r="R52" s="1375">
        <f t="shared" si="20"/>
        <v>65165276.762240894</v>
      </c>
      <c r="S52" s="1373">
        <f>'Other Benefits LASER'!D51+'FC &amp; Adoptions LASER'!D51</f>
        <v>347934.42999999993</v>
      </c>
      <c r="T52" s="1374">
        <f>'Other Benefits LASER'!E51 + 'FC &amp; Adoptions LASER'!E51</f>
        <v>455562.51999999996</v>
      </c>
      <c r="U52" s="1374">
        <f>'Other Benefits LASER'!F51+'FC &amp; Adoptions LASER'!F51</f>
        <v>26162.449999999997</v>
      </c>
      <c r="V52" s="1777">
        <f>'FC &amp; Adoptions LASER'!J51+'Other Benefits LASER'!J51</f>
        <v>-13.110000000000001</v>
      </c>
      <c r="W52" s="1375">
        <f>'Other Benefits LASER'!I51+'FC &amp; Adoptions LASER'!I51</f>
        <v>829646.2899999998</v>
      </c>
      <c r="X52" s="1373">
        <f t="shared" si="15"/>
        <v>38492651.760986529</v>
      </c>
      <c r="Y52" s="1374">
        <f t="shared" si="16"/>
        <v>29384194.781254366</v>
      </c>
      <c r="Z52" s="1374">
        <f t="shared" si="17"/>
        <v>2422889.89</v>
      </c>
      <c r="AA52" s="1777">
        <f t="shared" si="18"/>
        <v>691950.90999999992</v>
      </c>
      <c r="AB52" s="1375">
        <f t="shared" si="19"/>
        <v>70991687.3422409</v>
      </c>
      <c r="AD52" s="340">
        <f t="shared" si="4"/>
        <v>0.43862203202979516</v>
      </c>
      <c r="AE52" s="341">
        <f t="shared" si="5"/>
        <v>0.1221153137507776</v>
      </c>
      <c r="AF52" s="341">
        <f t="shared" si="6"/>
        <v>0.29759195605869831</v>
      </c>
      <c r="AG52" s="341">
        <f t="shared" si="7"/>
        <v>0.14167069816072908</v>
      </c>
      <c r="AH52" s="342">
        <f t="shared" si="8"/>
        <v>0.56073734578057277</v>
      </c>
      <c r="AJ52" s="812">
        <f t="shared" si="9"/>
        <v>6.8801211703187315E-2</v>
      </c>
      <c r="AK52" s="790">
        <f t="shared" si="10"/>
        <v>1.5839908052599674E-3</v>
      </c>
      <c r="AL52" s="814">
        <f t="shared" si="11"/>
        <v>0.92961479749155262</v>
      </c>
      <c r="AN52" s="812">
        <f t="shared" si="12"/>
        <v>0.5999168992363908</v>
      </c>
      <c r="AO52" s="790">
        <f t="shared" si="13"/>
        <v>8.5849629757627985E-3</v>
      </c>
      <c r="AP52" s="814">
        <f t="shared" si="14"/>
        <v>0.39149813778784631</v>
      </c>
    </row>
    <row r="53" spans="1:42" x14ac:dyDescent="0.3">
      <c r="A53" s="435" t="s">
        <v>121</v>
      </c>
      <c r="B53" s="319" t="s">
        <v>258</v>
      </c>
      <c r="C53" s="436" t="s">
        <v>253</v>
      </c>
      <c r="D53" s="481">
        <f>'Administration LASER'!D52+'Other Oper Exp. LASER'!D52</f>
        <v>598501.68999999994</v>
      </c>
      <c r="E53" s="482">
        <f>'Administration LASER'!E52+'Other Oper Exp. LASER'!E52</f>
        <v>203287.99</v>
      </c>
      <c r="F53" s="482">
        <f>'Administration LASER'!F52+'Other Oper Exp. LASER'!F52</f>
        <v>288558.14</v>
      </c>
      <c r="G53" s="482">
        <f>'Administration LASER'!J52 + 'Other Oper Exp. LASER'!J52</f>
        <v>66717.430000000022</v>
      </c>
      <c r="H53" s="483">
        <f>'Administration LASER'!I52+'Other Oper Exp. LASER'!I52</f>
        <v>1157065.25</v>
      </c>
      <c r="I53" s="481">
        <f>'Client Services LASER'!D52</f>
        <v>10579.272134909916</v>
      </c>
      <c r="J53" s="482">
        <f>'Client Services LASER'!E52</f>
        <v>5892.2178650900823</v>
      </c>
      <c r="K53" s="482">
        <f>'Client Services LASER'!F52</f>
        <v>3267.1099999999997</v>
      </c>
      <c r="L53" s="482">
        <f>'Client Services LASER'!J52</f>
        <v>-492.27000000000004</v>
      </c>
      <c r="M53" s="483">
        <f>'Client Services LASER'!I52</f>
        <v>19246.329999999998</v>
      </c>
      <c r="N53" s="1373">
        <f>'Statewide Benefits'!D53</f>
        <v>8428614.7631120458</v>
      </c>
      <c r="O53" s="1374">
        <f>'Statewide Benefits'!E53</f>
        <v>6743085.8193296148</v>
      </c>
      <c r="P53" s="1374">
        <f>'Statewide Benefits'!F53</f>
        <v>122483.99</v>
      </c>
      <c r="Q53" s="1777">
        <f>'Statewide Benefits'!G53</f>
        <v>0</v>
      </c>
      <c r="R53" s="1375">
        <f t="shared" si="20"/>
        <v>15294184.572441662</v>
      </c>
      <c r="S53" s="1373">
        <f>'Other Benefits LASER'!D52+'FC &amp; Adoptions LASER'!D52</f>
        <v>69599.98</v>
      </c>
      <c r="T53" s="1374">
        <f>'Other Benefits LASER'!E52 + 'FC &amp; Adoptions LASER'!E52</f>
        <v>116683.22</v>
      </c>
      <c r="U53" s="1374">
        <f>'Other Benefits LASER'!F52+'FC &amp; Adoptions LASER'!F52</f>
        <v>1502.2</v>
      </c>
      <c r="V53" s="1777">
        <f>'FC &amp; Adoptions LASER'!J52+'Other Benefits LASER'!J52</f>
        <v>0</v>
      </c>
      <c r="W53" s="1375">
        <f>'Other Benefits LASER'!I52+'FC &amp; Adoptions LASER'!I52</f>
        <v>187785.4</v>
      </c>
      <c r="X53" s="1373">
        <f t="shared" si="15"/>
        <v>9107295.7052469552</v>
      </c>
      <c r="Y53" s="1374">
        <f t="shared" si="16"/>
        <v>7068949.2471947046</v>
      </c>
      <c r="Z53" s="1374">
        <f t="shared" si="17"/>
        <v>415811.44</v>
      </c>
      <c r="AA53" s="1777">
        <f t="shared" si="18"/>
        <v>66225.160000000018</v>
      </c>
      <c r="AB53" s="1375">
        <f t="shared" si="19"/>
        <v>16658281.552441662</v>
      </c>
      <c r="AD53" s="340">
        <f t="shared" si="4"/>
        <v>0.51725837414959952</v>
      </c>
      <c r="AE53" s="341">
        <f t="shared" si="5"/>
        <v>0.17569276235717907</v>
      </c>
      <c r="AF53" s="341">
        <f t="shared" si="6"/>
        <v>0.2493879580257034</v>
      </c>
      <c r="AG53" s="341">
        <f t="shared" si="7"/>
        <v>5.7660905467517946E-2</v>
      </c>
      <c r="AH53" s="342">
        <f t="shared" si="8"/>
        <v>0.69295113650677864</v>
      </c>
      <c r="AJ53" s="812">
        <f t="shared" si="9"/>
        <v>6.9458860228617331E-2</v>
      </c>
      <c r="AK53" s="790">
        <f t="shared" si="10"/>
        <v>1.1553610700726208E-3</v>
      </c>
      <c r="AL53" s="814">
        <f t="shared" si="11"/>
        <v>0.92938577870131001</v>
      </c>
      <c r="AN53" s="812">
        <f t="shared" si="12"/>
        <v>0.69396392749559754</v>
      </c>
      <c r="AO53" s="790">
        <f t="shared" si="13"/>
        <v>7.8571912307174602E-3</v>
      </c>
      <c r="AP53" s="814">
        <f t="shared" si="14"/>
        <v>0.29817888127368503</v>
      </c>
    </row>
    <row r="54" spans="1:42" x14ac:dyDescent="0.3">
      <c r="A54" s="435" t="s">
        <v>123</v>
      </c>
      <c r="B54" s="319" t="s">
        <v>124</v>
      </c>
      <c r="C54" s="436" t="s">
        <v>254</v>
      </c>
      <c r="D54" s="481">
        <f>'Administration LASER'!D53+'Other Oper Exp. LASER'!D53</f>
        <v>842749.62999999989</v>
      </c>
      <c r="E54" s="482">
        <f>'Administration LASER'!E53+'Other Oper Exp. LASER'!E53</f>
        <v>248858.99000000002</v>
      </c>
      <c r="F54" s="482">
        <f>'Administration LASER'!F53+'Other Oper Exp. LASER'!F53</f>
        <v>567459.47</v>
      </c>
      <c r="G54" s="482">
        <f>'Administration LASER'!J53 + 'Other Oper Exp. LASER'!J53</f>
        <v>100714.2</v>
      </c>
      <c r="H54" s="483">
        <f>'Administration LASER'!I53+'Other Oper Exp. LASER'!I53</f>
        <v>1759782.2899999998</v>
      </c>
      <c r="I54" s="481">
        <f>'Client Services LASER'!D53</f>
        <v>18565.006159421308</v>
      </c>
      <c r="J54" s="482">
        <f>'Client Services LASER'!E53</f>
        <v>11816.493840578692</v>
      </c>
      <c r="K54" s="482">
        <f>'Client Services LASER'!F53</f>
        <v>5808.92</v>
      </c>
      <c r="L54" s="482">
        <f>'Client Services LASER'!J53</f>
        <v>-3.4694469519536142E-18</v>
      </c>
      <c r="M54" s="483">
        <f>'Client Services LASER'!I53</f>
        <v>36190.42</v>
      </c>
      <c r="N54" s="1373">
        <f>'Statewide Benefits'!D54</f>
        <v>18848896.468215328</v>
      </c>
      <c r="O54" s="1374">
        <f>'Statewide Benefits'!E54</f>
        <v>16249953.926652903</v>
      </c>
      <c r="P54" s="1374">
        <f>'Statewide Benefits'!F54</f>
        <v>1073103.01</v>
      </c>
      <c r="Q54" s="1777">
        <f>'Statewide Benefits'!G54</f>
        <v>0</v>
      </c>
      <c r="R54" s="1375">
        <f t="shared" si="20"/>
        <v>36171953.40486823</v>
      </c>
      <c r="S54" s="1373">
        <f>'Other Benefits LASER'!D53+'FC &amp; Adoptions LASER'!D53</f>
        <v>227951.7</v>
      </c>
      <c r="T54" s="1374">
        <f>'Other Benefits LASER'!E53 + 'FC &amp; Adoptions LASER'!E53</f>
        <v>266929.68</v>
      </c>
      <c r="U54" s="1374">
        <f>'Other Benefits LASER'!F53+'FC &amp; Adoptions LASER'!F53</f>
        <v>1017</v>
      </c>
      <c r="V54" s="1777">
        <f>'FC &amp; Adoptions LASER'!J53+'Other Benefits LASER'!J53</f>
        <v>-0.03</v>
      </c>
      <c r="W54" s="1375">
        <f>'Other Benefits LASER'!I53+'FC &amp; Adoptions LASER'!I53</f>
        <v>495898.35</v>
      </c>
      <c r="X54" s="1373">
        <f t="shared" si="15"/>
        <v>19938162.804374747</v>
      </c>
      <c r="Y54" s="1374">
        <f t="shared" si="16"/>
        <v>16777559.090493482</v>
      </c>
      <c r="Z54" s="1374">
        <f t="shared" si="17"/>
        <v>1647388.4</v>
      </c>
      <c r="AA54" s="1777">
        <f t="shared" si="18"/>
        <v>100714.17</v>
      </c>
      <c r="AB54" s="1375">
        <f t="shared" si="19"/>
        <v>38463824.464868233</v>
      </c>
      <c r="AD54" s="340">
        <f t="shared" si="4"/>
        <v>0.47889425572068917</v>
      </c>
      <c r="AE54" s="341">
        <f t="shared" si="5"/>
        <v>0.14141464624013239</v>
      </c>
      <c r="AF54" s="341">
        <f t="shared" si="6"/>
        <v>0.32246004134977402</v>
      </c>
      <c r="AG54" s="341">
        <f t="shared" si="7"/>
        <v>5.7231056689404466E-2</v>
      </c>
      <c r="AH54" s="342">
        <f t="shared" si="8"/>
        <v>0.62030890196082156</v>
      </c>
      <c r="AJ54" s="812">
        <f t="shared" si="9"/>
        <v>4.5751620242738343E-2</v>
      </c>
      <c r="AK54" s="790">
        <f t="shared" si="10"/>
        <v>9.408949968835081E-4</v>
      </c>
      <c r="AL54" s="814">
        <f t="shared" si="11"/>
        <v>0.95330748476037808</v>
      </c>
      <c r="AN54" s="812">
        <f t="shared" si="12"/>
        <v>0.34446003747507264</v>
      </c>
      <c r="AO54" s="790">
        <f t="shared" si="13"/>
        <v>3.5261387053593437E-3</v>
      </c>
      <c r="AP54" s="814">
        <f t="shared" si="14"/>
        <v>0.65201382381956807</v>
      </c>
    </row>
    <row r="55" spans="1:42" x14ac:dyDescent="0.3">
      <c r="A55" s="435" t="s">
        <v>125</v>
      </c>
      <c r="B55" s="319" t="s">
        <v>126</v>
      </c>
      <c r="C55" s="436" t="s">
        <v>253</v>
      </c>
      <c r="D55" s="481">
        <f>'Administration LASER'!D54+'Other Oper Exp. LASER'!D54</f>
        <v>587248.75</v>
      </c>
      <c r="E55" s="482">
        <f>'Administration LASER'!E54+'Other Oper Exp. LASER'!E54</f>
        <v>193383.35</v>
      </c>
      <c r="F55" s="482">
        <f>'Administration LASER'!F54+'Other Oper Exp. LASER'!F54</f>
        <v>328798.12</v>
      </c>
      <c r="G55" s="482">
        <f>'Administration LASER'!J54 + 'Other Oper Exp. LASER'!J54</f>
        <v>51374.48</v>
      </c>
      <c r="H55" s="483">
        <f>'Administration LASER'!I54+'Other Oper Exp. LASER'!I54</f>
        <v>1160804.7</v>
      </c>
      <c r="I55" s="481">
        <f>'Client Services LASER'!D54</f>
        <v>21617.598512323413</v>
      </c>
      <c r="J55" s="482">
        <f>'Client Services LASER'!E54</f>
        <v>8356.4314876765857</v>
      </c>
      <c r="K55" s="482">
        <f>'Client Services LASER'!F54</f>
        <v>5595.43</v>
      </c>
      <c r="L55" s="482">
        <f>'Client Services LASER'!J54</f>
        <v>-0.03</v>
      </c>
      <c r="M55" s="483">
        <f>'Client Services LASER'!I54</f>
        <v>35569.43</v>
      </c>
      <c r="N55" s="1373">
        <f>'Statewide Benefits'!D55</f>
        <v>14480365.366914937</v>
      </c>
      <c r="O55" s="1374">
        <f>'Statewide Benefits'!E55</f>
        <v>12018889.255481437</v>
      </c>
      <c r="P55" s="1374">
        <f>'Statewide Benefits'!F55</f>
        <v>386060.18</v>
      </c>
      <c r="Q55" s="1777">
        <f>'Statewide Benefits'!G55</f>
        <v>0</v>
      </c>
      <c r="R55" s="1375">
        <f t="shared" si="20"/>
        <v>26885314.802396372</v>
      </c>
      <c r="S55" s="1373">
        <f>'Other Benefits LASER'!D54+'FC &amp; Adoptions LASER'!D54</f>
        <v>52173.670000000006</v>
      </c>
      <c r="T55" s="1374">
        <f>'Other Benefits LASER'!E54 + 'FC &amp; Adoptions LASER'!E54</f>
        <v>108309.5</v>
      </c>
      <c r="U55" s="1374">
        <f>'Other Benefits LASER'!F54+'FC &amp; Adoptions LASER'!F54</f>
        <v>8060.9599999999991</v>
      </c>
      <c r="V55" s="1777">
        <f>'FC &amp; Adoptions LASER'!J54+'Other Benefits LASER'!J54</f>
        <v>-0.11</v>
      </c>
      <c r="W55" s="1375">
        <f>'Other Benefits LASER'!I54+'FC &amp; Adoptions LASER'!I54</f>
        <v>168544.02000000002</v>
      </c>
      <c r="X55" s="1373">
        <f t="shared" si="15"/>
        <v>15141405.385427261</v>
      </c>
      <c r="Y55" s="1374">
        <f t="shared" si="16"/>
        <v>12328938.536969114</v>
      </c>
      <c r="Z55" s="1374">
        <f t="shared" si="17"/>
        <v>728514.69</v>
      </c>
      <c r="AA55" s="1777">
        <f t="shared" si="18"/>
        <v>51374.340000000004</v>
      </c>
      <c r="AB55" s="1375">
        <f t="shared" si="19"/>
        <v>28250232.95239637</v>
      </c>
      <c r="AD55" s="340">
        <f t="shared" si="4"/>
        <v>0.50589797749785126</v>
      </c>
      <c r="AE55" s="341">
        <f t="shared" si="5"/>
        <v>0.16659421692555174</v>
      </c>
      <c r="AF55" s="341">
        <f t="shared" si="6"/>
        <v>0.28325016258118185</v>
      </c>
      <c r="AG55" s="341">
        <f t="shared" si="7"/>
        <v>4.4257642995415167E-2</v>
      </c>
      <c r="AH55" s="342">
        <f t="shared" si="8"/>
        <v>0.67249219442340302</v>
      </c>
      <c r="AJ55" s="812">
        <f t="shared" si="9"/>
        <v>4.1090093025287169E-2</v>
      </c>
      <c r="AK55" s="790">
        <f t="shared" si="10"/>
        <v>1.2590844847168868E-3</v>
      </c>
      <c r="AL55" s="814">
        <f t="shared" si="11"/>
        <v>0.957650822489996</v>
      </c>
      <c r="AN55" s="812">
        <f t="shared" si="12"/>
        <v>0.45132668498421086</v>
      </c>
      <c r="AO55" s="790">
        <f t="shared" si="13"/>
        <v>7.6806000988120099E-3</v>
      </c>
      <c r="AP55" s="814">
        <f t="shared" si="14"/>
        <v>0.5409927149169772</v>
      </c>
    </row>
    <row r="56" spans="1:42" x14ac:dyDescent="0.3">
      <c r="A56" s="435" t="s">
        <v>127</v>
      </c>
      <c r="B56" s="319" t="s">
        <v>128</v>
      </c>
      <c r="C56" s="436" t="s">
        <v>253</v>
      </c>
      <c r="D56" s="481">
        <f>'Administration LASER'!D55+'Other Oper Exp. LASER'!D55</f>
        <v>821819.71</v>
      </c>
      <c r="E56" s="482">
        <f>'Administration LASER'!E55+'Other Oper Exp. LASER'!E55</f>
        <v>295488.08999999997</v>
      </c>
      <c r="F56" s="482">
        <f>'Administration LASER'!F55+'Other Oper Exp. LASER'!F55</f>
        <v>353502.93</v>
      </c>
      <c r="G56" s="482">
        <f>'Administration LASER'!J55 + 'Other Oper Exp. LASER'!J55</f>
        <v>68105.900000000009</v>
      </c>
      <c r="H56" s="483">
        <f>'Administration LASER'!I55+'Other Oper Exp. LASER'!I55</f>
        <v>1538916.63</v>
      </c>
      <c r="I56" s="481">
        <f>'Client Services LASER'!D55</f>
        <v>20768.727604491836</v>
      </c>
      <c r="J56" s="482">
        <f>'Client Services LASER'!E55</f>
        <v>3767.322395508163</v>
      </c>
      <c r="K56" s="482">
        <f>'Client Services LASER'!F55</f>
        <v>3693.1299999999997</v>
      </c>
      <c r="L56" s="482">
        <f>'Client Services LASER'!J55</f>
        <v>220.94000000000003</v>
      </c>
      <c r="M56" s="483">
        <f>'Client Services LASER'!I55</f>
        <v>28450.12</v>
      </c>
      <c r="N56" s="1373">
        <f>'Statewide Benefits'!D56</f>
        <v>13014531.42842699</v>
      </c>
      <c r="O56" s="1374">
        <f>'Statewide Benefits'!E56</f>
        <v>10721622.421486428</v>
      </c>
      <c r="P56" s="1374">
        <f>'Statewide Benefits'!F56</f>
        <v>470060.53</v>
      </c>
      <c r="Q56" s="1777">
        <f>'Statewide Benefits'!G56</f>
        <v>0</v>
      </c>
      <c r="R56" s="1375">
        <f t="shared" si="20"/>
        <v>24206214.379913419</v>
      </c>
      <c r="S56" s="1373">
        <f>'Other Benefits LASER'!D55+'FC &amp; Adoptions LASER'!D55</f>
        <v>56490.720000000001</v>
      </c>
      <c r="T56" s="1374">
        <f>'Other Benefits LASER'!E55 + 'FC &amp; Adoptions LASER'!E55</f>
        <v>92326.28</v>
      </c>
      <c r="U56" s="1374">
        <f>'Other Benefits LASER'!F55+'FC &amp; Adoptions LASER'!F55</f>
        <v>6573.4</v>
      </c>
      <c r="V56" s="1777">
        <f>'FC &amp; Adoptions LASER'!J55+'Other Benefits LASER'!J55</f>
        <v>4031.97</v>
      </c>
      <c r="W56" s="1375">
        <f>'Other Benefits LASER'!I55+'FC &amp; Adoptions LASER'!I55</f>
        <v>159422.37</v>
      </c>
      <c r="X56" s="1373">
        <f t="shared" si="15"/>
        <v>13913610.586031483</v>
      </c>
      <c r="Y56" s="1374">
        <f t="shared" si="16"/>
        <v>11113204.113881936</v>
      </c>
      <c r="Z56" s="1374">
        <f t="shared" si="17"/>
        <v>833829.99000000011</v>
      </c>
      <c r="AA56" s="1777">
        <f t="shared" si="18"/>
        <v>72358.810000000012</v>
      </c>
      <c r="AB56" s="1375">
        <f t="shared" si="19"/>
        <v>25933003.499913421</v>
      </c>
      <c r="AD56" s="340">
        <f t="shared" si="4"/>
        <v>0.53402484187853638</v>
      </c>
      <c r="AE56" s="341">
        <f t="shared" si="5"/>
        <v>0.19201045998183799</v>
      </c>
      <c r="AF56" s="341">
        <f t="shared" si="6"/>
        <v>0.22970895440905076</v>
      </c>
      <c r="AG56" s="341">
        <f t="shared" si="7"/>
        <v>4.4255743730574941E-2</v>
      </c>
      <c r="AH56" s="342">
        <f t="shared" si="8"/>
        <v>0.72603530186037424</v>
      </c>
      <c r="AJ56" s="812">
        <f t="shared" si="9"/>
        <v>5.9342012968345056E-2</v>
      </c>
      <c r="AK56" s="790">
        <f t="shared" si="10"/>
        <v>1.0970622820490107E-3</v>
      </c>
      <c r="AL56" s="814">
        <f t="shared" si="11"/>
        <v>0.93956092474960595</v>
      </c>
      <c r="AN56" s="812">
        <f t="shared" si="12"/>
        <v>0.42395084638296587</v>
      </c>
      <c r="AO56" s="790">
        <f t="shared" si="13"/>
        <v>4.429116299834693E-3</v>
      </c>
      <c r="AP56" s="814">
        <f t="shared" si="14"/>
        <v>0.57162003731719935</v>
      </c>
    </row>
    <row r="57" spans="1:42" x14ac:dyDescent="0.3">
      <c r="A57" s="435" t="s">
        <v>129</v>
      </c>
      <c r="B57" s="319" t="s">
        <v>130</v>
      </c>
      <c r="C57" s="436" t="s">
        <v>255</v>
      </c>
      <c r="D57" s="481">
        <f>'Administration LASER'!D56+'Other Oper Exp. LASER'!D56</f>
        <v>2107576.2600000002</v>
      </c>
      <c r="E57" s="482">
        <f>'Administration LASER'!E56+'Other Oper Exp. LASER'!E56</f>
        <v>837611.67999999993</v>
      </c>
      <c r="F57" s="482">
        <f>'Administration LASER'!F56+'Other Oper Exp. LASER'!F56</f>
        <v>595462.23</v>
      </c>
      <c r="G57" s="482">
        <f>'Administration LASER'!J56 + 'Other Oper Exp. LASER'!J56</f>
        <v>123656.52000000002</v>
      </c>
      <c r="H57" s="483">
        <f>'Administration LASER'!I56+'Other Oper Exp. LASER'!I56</f>
        <v>3664306.6900000004</v>
      </c>
      <c r="I57" s="481">
        <f>'Client Services LASER'!D56</f>
        <v>86001.791769924675</v>
      </c>
      <c r="J57" s="482">
        <f>'Client Services LASER'!E56</f>
        <v>96500.648230075327</v>
      </c>
      <c r="K57" s="482">
        <f>'Client Services LASER'!F56</f>
        <v>35570.230000000003</v>
      </c>
      <c r="L57" s="482">
        <f>'Client Services LASER'!J56</f>
        <v>159.91</v>
      </c>
      <c r="M57" s="483">
        <f>'Client Services LASER'!I56</f>
        <v>218232.58000000002</v>
      </c>
      <c r="N57" s="1373">
        <f>'Statewide Benefits'!D57</f>
        <v>47775049.829009093</v>
      </c>
      <c r="O57" s="1374">
        <f>'Statewide Benefits'!E57</f>
        <v>38076233.778107718</v>
      </c>
      <c r="P57" s="1374">
        <f>'Statewide Benefits'!F57</f>
        <v>343038.35</v>
      </c>
      <c r="Q57" s="1777">
        <f>'Statewide Benefits'!G57</f>
        <v>0</v>
      </c>
      <c r="R57" s="1375">
        <f t="shared" si="20"/>
        <v>86194321.957116812</v>
      </c>
      <c r="S57" s="1373">
        <f>'Other Benefits LASER'!D56+'FC &amp; Adoptions LASER'!D56</f>
        <v>1101143.1000000001</v>
      </c>
      <c r="T57" s="1374">
        <f>'Other Benefits LASER'!E56 + 'FC &amp; Adoptions LASER'!E56</f>
        <v>1654424.9100000001</v>
      </c>
      <c r="U57" s="1374">
        <f>'Other Benefits LASER'!F56+'FC &amp; Adoptions LASER'!F56</f>
        <v>110431.2</v>
      </c>
      <c r="V57" s="1777">
        <f>'FC &amp; Adoptions LASER'!J56+'Other Benefits LASER'!J56</f>
        <v>22878.489999999998</v>
      </c>
      <c r="W57" s="1375">
        <f>'Other Benefits LASER'!I56+'FC &amp; Adoptions LASER'!I56</f>
        <v>2888877.7</v>
      </c>
      <c r="X57" s="1373">
        <f t="shared" si="15"/>
        <v>51069770.980779022</v>
      </c>
      <c r="Y57" s="1374">
        <f t="shared" si="16"/>
        <v>40664771.016337797</v>
      </c>
      <c r="Z57" s="1374">
        <f t="shared" si="17"/>
        <v>1084502.01</v>
      </c>
      <c r="AA57" s="1777">
        <f t="shared" si="18"/>
        <v>146694.92000000001</v>
      </c>
      <c r="AB57" s="1375">
        <f t="shared" si="19"/>
        <v>92965738.927116811</v>
      </c>
      <c r="AD57" s="340">
        <f t="shared" si="4"/>
        <v>0.57516371807841227</v>
      </c>
      <c r="AE57" s="341">
        <f t="shared" si="5"/>
        <v>0.22858667433210941</v>
      </c>
      <c r="AF57" s="341">
        <f t="shared" si="6"/>
        <v>0.16250338205178996</v>
      </c>
      <c r="AG57" s="341">
        <f t="shared" si="7"/>
        <v>3.3746225537688281E-2</v>
      </c>
      <c r="AH57" s="342">
        <f t="shared" si="8"/>
        <v>0.80375039241052171</v>
      </c>
      <c r="AJ57" s="812">
        <f t="shared" si="9"/>
        <v>3.9415667882473776E-2</v>
      </c>
      <c r="AK57" s="790">
        <f t="shared" si="10"/>
        <v>2.3474516797106276E-3</v>
      </c>
      <c r="AL57" s="814">
        <f t="shared" si="11"/>
        <v>0.95823688043781563</v>
      </c>
      <c r="AN57" s="812">
        <f t="shared" si="12"/>
        <v>0.5490651234477657</v>
      </c>
      <c r="AO57" s="790">
        <f t="shared" si="13"/>
        <v>3.2798675956349777E-2</v>
      </c>
      <c r="AP57" s="814">
        <f t="shared" si="14"/>
        <v>0.41813620059588452</v>
      </c>
    </row>
    <row r="58" spans="1:42" x14ac:dyDescent="0.3">
      <c r="A58" s="435" t="s">
        <v>131</v>
      </c>
      <c r="B58" s="319" t="s">
        <v>132</v>
      </c>
      <c r="C58" s="436" t="s">
        <v>254</v>
      </c>
      <c r="D58" s="481">
        <f>'Administration LASER'!D57+'Other Oper Exp. LASER'!D57</f>
        <v>7115527.0300000003</v>
      </c>
      <c r="E58" s="482">
        <f>'Administration LASER'!E57+'Other Oper Exp. LASER'!E57</f>
        <v>1220953.3700000001</v>
      </c>
      <c r="F58" s="482">
        <f>'Administration LASER'!F57+'Other Oper Exp. LASER'!F57</f>
        <v>7809586.9800000004</v>
      </c>
      <c r="G58" s="482">
        <f>'Administration LASER'!J57 + 'Other Oper Exp. LASER'!J57</f>
        <v>1188887.3999999999</v>
      </c>
      <c r="H58" s="483">
        <f>'Administration LASER'!I57+'Other Oper Exp. LASER'!I57</f>
        <v>17334954.780000001</v>
      </c>
      <c r="I58" s="481">
        <f>'Client Services LASER'!D57</f>
        <v>401454.26153479319</v>
      </c>
      <c r="J58" s="482">
        <f>'Client Services LASER'!E57</f>
        <v>204392.08846520685</v>
      </c>
      <c r="K58" s="482">
        <f>'Client Services LASER'!F57</f>
        <v>138878.89000000001</v>
      </c>
      <c r="L58" s="482">
        <f>'Client Services LASER'!J57</f>
        <v>864749.81</v>
      </c>
      <c r="M58" s="483">
        <f>'Client Services LASER'!I57</f>
        <v>1609475.0500000003</v>
      </c>
      <c r="N58" s="1373">
        <f>'Statewide Benefits'!D58</f>
        <v>140888339.5843769</v>
      </c>
      <c r="O58" s="1374">
        <f>'Statewide Benefits'!E58</f>
        <v>117786567.336916</v>
      </c>
      <c r="P58" s="1374">
        <f>'Statewide Benefits'!F58</f>
        <v>4107267.96</v>
      </c>
      <c r="Q58" s="1777">
        <f>'Statewide Benefits'!G58</f>
        <v>0</v>
      </c>
      <c r="R58" s="1375">
        <f t="shared" si="20"/>
        <v>262782174.88129291</v>
      </c>
      <c r="S58" s="1373">
        <f>'Other Benefits LASER'!D57+'FC &amp; Adoptions LASER'!D57</f>
        <v>756858.11</v>
      </c>
      <c r="T58" s="1374">
        <f>'Other Benefits LASER'!E57 + 'FC &amp; Adoptions LASER'!E57</f>
        <v>979342.49</v>
      </c>
      <c r="U58" s="1374">
        <f>'Other Benefits LASER'!F57+'FC &amp; Adoptions LASER'!F57</f>
        <v>32634.31</v>
      </c>
      <c r="V58" s="1777">
        <f>'FC &amp; Adoptions LASER'!J57+'Other Benefits LASER'!J57</f>
        <v>-0.19</v>
      </c>
      <c r="W58" s="1375">
        <f>'Other Benefits LASER'!I57+'FC &amp; Adoptions LASER'!I57</f>
        <v>1768834.72</v>
      </c>
      <c r="X58" s="1373">
        <f t="shared" si="15"/>
        <v>149162178.9859117</v>
      </c>
      <c r="Y58" s="1374">
        <f t="shared" si="16"/>
        <v>120191255.2853812</v>
      </c>
      <c r="Z58" s="1374">
        <f t="shared" si="17"/>
        <v>12088368.140000001</v>
      </c>
      <c r="AA58" s="1777">
        <f t="shared" si="18"/>
        <v>2053637.02</v>
      </c>
      <c r="AB58" s="1375">
        <f t="shared" si="19"/>
        <v>283495439.43129295</v>
      </c>
      <c r="AD58" s="340">
        <f t="shared" si="4"/>
        <v>0.41047277713175551</v>
      </c>
      <c r="AE58" s="341">
        <f t="shared" si="5"/>
        <v>7.0433028842316947E-2</v>
      </c>
      <c r="AF58" s="341">
        <f t="shared" si="6"/>
        <v>0.45051095195299956</v>
      </c>
      <c r="AG58" s="341">
        <f t="shared" si="7"/>
        <v>6.8583242072927972E-2</v>
      </c>
      <c r="AH58" s="342">
        <f t="shared" si="8"/>
        <v>0.48090580597407245</v>
      </c>
      <c r="AJ58" s="812">
        <f t="shared" si="9"/>
        <v>6.1147208628028901E-2</v>
      </c>
      <c r="AK58" s="790">
        <f t="shared" si="10"/>
        <v>5.6772519982285904E-3</v>
      </c>
      <c r="AL58" s="814">
        <f t="shared" si="11"/>
        <v>0.93317553937374231</v>
      </c>
      <c r="AN58" s="812">
        <f t="shared" si="12"/>
        <v>0.6460414581649232</v>
      </c>
      <c r="AO58" s="790">
        <f t="shared" si="13"/>
        <v>1.1488638366369276E-2</v>
      </c>
      <c r="AP58" s="814">
        <f t="shared" si="14"/>
        <v>0.34246990346870754</v>
      </c>
    </row>
    <row r="59" spans="1:42" x14ac:dyDescent="0.3">
      <c r="A59" s="435" t="s">
        <v>133</v>
      </c>
      <c r="B59" s="319" t="s">
        <v>134</v>
      </c>
      <c r="C59" s="436" t="s">
        <v>254</v>
      </c>
      <c r="D59" s="481">
        <f>'Administration LASER'!D58+'Other Oper Exp. LASER'!D58</f>
        <v>1487294.32</v>
      </c>
      <c r="E59" s="482">
        <f>'Administration LASER'!E58+'Other Oper Exp. LASER'!E58</f>
        <v>466241.28000000003</v>
      </c>
      <c r="F59" s="482">
        <f>'Administration LASER'!F58+'Other Oper Exp. LASER'!F58</f>
        <v>888882.16</v>
      </c>
      <c r="G59" s="482">
        <f>'Administration LASER'!J58 + 'Other Oper Exp. LASER'!J58</f>
        <v>122114.63999999998</v>
      </c>
      <c r="H59" s="483">
        <f>'Administration LASER'!I58+'Other Oper Exp. LASER'!I58</f>
        <v>2964532.4</v>
      </c>
      <c r="I59" s="481">
        <f>'Client Services LASER'!D58</f>
        <v>29407.815878146997</v>
      </c>
      <c r="J59" s="482">
        <f>'Client Services LASER'!E58</f>
        <v>20678.594121853002</v>
      </c>
      <c r="K59" s="482">
        <f>'Client Services LASER'!F58</f>
        <v>10095.740000000002</v>
      </c>
      <c r="L59" s="482">
        <f>'Client Services LASER'!J58</f>
        <v>-0.06</v>
      </c>
      <c r="M59" s="483">
        <f>'Client Services LASER'!I58</f>
        <v>60182.090000000011</v>
      </c>
      <c r="N59" s="1373">
        <f>'Statewide Benefits'!D59</f>
        <v>37386536.898125805</v>
      </c>
      <c r="O59" s="1374">
        <f>'Statewide Benefits'!E59</f>
        <v>32155761.934073925</v>
      </c>
      <c r="P59" s="1374">
        <f>'Statewide Benefits'!F59</f>
        <v>1749894.46</v>
      </c>
      <c r="Q59" s="1777">
        <f>'Statewide Benefits'!G59</f>
        <v>0</v>
      </c>
      <c r="R59" s="1375">
        <f t="shared" si="20"/>
        <v>71292193.292199716</v>
      </c>
      <c r="S59" s="1373">
        <f>'Other Benefits LASER'!D58+'FC &amp; Adoptions LASER'!D58</f>
        <v>766426.22</v>
      </c>
      <c r="T59" s="1374">
        <f>'Other Benefits LASER'!E58 + 'FC &amp; Adoptions LASER'!E58</f>
        <v>1312640.74</v>
      </c>
      <c r="U59" s="1374">
        <f>'Other Benefits LASER'!F58+'FC &amp; Adoptions LASER'!F58</f>
        <v>7122.6</v>
      </c>
      <c r="V59" s="1777">
        <f>'FC &amp; Adoptions LASER'!J58+'Other Benefits LASER'!J58</f>
        <v>2248.5299999999997</v>
      </c>
      <c r="W59" s="1375">
        <f>'Other Benefits LASER'!I58+'FC &amp; Adoptions LASER'!I58</f>
        <v>2088438.09</v>
      </c>
      <c r="X59" s="1373">
        <f t="shared" si="15"/>
        <v>39669665.254003949</v>
      </c>
      <c r="Y59" s="1374">
        <f t="shared" si="16"/>
        <v>33955322.548195779</v>
      </c>
      <c r="Z59" s="1374">
        <f t="shared" si="17"/>
        <v>2655994.96</v>
      </c>
      <c r="AA59" s="1777">
        <f t="shared" si="18"/>
        <v>124363.10999999999</v>
      </c>
      <c r="AB59" s="1375">
        <f t="shared" si="19"/>
        <v>76405345.872199714</v>
      </c>
      <c r="AD59" s="340">
        <f t="shared" si="4"/>
        <v>0.50169609210545318</v>
      </c>
      <c r="AE59" s="341">
        <f t="shared" si="5"/>
        <v>0.15727312678383951</v>
      </c>
      <c r="AF59" s="341">
        <f t="shared" si="6"/>
        <v>0.29983890882757769</v>
      </c>
      <c r="AG59" s="341">
        <f t="shared" si="7"/>
        <v>4.1191872283129705E-2</v>
      </c>
      <c r="AH59" s="342">
        <f t="shared" si="8"/>
        <v>0.65896921888929272</v>
      </c>
      <c r="AJ59" s="812">
        <f t="shared" si="9"/>
        <v>3.8800065180761817E-2</v>
      </c>
      <c r="AK59" s="790">
        <f t="shared" si="10"/>
        <v>7.8766857623633138E-4</v>
      </c>
      <c r="AL59" s="814">
        <f t="shared" si="11"/>
        <v>0.96041226624300191</v>
      </c>
      <c r="AN59" s="812">
        <f t="shared" si="12"/>
        <v>0.33467012301860694</v>
      </c>
      <c r="AO59" s="790">
        <f t="shared" si="13"/>
        <v>3.8011141406684001E-3</v>
      </c>
      <c r="AP59" s="814">
        <f t="shared" si="14"/>
        <v>0.6615287628407247</v>
      </c>
    </row>
    <row r="60" spans="1:42" x14ac:dyDescent="0.3">
      <c r="A60" s="435" t="s">
        <v>135</v>
      </c>
      <c r="B60" s="319" t="s">
        <v>136</v>
      </c>
      <c r="C60" s="436" t="s">
        <v>253</v>
      </c>
      <c r="D60" s="481">
        <f>'Administration LASER'!D59+'Other Oper Exp. LASER'!D59</f>
        <v>482520.13</v>
      </c>
      <c r="E60" s="482">
        <f>'Administration LASER'!E59+'Other Oper Exp. LASER'!E59</f>
        <v>194412.56</v>
      </c>
      <c r="F60" s="482">
        <f>'Administration LASER'!F59+'Other Oper Exp. LASER'!F59</f>
        <v>136804.72999999998</v>
      </c>
      <c r="G60" s="482">
        <f>'Administration LASER'!J59 + 'Other Oper Exp. LASER'!J59</f>
        <v>43786.329999999994</v>
      </c>
      <c r="H60" s="483">
        <f>'Administration LASER'!I59+'Other Oper Exp. LASER'!I59</f>
        <v>857523.75</v>
      </c>
      <c r="I60" s="481">
        <f>'Client Services LASER'!D59</f>
        <v>2137.5122291944845</v>
      </c>
      <c r="J60" s="482">
        <f>'Client Services LASER'!E59</f>
        <v>3266.0177708055157</v>
      </c>
      <c r="K60" s="482">
        <f>'Client Services LASER'!F59</f>
        <v>991.18999999999994</v>
      </c>
      <c r="L60" s="482">
        <f>'Client Services LASER'!J59</f>
        <v>-0.03</v>
      </c>
      <c r="M60" s="483">
        <f>'Client Services LASER'!I59</f>
        <v>6394.6900000000005</v>
      </c>
      <c r="N60" s="1373">
        <f>'Statewide Benefits'!D60</f>
        <v>20416737.12612994</v>
      </c>
      <c r="O60" s="1374">
        <f>'Statewide Benefits'!E60</f>
        <v>17266072.651232287</v>
      </c>
      <c r="P60" s="1374">
        <f>'Statewide Benefits'!F60</f>
        <v>227563.59000000003</v>
      </c>
      <c r="Q60" s="1777">
        <f>'Statewide Benefits'!G60</f>
        <v>0</v>
      </c>
      <c r="R60" s="1375">
        <f t="shared" si="20"/>
        <v>37910373.367362231</v>
      </c>
      <c r="S60" s="1373">
        <f>'Other Benefits LASER'!D59+'FC &amp; Adoptions LASER'!D59</f>
        <v>121844.20999999999</v>
      </c>
      <c r="T60" s="1374">
        <f>'Other Benefits LASER'!E59 + 'FC &amp; Adoptions LASER'!E59</f>
        <v>196460.99</v>
      </c>
      <c r="U60" s="1374">
        <f>'Other Benefits LASER'!F59+'FC &amp; Adoptions LASER'!F59</f>
        <v>20267.599999999999</v>
      </c>
      <c r="V60" s="1777">
        <f>'FC &amp; Adoptions LASER'!J59+'Other Benefits LASER'!J59</f>
        <v>-0.01</v>
      </c>
      <c r="W60" s="1375">
        <f>'Other Benefits LASER'!I59+'FC &amp; Adoptions LASER'!I59</f>
        <v>338572.79</v>
      </c>
      <c r="X60" s="1373">
        <f t="shared" si="15"/>
        <v>21023238.978359137</v>
      </c>
      <c r="Y60" s="1374">
        <f t="shared" si="16"/>
        <v>17660212.219003092</v>
      </c>
      <c r="Z60" s="1374">
        <f t="shared" si="17"/>
        <v>385627.11</v>
      </c>
      <c r="AA60" s="1777">
        <f t="shared" si="18"/>
        <v>43786.289999999994</v>
      </c>
      <c r="AB60" s="1375">
        <f t="shared" si="19"/>
        <v>39112864.597362228</v>
      </c>
      <c r="AD60" s="340">
        <f t="shared" si="4"/>
        <v>0.56269010625070148</v>
      </c>
      <c r="AE60" s="341">
        <f t="shared" si="5"/>
        <v>0.22671390734075877</v>
      </c>
      <c r="AF60" s="341">
        <f t="shared" si="6"/>
        <v>0.15953462513428926</v>
      </c>
      <c r="AG60" s="341">
        <f t="shared" si="7"/>
        <v>5.1061361274250414E-2</v>
      </c>
      <c r="AH60" s="342">
        <f t="shared" si="8"/>
        <v>0.78940401359146029</v>
      </c>
      <c r="AJ60" s="812">
        <f t="shared" si="9"/>
        <v>2.1924340209482671E-2</v>
      </c>
      <c r="AK60" s="790">
        <f t="shared" si="10"/>
        <v>1.6349326662285068E-4</v>
      </c>
      <c r="AL60" s="814">
        <f t="shared" si="11"/>
        <v>0.97791216652389457</v>
      </c>
      <c r="AN60" s="812">
        <f t="shared" si="12"/>
        <v>0.35475910913006087</v>
      </c>
      <c r="AO60" s="790">
        <f t="shared" si="13"/>
        <v>2.5703327756183944E-3</v>
      </c>
      <c r="AP60" s="814">
        <f t="shared" si="14"/>
        <v>0.64267055809432083</v>
      </c>
    </row>
    <row r="61" spans="1:42" x14ac:dyDescent="0.3">
      <c r="A61" s="435" t="s">
        <v>139</v>
      </c>
      <c r="B61" s="319" t="s">
        <v>140</v>
      </c>
      <c r="C61" s="436" t="s">
        <v>254</v>
      </c>
      <c r="D61" s="481">
        <f>'Administration LASER'!D60+'Other Oper Exp. LASER'!D60</f>
        <v>735862.34</v>
      </c>
      <c r="E61" s="482">
        <f>'Administration LASER'!E60+'Other Oper Exp. LASER'!E60</f>
        <v>228401.13999999998</v>
      </c>
      <c r="F61" s="482">
        <f>'Administration LASER'!F60+'Other Oper Exp. LASER'!F60</f>
        <v>450626.63</v>
      </c>
      <c r="G61" s="482">
        <f>'Administration LASER'!J60 + 'Other Oper Exp. LASER'!J60</f>
        <v>136139.75</v>
      </c>
      <c r="H61" s="483">
        <f>'Administration LASER'!I60+'Other Oper Exp. LASER'!I60</f>
        <v>1551029.8599999999</v>
      </c>
      <c r="I61" s="481">
        <f>'Client Services LASER'!D60</f>
        <v>24912.271769492902</v>
      </c>
      <c r="J61" s="482">
        <f>'Client Services LASER'!E60</f>
        <v>9003.4682305070983</v>
      </c>
      <c r="K61" s="482">
        <f>'Client Services LASER'!F60</f>
        <v>4041.2</v>
      </c>
      <c r="L61" s="482">
        <f>'Client Services LASER'!J60</f>
        <v>-6.0000000000000005E-2</v>
      </c>
      <c r="M61" s="483">
        <f>'Client Services LASER'!I60</f>
        <v>37956.879999999997</v>
      </c>
      <c r="N61" s="1373">
        <f>'Statewide Benefits'!D61</f>
        <v>11846577.023400366</v>
      </c>
      <c r="O61" s="1374">
        <f>'Statewide Benefits'!E61</f>
        <v>11159644.381495697</v>
      </c>
      <c r="P61" s="1374">
        <f>'Statewide Benefits'!F61</f>
        <v>663167.31000000006</v>
      </c>
      <c r="Q61" s="1777">
        <f>'Statewide Benefits'!G61</f>
        <v>0</v>
      </c>
      <c r="R61" s="1375">
        <f t="shared" si="20"/>
        <v>23669388.714896064</v>
      </c>
      <c r="S61" s="1373">
        <f>'Other Benefits LASER'!D60+'FC &amp; Adoptions LASER'!D60</f>
        <v>460401.33</v>
      </c>
      <c r="T61" s="1374">
        <f>'Other Benefits LASER'!E60 + 'FC &amp; Adoptions LASER'!E60</f>
        <v>606258.5</v>
      </c>
      <c r="U61" s="1374">
        <f>'Other Benefits LASER'!F60+'FC &amp; Adoptions LASER'!F60</f>
        <v>2942</v>
      </c>
      <c r="V61" s="1777">
        <f>'FC &amp; Adoptions LASER'!J60+'Other Benefits LASER'!J60</f>
        <v>999.86</v>
      </c>
      <c r="W61" s="1375">
        <f>'Other Benefits LASER'!I60+'FC &amp; Adoptions LASER'!I60</f>
        <v>1070601.6900000002</v>
      </c>
      <c r="X61" s="1373">
        <f t="shared" si="15"/>
        <v>13067752.96516986</v>
      </c>
      <c r="Y61" s="1374">
        <f t="shared" si="16"/>
        <v>12003307.489726204</v>
      </c>
      <c r="Z61" s="1374">
        <f t="shared" si="17"/>
        <v>1120777.1400000001</v>
      </c>
      <c r="AA61" s="1777">
        <f t="shared" si="18"/>
        <v>137139.54999999999</v>
      </c>
      <c r="AB61" s="1375">
        <f t="shared" si="19"/>
        <v>26328977.144896064</v>
      </c>
      <c r="AD61" s="340">
        <f t="shared" si="4"/>
        <v>0.47443467013587992</v>
      </c>
      <c r="AE61" s="341">
        <f t="shared" si="5"/>
        <v>0.14725773235597153</v>
      </c>
      <c r="AF61" s="341">
        <f t="shared" si="6"/>
        <v>0.29053381989692967</v>
      </c>
      <c r="AG61" s="341">
        <f t="shared" si="7"/>
        <v>8.777377761121892E-2</v>
      </c>
      <c r="AH61" s="342">
        <f t="shared" si="8"/>
        <v>0.62169240249185154</v>
      </c>
      <c r="AJ61" s="812">
        <f t="shared" si="9"/>
        <v>5.8909613216807807E-2</v>
      </c>
      <c r="AK61" s="790">
        <f t="shared" si="10"/>
        <v>1.4416389892821198E-3</v>
      </c>
      <c r="AL61" s="814">
        <f t="shared" si="11"/>
        <v>0.93964874779391017</v>
      </c>
      <c r="AN61" s="812">
        <f t="shared" si="12"/>
        <v>0.40206622165759015</v>
      </c>
      <c r="AO61" s="790">
        <f t="shared" si="13"/>
        <v>3.6057123720421346E-3</v>
      </c>
      <c r="AP61" s="814">
        <f t="shared" si="14"/>
        <v>0.59432806597036769</v>
      </c>
    </row>
    <row r="62" spans="1:42" x14ac:dyDescent="0.3">
      <c r="A62" s="435" t="s">
        <v>145</v>
      </c>
      <c r="B62" s="319" t="s">
        <v>146</v>
      </c>
      <c r="C62" s="436" t="s">
        <v>251</v>
      </c>
      <c r="D62" s="481">
        <f>'Administration LASER'!D61+'Other Oper Exp. LASER'!D61</f>
        <v>603281.37</v>
      </c>
      <c r="E62" s="482">
        <f>'Administration LASER'!E61+'Other Oper Exp. LASER'!E61</f>
        <v>165808.13</v>
      </c>
      <c r="F62" s="482">
        <f>'Administration LASER'!F61+'Other Oper Exp. LASER'!F61</f>
        <v>439646.67000000004</v>
      </c>
      <c r="G62" s="482">
        <f>'Administration LASER'!J61 + 'Other Oper Exp. LASER'!J61</f>
        <v>75729.889999999985</v>
      </c>
      <c r="H62" s="483">
        <f>'Administration LASER'!I61+'Other Oper Exp. LASER'!I61</f>
        <v>1284466.06</v>
      </c>
      <c r="I62" s="481">
        <f>'Client Services LASER'!D61</f>
        <v>33199.123821351313</v>
      </c>
      <c r="J62" s="482">
        <f>'Client Services LASER'!E61</f>
        <v>7942.6361786486914</v>
      </c>
      <c r="K62" s="482">
        <f>'Client Services LASER'!F61</f>
        <v>9022.09</v>
      </c>
      <c r="L62" s="482">
        <f>'Client Services LASER'!J61</f>
        <v>-9.9999999999999967E-3</v>
      </c>
      <c r="M62" s="483">
        <f>'Client Services LASER'!I61</f>
        <v>50163.840000000004</v>
      </c>
      <c r="N62" s="1373">
        <f>'Statewide Benefits'!D62</f>
        <v>10120634.134248648</v>
      </c>
      <c r="O62" s="1374">
        <f>'Statewide Benefits'!E62</f>
        <v>8814951.2531746142</v>
      </c>
      <c r="P62" s="1374">
        <f>'Statewide Benefits'!F62</f>
        <v>189162.05</v>
      </c>
      <c r="Q62" s="1777">
        <f>'Statewide Benefits'!G62</f>
        <v>0</v>
      </c>
      <c r="R62" s="1375">
        <f t="shared" si="20"/>
        <v>19124747.437423263</v>
      </c>
      <c r="S62" s="1373">
        <f>'Other Benefits LASER'!D61+'FC &amp; Adoptions LASER'!D61</f>
        <v>151752.91</v>
      </c>
      <c r="T62" s="1374">
        <f>'Other Benefits LASER'!E61 + 'FC &amp; Adoptions LASER'!E61</f>
        <v>190790.91999999998</v>
      </c>
      <c r="U62" s="1374">
        <f>'Other Benefits LASER'!F61+'FC &amp; Adoptions LASER'!F61</f>
        <v>3004.4</v>
      </c>
      <c r="V62" s="1777">
        <f>'FC &amp; Adoptions LASER'!J61+'Other Benefits LASER'!J61</f>
        <v>-0.06</v>
      </c>
      <c r="W62" s="1375">
        <f>'Other Benefits LASER'!I61+'FC &amp; Adoptions LASER'!I61</f>
        <v>345548.17</v>
      </c>
      <c r="X62" s="1373">
        <f t="shared" si="15"/>
        <v>10908867.538069999</v>
      </c>
      <c r="Y62" s="1374">
        <f t="shared" si="16"/>
        <v>9179492.939353263</v>
      </c>
      <c r="Z62" s="1374">
        <f t="shared" si="17"/>
        <v>640835.21000000008</v>
      </c>
      <c r="AA62" s="1777">
        <f t="shared" si="18"/>
        <v>75729.819999999992</v>
      </c>
      <c r="AB62" s="1375">
        <f t="shared" si="19"/>
        <v>20804925.507423263</v>
      </c>
      <c r="AD62" s="340">
        <f t="shared" si="4"/>
        <v>0.46967482348268508</v>
      </c>
      <c r="AE62" s="341">
        <f t="shared" si="5"/>
        <v>0.12908720219512845</v>
      </c>
      <c r="AF62" s="341">
        <f t="shared" si="6"/>
        <v>0.34227970959388371</v>
      </c>
      <c r="AG62" s="341">
        <f t="shared" si="7"/>
        <v>5.8958264728302734E-2</v>
      </c>
      <c r="AH62" s="342">
        <f t="shared" si="8"/>
        <v>0.59876202567781356</v>
      </c>
      <c r="AJ62" s="812">
        <f t="shared" si="9"/>
        <v>6.1738556071335056E-2</v>
      </c>
      <c r="AK62" s="790">
        <f t="shared" si="10"/>
        <v>2.4111521082880775E-3</v>
      </c>
      <c r="AL62" s="814">
        <f t="shared" si="11"/>
        <v>0.93585029182037693</v>
      </c>
      <c r="AN62" s="812">
        <f t="shared" si="12"/>
        <v>0.68605261249612048</v>
      </c>
      <c r="AO62" s="790">
        <f t="shared" si="13"/>
        <v>1.4078642776198266E-2</v>
      </c>
      <c r="AP62" s="814">
        <f t="shared" si="14"/>
        <v>0.29986874472768116</v>
      </c>
    </row>
    <row r="63" spans="1:42" x14ac:dyDescent="0.3">
      <c r="A63" s="435" t="s">
        <v>147</v>
      </c>
      <c r="B63" s="319" t="s">
        <v>148</v>
      </c>
      <c r="C63" s="436" t="s">
        <v>252</v>
      </c>
      <c r="D63" s="481">
        <f>'Administration LASER'!D62+'Other Oper Exp. LASER'!D62</f>
        <v>1540275.5599999998</v>
      </c>
      <c r="E63" s="482">
        <f>'Administration LASER'!E62+'Other Oper Exp. LASER'!E62</f>
        <v>521325.74</v>
      </c>
      <c r="F63" s="482">
        <f>'Administration LASER'!F62+'Other Oper Exp. LASER'!F62</f>
        <v>751607.36</v>
      </c>
      <c r="G63" s="482">
        <f>'Administration LASER'!J62 + 'Other Oper Exp. LASER'!J62</f>
        <v>395956.70000000007</v>
      </c>
      <c r="H63" s="483">
        <f>'Administration LASER'!I62+'Other Oper Exp. LASER'!I62</f>
        <v>3209165.36</v>
      </c>
      <c r="I63" s="481">
        <f>'Client Services LASER'!D62</f>
        <v>27513.893846331157</v>
      </c>
      <c r="J63" s="482">
        <f>'Client Services LASER'!E62</f>
        <v>23793.436153668841</v>
      </c>
      <c r="K63" s="482">
        <f>'Client Services LASER'!F62</f>
        <v>9713.7000000000007</v>
      </c>
      <c r="L63" s="482">
        <f>'Client Services LASER'!J62</f>
        <v>-0.10999999999999999</v>
      </c>
      <c r="M63" s="483">
        <f>'Client Services LASER'!I62</f>
        <v>61020.92</v>
      </c>
      <c r="N63" s="1373">
        <f>'Statewide Benefits'!D63</f>
        <v>43258430.472757384</v>
      </c>
      <c r="O63" s="1374">
        <f>'Statewide Benefits'!E63</f>
        <v>36731200.281943373</v>
      </c>
      <c r="P63" s="1374">
        <f>'Statewide Benefits'!F63</f>
        <v>674444.7699999999</v>
      </c>
      <c r="Q63" s="1777">
        <f>'Statewide Benefits'!G63</f>
        <v>0</v>
      </c>
      <c r="R63" s="1375">
        <f t="shared" si="20"/>
        <v>80664075.524700746</v>
      </c>
      <c r="S63" s="1373">
        <f>'Other Benefits LASER'!D62+'FC &amp; Adoptions LASER'!D62</f>
        <v>233526.63000000003</v>
      </c>
      <c r="T63" s="1374">
        <f>'Other Benefits LASER'!E62 + 'FC &amp; Adoptions LASER'!E62</f>
        <v>428511.68</v>
      </c>
      <c r="U63" s="1374">
        <f>'Other Benefits LASER'!F62+'FC &amp; Adoptions LASER'!F62</f>
        <v>45356.6</v>
      </c>
      <c r="V63" s="1777">
        <f>'FC &amp; Adoptions LASER'!J62+'Other Benefits LASER'!J62</f>
        <v>-0.11</v>
      </c>
      <c r="W63" s="1375">
        <f>'Other Benefits LASER'!I62+'FC &amp; Adoptions LASER'!I62</f>
        <v>707394.8</v>
      </c>
      <c r="X63" s="1373">
        <f t="shared" si="15"/>
        <v>45059746.556603715</v>
      </c>
      <c r="Y63" s="1374">
        <f t="shared" si="16"/>
        <v>37704831.13809704</v>
      </c>
      <c r="Z63" s="1374">
        <f t="shared" si="17"/>
        <v>1481122.43</v>
      </c>
      <c r="AA63" s="1777">
        <f t="shared" si="18"/>
        <v>395956.4800000001</v>
      </c>
      <c r="AB63" s="1375">
        <f t="shared" si="19"/>
        <v>84641656.604700744</v>
      </c>
      <c r="AD63" s="340">
        <f t="shared" si="4"/>
        <v>0.47996141900272782</v>
      </c>
      <c r="AE63" s="341">
        <f t="shared" si="5"/>
        <v>0.16244901135290829</v>
      </c>
      <c r="AF63" s="341">
        <f t="shared" si="6"/>
        <v>0.23420649162185897</v>
      </c>
      <c r="AG63" s="341">
        <f t="shared" si="7"/>
        <v>0.12338307802250492</v>
      </c>
      <c r="AH63" s="342">
        <f t="shared" si="8"/>
        <v>0.64241043035563616</v>
      </c>
      <c r="AJ63" s="812">
        <f t="shared" si="9"/>
        <v>3.791472767348663E-2</v>
      </c>
      <c r="AK63" s="790">
        <f t="shared" si="10"/>
        <v>7.2093248700204522E-4</v>
      </c>
      <c r="AL63" s="814">
        <f t="shared" si="11"/>
        <v>0.96136433983951131</v>
      </c>
      <c r="AN63" s="812">
        <f t="shared" si="12"/>
        <v>0.50745795538320215</v>
      </c>
      <c r="AO63" s="790">
        <f t="shared" si="13"/>
        <v>6.5583369769101401E-3</v>
      </c>
      <c r="AP63" s="814">
        <f t="shared" si="14"/>
        <v>0.48598370763988763</v>
      </c>
    </row>
    <row r="64" spans="1:42" x14ac:dyDescent="0.3">
      <c r="A64" s="435" t="s">
        <v>149</v>
      </c>
      <c r="B64" s="319" t="s">
        <v>150</v>
      </c>
      <c r="C64" s="436" t="s">
        <v>253</v>
      </c>
      <c r="D64" s="481">
        <f>'Administration LASER'!D63+'Other Oper Exp. LASER'!D63</f>
        <v>562470.78</v>
      </c>
      <c r="E64" s="482">
        <f>'Administration LASER'!E63+'Other Oper Exp. LASER'!E63</f>
        <v>219100.81</v>
      </c>
      <c r="F64" s="482">
        <f>'Administration LASER'!F63+'Other Oper Exp. LASER'!F63</f>
        <v>168958.04</v>
      </c>
      <c r="G64" s="482">
        <f>'Administration LASER'!J63 + 'Other Oper Exp. LASER'!J63</f>
        <v>78078.799999999988</v>
      </c>
      <c r="H64" s="483">
        <f>'Administration LASER'!I63+'Other Oper Exp. LASER'!I63</f>
        <v>1028608.43</v>
      </c>
      <c r="I64" s="481">
        <f>'Client Services LASER'!D63</f>
        <v>37111.848089689134</v>
      </c>
      <c r="J64" s="482">
        <f>'Client Services LASER'!E63</f>
        <v>32012.571910310868</v>
      </c>
      <c r="K64" s="482">
        <f>'Client Services LASER'!F63</f>
        <v>13983.619999999999</v>
      </c>
      <c r="L64" s="482">
        <f>'Client Services LASER'!J63</f>
        <v>-5.000000000000001E-2</v>
      </c>
      <c r="M64" s="483">
        <f>'Client Services LASER'!I63</f>
        <v>83107.989999999991</v>
      </c>
      <c r="N64" s="1373">
        <f>'Statewide Benefits'!D64</f>
        <v>14268752.858496087</v>
      </c>
      <c r="O64" s="1374">
        <f>'Statewide Benefits'!E64</f>
        <v>11761157.31390368</v>
      </c>
      <c r="P64" s="1374">
        <f>'Statewide Benefits'!F64</f>
        <v>351158.03</v>
      </c>
      <c r="Q64" s="1777">
        <f>'Statewide Benefits'!G64</f>
        <v>0</v>
      </c>
      <c r="R64" s="1375">
        <f t="shared" si="20"/>
        <v>26381068.202399768</v>
      </c>
      <c r="S64" s="1373">
        <f>'Other Benefits LASER'!D63+'FC &amp; Adoptions LASER'!D63</f>
        <v>183921.92000000001</v>
      </c>
      <c r="T64" s="1374">
        <f>'Other Benefits LASER'!E63 + 'FC &amp; Adoptions LASER'!E63</f>
        <v>249604.81999999998</v>
      </c>
      <c r="U64" s="1374">
        <f>'Other Benefits LASER'!F63+'FC &amp; Adoptions LASER'!F63</f>
        <v>7629</v>
      </c>
      <c r="V64" s="1777">
        <f>'FC &amp; Adoptions LASER'!J63+'Other Benefits LASER'!J63</f>
        <v>-0.10999999999999999</v>
      </c>
      <c r="W64" s="1375">
        <f>'Other Benefits LASER'!I63+'FC &amp; Adoptions LASER'!I63</f>
        <v>441155.63</v>
      </c>
      <c r="X64" s="1373">
        <f t="shared" si="15"/>
        <v>15052257.406585775</v>
      </c>
      <c r="Y64" s="1374">
        <f t="shared" si="16"/>
        <v>12261875.515813991</v>
      </c>
      <c r="Z64" s="1374">
        <f t="shared" si="17"/>
        <v>541728.69000000006</v>
      </c>
      <c r="AA64" s="1777">
        <f t="shared" si="18"/>
        <v>78078.639999999985</v>
      </c>
      <c r="AB64" s="1375">
        <f t="shared" si="19"/>
        <v>27933940.252399769</v>
      </c>
      <c r="AD64" s="340">
        <f t="shared" si="4"/>
        <v>0.54682692032768976</v>
      </c>
      <c r="AE64" s="341">
        <f t="shared" si="5"/>
        <v>0.21300701375741202</v>
      </c>
      <c r="AF64" s="341">
        <f t="shared" si="6"/>
        <v>0.16425885212704314</v>
      </c>
      <c r="AG64" s="341">
        <f t="shared" si="7"/>
        <v>7.5907213787855102E-2</v>
      </c>
      <c r="AH64" s="342">
        <f t="shared" si="8"/>
        <v>0.7598339340851018</v>
      </c>
      <c r="AJ64" s="812">
        <f t="shared" si="9"/>
        <v>3.682289074530521E-2</v>
      </c>
      <c r="AK64" s="790">
        <f t="shared" si="10"/>
        <v>2.9751617297477497E-3</v>
      </c>
      <c r="AL64" s="814">
        <f t="shared" si="11"/>
        <v>0.96020194752494703</v>
      </c>
      <c r="AN64" s="812">
        <f t="shared" si="12"/>
        <v>0.31188682290391523</v>
      </c>
      <c r="AO64" s="790">
        <f t="shared" si="13"/>
        <v>2.5812958143309701E-2</v>
      </c>
      <c r="AP64" s="814">
        <f t="shared" si="14"/>
        <v>0.66230021895277502</v>
      </c>
    </row>
    <row r="65" spans="1:42" x14ac:dyDescent="0.3">
      <c r="A65" s="435" t="s">
        <v>151</v>
      </c>
      <c r="B65" s="319" t="s">
        <v>152</v>
      </c>
      <c r="C65" s="436" t="s">
        <v>255</v>
      </c>
      <c r="D65" s="481">
        <f>'Administration LASER'!D64+'Other Oper Exp. LASER'!D64</f>
        <v>2621896.46</v>
      </c>
      <c r="E65" s="482">
        <f>'Administration LASER'!E64+'Other Oper Exp. LASER'!E64</f>
        <v>936503.29</v>
      </c>
      <c r="F65" s="482">
        <f>'Administration LASER'!F64+'Other Oper Exp. LASER'!F64</f>
        <v>1073591.55</v>
      </c>
      <c r="G65" s="482">
        <f>'Administration LASER'!J64 + 'Other Oper Exp. LASER'!J64</f>
        <v>210640.01</v>
      </c>
      <c r="H65" s="483">
        <f>'Administration LASER'!I64+'Other Oper Exp. LASER'!I64</f>
        <v>4842631.3099999996</v>
      </c>
      <c r="I65" s="481">
        <f>'Client Services LASER'!D64</f>
        <v>84806.191529309304</v>
      </c>
      <c r="J65" s="482">
        <f>'Client Services LASER'!E64</f>
        <v>69321.06847069069</v>
      </c>
      <c r="K65" s="482">
        <f>'Client Services LASER'!F64</f>
        <v>29935.260000000002</v>
      </c>
      <c r="L65" s="482">
        <f>'Client Services LASER'!J64</f>
        <v>4975.24</v>
      </c>
      <c r="M65" s="483">
        <f>'Client Services LASER'!I64</f>
        <v>189037.76</v>
      </c>
      <c r="N65" s="1373">
        <f>'Statewide Benefits'!D65</f>
        <v>61246604.94772175</v>
      </c>
      <c r="O65" s="1374">
        <f>'Statewide Benefits'!E65</f>
        <v>50120320.786809444</v>
      </c>
      <c r="P65" s="1374">
        <f>'Statewide Benefits'!F65</f>
        <v>511641.93</v>
      </c>
      <c r="Q65" s="1777">
        <f>'Statewide Benefits'!G65</f>
        <v>0</v>
      </c>
      <c r="R65" s="1375">
        <f t="shared" si="20"/>
        <v>111878567.6645312</v>
      </c>
      <c r="S65" s="1373">
        <f>'Other Benefits LASER'!D64+'FC &amp; Adoptions LASER'!D64</f>
        <v>680168.81</v>
      </c>
      <c r="T65" s="1374">
        <f>'Other Benefits LASER'!E64 + 'FC &amp; Adoptions LASER'!E64</f>
        <v>968787.52</v>
      </c>
      <c r="U65" s="1374">
        <f>'Other Benefits LASER'!F64+'FC &amp; Adoptions LASER'!F64</f>
        <v>41458</v>
      </c>
      <c r="V65" s="1777">
        <f>'FC &amp; Adoptions LASER'!J64+'Other Benefits LASER'!J64</f>
        <v>5012.29</v>
      </c>
      <c r="W65" s="1375">
        <f>'Other Benefits LASER'!I64+'FC &amp; Adoptions LASER'!I64</f>
        <v>1695426.62</v>
      </c>
      <c r="X65" s="1373">
        <f t="shared" si="15"/>
        <v>64633476.409251064</v>
      </c>
      <c r="Y65" s="1374">
        <f t="shared" si="16"/>
        <v>52094932.665280141</v>
      </c>
      <c r="Z65" s="1374">
        <f t="shared" si="17"/>
        <v>1656626.74</v>
      </c>
      <c r="AA65" s="1777">
        <f t="shared" si="18"/>
        <v>220627.54</v>
      </c>
      <c r="AB65" s="1375">
        <f t="shared" si="19"/>
        <v>118605663.3545312</v>
      </c>
      <c r="AD65" s="340">
        <f t="shared" si="4"/>
        <v>0.54141979683355246</v>
      </c>
      <c r="AE65" s="341">
        <f t="shared" si="5"/>
        <v>0.1933872785372133</v>
      </c>
      <c r="AF65" s="341">
        <f t="shared" si="6"/>
        <v>0.221695908954093</v>
      </c>
      <c r="AG65" s="341">
        <f t="shared" si="7"/>
        <v>4.3497015675141297E-2</v>
      </c>
      <c r="AH65" s="342">
        <f t="shared" si="8"/>
        <v>0.73480707537076584</v>
      </c>
      <c r="AJ65" s="812">
        <f t="shared" si="9"/>
        <v>4.0829680244902002E-2</v>
      </c>
      <c r="AK65" s="790">
        <f t="shared" si="10"/>
        <v>1.593834178347252E-3</v>
      </c>
      <c r="AL65" s="814">
        <f t="shared" si="11"/>
        <v>0.95757648557675079</v>
      </c>
      <c r="AN65" s="812">
        <f t="shared" si="12"/>
        <v>0.64805880774325786</v>
      </c>
      <c r="AO65" s="790">
        <f t="shared" si="13"/>
        <v>1.807000893876674E-2</v>
      </c>
      <c r="AP65" s="814">
        <f t="shared" si="14"/>
        <v>0.33387118331797538</v>
      </c>
    </row>
    <row r="66" spans="1:42" x14ac:dyDescent="0.3">
      <c r="A66" s="435" t="s">
        <v>153</v>
      </c>
      <c r="B66" s="319" t="s">
        <v>154</v>
      </c>
      <c r="C66" s="436" t="s">
        <v>252</v>
      </c>
      <c r="D66" s="481">
        <f>'Administration LASER'!D65+'Other Oper Exp. LASER'!D65</f>
        <v>599511.97</v>
      </c>
      <c r="E66" s="482">
        <f>'Administration LASER'!E65+'Other Oper Exp. LASER'!E65</f>
        <v>250147.38999999998</v>
      </c>
      <c r="F66" s="482">
        <f>'Administration LASER'!F65+'Other Oper Exp. LASER'!F65</f>
        <v>156940.25999999998</v>
      </c>
      <c r="G66" s="482">
        <f>'Administration LASER'!J65 + 'Other Oper Exp. LASER'!J65</f>
        <v>43870.61</v>
      </c>
      <c r="H66" s="483">
        <f>'Administration LASER'!I65+'Other Oper Exp. LASER'!I65</f>
        <v>1050470.23</v>
      </c>
      <c r="I66" s="481">
        <f>'Client Services LASER'!D65</f>
        <v>11524.211738714188</v>
      </c>
      <c r="J66" s="482">
        <f>'Client Services LASER'!E65</f>
        <v>2975.7382612858137</v>
      </c>
      <c r="K66" s="482">
        <f>'Client Services LASER'!F65</f>
        <v>894.06000000000006</v>
      </c>
      <c r="L66" s="482">
        <f>'Client Services LASER'!J65</f>
        <v>-494.99</v>
      </c>
      <c r="M66" s="483">
        <f>'Client Services LASER'!I65</f>
        <v>14899.02</v>
      </c>
      <c r="N66" s="1373">
        <f>'Statewide Benefits'!D66</f>
        <v>17789460.87845346</v>
      </c>
      <c r="O66" s="1374">
        <f>'Statewide Benefits'!E66</f>
        <v>15580434.378900141</v>
      </c>
      <c r="P66" s="1374">
        <f>'Statewide Benefits'!F66</f>
        <v>581752.91</v>
      </c>
      <c r="Q66" s="1777">
        <f>'Statewide Benefits'!G66</f>
        <v>0</v>
      </c>
      <c r="R66" s="1375">
        <f t="shared" si="20"/>
        <v>33951648.1673536</v>
      </c>
      <c r="S66" s="1373">
        <f>'Other Benefits LASER'!D65+'FC &amp; Adoptions LASER'!D65</f>
        <v>141360.28</v>
      </c>
      <c r="T66" s="1374">
        <f>'Other Benefits LASER'!E65 + 'FC &amp; Adoptions LASER'!E65</f>
        <v>194687.32</v>
      </c>
      <c r="U66" s="1374">
        <f>'Other Benefits LASER'!F65+'FC &amp; Adoptions LASER'!F65</f>
        <v>11810.4</v>
      </c>
      <c r="V66" s="1777">
        <f>'FC &amp; Adoptions LASER'!J65+'Other Benefits LASER'!J65</f>
        <v>-6.9999999999999993E-2</v>
      </c>
      <c r="W66" s="1375">
        <f>'Other Benefits LASER'!I65+'FC &amp; Adoptions LASER'!I65</f>
        <v>347857.93</v>
      </c>
      <c r="X66" s="1373">
        <f t="shared" si="15"/>
        <v>18541857.340192176</v>
      </c>
      <c r="Y66" s="1374">
        <f t="shared" si="16"/>
        <v>16028244.827161426</v>
      </c>
      <c r="Z66" s="1374">
        <f t="shared" si="17"/>
        <v>751397.63</v>
      </c>
      <c r="AA66" s="1777">
        <f t="shared" si="18"/>
        <v>43375.55</v>
      </c>
      <c r="AB66" s="1375">
        <f t="shared" si="19"/>
        <v>35364875.3473536</v>
      </c>
      <c r="AD66" s="340">
        <f t="shared" si="4"/>
        <v>0.57070819608091128</v>
      </c>
      <c r="AE66" s="341">
        <f t="shared" si="5"/>
        <v>0.23812896630112021</v>
      </c>
      <c r="AF66" s="341">
        <f t="shared" si="6"/>
        <v>0.14940000727102945</v>
      </c>
      <c r="AG66" s="341">
        <f t="shared" si="7"/>
        <v>4.1762830346939013E-2</v>
      </c>
      <c r="AH66" s="342">
        <f t="shared" si="8"/>
        <v>0.80883716238203152</v>
      </c>
      <c r="AJ66" s="812">
        <f t="shared" si="9"/>
        <v>2.9703773014390339E-2</v>
      </c>
      <c r="AK66" s="790">
        <f t="shared" si="10"/>
        <v>4.2129428857480517E-4</v>
      </c>
      <c r="AL66" s="814">
        <f t="shared" si="11"/>
        <v>0.96987493269703484</v>
      </c>
      <c r="AN66" s="812">
        <f t="shared" si="12"/>
        <v>0.20886445968694362</v>
      </c>
      <c r="AO66" s="790">
        <f t="shared" si="13"/>
        <v>1.1898626829578902E-3</v>
      </c>
      <c r="AP66" s="814">
        <f t="shared" si="14"/>
        <v>0.78994567763009849</v>
      </c>
    </row>
    <row r="67" spans="1:42" x14ac:dyDescent="0.3">
      <c r="A67" s="435" t="s">
        <v>155</v>
      </c>
      <c r="B67" s="319" t="s">
        <v>156</v>
      </c>
      <c r="C67" s="436" t="s">
        <v>253</v>
      </c>
      <c r="D67" s="481">
        <f>'Administration LASER'!D66+'Other Oper Exp. LASER'!D66</f>
        <v>695439.35</v>
      </c>
      <c r="E67" s="482">
        <f>'Administration LASER'!E66+'Other Oper Exp. LASER'!E66</f>
        <v>206180.27</v>
      </c>
      <c r="F67" s="482">
        <f>'Administration LASER'!F66+'Other Oper Exp. LASER'!F66</f>
        <v>457447.46</v>
      </c>
      <c r="G67" s="482">
        <f>'Administration LASER'!J66 + 'Other Oper Exp. LASER'!J66</f>
        <v>74071.8</v>
      </c>
      <c r="H67" s="483">
        <f>'Administration LASER'!I66+'Other Oper Exp. LASER'!I66</f>
        <v>1433138.8800000001</v>
      </c>
      <c r="I67" s="481">
        <f>'Client Services LASER'!D66</f>
        <v>13487.8865472173</v>
      </c>
      <c r="J67" s="482">
        <f>'Client Services LASER'!E66</f>
        <v>14735.363452782702</v>
      </c>
      <c r="K67" s="482">
        <f>'Client Services LASER'!F66</f>
        <v>5222.88</v>
      </c>
      <c r="L67" s="482">
        <f>'Client Services LASER'!J66</f>
        <v>0.01</v>
      </c>
      <c r="M67" s="483">
        <f>'Client Services LASER'!I66</f>
        <v>33446.14</v>
      </c>
      <c r="N67" s="1373">
        <f>'Statewide Benefits'!D67</f>
        <v>12530854.609429035</v>
      </c>
      <c r="O67" s="1374">
        <f>'Statewide Benefits'!E67</f>
        <v>10544207.630477611</v>
      </c>
      <c r="P67" s="1374">
        <f>'Statewide Benefits'!F67</f>
        <v>216758.16</v>
      </c>
      <c r="Q67" s="1777">
        <f>'Statewide Benefits'!G67</f>
        <v>0</v>
      </c>
      <c r="R67" s="1375">
        <f t="shared" si="20"/>
        <v>23291820.399906646</v>
      </c>
      <c r="S67" s="1373">
        <f>'Other Benefits LASER'!D66+'FC &amp; Adoptions LASER'!D66</f>
        <v>135481.73000000001</v>
      </c>
      <c r="T67" s="1374">
        <f>'Other Benefits LASER'!E66 + 'FC &amp; Adoptions LASER'!E66</f>
        <v>149170.43999999997</v>
      </c>
      <c r="U67" s="1374">
        <f>'Other Benefits LASER'!F66+'FC &amp; Adoptions LASER'!F66</f>
        <v>2203.1999999999998</v>
      </c>
      <c r="V67" s="1777">
        <f>'FC &amp; Adoptions LASER'!J66+'Other Benefits LASER'!J66</f>
        <v>-0.02</v>
      </c>
      <c r="W67" s="1375">
        <f>'Other Benefits LASER'!I66+'FC &amp; Adoptions LASER'!I66</f>
        <v>286855.34999999998</v>
      </c>
      <c r="X67" s="1373">
        <f t="shared" si="15"/>
        <v>13375263.575976253</v>
      </c>
      <c r="Y67" s="1374">
        <f t="shared" si="16"/>
        <v>10914293.703930393</v>
      </c>
      <c r="Z67" s="1374">
        <f t="shared" si="17"/>
        <v>681631.7</v>
      </c>
      <c r="AA67" s="1777">
        <f t="shared" si="18"/>
        <v>74071.789999999994</v>
      </c>
      <c r="AB67" s="1375">
        <f t="shared" si="19"/>
        <v>25045260.769906648</v>
      </c>
      <c r="AD67" s="340">
        <f t="shared" si="4"/>
        <v>0.48525607650809105</v>
      </c>
      <c r="AE67" s="341">
        <f t="shared" si="5"/>
        <v>0.14386621762714299</v>
      </c>
      <c r="AF67" s="341">
        <f t="shared" si="6"/>
        <v>0.31919269401162292</v>
      </c>
      <c r="AG67" s="341">
        <f t="shared" si="7"/>
        <v>5.1685011853142941E-2</v>
      </c>
      <c r="AH67" s="342">
        <f t="shared" si="8"/>
        <v>0.62912229413523402</v>
      </c>
      <c r="AJ67" s="812">
        <f t="shared" si="9"/>
        <v>5.7221958803559382E-2</v>
      </c>
      <c r="AK67" s="790">
        <f t="shared" si="10"/>
        <v>1.3354279002032792E-3</v>
      </c>
      <c r="AL67" s="814">
        <f t="shared" si="11"/>
        <v>0.94144261329623735</v>
      </c>
      <c r="AN67" s="812">
        <f t="shared" si="12"/>
        <v>0.67110649343333073</v>
      </c>
      <c r="AO67" s="790">
        <f t="shared" si="13"/>
        <v>7.6623196955188568E-3</v>
      </c>
      <c r="AP67" s="814">
        <f t="shared" si="14"/>
        <v>0.32123118687115054</v>
      </c>
    </row>
    <row r="68" spans="1:42" x14ac:dyDescent="0.3">
      <c r="A68" s="435" t="s">
        <v>161</v>
      </c>
      <c r="B68" s="319" t="s">
        <v>162</v>
      </c>
      <c r="C68" s="436" t="s">
        <v>251</v>
      </c>
      <c r="D68" s="481">
        <f>'Administration LASER'!D67+'Other Oper Exp. LASER'!D67</f>
        <v>1292858.49</v>
      </c>
      <c r="E68" s="482">
        <f>'Administration LASER'!E67+'Other Oper Exp. LASER'!E67</f>
        <v>496381.18</v>
      </c>
      <c r="F68" s="482">
        <f>'Administration LASER'!F67+'Other Oper Exp. LASER'!F67</f>
        <v>396019.49</v>
      </c>
      <c r="G68" s="482">
        <f>'Administration LASER'!J67 + 'Other Oper Exp. LASER'!J67</f>
        <v>245168.7</v>
      </c>
      <c r="H68" s="483">
        <f>'Administration LASER'!I67+'Other Oper Exp. LASER'!I67</f>
        <v>2430427.86</v>
      </c>
      <c r="I68" s="481">
        <f>'Client Services LASER'!D67</f>
        <v>56142.8822488898</v>
      </c>
      <c r="J68" s="482">
        <f>'Client Services LASER'!E67</f>
        <v>13636.547751110194</v>
      </c>
      <c r="K68" s="482">
        <f>'Client Services LASER'!F67</f>
        <v>14808.81</v>
      </c>
      <c r="L68" s="482">
        <f>'Client Services LASER'!J67</f>
        <v>-0.06</v>
      </c>
      <c r="M68" s="483">
        <f>'Client Services LASER'!I67</f>
        <v>84588.18</v>
      </c>
      <c r="N68" s="1373">
        <f>'Statewide Benefits'!D68</f>
        <v>25786243.355643686</v>
      </c>
      <c r="O68" s="1374">
        <f>'Statewide Benefits'!E68</f>
        <v>21420392.199150287</v>
      </c>
      <c r="P68" s="1374">
        <f>'Statewide Benefits'!F68</f>
        <v>62858.63</v>
      </c>
      <c r="Q68" s="1777">
        <f>'Statewide Benefits'!G68</f>
        <v>0</v>
      </c>
      <c r="R68" s="1375">
        <f t="shared" si="20"/>
        <v>47269494.184793971</v>
      </c>
      <c r="S68" s="1373">
        <f>'Other Benefits LASER'!D67+'FC &amp; Adoptions LASER'!D67</f>
        <v>9783.18</v>
      </c>
      <c r="T68" s="1374">
        <f>'Other Benefits LASER'!E67 + 'FC &amp; Adoptions LASER'!E67</f>
        <v>65080.78</v>
      </c>
      <c r="U68" s="1374">
        <f>'Other Benefits LASER'!F67+'FC &amp; Adoptions LASER'!F67</f>
        <v>13913.8</v>
      </c>
      <c r="V68" s="1777">
        <f>'FC &amp; Adoptions LASER'!J67+'Other Benefits LASER'!J67</f>
        <v>-0.03</v>
      </c>
      <c r="W68" s="1375">
        <f>'Other Benefits LASER'!I67+'FC &amp; Adoptions LASER'!I67</f>
        <v>88777.73000000001</v>
      </c>
      <c r="X68" s="1373">
        <f t="shared" si="15"/>
        <v>27145027.907892577</v>
      </c>
      <c r="Y68" s="1374">
        <f t="shared" si="16"/>
        <v>21995490.706901398</v>
      </c>
      <c r="Z68" s="1374">
        <f t="shared" si="17"/>
        <v>487600.73</v>
      </c>
      <c r="AA68" s="1777">
        <f t="shared" si="18"/>
        <v>245168.61000000002</v>
      </c>
      <c r="AB68" s="1375">
        <f t="shared" si="19"/>
        <v>49873287.954793967</v>
      </c>
      <c r="AD68" s="340">
        <f t="shared" si="4"/>
        <v>0.53194686881181497</v>
      </c>
      <c r="AE68" s="341">
        <f t="shared" si="5"/>
        <v>0.20423612984752407</v>
      </c>
      <c r="AF68" s="341">
        <f t="shared" si="6"/>
        <v>0.16294229362561702</v>
      </c>
      <c r="AG68" s="341">
        <f t="shared" si="7"/>
        <v>0.10087470771504406</v>
      </c>
      <c r="AH68" s="342">
        <f t="shared" si="8"/>
        <v>0.73618299865933889</v>
      </c>
      <c r="AJ68" s="812">
        <f t="shared" si="9"/>
        <v>4.8732055969580003E-2</v>
      </c>
      <c r="AK68" s="790">
        <f t="shared" si="10"/>
        <v>1.6960618292636374E-3</v>
      </c>
      <c r="AL68" s="814">
        <f t="shared" si="11"/>
        <v>0.9495718822011564</v>
      </c>
      <c r="AN68" s="812">
        <f t="shared" si="12"/>
        <v>0.81217985461178455</v>
      </c>
      <c r="AO68" s="790">
        <f t="shared" si="13"/>
        <v>3.0370770773866559E-2</v>
      </c>
      <c r="AP68" s="814">
        <f t="shared" si="14"/>
        <v>0.15744937461434891</v>
      </c>
    </row>
    <row r="69" spans="1:42" x14ac:dyDescent="0.3">
      <c r="A69" s="435" t="s">
        <v>163</v>
      </c>
      <c r="B69" s="319" t="s">
        <v>164</v>
      </c>
      <c r="C69" s="436" t="s">
        <v>253</v>
      </c>
      <c r="D69" s="481">
        <f>'Administration LASER'!D68+'Other Oper Exp. LASER'!D68</f>
        <v>653860.18000000005</v>
      </c>
      <c r="E69" s="482">
        <f>'Administration LASER'!E68+'Other Oper Exp. LASER'!E68</f>
        <v>212215.38</v>
      </c>
      <c r="F69" s="482">
        <f>'Administration LASER'!F68+'Other Oper Exp. LASER'!F68</f>
        <v>384785.79000000004</v>
      </c>
      <c r="G69" s="482">
        <f>'Administration LASER'!J68 + 'Other Oper Exp. LASER'!J68</f>
        <v>34247.67</v>
      </c>
      <c r="H69" s="483">
        <f>'Administration LASER'!I68+'Other Oper Exp. LASER'!I68</f>
        <v>1285109.02</v>
      </c>
      <c r="I69" s="481">
        <f>'Client Services LASER'!D68</f>
        <v>17916.36428463451</v>
      </c>
      <c r="J69" s="482">
        <f>'Client Services LASER'!E68</f>
        <v>4586.6557153654885</v>
      </c>
      <c r="K69" s="482">
        <f>'Client Services LASER'!F68</f>
        <v>4494.7899999999991</v>
      </c>
      <c r="L69" s="482">
        <f>'Client Services LASER'!J68</f>
        <v>-0.04</v>
      </c>
      <c r="M69" s="483">
        <f>'Client Services LASER'!I68</f>
        <v>26997.769999999997</v>
      </c>
      <c r="N69" s="1373">
        <f>'Statewide Benefits'!D69</f>
        <v>13500379.252778074</v>
      </c>
      <c r="O69" s="1374">
        <f>'Statewide Benefits'!E69</f>
        <v>10576605.272130819</v>
      </c>
      <c r="P69" s="1374">
        <f>'Statewide Benefits'!F69</f>
        <v>64507.24</v>
      </c>
      <c r="Q69" s="1777">
        <f>'Statewide Benefits'!G69</f>
        <v>0</v>
      </c>
      <c r="R69" s="1375">
        <f t="shared" ref="R69:R100" si="21">SUM(N69:P69)</f>
        <v>24141491.764908891</v>
      </c>
      <c r="S69" s="1373">
        <f>'Other Benefits LASER'!D68+'FC &amp; Adoptions LASER'!D68</f>
        <v>69570.880000000005</v>
      </c>
      <c r="T69" s="1374">
        <f>'Other Benefits LASER'!E68 + 'FC &amp; Adoptions LASER'!E68</f>
        <v>129470.98999999999</v>
      </c>
      <c r="U69" s="1374">
        <f>'Other Benefits LASER'!F68+'FC &amp; Adoptions LASER'!F68</f>
        <v>3586.6</v>
      </c>
      <c r="V69" s="1777">
        <f>'FC &amp; Adoptions LASER'!J68+'Other Benefits LASER'!J68</f>
        <v>-0.02</v>
      </c>
      <c r="W69" s="1375">
        <f>'Other Benefits LASER'!I68+'FC &amp; Adoptions LASER'!I68</f>
        <v>202628.45</v>
      </c>
      <c r="X69" s="1373">
        <f t="shared" si="15"/>
        <v>14241726.677062709</v>
      </c>
      <c r="Y69" s="1374">
        <f t="shared" si="16"/>
        <v>10922878.297846185</v>
      </c>
      <c r="Z69" s="1374">
        <f t="shared" si="17"/>
        <v>457374.42</v>
      </c>
      <c r="AA69" s="1777">
        <f t="shared" si="18"/>
        <v>34247.61</v>
      </c>
      <c r="AB69" s="1375">
        <f t="shared" si="19"/>
        <v>25656227.00490889</v>
      </c>
      <c r="AD69" s="340">
        <f t="shared" si="4"/>
        <v>0.50879744039147745</v>
      </c>
      <c r="AE69" s="341">
        <f t="shared" si="5"/>
        <v>0.16513414558400658</v>
      </c>
      <c r="AF69" s="341">
        <f t="shared" si="6"/>
        <v>0.29941879172243302</v>
      </c>
      <c r="AG69" s="341">
        <f t="shared" si="7"/>
        <v>2.6649622302082978E-2</v>
      </c>
      <c r="AH69" s="342">
        <f t="shared" si="8"/>
        <v>0.67393158597548408</v>
      </c>
      <c r="AJ69" s="812">
        <f t="shared" si="9"/>
        <v>5.0089556026851334E-2</v>
      </c>
      <c r="AK69" s="790">
        <f t="shared" si="10"/>
        <v>1.0522891770030887E-3</v>
      </c>
      <c r="AL69" s="814">
        <f t="shared" si="11"/>
        <v>0.94885815479614566</v>
      </c>
      <c r="AN69" s="812">
        <f t="shared" si="12"/>
        <v>0.84129276403345876</v>
      </c>
      <c r="AO69" s="790">
        <f t="shared" si="13"/>
        <v>9.8273751295492196E-3</v>
      </c>
      <c r="AP69" s="814">
        <f t="shared" si="14"/>
        <v>0.14887986083699215</v>
      </c>
    </row>
    <row r="70" spans="1:42" x14ac:dyDescent="0.3">
      <c r="A70" s="435" t="s">
        <v>167</v>
      </c>
      <c r="B70" s="319" t="s">
        <v>168</v>
      </c>
      <c r="C70" s="436" t="s">
        <v>253</v>
      </c>
      <c r="D70" s="481">
        <f>'Administration LASER'!D69+'Other Oper Exp. LASER'!D69</f>
        <v>749381.91</v>
      </c>
      <c r="E70" s="482">
        <f>'Administration LASER'!E69+'Other Oper Exp. LASER'!E69</f>
        <v>305544.71999999997</v>
      </c>
      <c r="F70" s="482">
        <f>'Administration LASER'!F69+'Other Oper Exp. LASER'!F69</f>
        <v>201096.28999999998</v>
      </c>
      <c r="G70" s="482">
        <f>'Administration LASER'!J69 + 'Other Oper Exp. LASER'!J69</f>
        <v>45413.350000000006</v>
      </c>
      <c r="H70" s="483">
        <f>'Administration LASER'!I69+'Other Oper Exp. LASER'!I69</f>
        <v>1301436.27</v>
      </c>
      <c r="I70" s="481">
        <f>'Client Services LASER'!D69</f>
        <v>27242.218188299266</v>
      </c>
      <c r="J70" s="482">
        <f>'Client Services LASER'!E69</f>
        <v>32155.071811700735</v>
      </c>
      <c r="K70" s="482">
        <f>'Client Services LASER'!F69</f>
        <v>11911.11</v>
      </c>
      <c r="L70" s="482">
        <f>'Client Services LASER'!J69</f>
        <v>3.9999999999999994E-2</v>
      </c>
      <c r="M70" s="483">
        <f>'Client Services LASER'!I69</f>
        <v>71308.439999999988</v>
      </c>
      <c r="N70" s="1373">
        <f>'Statewide Benefits'!D70</f>
        <v>24068717.266336609</v>
      </c>
      <c r="O70" s="1374">
        <f>'Statewide Benefits'!E70</f>
        <v>19544529.578495402</v>
      </c>
      <c r="P70" s="1374">
        <f>'Statewide Benefits'!F70</f>
        <v>346969.98</v>
      </c>
      <c r="Q70" s="1777">
        <f>'Statewide Benefits'!G70</f>
        <v>0</v>
      </c>
      <c r="R70" s="1375">
        <f t="shared" si="21"/>
        <v>43960216.824832007</v>
      </c>
      <c r="S70" s="1373">
        <f>'Other Benefits LASER'!D69+'FC &amp; Adoptions LASER'!D69</f>
        <v>71436.19</v>
      </c>
      <c r="T70" s="1374">
        <f>'Other Benefits LASER'!E69 + 'FC &amp; Adoptions LASER'!E69</f>
        <v>146463.97999999998</v>
      </c>
      <c r="U70" s="1374">
        <f>'Other Benefits LASER'!F69+'FC &amp; Adoptions LASER'!F69</f>
        <v>16852</v>
      </c>
      <c r="V70" s="1777">
        <f>'FC &amp; Adoptions LASER'!J69+'Other Benefits LASER'!J69</f>
        <v>-0.04</v>
      </c>
      <c r="W70" s="1375">
        <f>'Other Benefits LASER'!I69+'FC &amp; Adoptions LASER'!I69</f>
        <v>234752.13</v>
      </c>
      <c r="X70" s="1373">
        <f t="shared" si="15"/>
        <v>24916777.584524911</v>
      </c>
      <c r="Y70" s="1374">
        <f t="shared" si="16"/>
        <v>20028693.350307103</v>
      </c>
      <c r="Z70" s="1374">
        <f t="shared" si="17"/>
        <v>576829.37999999989</v>
      </c>
      <c r="AA70" s="1777">
        <f t="shared" si="18"/>
        <v>45413.350000000006</v>
      </c>
      <c r="AB70" s="1375">
        <f t="shared" si="19"/>
        <v>45567713.664832011</v>
      </c>
      <c r="AD70" s="340">
        <f t="shared" ref="AD70:AD125" si="22">D70/H70</f>
        <v>0.57581145329536576</v>
      </c>
      <c r="AE70" s="341">
        <f t="shared" ref="AE70:AE125" si="23">E70/H70</f>
        <v>0.2347750151453824</v>
      </c>
      <c r="AF70" s="341">
        <f t="shared" ref="AF70:AF125" si="24">F70/H70</f>
        <v>0.15451873797861801</v>
      </c>
      <c r="AG70" s="341">
        <f t="shared" ref="AG70:AG125" si="25">G70/H70</f>
        <v>3.4894793580633805E-2</v>
      </c>
      <c r="AH70" s="342">
        <f t="shared" ref="AH70:AH125" si="26">(D70+E70)/H70</f>
        <v>0.81058646844074811</v>
      </c>
      <c r="AJ70" s="812">
        <f t="shared" ref="AJ70:AJ125" si="27">H70/AB70</f>
        <v>2.8560490867998389E-2</v>
      </c>
      <c r="AK70" s="790">
        <f t="shared" ref="AK70:AK125" si="28">M70/AB70</f>
        <v>1.564889573448887E-3</v>
      </c>
      <c r="AL70" s="814">
        <f t="shared" ref="AL70:AL125" si="29">(R70+W70)/AB70</f>
        <v>0.9698746195585527</v>
      </c>
      <c r="AN70" s="812">
        <f t="shared" ref="AN70:AN125" si="30">F70/Z70</f>
        <v>0.34862352191561397</v>
      </c>
      <c r="AO70" s="790">
        <f t="shared" ref="AO70:AO125" si="31">K70/Z70</f>
        <v>2.0649277607877745E-2</v>
      </c>
      <c r="AP70" s="814">
        <f t="shared" ref="AP70:AP125" si="32">(P70+U70)/Z70</f>
        <v>0.63072720047650843</v>
      </c>
    </row>
    <row r="71" spans="1:42" x14ac:dyDescent="0.3">
      <c r="A71" s="435" t="s">
        <v>169</v>
      </c>
      <c r="B71" s="319" t="s">
        <v>170</v>
      </c>
      <c r="C71" s="436" t="s">
        <v>254</v>
      </c>
      <c r="D71" s="481">
        <f>'Administration LASER'!D70+'Other Oper Exp. LASER'!D70</f>
        <v>1241862.07</v>
      </c>
      <c r="E71" s="482">
        <f>'Administration LASER'!E70+'Other Oper Exp. LASER'!E70</f>
        <v>379753.64</v>
      </c>
      <c r="F71" s="482">
        <f>'Administration LASER'!F70+'Other Oper Exp. LASER'!F70</f>
        <v>804955.54</v>
      </c>
      <c r="G71" s="482">
        <f>'Administration LASER'!J70 + 'Other Oper Exp. LASER'!J70</f>
        <v>91262.17</v>
      </c>
      <c r="H71" s="483">
        <f>'Administration LASER'!I70+'Other Oper Exp. LASER'!I70</f>
        <v>2517833.42</v>
      </c>
      <c r="I71" s="481">
        <f>'Client Services LASER'!D70</f>
        <v>28643.893243437295</v>
      </c>
      <c r="J71" s="482">
        <f>'Client Services LASER'!E70</f>
        <v>14998.996756562708</v>
      </c>
      <c r="K71" s="482">
        <f>'Client Services LASER'!F70</f>
        <v>6194.58</v>
      </c>
      <c r="L71" s="482">
        <f>'Client Services LASER'!J70</f>
        <v>-0.06</v>
      </c>
      <c r="M71" s="483">
        <f>'Client Services LASER'!I70</f>
        <v>49837.41</v>
      </c>
      <c r="N71" s="1373">
        <f>'Statewide Benefits'!D71</f>
        <v>33457533.672678344</v>
      </c>
      <c r="O71" s="1374">
        <f>'Statewide Benefits'!E71</f>
        <v>28757813.879547887</v>
      </c>
      <c r="P71" s="1374">
        <f>'Statewide Benefits'!F71</f>
        <v>1160389.25</v>
      </c>
      <c r="Q71" s="1777">
        <f>'Statewide Benefits'!G71</f>
        <v>0</v>
      </c>
      <c r="R71" s="1375">
        <f t="shared" si="21"/>
        <v>63375736.802226231</v>
      </c>
      <c r="S71" s="1373">
        <f>'Other Benefits LASER'!D70+'FC &amp; Adoptions LASER'!D70</f>
        <v>411801.36000000004</v>
      </c>
      <c r="T71" s="1374">
        <f>'Other Benefits LASER'!E70 + 'FC &amp; Adoptions LASER'!E70</f>
        <v>585154.81000000006</v>
      </c>
      <c r="U71" s="1374">
        <f>'Other Benefits LASER'!F70+'FC &amp; Adoptions LASER'!F70</f>
        <v>13344.4</v>
      </c>
      <c r="V71" s="1777">
        <f>'FC &amp; Adoptions LASER'!J70+'Other Benefits LASER'!J70</f>
        <v>-0.03</v>
      </c>
      <c r="W71" s="1375">
        <f>'Other Benefits LASER'!I70+'FC &amp; Adoptions LASER'!I70</f>
        <v>1010300.54</v>
      </c>
      <c r="X71" s="1373">
        <f t="shared" ref="X71:X125" si="33">D71+I71+N71+S71</f>
        <v>35139840.995921783</v>
      </c>
      <c r="Y71" s="1374">
        <f t="shared" ref="Y71:Y125" si="34">E71+J71+O71+T71</f>
        <v>29737721.326304447</v>
      </c>
      <c r="Z71" s="1374">
        <f t="shared" ref="Z71:Z125" si="35">F71+K71+P71+U71</f>
        <v>1984883.77</v>
      </c>
      <c r="AA71" s="1777">
        <f t="shared" ref="AA71:AA125" si="36">G71+L71+Q71+V71</f>
        <v>91262.080000000002</v>
      </c>
      <c r="AB71" s="1375">
        <f t="shared" ref="AB71:AB125" si="37">H71+M71+R71+W71</f>
        <v>66953708.172226228</v>
      </c>
      <c r="AD71" s="340">
        <f t="shared" si="22"/>
        <v>0.49322646213822996</v>
      </c>
      <c r="AE71" s="341">
        <f t="shared" si="23"/>
        <v>0.15082556176412976</v>
      </c>
      <c r="AF71" s="341">
        <f t="shared" si="24"/>
        <v>0.31970166636361513</v>
      </c>
      <c r="AG71" s="341">
        <f t="shared" si="25"/>
        <v>3.6246309734025213E-2</v>
      </c>
      <c r="AH71" s="342">
        <f t="shared" si="26"/>
        <v>0.64405202390235972</v>
      </c>
      <c r="AJ71" s="812">
        <f t="shared" si="27"/>
        <v>3.7605585840344076E-2</v>
      </c>
      <c r="AK71" s="790">
        <f t="shared" si="28"/>
        <v>7.4435623299313515E-4</v>
      </c>
      <c r="AL71" s="814">
        <f t="shared" si="29"/>
        <v>0.9616500579266628</v>
      </c>
      <c r="AN71" s="812">
        <f t="shared" si="30"/>
        <v>0.40554290995084313</v>
      </c>
      <c r="AO71" s="790">
        <f t="shared" si="31"/>
        <v>3.1208779544809316E-3</v>
      </c>
      <c r="AP71" s="814">
        <f t="shared" si="32"/>
        <v>0.59133621209467591</v>
      </c>
    </row>
    <row r="72" spans="1:42" x14ac:dyDescent="0.3">
      <c r="A72" s="435" t="s">
        <v>171</v>
      </c>
      <c r="B72" s="319" t="s">
        <v>172</v>
      </c>
      <c r="C72" s="436" t="s">
        <v>254</v>
      </c>
      <c r="D72" s="481">
        <f>'Administration LASER'!D71+'Other Oper Exp. LASER'!D71</f>
        <v>1032873.1599999999</v>
      </c>
      <c r="E72" s="482">
        <f>'Administration LASER'!E71+'Other Oper Exp. LASER'!E71</f>
        <v>377050.13</v>
      </c>
      <c r="F72" s="482">
        <f>'Administration LASER'!F71+'Other Oper Exp. LASER'!F71</f>
        <v>439204.44</v>
      </c>
      <c r="G72" s="482">
        <f>'Administration LASER'!J71 + 'Other Oper Exp. LASER'!J71</f>
        <v>57681.17</v>
      </c>
      <c r="H72" s="483">
        <f>'Administration LASER'!I71+'Other Oper Exp. LASER'!I71</f>
        <v>1906808.9000000001</v>
      </c>
      <c r="I72" s="481">
        <f>'Client Services LASER'!D71</f>
        <v>19029.886986431691</v>
      </c>
      <c r="J72" s="482">
        <f>'Client Services LASER'!E71</f>
        <v>5821.9430135683106</v>
      </c>
      <c r="K72" s="482">
        <f>'Client Services LASER'!F71</f>
        <v>5587.57</v>
      </c>
      <c r="L72" s="482">
        <f>'Client Services LASER'!J71</f>
        <v>-22.339999999999996</v>
      </c>
      <c r="M72" s="483">
        <f>'Client Services LASER'!I71</f>
        <v>30417.06</v>
      </c>
      <c r="N72" s="1373">
        <f>'Statewide Benefits'!D72</f>
        <v>26245234.848290101</v>
      </c>
      <c r="O72" s="1374">
        <f>'Statewide Benefits'!E72</f>
        <v>21741038.30650137</v>
      </c>
      <c r="P72" s="1374">
        <f>'Statewide Benefits'!F72</f>
        <v>428643.42000000004</v>
      </c>
      <c r="Q72" s="1777">
        <f>'Statewide Benefits'!G72</f>
        <v>0</v>
      </c>
      <c r="R72" s="1375">
        <f t="shared" si="21"/>
        <v>48414916.574791476</v>
      </c>
      <c r="S72" s="1373">
        <f>'Other Benefits LASER'!D71+'FC &amp; Adoptions LASER'!D71</f>
        <v>260075.31999999998</v>
      </c>
      <c r="T72" s="1374">
        <f>'Other Benefits LASER'!E71 + 'FC &amp; Adoptions LASER'!E71</f>
        <v>296631.90999999997</v>
      </c>
      <c r="U72" s="1374">
        <f>'Other Benefits LASER'!F71+'FC &amp; Adoptions LASER'!F71</f>
        <v>13554.2</v>
      </c>
      <c r="V72" s="1777">
        <f>'FC &amp; Adoptions LASER'!J71+'Other Benefits LASER'!J71</f>
        <v>8291.48</v>
      </c>
      <c r="W72" s="1375">
        <f>'Other Benefits LASER'!I71+'FC &amp; Adoptions LASER'!I71</f>
        <v>578552.90999999992</v>
      </c>
      <c r="X72" s="1373">
        <f t="shared" si="33"/>
        <v>27557213.215276532</v>
      </c>
      <c r="Y72" s="1374">
        <f t="shared" si="34"/>
        <v>22420542.28951494</v>
      </c>
      <c r="Z72" s="1374">
        <f t="shared" si="35"/>
        <v>886989.63</v>
      </c>
      <c r="AA72" s="1777">
        <f t="shared" si="36"/>
        <v>65950.31</v>
      </c>
      <c r="AB72" s="1375">
        <f t="shared" si="37"/>
        <v>50930695.444791473</v>
      </c>
      <c r="AD72" s="340">
        <f t="shared" si="22"/>
        <v>0.54167628439326032</v>
      </c>
      <c r="AE72" s="341">
        <f t="shared" si="23"/>
        <v>0.197738813784643</v>
      </c>
      <c r="AF72" s="341">
        <f t="shared" si="24"/>
        <v>0.23033479652837785</v>
      </c>
      <c r="AG72" s="341">
        <f t="shared" si="25"/>
        <v>3.0250105293718733E-2</v>
      </c>
      <c r="AH72" s="342">
        <f t="shared" si="26"/>
        <v>0.73941509817790341</v>
      </c>
      <c r="AJ72" s="812">
        <f t="shared" si="27"/>
        <v>3.7439286531380039E-2</v>
      </c>
      <c r="AK72" s="790">
        <f t="shared" si="28"/>
        <v>5.9722451724563406E-4</v>
      </c>
      <c r="AL72" s="814">
        <f t="shared" si="29"/>
        <v>0.96196348895137429</v>
      </c>
      <c r="AN72" s="812">
        <f t="shared" si="30"/>
        <v>0.4951629930555107</v>
      </c>
      <c r="AO72" s="790">
        <f t="shared" si="31"/>
        <v>6.2994761280354538E-3</v>
      </c>
      <c r="AP72" s="814">
        <f t="shared" si="32"/>
        <v>0.49853753081645391</v>
      </c>
    </row>
    <row r="73" spans="1:42" x14ac:dyDescent="0.3">
      <c r="A73" s="435" t="s">
        <v>173</v>
      </c>
      <c r="B73" s="319" t="s">
        <v>174</v>
      </c>
      <c r="C73" s="436" t="s">
        <v>255</v>
      </c>
      <c r="D73" s="481">
        <f>'Administration LASER'!D72+'Other Oper Exp. LASER'!D72</f>
        <v>914558.91</v>
      </c>
      <c r="E73" s="482">
        <f>'Administration LASER'!E72+'Other Oper Exp. LASER'!E72</f>
        <v>329664.59999999998</v>
      </c>
      <c r="F73" s="482">
        <f>'Administration LASER'!F72+'Other Oper Exp. LASER'!F72</f>
        <v>404205.98000000004</v>
      </c>
      <c r="G73" s="482">
        <f>'Administration LASER'!J72 + 'Other Oper Exp. LASER'!J72</f>
        <v>53200.67</v>
      </c>
      <c r="H73" s="483">
        <f>'Administration LASER'!I72+'Other Oper Exp. LASER'!I72</f>
        <v>1701630.1600000001</v>
      </c>
      <c r="I73" s="481">
        <f>'Client Services LASER'!D72</f>
        <v>33385.732677272194</v>
      </c>
      <c r="J73" s="482">
        <f>'Client Services LASER'!E72</f>
        <v>21556.457322727802</v>
      </c>
      <c r="K73" s="482">
        <f>'Client Services LASER'!F72</f>
        <v>10802.51</v>
      </c>
      <c r="L73" s="482">
        <f>'Client Services LASER'!J72</f>
        <v>-0.04</v>
      </c>
      <c r="M73" s="483">
        <f>'Client Services LASER'!I72</f>
        <v>65744.66</v>
      </c>
      <c r="N73" s="1373">
        <f>'Statewide Benefits'!D73</f>
        <v>25496774.371805634</v>
      </c>
      <c r="O73" s="1374">
        <f>'Statewide Benefits'!E73</f>
        <v>21087562.7580043</v>
      </c>
      <c r="P73" s="1374">
        <f>'Statewide Benefits'!F73</f>
        <v>215807.02</v>
      </c>
      <c r="Q73" s="1777">
        <f>'Statewide Benefits'!G73</f>
        <v>0</v>
      </c>
      <c r="R73" s="1375">
        <f t="shared" si="21"/>
        <v>46800144.149809934</v>
      </c>
      <c r="S73" s="1373">
        <f>'Other Benefits LASER'!D72+'FC &amp; Adoptions LASER'!D72</f>
        <v>90278.82</v>
      </c>
      <c r="T73" s="1374">
        <f>'Other Benefits LASER'!E72 + 'FC &amp; Adoptions LASER'!E72</f>
        <v>136556.59</v>
      </c>
      <c r="U73" s="1374">
        <f>'Other Benefits LASER'!F72+'FC &amp; Adoptions LASER'!F72</f>
        <v>12709</v>
      </c>
      <c r="V73" s="1777">
        <f>'FC &amp; Adoptions LASER'!J72+'Other Benefits LASER'!J72</f>
        <v>-0.04</v>
      </c>
      <c r="W73" s="1375">
        <f>'Other Benefits LASER'!I72+'FC &amp; Adoptions LASER'!I72</f>
        <v>239544.37</v>
      </c>
      <c r="X73" s="1373">
        <f t="shared" si="33"/>
        <v>26534997.834482908</v>
      </c>
      <c r="Y73" s="1374">
        <f t="shared" si="34"/>
        <v>21575340.40532703</v>
      </c>
      <c r="Z73" s="1374">
        <f t="shared" si="35"/>
        <v>643524.51</v>
      </c>
      <c r="AA73" s="1777">
        <f t="shared" si="36"/>
        <v>53200.59</v>
      </c>
      <c r="AB73" s="1375">
        <f t="shared" si="37"/>
        <v>48807063.339809932</v>
      </c>
      <c r="AD73" s="340">
        <f t="shared" si="22"/>
        <v>0.53746044910252411</v>
      </c>
      <c r="AE73" s="341">
        <f t="shared" si="23"/>
        <v>0.19373457743602754</v>
      </c>
      <c r="AF73" s="341">
        <f t="shared" si="24"/>
        <v>0.23754044180787204</v>
      </c>
      <c r="AG73" s="341">
        <f t="shared" si="25"/>
        <v>3.1264531653576233E-2</v>
      </c>
      <c r="AH73" s="342">
        <f t="shared" si="26"/>
        <v>0.73119502653855162</v>
      </c>
      <c r="AJ73" s="812">
        <f t="shared" si="27"/>
        <v>3.4864424195176887E-2</v>
      </c>
      <c r="AK73" s="790">
        <f t="shared" si="28"/>
        <v>1.34703166921282E-3</v>
      </c>
      <c r="AL73" s="814">
        <f t="shared" si="29"/>
        <v>0.96378854413561033</v>
      </c>
      <c r="AN73" s="812">
        <f t="shared" si="30"/>
        <v>0.62811279713339907</v>
      </c>
      <c r="AO73" s="790">
        <f t="shared" si="31"/>
        <v>1.6786477954040941E-2</v>
      </c>
      <c r="AP73" s="814">
        <f t="shared" si="32"/>
        <v>0.35510072491256001</v>
      </c>
    </row>
    <row r="74" spans="1:42" x14ac:dyDescent="0.3">
      <c r="A74" s="435" t="s">
        <v>177</v>
      </c>
      <c r="B74" s="319" t="s">
        <v>178</v>
      </c>
      <c r="C74" s="436" t="s">
        <v>252</v>
      </c>
      <c r="D74" s="481">
        <f>'Administration LASER'!D73+'Other Oper Exp. LASER'!D73</f>
        <v>2282919.16</v>
      </c>
      <c r="E74" s="482">
        <f>'Administration LASER'!E73+'Other Oper Exp. LASER'!E73</f>
        <v>936420.3</v>
      </c>
      <c r="F74" s="482">
        <f>'Administration LASER'!F73+'Other Oper Exp. LASER'!F73</f>
        <v>630913.59</v>
      </c>
      <c r="G74" s="482">
        <f>'Administration LASER'!J73 + 'Other Oper Exp. LASER'!J73</f>
        <v>-2644.7700000000186</v>
      </c>
      <c r="H74" s="483">
        <f>'Administration LASER'!I73+'Other Oper Exp. LASER'!I73</f>
        <v>3847608.28</v>
      </c>
      <c r="I74" s="481">
        <f>'Client Services LASER'!D73</f>
        <v>74320.991786834376</v>
      </c>
      <c r="J74" s="482">
        <f>'Client Services LASER'!E73</f>
        <v>31360.558213165612</v>
      </c>
      <c r="K74" s="482">
        <f>'Client Services LASER'!F73</f>
        <v>21072.6</v>
      </c>
      <c r="L74" s="482">
        <f>'Client Services LASER'!J73</f>
        <v>-0.23</v>
      </c>
      <c r="M74" s="483">
        <f>'Client Services LASER'!I73</f>
        <v>126753.92</v>
      </c>
      <c r="N74" s="1373">
        <f>'Statewide Benefits'!D74</f>
        <v>82565691.920270637</v>
      </c>
      <c r="O74" s="1374">
        <f>'Statewide Benefits'!E74</f>
        <v>70106160.39656581</v>
      </c>
      <c r="P74" s="1374">
        <f>'Statewide Benefits'!F74</f>
        <v>1295469.3700000001</v>
      </c>
      <c r="Q74" s="1777">
        <f>'Statewide Benefits'!G74</f>
        <v>0</v>
      </c>
      <c r="R74" s="1375">
        <f t="shared" si="21"/>
        <v>153967321.68683645</v>
      </c>
      <c r="S74" s="1373">
        <f>'Other Benefits LASER'!D73+'FC &amp; Adoptions LASER'!D73</f>
        <v>237784.45</v>
      </c>
      <c r="T74" s="1374">
        <f>'Other Benefits LASER'!E73 + 'FC &amp; Adoptions LASER'!E73</f>
        <v>396167.36000000004</v>
      </c>
      <c r="U74" s="1374">
        <f>'Other Benefits LASER'!F73+'FC &amp; Adoptions LASER'!F73</f>
        <v>15038.2</v>
      </c>
      <c r="V74" s="1777">
        <f>'FC &amp; Adoptions LASER'!J73+'Other Benefits LASER'!J73</f>
        <v>7209.8</v>
      </c>
      <c r="W74" s="1375">
        <f>'Other Benefits LASER'!I73+'FC &amp; Adoptions LASER'!I73</f>
        <v>656199.81000000006</v>
      </c>
      <c r="X74" s="1373">
        <f t="shared" si="33"/>
        <v>85160716.522057474</v>
      </c>
      <c r="Y74" s="1374">
        <f t="shared" si="34"/>
        <v>71470108.614778981</v>
      </c>
      <c r="Z74" s="1374">
        <f t="shared" si="35"/>
        <v>1962493.76</v>
      </c>
      <c r="AA74" s="1777">
        <f t="shared" si="36"/>
        <v>4564.7999999999811</v>
      </c>
      <c r="AB74" s="1375">
        <f t="shared" si="37"/>
        <v>158597883.69683644</v>
      </c>
      <c r="AD74" s="340">
        <f t="shared" si="22"/>
        <v>0.59333461045571934</v>
      </c>
      <c r="AE74" s="341">
        <f t="shared" si="23"/>
        <v>0.24337724421364434</v>
      </c>
      <c r="AF74" s="341">
        <f t="shared" si="24"/>
        <v>0.16397552559586445</v>
      </c>
      <c r="AG74" s="341">
        <f t="shared" si="25"/>
        <v>-6.8738026522804419E-4</v>
      </c>
      <c r="AH74" s="342">
        <f t="shared" si="26"/>
        <v>0.8367118546693636</v>
      </c>
      <c r="AJ74" s="812">
        <f t="shared" si="27"/>
        <v>2.42601489396592E-2</v>
      </c>
      <c r="AK74" s="790">
        <f t="shared" si="28"/>
        <v>7.992157085922601E-4</v>
      </c>
      <c r="AL74" s="814">
        <f t="shared" si="29"/>
        <v>0.97494063535174857</v>
      </c>
      <c r="AN74" s="812">
        <f t="shared" si="30"/>
        <v>0.32148565404865287</v>
      </c>
      <c r="AO74" s="790">
        <f t="shared" si="31"/>
        <v>1.0737664714918634E-2</v>
      </c>
      <c r="AP74" s="814">
        <f t="shared" si="32"/>
        <v>0.66777668123642853</v>
      </c>
    </row>
    <row r="75" spans="1:42" x14ac:dyDescent="0.3">
      <c r="A75" s="435" t="s">
        <v>181</v>
      </c>
      <c r="B75" s="319" t="s">
        <v>182</v>
      </c>
      <c r="C75" s="436" t="s">
        <v>253</v>
      </c>
      <c r="D75" s="481">
        <f>'Administration LASER'!D74+'Other Oper Exp. LASER'!D74</f>
        <v>774038.85999999987</v>
      </c>
      <c r="E75" s="482">
        <f>'Administration LASER'!E74+'Other Oper Exp. LASER'!E74</f>
        <v>194421.81</v>
      </c>
      <c r="F75" s="482">
        <f>'Administration LASER'!F74+'Other Oper Exp. LASER'!F74</f>
        <v>647508.76</v>
      </c>
      <c r="G75" s="482">
        <f>'Administration LASER'!J74 + 'Other Oper Exp. LASER'!J74</f>
        <v>80961.22</v>
      </c>
      <c r="H75" s="483">
        <f>'Administration LASER'!I74+'Other Oper Exp. LASER'!I74</f>
        <v>1696930.65</v>
      </c>
      <c r="I75" s="481">
        <f>'Client Services LASER'!D74</f>
        <v>13562.112043608327</v>
      </c>
      <c r="J75" s="482">
        <f>'Client Services LASER'!E74</f>
        <v>3479.1979563916721</v>
      </c>
      <c r="K75" s="482">
        <f>'Client Services LASER'!F74</f>
        <v>3022.4700000000003</v>
      </c>
      <c r="L75" s="482">
        <f>'Client Services LASER'!J74</f>
        <v>-0.01</v>
      </c>
      <c r="M75" s="483">
        <f>'Client Services LASER'!I74</f>
        <v>20063.77</v>
      </c>
      <c r="N75" s="1373">
        <f>'Statewide Benefits'!D75</f>
        <v>15952191.540128635</v>
      </c>
      <c r="O75" s="1374">
        <f>'Statewide Benefits'!E75</f>
        <v>14106948.792249104</v>
      </c>
      <c r="P75" s="1374">
        <f>'Statewide Benefits'!F75</f>
        <v>822257.78</v>
      </c>
      <c r="Q75" s="1777">
        <f>'Statewide Benefits'!G75</f>
        <v>0</v>
      </c>
      <c r="R75" s="1375">
        <f t="shared" si="21"/>
        <v>30881398.11237774</v>
      </c>
      <c r="S75" s="1373">
        <f>'Other Benefits LASER'!D74+'FC &amp; Adoptions LASER'!D74</f>
        <v>93159.49</v>
      </c>
      <c r="T75" s="1374">
        <f>'Other Benefits LASER'!E74 + 'FC &amp; Adoptions LASER'!E74</f>
        <v>128457.23000000001</v>
      </c>
      <c r="U75" s="1374">
        <f>'Other Benefits LASER'!F74+'FC &amp; Adoptions LASER'!F74</f>
        <v>9675.2000000000007</v>
      </c>
      <c r="V75" s="1777">
        <f>'FC &amp; Adoptions LASER'!J74+'Other Benefits LASER'!J74</f>
        <v>3621</v>
      </c>
      <c r="W75" s="1375">
        <f>'Other Benefits LASER'!I74+'FC &amp; Adoptions LASER'!I74</f>
        <v>234912.92</v>
      </c>
      <c r="X75" s="1373">
        <f t="shared" si="33"/>
        <v>16832952.002172243</v>
      </c>
      <c r="Y75" s="1374">
        <f t="shared" si="34"/>
        <v>14433307.030205496</v>
      </c>
      <c r="Z75" s="1374">
        <f t="shared" si="35"/>
        <v>1482464.21</v>
      </c>
      <c r="AA75" s="1777">
        <f t="shared" si="36"/>
        <v>84582.21</v>
      </c>
      <c r="AB75" s="1375">
        <f t="shared" si="37"/>
        <v>32833305.452377744</v>
      </c>
      <c r="AD75" s="340">
        <f t="shared" si="22"/>
        <v>0.45614053821233053</v>
      </c>
      <c r="AE75" s="341">
        <f t="shared" si="23"/>
        <v>0.11457263147436227</v>
      </c>
      <c r="AF75" s="341">
        <f t="shared" si="24"/>
        <v>0.38157644214865238</v>
      </c>
      <c r="AG75" s="341">
        <f t="shared" si="25"/>
        <v>4.7710388164654817E-2</v>
      </c>
      <c r="AH75" s="342">
        <f t="shared" si="26"/>
        <v>0.57071316968669283</v>
      </c>
      <c r="AJ75" s="812">
        <f t="shared" si="27"/>
        <v>5.1683210892709872E-2</v>
      </c>
      <c r="AK75" s="790">
        <f t="shared" si="28"/>
        <v>6.1107980824839578E-4</v>
      </c>
      <c r="AL75" s="814">
        <f t="shared" si="29"/>
        <v>0.94770570929904163</v>
      </c>
      <c r="AN75" s="812">
        <f t="shared" si="30"/>
        <v>0.43677867946640009</v>
      </c>
      <c r="AO75" s="790">
        <f t="shared" si="31"/>
        <v>2.038814819010032E-3</v>
      </c>
      <c r="AP75" s="814">
        <f t="shared" si="32"/>
        <v>0.56118250571458994</v>
      </c>
    </row>
    <row r="76" spans="1:42" x14ac:dyDescent="0.3">
      <c r="A76" s="435" t="s">
        <v>183</v>
      </c>
      <c r="B76" s="319" t="s">
        <v>184</v>
      </c>
      <c r="C76" s="436" t="s">
        <v>253</v>
      </c>
      <c r="D76" s="481">
        <f>'Administration LASER'!D75+'Other Oper Exp. LASER'!D75</f>
        <v>1241846.08</v>
      </c>
      <c r="E76" s="482">
        <f>'Administration LASER'!E75+'Other Oper Exp. LASER'!E75</f>
        <v>422298.44999999995</v>
      </c>
      <c r="F76" s="482">
        <f>'Administration LASER'!F75+'Other Oper Exp. LASER'!F75</f>
        <v>603038.5199999999</v>
      </c>
      <c r="G76" s="482">
        <f>'Administration LASER'!J75 + 'Other Oper Exp. LASER'!J75</f>
        <v>103268.51000000001</v>
      </c>
      <c r="H76" s="483">
        <f>'Administration LASER'!I75+'Other Oper Exp. LASER'!I75</f>
        <v>2370451.5599999996</v>
      </c>
      <c r="I76" s="481">
        <f>'Client Services LASER'!D75</f>
        <v>23423.664347778737</v>
      </c>
      <c r="J76" s="482">
        <f>'Client Services LASER'!E75</f>
        <v>63956.325652221261</v>
      </c>
      <c r="K76" s="482">
        <f>'Client Services LASER'!F75</f>
        <v>15186.590000000002</v>
      </c>
      <c r="L76" s="482">
        <f>'Client Services LASER'!J75</f>
        <v>-0.06</v>
      </c>
      <c r="M76" s="483">
        <f>'Client Services LASER'!I75</f>
        <v>102566.51999999999</v>
      </c>
      <c r="N76" s="1373">
        <f>'Statewide Benefits'!D76</f>
        <v>29562153.282783587</v>
      </c>
      <c r="O76" s="1374">
        <f>'Statewide Benefits'!E76</f>
        <v>24197447.122014444</v>
      </c>
      <c r="P76" s="1374">
        <f>'Statewide Benefits'!F76</f>
        <v>159265.94</v>
      </c>
      <c r="Q76" s="1777">
        <f>'Statewide Benefits'!G76</f>
        <v>0</v>
      </c>
      <c r="R76" s="1375">
        <f t="shared" si="21"/>
        <v>53918866.344798028</v>
      </c>
      <c r="S76" s="1373">
        <f>'Other Benefits LASER'!D75+'FC &amp; Adoptions LASER'!D75</f>
        <v>327647.78999999998</v>
      </c>
      <c r="T76" s="1374">
        <f>'Other Benefits LASER'!E75 + 'FC &amp; Adoptions LASER'!E75</f>
        <v>533000.38</v>
      </c>
      <c r="U76" s="1374">
        <f>'Other Benefits LASER'!F75+'FC &amp; Adoptions LASER'!F75</f>
        <v>19651.599999999999</v>
      </c>
      <c r="V76" s="1777">
        <f>'FC &amp; Adoptions LASER'!J75+'Other Benefits LASER'!J75</f>
        <v>-6.9999999999999993E-2</v>
      </c>
      <c r="W76" s="1375">
        <f>'Other Benefits LASER'!I75+'FC &amp; Adoptions LASER'!I75</f>
        <v>880299.70000000007</v>
      </c>
      <c r="X76" s="1373">
        <f t="shared" si="33"/>
        <v>31155070.817131363</v>
      </c>
      <c r="Y76" s="1374">
        <f t="shared" si="34"/>
        <v>25216702.277666666</v>
      </c>
      <c r="Z76" s="1374">
        <f t="shared" si="35"/>
        <v>797142.64999999979</v>
      </c>
      <c r="AA76" s="1777">
        <f t="shared" si="36"/>
        <v>103268.38</v>
      </c>
      <c r="AB76" s="1375">
        <f t="shared" si="37"/>
        <v>57272184.12479803</v>
      </c>
      <c r="AD76" s="340">
        <f t="shared" si="22"/>
        <v>0.52388587092663486</v>
      </c>
      <c r="AE76" s="341">
        <f t="shared" si="23"/>
        <v>0.1781510565860287</v>
      </c>
      <c r="AF76" s="341">
        <f t="shared" si="24"/>
        <v>0.25439816201095455</v>
      </c>
      <c r="AG76" s="341">
        <f t="shared" si="25"/>
        <v>4.3564910476381988E-2</v>
      </c>
      <c r="AH76" s="342">
        <f t="shared" si="26"/>
        <v>0.70203692751266356</v>
      </c>
      <c r="AJ76" s="812">
        <f t="shared" si="27"/>
        <v>4.1389229278120512E-2</v>
      </c>
      <c r="AK76" s="790">
        <f t="shared" si="28"/>
        <v>1.7908609836933067E-3</v>
      </c>
      <c r="AL76" s="814">
        <f t="shared" si="29"/>
        <v>0.9568199097381862</v>
      </c>
      <c r="AN76" s="812">
        <f t="shared" si="30"/>
        <v>0.75650013206544653</v>
      </c>
      <c r="AO76" s="790">
        <f t="shared" si="31"/>
        <v>1.9051282728379929E-2</v>
      </c>
      <c r="AP76" s="814">
        <f t="shared" si="32"/>
        <v>0.22444858520617364</v>
      </c>
    </row>
    <row r="77" spans="1:42" x14ac:dyDescent="0.3">
      <c r="A77" s="435" t="s">
        <v>185</v>
      </c>
      <c r="B77" s="319" t="s">
        <v>186</v>
      </c>
      <c r="C77" s="436" t="s">
        <v>251</v>
      </c>
      <c r="D77" s="481">
        <f>'Administration LASER'!D76+'Other Oper Exp. LASER'!D76</f>
        <v>1160985.04</v>
      </c>
      <c r="E77" s="482">
        <f>'Administration LASER'!E76+'Other Oper Exp. LASER'!E76</f>
        <v>341956.55</v>
      </c>
      <c r="F77" s="482">
        <f>'Administration LASER'!F76+'Other Oper Exp. LASER'!F76</f>
        <v>785229.08</v>
      </c>
      <c r="G77" s="482">
        <f>'Administration LASER'!J76 + 'Other Oper Exp. LASER'!J76</f>
        <v>115095.17999999996</v>
      </c>
      <c r="H77" s="483">
        <f>'Administration LASER'!I76+'Other Oper Exp. LASER'!I76</f>
        <v>2403265.8499999996</v>
      </c>
      <c r="I77" s="481">
        <f>'Client Services LASER'!D76</f>
        <v>23696.330727644752</v>
      </c>
      <c r="J77" s="482">
        <f>'Client Services LASER'!E76</f>
        <v>19159.889272355242</v>
      </c>
      <c r="K77" s="482">
        <f>'Client Services LASER'!F76</f>
        <v>7562.1900000000005</v>
      </c>
      <c r="L77" s="482">
        <f>'Client Services LASER'!J76</f>
        <v>-0.11</v>
      </c>
      <c r="M77" s="483">
        <f>'Client Services LASER'!I76</f>
        <v>50418.299999999996</v>
      </c>
      <c r="N77" s="1373">
        <f>'Statewide Benefits'!D77</f>
        <v>29510616.18079276</v>
      </c>
      <c r="O77" s="1374">
        <f>'Statewide Benefits'!E77</f>
        <v>24465231.418996532</v>
      </c>
      <c r="P77" s="1374">
        <f>'Statewide Benefits'!F77</f>
        <v>873989.55999999994</v>
      </c>
      <c r="Q77" s="1777">
        <f>'Statewide Benefits'!G77</f>
        <v>0</v>
      </c>
      <c r="R77" s="1375">
        <f t="shared" si="21"/>
        <v>54849837.159789294</v>
      </c>
      <c r="S77" s="1373">
        <f>'Other Benefits LASER'!D76+'FC &amp; Adoptions LASER'!D76</f>
        <v>259643.29</v>
      </c>
      <c r="T77" s="1374">
        <f>'Other Benefits LASER'!E76 + 'FC &amp; Adoptions LASER'!E76</f>
        <v>328069.36</v>
      </c>
      <c r="U77" s="1374">
        <f>'Other Benefits LASER'!F76+'FC &amp; Adoptions LASER'!F76</f>
        <v>8021.4</v>
      </c>
      <c r="V77" s="1777">
        <f>'FC &amp; Adoptions LASER'!J76+'Other Benefits LASER'!J76</f>
        <v>-0.02</v>
      </c>
      <c r="W77" s="1375">
        <f>'Other Benefits LASER'!I76+'FC &amp; Adoptions LASER'!I76</f>
        <v>595734.03</v>
      </c>
      <c r="X77" s="1373">
        <f t="shared" si="33"/>
        <v>30954940.841520403</v>
      </c>
      <c r="Y77" s="1374">
        <f t="shared" si="34"/>
        <v>25154417.218268886</v>
      </c>
      <c r="Z77" s="1374">
        <f t="shared" si="35"/>
        <v>1674802.2299999997</v>
      </c>
      <c r="AA77" s="1777">
        <f t="shared" si="36"/>
        <v>115095.04999999996</v>
      </c>
      <c r="AB77" s="1375">
        <f t="shared" si="37"/>
        <v>57899255.339789294</v>
      </c>
      <c r="AD77" s="340">
        <f t="shared" si="22"/>
        <v>0.48308639678793763</v>
      </c>
      <c r="AE77" s="341">
        <f t="shared" si="23"/>
        <v>0.14228827410001271</v>
      </c>
      <c r="AF77" s="341">
        <f t="shared" si="24"/>
        <v>0.32673417300046104</v>
      </c>
      <c r="AG77" s="341">
        <f t="shared" si="25"/>
        <v>4.7891156111588729E-2</v>
      </c>
      <c r="AH77" s="342">
        <f t="shared" si="26"/>
        <v>0.6253746708879504</v>
      </c>
      <c r="AJ77" s="812">
        <f t="shared" si="27"/>
        <v>4.1507716047402027E-2</v>
      </c>
      <c r="AK77" s="790">
        <f t="shared" si="28"/>
        <v>8.7079358282094756E-4</v>
      </c>
      <c r="AL77" s="814">
        <f t="shared" si="29"/>
        <v>0.95762149036977706</v>
      </c>
      <c r="AN77" s="812">
        <f t="shared" si="30"/>
        <v>0.46884883834911067</v>
      </c>
      <c r="AO77" s="790">
        <f t="shared" si="31"/>
        <v>4.5152734242538007E-3</v>
      </c>
      <c r="AP77" s="814">
        <f t="shared" si="32"/>
        <v>0.52663588822663565</v>
      </c>
    </row>
    <row r="78" spans="1:42" x14ac:dyDescent="0.3">
      <c r="A78" s="435" t="s">
        <v>187</v>
      </c>
      <c r="B78" s="319" t="s">
        <v>188</v>
      </c>
      <c r="C78" s="436" t="s">
        <v>254</v>
      </c>
      <c r="D78" s="481">
        <f>'Administration LASER'!D77+'Other Oper Exp. LASER'!D77</f>
        <v>13566372.58</v>
      </c>
      <c r="E78" s="482">
        <f>'Administration LASER'!E77+'Other Oper Exp. LASER'!E77</f>
        <v>3273154.32</v>
      </c>
      <c r="F78" s="482">
        <f>'Administration LASER'!F77+'Other Oper Exp. LASER'!F77</f>
        <v>11536907.600000001</v>
      </c>
      <c r="G78" s="482">
        <f>'Administration LASER'!J77 + 'Other Oper Exp. LASER'!J77</f>
        <v>2136278.7400000007</v>
      </c>
      <c r="H78" s="483">
        <f>'Administration LASER'!I77+'Other Oper Exp. LASER'!I77</f>
        <v>30512713.240000006</v>
      </c>
      <c r="I78" s="481">
        <f>'Client Services LASER'!D77</f>
        <v>457041.40048845368</v>
      </c>
      <c r="J78" s="482">
        <f>'Client Services LASER'!E77</f>
        <v>180268.70951154636</v>
      </c>
      <c r="K78" s="482">
        <f>'Client Services LASER'!F77</f>
        <v>135811.59</v>
      </c>
      <c r="L78" s="482">
        <f>'Client Services LASER'!J77</f>
        <v>104494.40000000001</v>
      </c>
      <c r="M78" s="483">
        <f>'Client Services LASER'!I77</f>
        <v>877616.10000000009</v>
      </c>
      <c r="N78" s="1373">
        <f>'Statewide Benefits'!D78</f>
        <v>290721267.44640505</v>
      </c>
      <c r="O78" s="1374">
        <f>'Statewide Benefits'!E78</f>
        <v>239545237.19357592</v>
      </c>
      <c r="P78" s="1374">
        <f>'Statewide Benefits'!F78</f>
        <v>6592026.6700000009</v>
      </c>
      <c r="Q78" s="1777">
        <f>'Statewide Benefits'!G78</f>
        <v>0</v>
      </c>
      <c r="R78" s="1375">
        <f t="shared" si="21"/>
        <v>536858531.30998099</v>
      </c>
      <c r="S78" s="1373">
        <f>'Other Benefits LASER'!D77+'FC &amp; Adoptions LASER'!D77</f>
        <v>1400929.4999999998</v>
      </c>
      <c r="T78" s="1374">
        <f>'Other Benefits LASER'!E77 + 'FC &amp; Adoptions LASER'!E77</f>
        <v>2020292.8499999999</v>
      </c>
      <c r="U78" s="1374">
        <f>'Other Benefits LASER'!F77+'FC &amp; Adoptions LASER'!F77</f>
        <v>83696.100000000006</v>
      </c>
      <c r="V78" s="1777">
        <f>'FC &amp; Adoptions LASER'!J77+'Other Benefits LASER'!J77</f>
        <v>66507.44</v>
      </c>
      <c r="W78" s="1375">
        <f>'Other Benefits LASER'!I77+'FC &amp; Adoptions LASER'!I77</f>
        <v>3571425.8899999997</v>
      </c>
      <c r="X78" s="1373">
        <f t="shared" si="33"/>
        <v>306145610.92689353</v>
      </c>
      <c r="Y78" s="1374">
        <f t="shared" si="34"/>
        <v>245018953.07308745</v>
      </c>
      <c r="Z78" s="1374">
        <f t="shared" si="35"/>
        <v>18348441.960000005</v>
      </c>
      <c r="AA78" s="1777">
        <f t="shared" si="36"/>
        <v>2307280.5800000005</v>
      </c>
      <c r="AB78" s="1375">
        <f t="shared" si="37"/>
        <v>571820286.53998101</v>
      </c>
      <c r="AD78" s="340">
        <f t="shared" si="22"/>
        <v>0.44461377371762034</v>
      </c>
      <c r="AE78" s="341">
        <f t="shared" si="23"/>
        <v>0.107271821232506</v>
      </c>
      <c r="AF78" s="341">
        <f t="shared" si="24"/>
        <v>0.37810166238759563</v>
      </c>
      <c r="AG78" s="341">
        <f t="shared" si="25"/>
        <v>7.0012742662277916E-2</v>
      </c>
      <c r="AH78" s="342">
        <f t="shared" si="26"/>
        <v>0.55188559495012623</v>
      </c>
      <c r="AJ78" s="812">
        <f t="shared" si="27"/>
        <v>5.3360669354053411E-2</v>
      </c>
      <c r="AK78" s="790">
        <f t="shared" si="28"/>
        <v>1.5347760837768707E-3</v>
      </c>
      <c r="AL78" s="814">
        <f t="shared" si="29"/>
        <v>0.94510455456216969</v>
      </c>
      <c r="AN78" s="812">
        <f t="shared" si="30"/>
        <v>0.62876769728736137</v>
      </c>
      <c r="AO78" s="790">
        <f t="shared" si="31"/>
        <v>7.4018050304255891E-3</v>
      </c>
      <c r="AP78" s="814">
        <f t="shared" si="32"/>
        <v>0.36383049768221293</v>
      </c>
    </row>
    <row r="79" spans="1:42" x14ac:dyDescent="0.3">
      <c r="A79" s="435" t="s">
        <v>189</v>
      </c>
      <c r="B79" s="319" t="s">
        <v>190</v>
      </c>
      <c r="C79" s="436" t="s">
        <v>255</v>
      </c>
      <c r="D79" s="481">
        <f>'Administration LASER'!D78+'Other Oper Exp. LASER'!D78</f>
        <v>2211476.12</v>
      </c>
      <c r="E79" s="482">
        <f>'Administration LASER'!E78+'Other Oper Exp. LASER'!E78</f>
        <v>886527.48</v>
      </c>
      <c r="F79" s="482">
        <f>'Administration LASER'!F78+'Other Oper Exp. LASER'!F78</f>
        <v>609014.06999999995</v>
      </c>
      <c r="G79" s="482">
        <f>'Administration LASER'!J78 + 'Other Oper Exp. LASER'!J78</f>
        <v>104514.39000000001</v>
      </c>
      <c r="H79" s="483">
        <f>'Administration LASER'!I78+'Other Oper Exp. LASER'!I78</f>
        <v>3811532.06</v>
      </c>
      <c r="I79" s="481">
        <f>'Client Services LASER'!D78</f>
        <v>38437.537292716348</v>
      </c>
      <c r="J79" s="482">
        <f>'Client Services LASER'!E78</f>
        <v>12958.612707283652</v>
      </c>
      <c r="K79" s="482">
        <f>'Client Services LASER'!F78</f>
        <v>7492.69</v>
      </c>
      <c r="L79" s="482">
        <f>'Client Services LASER'!J78</f>
        <v>545.04999999999995</v>
      </c>
      <c r="M79" s="483">
        <f>'Client Services LASER'!I78</f>
        <v>59433.890000000007</v>
      </c>
      <c r="N79" s="1373">
        <f>'Statewide Benefits'!D79</f>
        <v>44967034.910514034</v>
      </c>
      <c r="O79" s="1374">
        <f>'Statewide Benefits'!E79</f>
        <v>38007082.769153602</v>
      </c>
      <c r="P79" s="1374">
        <f>'Statewide Benefits'!F79</f>
        <v>958963.77999999991</v>
      </c>
      <c r="Q79" s="1777">
        <f>'Statewide Benefits'!G79</f>
        <v>0</v>
      </c>
      <c r="R79" s="1375">
        <f t="shared" si="21"/>
        <v>83933081.459667638</v>
      </c>
      <c r="S79" s="1373">
        <f>'Other Benefits LASER'!D78+'FC &amp; Adoptions LASER'!D78</f>
        <v>1006291.22</v>
      </c>
      <c r="T79" s="1374">
        <f>'Other Benefits LASER'!E78 + 'FC &amp; Adoptions LASER'!E78</f>
        <v>1092882.5</v>
      </c>
      <c r="U79" s="1374">
        <f>'Other Benefits LASER'!F78+'FC &amp; Adoptions LASER'!F78</f>
        <v>33892.6</v>
      </c>
      <c r="V79" s="1777">
        <f>'FC &amp; Adoptions LASER'!J78+'Other Benefits LASER'!J78</f>
        <v>7060.15</v>
      </c>
      <c r="W79" s="1375">
        <f>'Other Benefits LASER'!I78+'FC &amp; Adoptions LASER'!I78</f>
        <v>2140126.4699999997</v>
      </c>
      <c r="X79" s="1373">
        <f t="shared" si="33"/>
        <v>48223239.787806749</v>
      </c>
      <c r="Y79" s="1374">
        <f t="shared" si="34"/>
        <v>39999451.361860886</v>
      </c>
      <c r="Z79" s="1374">
        <f t="shared" si="35"/>
        <v>1609363.14</v>
      </c>
      <c r="AA79" s="1777">
        <f t="shared" si="36"/>
        <v>112119.59000000001</v>
      </c>
      <c r="AB79" s="1375">
        <f t="shared" si="37"/>
        <v>89944173.87966764</v>
      </c>
      <c r="AD79" s="340">
        <f t="shared" si="22"/>
        <v>0.58020661644388738</v>
      </c>
      <c r="AE79" s="341">
        <f t="shared" si="23"/>
        <v>0.23259084957034309</v>
      </c>
      <c r="AF79" s="341">
        <f t="shared" si="24"/>
        <v>0.15978196179727266</v>
      </c>
      <c r="AG79" s="341">
        <f t="shared" si="25"/>
        <v>2.7420572188496826E-2</v>
      </c>
      <c r="AH79" s="342">
        <f t="shared" si="26"/>
        <v>0.81279746601423053</v>
      </c>
      <c r="AJ79" s="812">
        <f t="shared" si="27"/>
        <v>4.2376642039086171E-2</v>
      </c>
      <c r="AK79" s="790">
        <f t="shared" si="28"/>
        <v>6.6078643492255534E-4</v>
      </c>
      <c r="AL79" s="814">
        <f t="shared" si="29"/>
        <v>0.95696257152599129</v>
      </c>
      <c r="AN79" s="812">
        <f t="shared" si="30"/>
        <v>0.37841929820761272</v>
      </c>
      <c r="AO79" s="790">
        <f t="shared" si="31"/>
        <v>4.6556863480792781E-3</v>
      </c>
      <c r="AP79" s="814">
        <f t="shared" si="32"/>
        <v>0.616925015444308</v>
      </c>
    </row>
    <row r="80" spans="1:42" x14ac:dyDescent="0.3">
      <c r="A80" s="435" t="s">
        <v>193</v>
      </c>
      <c r="B80" s="319" t="s">
        <v>194</v>
      </c>
      <c r="C80" s="436" t="s">
        <v>254</v>
      </c>
      <c r="D80" s="481">
        <f>'Administration LASER'!D79+'Other Oper Exp. LASER'!D79</f>
        <v>570446.05999999994</v>
      </c>
      <c r="E80" s="482">
        <f>'Administration LASER'!E79+'Other Oper Exp. LASER'!E79</f>
        <v>157120.75</v>
      </c>
      <c r="F80" s="482">
        <f>'Administration LASER'!F79+'Other Oper Exp. LASER'!F79</f>
        <v>433142</v>
      </c>
      <c r="G80" s="482">
        <f>'Administration LASER'!J79 + 'Other Oper Exp. LASER'!J79</f>
        <v>52912.400000000009</v>
      </c>
      <c r="H80" s="483">
        <f>'Administration LASER'!I79+'Other Oper Exp. LASER'!I79</f>
        <v>1213621.2100000002</v>
      </c>
      <c r="I80" s="481">
        <f>'Client Services LASER'!D79</f>
        <v>19341.872067108998</v>
      </c>
      <c r="J80" s="482">
        <f>'Client Services LASER'!E79</f>
        <v>2325.997932891004</v>
      </c>
      <c r="K80" s="482">
        <f>'Client Services LASER'!F79</f>
        <v>3821.58</v>
      </c>
      <c r="L80" s="482">
        <f>'Client Services LASER'!J79</f>
        <v>-0.05</v>
      </c>
      <c r="M80" s="483">
        <f>'Client Services LASER'!I79</f>
        <v>25489.400000000005</v>
      </c>
      <c r="N80" s="1373">
        <f>'Statewide Benefits'!D80</f>
        <v>4611489.693525211</v>
      </c>
      <c r="O80" s="1374">
        <f>'Statewide Benefits'!E80</f>
        <v>4430249.0764341913</v>
      </c>
      <c r="P80" s="1374">
        <f>'Statewide Benefits'!F80</f>
        <v>728215.55999999994</v>
      </c>
      <c r="Q80" s="1777">
        <f>'Statewide Benefits'!G80</f>
        <v>0</v>
      </c>
      <c r="R80" s="1375">
        <f t="shared" si="21"/>
        <v>9769954.3299594019</v>
      </c>
      <c r="S80" s="1373">
        <f>'Other Benefits LASER'!D79+'FC &amp; Adoptions LASER'!D79</f>
        <v>275816.57999999996</v>
      </c>
      <c r="T80" s="1374">
        <f>'Other Benefits LASER'!E79 + 'FC &amp; Adoptions LASER'!E79</f>
        <v>282182.95</v>
      </c>
      <c r="U80" s="1374">
        <f>'Other Benefits LASER'!F79+'FC &amp; Adoptions LASER'!F79</f>
        <v>3261.2</v>
      </c>
      <c r="V80" s="1777">
        <f>'FC &amp; Adoptions LASER'!J79+'Other Benefits LASER'!J79</f>
        <v>23650.61</v>
      </c>
      <c r="W80" s="1375">
        <f>'Other Benefits LASER'!I79+'FC &amp; Adoptions LASER'!I79</f>
        <v>584911.34</v>
      </c>
      <c r="X80" s="1373">
        <f t="shared" si="33"/>
        <v>5477094.2055923203</v>
      </c>
      <c r="Y80" s="1374">
        <f t="shared" si="34"/>
        <v>4871878.7743670829</v>
      </c>
      <c r="Z80" s="1374">
        <f t="shared" si="35"/>
        <v>1168440.3399999999</v>
      </c>
      <c r="AA80" s="1777">
        <f t="shared" si="36"/>
        <v>76562.960000000006</v>
      </c>
      <c r="AB80" s="1375">
        <f t="shared" si="37"/>
        <v>11593976.279959401</v>
      </c>
      <c r="AD80" s="340">
        <f t="shared" si="22"/>
        <v>0.47003633036373832</v>
      </c>
      <c r="AE80" s="341">
        <f t="shared" si="23"/>
        <v>0.12946440677318088</v>
      </c>
      <c r="AF80" s="341">
        <f t="shared" si="24"/>
        <v>0.35690048627281318</v>
      </c>
      <c r="AG80" s="341">
        <f t="shared" si="25"/>
        <v>4.3598776590267403E-2</v>
      </c>
      <c r="AH80" s="342">
        <f t="shared" si="26"/>
        <v>0.5995007371369192</v>
      </c>
      <c r="AJ80" s="812">
        <f t="shared" si="27"/>
        <v>0.10467687536137084</v>
      </c>
      <c r="AK80" s="790">
        <f t="shared" si="28"/>
        <v>2.1985037216316664E-3</v>
      </c>
      <c r="AL80" s="814">
        <f t="shared" si="29"/>
        <v>0.89312462091699751</v>
      </c>
      <c r="AN80" s="812">
        <f t="shared" si="30"/>
        <v>0.37070099787893324</v>
      </c>
      <c r="AO80" s="790">
        <f t="shared" si="31"/>
        <v>3.2706676320333142E-3</v>
      </c>
      <c r="AP80" s="814">
        <f t="shared" si="32"/>
        <v>0.6260283344890335</v>
      </c>
    </row>
    <row r="81" spans="1:42" x14ac:dyDescent="0.3">
      <c r="A81" s="435" t="s">
        <v>197</v>
      </c>
      <c r="B81" s="319" t="s">
        <v>198</v>
      </c>
      <c r="C81" s="436" t="s">
        <v>253</v>
      </c>
      <c r="D81" s="481">
        <f>'Administration LASER'!D80+'Other Oper Exp. LASER'!D80</f>
        <v>494445.47</v>
      </c>
      <c r="E81" s="482">
        <f>'Administration LASER'!E80+'Other Oper Exp. LASER'!E80</f>
        <v>179434.23</v>
      </c>
      <c r="F81" s="482">
        <f>'Administration LASER'!F80+'Other Oper Exp. LASER'!F80</f>
        <v>219419.80999999997</v>
      </c>
      <c r="G81" s="482">
        <f>'Administration LASER'!J80 + 'Other Oper Exp. LASER'!J80</f>
        <v>22691.300000000003</v>
      </c>
      <c r="H81" s="483">
        <f>'Administration LASER'!I80+'Other Oper Exp. LASER'!I80</f>
        <v>915990.80999999994</v>
      </c>
      <c r="I81" s="481">
        <f>'Client Services LASER'!D80</f>
        <v>6992.6941902177123</v>
      </c>
      <c r="J81" s="482">
        <f>'Client Services LASER'!E80</f>
        <v>1346.5658097822879</v>
      </c>
      <c r="K81" s="482">
        <f>'Client Services LASER'!F80</f>
        <v>1603.51</v>
      </c>
      <c r="L81" s="482">
        <f>'Client Services LASER'!J80</f>
        <v>1.9999999999999997E-2</v>
      </c>
      <c r="M81" s="483">
        <f>'Client Services LASER'!I80</f>
        <v>9942.7900000000009</v>
      </c>
      <c r="N81" s="1373">
        <f>'Statewide Benefits'!D81</f>
        <v>11013985.653621228</v>
      </c>
      <c r="O81" s="1374">
        <f>'Statewide Benefits'!E81</f>
        <v>8438172.8788043</v>
      </c>
      <c r="P81" s="1374">
        <f>'Statewide Benefits'!F81</f>
        <v>88440.920000000013</v>
      </c>
      <c r="Q81" s="1777">
        <f>'Statewide Benefits'!G81</f>
        <v>0</v>
      </c>
      <c r="R81" s="1375">
        <f t="shared" si="21"/>
        <v>19540599.452425532</v>
      </c>
      <c r="S81" s="1373">
        <f>'Other Benefits LASER'!D80+'FC &amp; Adoptions LASER'!D80</f>
        <v>22098.46</v>
      </c>
      <c r="T81" s="1374">
        <f>'Other Benefits LASER'!E80 + 'FC &amp; Adoptions LASER'!E80</f>
        <v>73858.820000000007</v>
      </c>
      <c r="U81" s="1374">
        <f>'Other Benefits LASER'!F80+'FC &amp; Adoptions LASER'!F80</f>
        <v>1987.4</v>
      </c>
      <c r="V81" s="1777">
        <f>'FC &amp; Adoptions LASER'!J80+'Other Benefits LASER'!J80</f>
        <v>-0.01</v>
      </c>
      <c r="W81" s="1375">
        <f>'Other Benefits LASER'!I80+'FC &amp; Adoptions LASER'!I80</f>
        <v>97944.67</v>
      </c>
      <c r="X81" s="1373">
        <f t="shared" si="33"/>
        <v>11537522.277811447</v>
      </c>
      <c r="Y81" s="1374">
        <f t="shared" si="34"/>
        <v>8692812.4946140833</v>
      </c>
      <c r="Z81" s="1374">
        <f t="shared" si="35"/>
        <v>311451.64</v>
      </c>
      <c r="AA81" s="1777">
        <f t="shared" si="36"/>
        <v>22691.310000000005</v>
      </c>
      <c r="AB81" s="1375">
        <f t="shared" si="37"/>
        <v>20564477.722425535</v>
      </c>
      <c r="AD81" s="340">
        <f t="shared" si="22"/>
        <v>0.53979304661364458</v>
      </c>
      <c r="AE81" s="341">
        <f t="shared" si="23"/>
        <v>0.19589086270417932</v>
      </c>
      <c r="AF81" s="341">
        <f t="shared" si="24"/>
        <v>0.23954368057469919</v>
      </c>
      <c r="AG81" s="341">
        <f t="shared" si="25"/>
        <v>2.4772410107476956E-2</v>
      </c>
      <c r="AH81" s="342">
        <f t="shared" si="26"/>
        <v>0.73568390931782379</v>
      </c>
      <c r="AJ81" s="812">
        <f t="shared" si="27"/>
        <v>4.4542381399801524E-2</v>
      </c>
      <c r="AK81" s="790">
        <f t="shared" si="28"/>
        <v>4.8349343631311393E-4</v>
      </c>
      <c r="AL81" s="814">
        <f t="shared" si="29"/>
        <v>0.95497412516388525</v>
      </c>
      <c r="AN81" s="812">
        <f t="shared" si="30"/>
        <v>0.70450683772286438</v>
      </c>
      <c r="AO81" s="790">
        <f t="shared" si="31"/>
        <v>5.1485039539364763E-3</v>
      </c>
      <c r="AP81" s="814">
        <f t="shared" si="32"/>
        <v>0.29034465832319906</v>
      </c>
    </row>
    <row r="82" spans="1:42" x14ac:dyDescent="0.3">
      <c r="A82" s="435" t="s">
        <v>201</v>
      </c>
      <c r="B82" s="319" t="s">
        <v>406</v>
      </c>
      <c r="C82" s="436" t="s">
        <v>252</v>
      </c>
      <c r="D82" s="481">
        <f>'Administration LASER'!D81+'Other Oper Exp. LASER'!D81</f>
        <v>3710253.76</v>
      </c>
      <c r="E82" s="482">
        <f>'Administration LASER'!E81+'Other Oper Exp. LASER'!E81</f>
        <v>1018297.58</v>
      </c>
      <c r="F82" s="482">
        <f>'Administration LASER'!F81+'Other Oper Exp. LASER'!F81</f>
        <v>2656129.25</v>
      </c>
      <c r="G82" s="482">
        <f>'Administration LASER'!J81 + 'Other Oper Exp. LASER'!J81</f>
        <v>519616.05999999994</v>
      </c>
      <c r="H82" s="483">
        <f>'Administration LASER'!I81+'Other Oper Exp. LASER'!I81</f>
        <v>7904296.6500000004</v>
      </c>
      <c r="I82" s="481">
        <f>'Client Services LASER'!D81</f>
        <v>188424.6918962565</v>
      </c>
      <c r="J82" s="482">
        <f>'Client Services LASER'!E81</f>
        <v>163536.47810374355</v>
      </c>
      <c r="K82" s="482">
        <f>'Client Services LASER'!F81</f>
        <v>62438.01</v>
      </c>
      <c r="L82" s="482">
        <f>'Client Services LASER'!J81</f>
        <v>-0.45</v>
      </c>
      <c r="M82" s="483">
        <f>'Client Services LASER'!I81</f>
        <v>414398.73000000004</v>
      </c>
      <c r="N82" s="1373">
        <f>'Statewide Benefits'!D82</f>
        <v>84442887.730197057</v>
      </c>
      <c r="O82" s="1374">
        <f>'Statewide Benefits'!E82</f>
        <v>75384334.044127136</v>
      </c>
      <c r="P82" s="1374">
        <f>'Statewide Benefits'!F82</f>
        <v>4678661.75</v>
      </c>
      <c r="Q82" s="1777">
        <f>'Statewide Benefits'!G82</f>
        <v>0</v>
      </c>
      <c r="R82" s="1375">
        <f t="shared" si="21"/>
        <v>164505883.52432418</v>
      </c>
      <c r="S82" s="1373">
        <f>'Other Benefits LASER'!D81+'FC &amp; Adoptions LASER'!D81</f>
        <v>1925178.25</v>
      </c>
      <c r="T82" s="1374">
        <f>'Other Benefits LASER'!E81 + 'FC &amp; Adoptions LASER'!E81</f>
        <v>2602118.9699999997</v>
      </c>
      <c r="U82" s="1374">
        <f>'Other Benefits LASER'!F81+'FC &amp; Adoptions LASER'!F81</f>
        <v>47272.4</v>
      </c>
      <c r="V82" s="1777">
        <f>'FC &amp; Adoptions LASER'!J81+'Other Benefits LASER'!J81</f>
        <v>26828.799999999999</v>
      </c>
      <c r="W82" s="1375">
        <f>'Other Benefits LASER'!I81+'FC &amp; Adoptions LASER'!I81</f>
        <v>4601398.42</v>
      </c>
      <c r="X82" s="1373">
        <f t="shared" si="33"/>
        <v>90266744.432093307</v>
      </c>
      <c r="Y82" s="1374">
        <f t="shared" si="34"/>
        <v>79168287.072230875</v>
      </c>
      <c r="Z82" s="1374">
        <f t="shared" si="35"/>
        <v>7444501.4100000001</v>
      </c>
      <c r="AA82" s="1777">
        <f t="shared" si="36"/>
        <v>546444.40999999992</v>
      </c>
      <c r="AB82" s="1375">
        <f t="shared" si="37"/>
        <v>177425977.32432416</v>
      </c>
      <c r="AD82" s="340">
        <f t="shared" si="22"/>
        <v>0.4693970791189877</v>
      </c>
      <c r="AE82" s="341">
        <f t="shared" si="23"/>
        <v>0.12882836071189205</v>
      </c>
      <c r="AF82" s="341">
        <f t="shared" si="24"/>
        <v>0.33603612916020809</v>
      </c>
      <c r="AG82" s="341">
        <f t="shared" si="25"/>
        <v>6.5738431008912079E-2</v>
      </c>
      <c r="AH82" s="342">
        <f t="shared" si="26"/>
        <v>0.59822543983087983</v>
      </c>
      <c r="AJ82" s="812">
        <f t="shared" si="27"/>
        <v>4.454982730939909E-2</v>
      </c>
      <c r="AK82" s="790">
        <f t="shared" si="28"/>
        <v>2.3356147518494644E-3</v>
      </c>
      <c r="AL82" s="814">
        <f t="shared" si="29"/>
        <v>0.95311455793875144</v>
      </c>
      <c r="AN82" s="812">
        <f t="shared" si="30"/>
        <v>0.35679075114850439</v>
      </c>
      <c r="AO82" s="790">
        <f t="shared" si="31"/>
        <v>8.3871311940553455E-3</v>
      </c>
      <c r="AP82" s="814">
        <f t="shared" si="32"/>
        <v>0.63482211765744034</v>
      </c>
    </row>
    <row r="83" spans="1:42" x14ac:dyDescent="0.3">
      <c r="A83" s="435" t="s">
        <v>203</v>
      </c>
      <c r="B83" s="319" t="s">
        <v>269</v>
      </c>
      <c r="C83" s="436" t="s">
        <v>252</v>
      </c>
      <c r="D83" s="481">
        <f>'Administration LASER'!D82+'Other Oper Exp. LASER'!D82</f>
        <v>1134149.0999999999</v>
      </c>
      <c r="E83" s="482">
        <f>'Administration LASER'!E82+'Other Oper Exp. LASER'!E82</f>
        <v>464180.47</v>
      </c>
      <c r="F83" s="482">
        <f>'Administration LASER'!F82+'Other Oper Exp. LASER'!F82</f>
        <v>305528.36</v>
      </c>
      <c r="G83" s="482">
        <f>'Administration LASER'!J82 + 'Other Oper Exp. LASER'!J82</f>
        <v>73129.490000000005</v>
      </c>
      <c r="H83" s="483">
        <f>'Administration LASER'!I82+'Other Oper Exp. LASER'!I82</f>
        <v>1976987.42</v>
      </c>
      <c r="I83" s="481">
        <f>'Client Services LASER'!D82</f>
        <v>21441.594828769408</v>
      </c>
      <c r="J83" s="482">
        <f>'Client Services LASER'!E82</f>
        <v>8234.7151712305913</v>
      </c>
      <c r="K83" s="482">
        <f>'Client Services LASER'!F82</f>
        <v>6200.27</v>
      </c>
      <c r="L83" s="482">
        <f>'Client Services LASER'!J82</f>
        <v>403.59000000000003</v>
      </c>
      <c r="M83" s="483">
        <f>'Client Services LASER'!I82</f>
        <v>36280.17</v>
      </c>
      <c r="N83" s="1373">
        <f>'Statewide Benefits'!D83</f>
        <v>36397636.812102064</v>
      </c>
      <c r="O83" s="1374">
        <f>'Statewide Benefits'!E83</f>
        <v>34544280.280117519</v>
      </c>
      <c r="P83" s="1374">
        <f>'Statewide Benefits'!F83</f>
        <v>1675804.3100000003</v>
      </c>
      <c r="Q83" s="1777">
        <f>'Statewide Benefits'!G83</f>
        <v>0</v>
      </c>
      <c r="R83" s="1375">
        <f t="shared" si="21"/>
        <v>72617721.402219594</v>
      </c>
      <c r="S83" s="1373">
        <f>'Other Benefits LASER'!D82+'FC &amp; Adoptions LASER'!D82</f>
        <v>335850.27</v>
      </c>
      <c r="T83" s="1374">
        <f>'Other Benefits LASER'!E82 + 'FC &amp; Adoptions LASER'!E82</f>
        <v>439144.69999999995</v>
      </c>
      <c r="U83" s="1374">
        <f>'Other Benefits LASER'!F82+'FC &amp; Adoptions LASER'!F82</f>
        <v>25755.800000000003</v>
      </c>
      <c r="V83" s="1777">
        <f>'FC &amp; Adoptions LASER'!J82+'Other Benefits LASER'!J82</f>
        <v>-0.06</v>
      </c>
      <c r="W83" s="1375">
        <f>'Other Benefits LASER'!I82+'FC &amp; Adoptions LASER'!I82</f>
        <v>800750.71</v>
      </c>
      <c r="X83" s="1373">
        <f t="shared" si="33"/>
        <v>37889077.776930839</v>
      </c>
      <c r="Y83" s="1374">
        <f t="shared" si="34"/>
        <v>35455840.165288754</v>
      </c>
      <c r="Z83" s="1374">
        <f t="shared" si="35"/>
        <v>2013288.7400000005</v>
      </c>
      <c r="AA83" s="1777">
        <f t="shared" si="36"/>
        <v>73533.02</v>
      </c>
      <c r="AB83" s="1375">
        <f t="shared" si="37"/>
        <v>75431739.702219591</v>
      </c>
      <c r="AD83" s="340">
        <f t="shared" si="22"/>
        <v>0.57367542581530429</v>
      </c>
      <c r="AE83" s="341">
        <f t="shared" si="23"/>
        <v>0.23479181774459645</v>
      </c>
      <c r="AF83" s="341">
        <f t="shared" si="24"/>
        <v>0.1545423895514722</v>
      </c>
      <c r="AG83" s="341">
        <f t="shared" si="25"/>
        <v>3.6990366888626947E-2</v>
      </c>
      <c r="AH83" s="342">
        <f t="shared" si="26"/>
        <v>0.80846724355990085</v>
      </c>
      <c r="AJ83" s="812">
        <f t="shared" si="27"/>
        <v>2.6208959621036379E-2</v>
      </c>
      <c r="AK83" s="790">
        <f t="shared" si="28"/>
        <v>4.8096689991802545E-4</v>
      </c>
      <c r="AL83" s="814">
        <f t="shared" si="29"/>
        <v>0.97331007347904552</v>
      </c>
      <c r="AN83" s="812">
        <f t="shared" si="30"/>
        <v>0.15175585793024399</v>
      </c>
      <c r="AO83" s="790">
        <f t="shared" si="31"/>
        <v>3.0796725163227201E-3</v>
      </c>
      <c r="AP83" s="814">
        <f t="shared" si="32"/>
        <v>0.84516446955343327</v>
      </c>
    </row>
    <row r="84" spans="1:42" x14ac:dyDescent="0.3">
      <c r="A84" s="435" t="s">
        <v>205</v>
      </c>
      <c r="B84" s="319" t="s">
        <v>270</v>
      </c>
      <c r="C84" s="436" t="s">
        <v>254</v>
      </c>
      <c r="D84" s="481">
        <f>'Administration LASER'!D83+'Other Oper Exp. LASER'!D83</f>
        <v>4780945.37</v>
      </c>
      <c r="E84" s="482">
        <f>'Administration LASER'!E83+'Other Oper Exp. LASER'!E83</f>
        <v>1295315.6099999999</v>
      </c>
      <c r="F84" s="482">
        <f>'Administration LASER'!F83+'Other Oper Exp. LASER'!F83</f>
        <v>3595984.89</v>
      </c>
      <c r="G84" s="482">
        <f>'Administration LASER'!J83 + 'Other Oper Exp. LASER'!J83</f>
        <v>389974.22</v>
      </c>
      <c r="H84" s="483">
        <f>'Administration LASER'!I83+'Other Oper Exp. LASER'!I83</f>
        <v>10062220.09</v>
      </c>
      <c r="I84" s="481">
        <f>'Client Services LASER'!D83</f>
        <v>118925.76065817315</v>
      </c>
      <c r="J84" s="482">
        <f>'Client Services LASER'!E83</f>
        <v>144512.25934182684</v>
      </c>
      <c r="K84" s="482">
        <f>'Client Services LASER'!F83</f>
        <v>47806</v>
      </c>
      <c r="L84" s="482">
        <f>'Client Services LASER'!J83</f>
        <v>-0.41000000000000009</v>
      </c>
      <c r="M84" s="483">
        <f>'Client Services LASER'!I83</f>
        <v>311243.61000000004</v>
      </c>
      <c r="N84" s="1373">
        <f>'Statewide Benefits'!D84</f>
        <v>96368968.241953105</v>
      </c>
      <c r="O84" s="1374">
        <f>'Statewide Benefits'!E84</f>
        <v>82472830.022284761</v>
      </c>
      <c r="P84" s="1374">
        <f>'Statewide Benefits'!F84</f>
        <v>4610821.7200000007</v>
      </c>
      <c r="Q84" s="1777">
        <f>'Statewide Benefits'!G84</f>
        <v>0</v>
      </c>
      <c r="R84" s="1375">
        <f t="shared" si="21"/>
        <v>183452619.98423788</v>
      </c>
      <c r="S84" s="1373">
        <f>'Other Benefits LASER'!D83+'FC &amp; Adoptions LASER'!D83</f>
        <v>3191880.26</v>
      </c>
      <c r="T84" s="1374">
        <f>'Other Benefits LASER'!E83 + 'FC &amp; Adoptions LASER'!E83</f>
        <v>3887059.4299999997</v>
      </c>
      <c r="U84" s="1374">
        <f>'Other Benefits LASER'!F83+'FC &amp; Adoptions LASER'!F83</f>
        <v>40011.199999999997</v>
      </c>
      <c r="V84" s="1777">
        <f>'FC &amp; Adoptions LASER'!J83+'Other Benefits LASER'!J83</f>
        <v>139.66999999999999</v>
      </c>
      <c r="W84" s="1375">
        <f>'Other Benefits LASER'!I83+'FC &amp; Adoptions LASER'!I83</f>
        <v>7119090.5599999996</v>
      </c>
      <c r="X84" s="1373">
        <f t="shared" si="33"/>
        <v>104460719.63261129</v>
      </c>
      <c r="Y84" s="1374">
        <f t="shared" si="34"/>
        <v>87799717.321626574</v>
      </c>
      <c r="Z84" s="1374">
        <f t="shared" si="35"/>
        <v>8294623.8100000015</v>
      </c>
      <c r="AA84" s="1777">
        <f t="shared" si="36"/>
        <v>390113.48</v>
      </c>
      <c r="AB84" s="1375">
        <f t="shared" si="37"/>
        <v>200945174.24423787</v>
      </c>
      <c r="AD84" s="340">
        <f t="shared" si="22"/>
        <v>0.47513822270210354</v>
      </c>
      <c r="AE84" s="341">
        <f t="shared" si="23"/>
        <v>0.12873059806029347</v>
      </c>
      <c r="AF84" s="341">
        <f t="shared" si="24"/>
        <v>0.35737489916104592</v>
      </c>
      <c r="AG84" s="341">
        <f t="shared" si="25"/>
        <v>3.875628007655714E-2</v>
      </c>
      <c r="AH84" s="342">
        <f t="shared" si="26"/>
        <v>0.60386882076239701</v>
      </c>
      <c r="AJ84" s="812">
        <f t="shared" si="27"/>
        <v>5.0074455024084939E-2</v>
      </c>
      <c r="AK84" s="790">
        <f t="shared" si="28"/>
        <v>1.5488981567763377E-3</v>
      </c>
      <c r="AL84" s="814">
        <f t="shared" si="29"/>
        <v>0.9483766468191388</v>
      </c>
      <c r="AN84" s="812">
        <f t="shared" si="30"/>
        <v>0.43353200487099602</v>
      </c>
      <c r="AO84" s="790">
        <f t="shared" si="31"/>
        <v>5.7634922445024056E-3</v>
      </c>
      <c r="AP84" s="814">
        <f t="shared" si="32"/>
        <v>0.56070450288450158</v>
      </c>
    </row>
    <row r="85" spans="1:42" x14ac:dyDescent="0.3">
      <c r="A85" s="435" t="s">
        <v>207</v>
      </c>
      <c r="B85" s="319" t="s">
        <v>208</v>
      </c>
      <c r="C85" s="436" t="s">
        <v>255</v>
      </c>
      <c r="D85" s="481">
        <f>'Administration LASER'!D84+'Other Oper Exp. LASER'!D84</f>
        <v>1734236.76</v>
      </c>
      <c r="E85" s="482">
        <f>'Administration LASER'!E84+'Other Oper Exp. LASER'!E84</f>
        <v>695389.34</v>
      </c>
      <c r="F85" s="482">
        <f>'Administration LASER'!F84+'Other Oper Exp. LASER'!F84</f>
        <v>476164.04</v>
      </c>
      <c r="G85" s="482">
        <f>'Administration LASER'!J84 + 'Other Oper Exp. LASER'!J84</f>
        <v>80787.95</v>
      </c>
      <c r="H85" s="483">
        <f>'Administration LASER'!I84+'Other Oper Exp. LASER'!I84</f>
        <v>2986578.09</v>
      </c>
      <c r="I85" s="481">
        <f>'Client Services LASER'!D84</f>
        <v>76911.114677359074</v>
      </c>
      <c r="J85" s="482">
        <f>'Client Services LASER'!E84</f>
        <v>25055.855322640931</v>
      </c>
      <c r="K85" s="482">
        <f>'Client Services LASER'!F84</f>
        <v>19064.34</v>
      </c>
      <c r="L85" s="482">
        <f>'Client Services LASER'!J84</f>
        <v>-5.000000000000001E-2</v>
      </c>
      <c r="M85" s="483">
        <f>'Client Services LASER'!I84</f>
        <v>121031.26</v>
      </c>
      <c r="N85" s="1373">
        <f>'Statewide Benefits'!D85</f>
        <v>41366489.060902067</v>
      </c>
      <c r="O85" s="1374">
        <f>'Statewide Benefits'!E85</f>
        <v>32103090.456271049</v>
      </c>
      <c r="P85" s="1374">
        <f>'Statewide Benefits'!F85</f>
        <v>313785.68</v>
      </c>
      <c r="Q85" s="1777">
        <f>'Statewide Benefits'!G85</f>
        <v>0</v>
      </c>
      <c r="R85" s="1375">
        <f t="shared" si="21"/>
        <v>73783365.197173119</v>
      </c>
      <c r="S85" s="1373">
        <f>'Other Benefits LASER'!D84+'FC &amp; Adoptions LASER'!D84</f>
        <v>972904.78</v>
      </c>
      <c r="T85" s="1374">
        <f>'Other Benefits LASER'!E84 + 'FC &amp; Adoptions LASER'!E84</f>
        <v>1461068.58</v>
      </c>
      <c r="U85" s="1374">
        <f>'Other Benefits LASER'!F84+'FC &amp; Adoptions LASER'!F84</f>
        <v>47520.6</v>
      </c>
      <c r="V85" s="1777">
        <f>'FC &amp; Adoptions LASER'!J84+'Other Benefits LASER'!J84</f>
        <v>5732.4</v>
      </c>
      <c r="W85" s="1375">
        <f>'Other Benefits LASER'!I84+'FC &amp; Adoptions LASER'!I84</f>
        <v>2487226.36</v>
      </c>
      <c r="X85" s="1373">
        <f t="shared" si="33"/>
        <v>44150541.715579428</v>
      </c>
      <c r="Y85" s="1374">
        <f t="shared" si="34"/>
        <v>34284604.231593691</v>
      </c>
      <c r="Z85" s="1374">
        <f t="shared" si="35"/>
        <v>856534.66</v>
      </c>
      <c r="AA85" s="1777">
        <f t="shared" si="36"/>
        <v>86520.299999999988</v>
      </c>
      <c r="AB85" s="1375">
        <f t="shared" si="37"/>
        <v>79378200.907173112</v>
      </c>
      <c r="AD85" s="340">
        <f t="shared" si="22"/>
        <v>0.58067685081021947</v>
      </c>
      <c r="AE85" s="341">
        <f t="shared" si="23"/>
        <v>0.23283815759861815</v>
      </c>
      <c r="AF85" s="341">
        <f t="shared" si="24"/>
        <v>0.15943465251899708</v>
      </c>
      <c r="AG85" s="341">
        <f t="shared" si="25"/>
        <v>2.7050339072165364E-2</v>
      </c>
      <c r="AH85" s="342">
        <f t="shared" si="26"/>
        <v>0.81351500840883761</v>
      </c>
      <c r="AJ85" s="812">
        <f t="shared" si="27"/>
        <v>3.7624663394583362E-2</v>
      </c>
      <c r="AK85" s="790">
        <f t="shared" si="28"/>
        <v>1.524741788259185E-3</v>
      </c>
      <c r="AL85" s="814">
        <f t="shared" si="29"/>
        <v>0.96085059481715751</v>
      </c>
      <c r="AN85" s="812">
        <f t="shared" si="30"/>
        <v>0.55591917319492934</v>
      </c>
      <c r="AO85" s="790">
        <f t="shared" si="31"/>
        <v>2.2257523122298402E-2</v>
      </c>
      <c r="AP85" s="814">
        <f t="shared" si="32"/>
        <v>0.4218233036827721</v>
      </c>
    </row>
    <row r="86" spans="1:42" x14ac:dyDescent="0.3">
      <c r="A86" s="435" t="s">
        <v>209</v>
      </c>
      <c r="B86" s="319" t="s">
        <v>210</v>
      </c>
      <c r="C86" s="436" t="s">
        <v>255</v>
      </c>
      <c r="D86" s="481">
        <f>'Administration LASER'!D85+'Other Oper Exp. LASER'!D85</f>
        <v>1500729.94</v>
      </c>
      <c r="E86" s="482">
        <f>'Administration LASER'!E85+'Other Oper Exp. LASER'!E85</f>
        <v>602431.15999999992</v>
      </c>
      <c r="F86" s="482">
        <f>'Administration LASER'!F85+'Other Oper Exp. LASER'!F85</f>
        <v>409638.54000000004</v>
      </c>
      <c r="G86" s="482">
        <f>'Administration LASER'!J85 + 'Other Oper Exp. LASER'!J85</f>
        <v>89875.07</v>
      </c>
      <c r="H86" s="483">
        <f>'Administration LASER'!I85+'Other Oper Exp. LASER'!I85</f>
        <v>2602674.71</v>
      </c>
      <c r="I86" s="481">
        <f>'Client Services LASER'!D85</f>
        <v>24415.817856093225</v>
      </c>
      <c r="J86" s="482">
        <f>'Client Services LASER'!E85</f>
        <v>23226.392143906774</v>
      </c>
      <c r="K86" s="482">
        <f>'Client Services LASER'!F85</f>
        <v>7740.69</v>
      </c>
      <c r="L86" s="482">
        <f>'Client Services LASER'!J85</f>
        <v>6.0000000000000005E-2</v>
      </c>
      <c r="M86" s="483">
        <f>'Client Services LASER'!I85</f>
        <v>55382.96</v>
      </c>
      <c r="N86" s="1373">
        <f>'Statewide Benefits'!D86</f>
        <v>29646992.842795547</v>
      </c>
      <c r="O86" s="1374">
        <f>'Statewide Benefits'!E86</f>
        <v>23882522.13696076</v>
      </c>
      <c r="P86" s="1374">
        <f>'Statewide Benefits'!F86</f>
        <v>234442.35</v>
      </c>
      <c r="Q86" s="1777">
        <f>'Statewide Benefits'!G86</f>
        <v>0</v>
      </c>
      <c r="R86" s="1375">
        <f t="shared" si="21"/>
        <v>53763957.329756312</v>
      </c>
      <c r="S86" s="1373">
        <f>'Other Benefits LASER'!D85+'FC &amp; Adoptions LASER'!D85</f>
        <v>464980.29000000004</v>
      </c>
      <c r="T86" s="1374">
        <f>'Other Benefits LASER'!E85 + 'FC &amp; Adoptions LASER'!E85</f>
        <v>679556.01</v>
      </c>
      <c r="U86" s="1374">
        <f>'Other Benefits LASER'!F85+'FC &amp; Adoptions LASER'!F85</f>
        <v>46463</v>
      </c>
      <c r="V86" s="1777">
        <f>'FC &amp; Adoptions LASER'!J85+'Other Benefits LASER'!J85</f>
        <v>-0.12</v>
      </c>
      <c r="W86" s="1375">
        <f>'Other Benefits LASER'!I85+'FC &amp; Adoptions LASER'!I85</f>
        <v>1190999.1800000002</v>
      </c>
      <c r="X86" s="1373">
        <f t="shared" si="33"/>
        <v>31637118.89065164</v>
      </c>
      <c r="Y86" s="1374">
        <f t="shared" si="34"/>
        <v>25187735.699104667</v>
      </c>
      <c r="Z86" s="1374">
        <f t="shared" si="35"/>
        <v>698284.58000000007</v>
      </c>
      <c r="AA86" s="1777">
        <f t="shared" si="36"/>
        <v>89875.010000000009</v>
      </c>
      <c r="AB86" s="1375">
        <f t="shared" si="37"/>
        <v>57613014.179756314</v>
      </c>
      <c r="AD86" s="340">
        <f t="shared" si="22"/>
        <v>0.57661064374810023</v>
      </c>
      <c r="AE86" s="341">
        <f t="shared" si="23"/>
        <v>0.23146617504113678</v>
      </c>
      <c r="AF86" s="341">
        <f t="shared" si="24"/>
        <v>0.15739137066421952</v>
      </c>
      <c r="AG86" s="341">
        <f t="shared" si="25"/>
        <v>3.4531810546543487E-2</v>
      </c>
      <c r="AH86" s="342">
        <f t="shared" si="26"/>
        <v>0.80807681878923687</v>
      </c>
      <c r="AJ86" s="812">
        <f t="shared" si="27"/>
        <v>4.5175117932199957E-2</v>
      </c>
      <c r="AK86" s="790">
        <f t="shared" si="28"/>
        <v>9.6129252719188757E-4</v>
      </c>
      <c r="AL86" s="814">
        <f t="shared" si="29"/>
        <v>0.95386358954060813</v>
      </c>
      <c r="AN86" s="812">
        <f t="shared" si="30"/>
        <v>0.58663552329911106</v>
      </c>
      <c r="AO86" s="790">
        <f t="shared" si="31"/>
        <v>1.1085294193378864E-2</v>
      </c>
      <c r="AP86" s="814">
        <f t="shared" si="32"/>
        <v>0.40227918250750999</v>
      </c>
    </row>
    <row r="87" spans="1:42" x14ac:dyDescent="0.3">
      <c r="A87" s="435" t="s">
        <v>211</v>
      </c>
      <c r="B87" s="319" t="s">
        <v>212</v>
      </c>
      <c r="C87" s="436" t="s">
        <v>254</v>
      </c>
      <c r="D87" s="481">
        <f>'Administration LASER'!D86+'Other Oper Exp. LASER'!D86</f>
        <v>1721289.2399999998</v>
      </c>
      <c r="E87" s="482">
        <f>'Administration LASER'!E86+'Other Oper Exp. LASER'!E86</f>
        <v>492043.74</v>
      </c>
      <c r="F87" s="482">
        <f>'Administration LASER'!F86+'Other Oper Exp. LASER'!F86</f>
        <v>1274890.42</v>
      </c>
      <c r="G87" s="482">
        <f>'Administration LASER'!J86 + 'Other Oper Exp. LASER'!J86</f>
        <v>220972.18</v>
      </c>
      <c r="H87" s="483">
        <f>'Administration LASER'!I86+'Other Oper Exp. LASER'!I86</f>
        <v>3709195.5799999996</v>
      </c>
      <c r="I87" s="481">
        <f>'Client Services LASER'!D86</f>
        <v>44455.865216760154</v>
      </c>
      <c r="J87" s="482">
        <f>'Client Services LASER'!E86</f>
        <v>41888.594783239838</v>
      </c>
      <c r="K87" s="482">
        <f>'Client Services LASER'!F86</f>
        <v>15518.08</v>
      </c>
      <c r="L87" s="482">
        <f>'Client Services LASER'!J86</f>
        <v>15.97</v>
      </c>
      <c r="M87" s="483">
        <f>'Client Services LASER'!I86</f>
        <v>101878.51</v>
      </c>
      <c r="N87" s="1373">
        <f>'Statewide Benefits'!D87</f>
        <v>47813791.195314251</v>
      </c>
      <c r="O87" s="1374">
        <f>'Statewide Benefits'!E87</f>
        <v>42232874.64181643</v>
      </c>
      <c r="P87" s="1374">
        <f>'Statewide Benefits'!F87</f>
        <v>1749828.35</v>
      </c>
      <c r="Q87" s="1777">
        <f>'Statewide Benefits'!G87</f>
        <v>0</v>
      </c>
      <c r="R87" s="1375">
        <f t="shared" si="21"/>
        <v>91796494.187130675</v>
      </c>
      <c r="S87" s="1373">
        <f>'Other Benefits LASER'!D86+'FC &amp; Adoptions LASER'!D86</f>
        <v>180356.91999999998</v>
      </c>
      <c r="T87" s="1374">
        <f>'Other Benefits LASER'!E86 + 'FC &amp; Adoptions LASER'!E86</f>
        <v>489869.51</v>
      </c>
      <c r="U87" s="1374">
        <f>'Other Benefits LASER'!F86+'FC &amp; Adoptions LASER'!F86</f>
        <v>37639.599999999999</v>
      </c>
      <c r="V87" s="1777">
        <f>'FC &amp; Adoptions LASER'!J86+'Other Benefits LASER'!J86</f>
        <v>4704</v>
      </c>
      <c r="W87" s="1375">
        <f>'Other Benefits LASER'!I86+'FC &amp; Adoptions LASER'!I86</f>
        <v>712570.03</v>
      </c>
      <c r="X87" s="1373">
        <f t="shared" si="33"/>
        <v>49759893.220531009</v>
      </c>
      <c r="Y87" s="1374">
        <f t="shared" si="34"/>
        <v>43256676.486599669</v>
      </c>
      <c r="Z87" s="1374">
        <f t="shared" si="35"/>
        <v>3077876.45</v>
      </c>
      <c r="AA87" s="1777">
        <f t="shared" si="36"/>
        <v>225692.15</v>
      </c>
      <c r="AB87" s="1375">
        <f t="shared" si="37"/>
        <v>96320138.307130679</v>
      </c>
      <c r="AD87" s="340">
        <f t="shared" si="22"/>
        <v>0.46405998359353162</v>
      </c>
      <c r="AE87" s="341">
        <f t="shared" si="23"/>
        <v>0.13265510793043706</v>
      </c>
      <c r="AF87" s="341">
        <f t="shared" si="24"/>
        <v>0.34371075682129443</v>
      </c>
      <c r="AG87" s="341">
        <f t="shared" si="25"/>
        <v>5.9574151654736958E-2</v>
      </c>
      <c r="AH87" s="342">
        <f t="shared" si="26"/>
        <v>0.59671509152396862</v>
      </c>
      <c r="AJ87" s="812">
        <f t="shared" si="27"/>
        <v>3.850903502830004E-2</v>
      </c>
      <c r="AK87" s="790">
        <f t="shared" si="28"/>
        <v>1.0577072644470842E-3</v>
      </c>
      <c r="AL87" s="814">
        <f t="shared" si="29"/>
        <v>0.96043325770725285</v>
      </c>
      <c r="AN87" s="812">
        <f t="shared" si="30"/>
        <v>0.41421104476107218</v>
      </c>
      <c r="AO87" s="790">
        <f t="shared" si="31"/>
        <v>5.0418138128968757E-3</v>
      </c>
      <c r="AP87" s="814">
        <f t="shared" si="32"/>
        <v>0.5807471414260309</v>
      </c>
    </row>
    <row r="88" spans="1:42" x14ac:dyDescent="0.3">
      <c r="A88" s="435" t="s">
        <v>213</v>
      </c>
      <c r="B88" s="319" t="s">
        <v>214</v>
      </c>
      <c r="C88" s="436" t="s">
        <v>255</v>
      </c>
      <c r="D88" s="481">
        <f>'Administration LASER'!D87+'Other Oper Exp. LASER'!D87</f>
        <v>2132263.4700000002</v>
      </c>
      <c r="E88" s="482">
        <f>'Administration LASER'!E87+'Other Oper Exp. LASER'!E87</f>
        <v>840158.64</v>
      </c>
      <c r="F88" s="482">
        <f>'Administration LASER'!F87+'Other Oper Exp. LASER'!F87</f>
        <v>626989.71000000008</v>
      </c>
      <c r="G88" s="482">
        <f>'Administration LASER'!J87 + 'Other Oper Exp. LASER'!J87</f>
        <v>139414.28</v>
      </c>
      <c r="H88" s="483">
        <f>'Administration LASER'!I87+'Other Oper Exp. LASER'!I87</f>
        <v>3738826.1</v>
      </c>
      <c r="I88" s="481">
        <f>'Client Services LASER'!D87</f>
        <v>99013.490879172954</v>
      </c>
      <c r="J88" s="482">
        <f>'Client Services LASER'!E87</f>
        <v>73384.459120827043</v>
      </c>
      <c r="K88" s="482">
        <f>'Client Services LASER'!F87</f>
        <v>34566.75</v>
      </c>
      <c r="L88" s="482">
        <f>'Client Services LASER'!J87</f>
        <v>-0.03</v>
      </c>
      <c r="M88" s="483">
        <f>'Client Services LASER'!I87</f>
        <v>206964.67</v>
      </c>
      <c r="N88" s="1373">
        <f>'Statewide Benefits'!D88</f>
        <v>48582243.939432427</v>
      </c>
      <c r="O88" s="1374">
        <f>'Statewide Benefits'!E88</f>
        <v>39070404.785173237</v>
      </c>
      <c r="P88" s="1374">
        <f>'Statewide Benefits'!F88</f>
        <v>528358.47</v>
      </c>
      <c r="Q88" s="1777">
        <f>'Statewide Benefits'!G88</f>
        <v>0</v>
      </c>
      <c r="R88" s="1375">
        <f t="shared" si="21"/>
        <v>88181007.194605663</v>
      </c>
      <c r="S88" s="1373">
        <f>'Other Benefits LASER'!D87+'FC &amp; Adoptions LASER'!D87</f>
        <v>443727.09</v>
      </c>
      <c r="T88" s="1374">
        <f>'Other Benefits LASER'!E87 + 'FC &amp; Adoptions LASER'!E87</f>
        <v>704991.36</v>
      </c>
      <c r="U88" s="1374">
        <f>'Other Benefits LASER'!F87+'FC &amp; Adoptions LASER'!F87</f>
        <v>70691.599999999991</v>
      </c>
      <c r="V88" s="1777">
        <f>'FC &amp; Adoptions LASER'!J87+'Other Benefits LASER'!J87</f>
        <v>-0.14000000000000001</v>
      </c>
      <c r="W88" s="1375">
        <f>'Other Benefits LASER'!I87+'FC &amp; Adoptions LASER'!I87</f>
        <v>1219409.9099999999</v>
      </c>
      <c r="X88" s="1373">
        <f t="shared" si="33"/>
        <v>51257247.990311608</v>
      </c>
      <c r="Y88" s="1374">
        <f t="shared" si="34"/>
        <v>40688939.244294062</v>
      </c>
      <c r="Z88" s="1374">
        <f t="shared" si="35"/>
        <v>1260606.5300000003</v>
      </c>
      <c r="AA88" s="1777">
        <f t="shared" si="36"/>
        <v>139414.10999999999</v>
      </c>
      <c r="AB88" s="1375">
        <f t="shared" si="37"/>
        <v>93346207.874605656</v>
      </c>
      <c r="AD88" s="340">
        <f t="shared" si="22"/>
        <v>0.5703029274348973</v>
      </c>
      <c r="AE88" s="341">
        <f t="shared" si="23"/>
        <v>0.22471187948538179</v>
      </c>
      <c r="AF88" s="341">
        <f t="shared" si="24"/>
        <v>0.16769694370112589</v>
      </c>
      <c r="AG88" s="341">
        <f t="shared" si="25"/>
        <v>3.7288249378595061E-2</v>
      </c>
      <c r="AH88" s="342">
        <f t="shared" si="26"/>
        <v>0.79501480692027915</v>
      </c>
      <c r="AJ88" s="812">
        <f t="shared" si="27"/>
        <v>4.0053326055006548E-2</v>
      </c>
      <c r="AK88" s="790">
        <f t="shared" si="28"/>
        <v>2.2171727669753971E-3</v>
      </c>
      <c r="AL88" s="814">
        <f t="shared" si="29"/>
        <v>0.95772950117801814</v>
      </c>
      <c r="AN88" s="812">
        <f t="shared" si="30"/>
        <v>0.49737145975279057</v>
      </c>
      <c r="AO88" s="790">
        <f t="shared" si="31"/>
        <v>2.7420728972425673E-2</v>
      </c>
      <c r="AP88" s="814">
        <f t="shared" si="32"/>
        <v>0.47520781127478362</v>
      </c>
    </row>
    <row r="89" spans="1:42" x14ac:dyDescent="0.3">
      <c r="A89" s="435" t="s">
        <v>215</v>
      </c>
      <c r="B89" s="319" t="s">
        <v>216</v>
      </c>
      <c r="C89" s="436" t="s">
        <v>251</v>
      </c>
      <c r="D89" s="481">
        <f>'Administration LASER'!D88+'Other Oper Exp. LASER'!D88</f>
        <v>1270583.8999999999</v>
      </c>
      <c r="E89" s="482">
        <f>'Administration LASER'!E88+'Other Oper Exp. LASER'!E88</f>
        <v>499438.28</v>
      </c>
      <c r="F89" s="482">
        <f>'Administration LASER'!F88+'Other Oper Exp. LASER'!F88</f>
        <v>377234.01999999996</v>
      </c>
      <c r="G89" s="482">
        <f>'Administration LASER'!J88 + 'Other Oper Exp. LASER'!J88</f>
        <v>86018.19</v>
      </c>
      <c r="H89" s="483">
        <f>'Administration LASER'!I88+'Other Oper Exp. LASER'!I88</f>
        <v>2233274.3899999997</v>
      </c>
      <c r="I89" s="481">
        <f>'Client Services LASER'!D88</f>
        <v>53936.821393081162</v>
      </c>
      <c r="J89" s="482">
        <f>'Client Services LASER'!E88</f>
        <v>24680.338606918845</v>
      </c>
      <c r="K89" s="482">
        <f>'Client Services LASER'!F88</f>
        <v>16472.330000000002</v>
      </c>
      <c r="L89" s="482">
        <f>'Client Services LASER'!J88</f>
        <v>-3390.1500000000005</v>
      </c>
      <c r="M89" s="483">
        <f>'Client Services LASER'!I88</f>
        <v>91699.340000000011</v>
      </c>
      <c r="N89" s="1373">
        <f>'Statewide Benefits'!D89</f>
        <v>24410433.768295199</v>
      </c>
      <c r="O89" s="1374">
        <f>'Statewide Benefits'!E89</f>
        <v>20274271.496532861</v>
      </c>
      <c r="P89" s="1374">
        <f>'Statewide Benefits'!F89</f>
        <v>267439.41000000003</v>
      </c>
      <c r="Q89" s="1777">
        <f>'Statewide Benefits'!G89</f>
        <v>0</v>
      </c>
      <c r="R89" s="1375">
        <f t="shared" si="21"/>
        <v>44952144.674828053</v>
      </c>
      <c r="S89" s="1373">
        <f>'Other Benefits LASER'!D88+'FC &amp; Adoptions LASER'!D88</f>
        <v>61179.519999999997</v>
      </c>
      <c r="T89" s="1374">
        <f>'Other Benefits LASER'!E88 + 'FC &amp; Adoptions LASER'!E88</f>
        <v>100645.23000000001</v>
      </c>
      <c r="U89" s="1374">
        <f>'Other Benefits LASER'!F88+'FC &amp; Adoptions LASER'!F88</f>
        <v>10365.4</v>
      </c>
      <c r="V89" s="1777">
        <f>'FC &amp; Adoptions LASER'!J88+'Other Benefits LASER'!J88</f>
        <v>0</v>
      </c>
      <c r="W89" s="1375">
        <f>'Other Benefits LASER'!I88+'FC &amp; Adoptions LASER'!I88</f>
        <v>172190.15</v>
      </c>
      <c r="X89" s="1373">
        <f t="shared" si="33"/>
        <v>25796134.009688281</v>
      </c>
      <c r="Y89" s="1374">
        <f t="shared" si="34"/>
        <v>20899035.345139779</v>
      </c>
      <c r="Z89" s="1374">
        <f t="shared" si="35"/>
        <v>671511.16</v>
      </c>
      <c r="AA89" s="1777">
        <f t="shared" si="36"/>
        <v>82628.040000000008</v>
      </c>
      <c r="AB89" s="1375">
        <f t="shared" si="37"/>
        <v>47449308.554828048</v>
      </c>
      <c r="AD89" s="340">
        <f t="shared" si="22"/>
        <v>0.56893317976928048</v>
      </c>
      <c r="AE89" s="341">
        <f t="shared" si="23"/>
        <v>0.22363498289164552</v>
      </c>
      <c r="AF89" s="341">
        <f t="shared" si="24"/>
        <v>0.1689152133249511</v>
      </c>
      <c r="AG89" s="341">
        <f t="shared" si="25"/>
        <v>3.8516624014123056E-2</v>
      </c>
      <c r="AH89" s="342">
        <f t="shared" si="26"/>
        <v>0.792568162660926</v>
      </c>
      <c r="AJ89" s="812">
        <f t="shared" si="27"/>
        <v>4.7066531800340858E-2</v>
      </c>
      <c r="AK89" s="790">
        <f t="shared" si="28"/>
        <v>1.9325748423507732E-3</v>
      </c>
      <c r="AL89" s="814">
        <f t="shared" si="29"/>
        <v>0.95100089335730842</v>
      </c>
      <c r="AN89" s="812">
        <f t="shared" si="30"/>
        <v>0.56176880217448644</v>
      </c>
      <c r="AO89" s="790">
        <f t="shared" si="31"/>
        <v>2.4530240122889395E-2</v>
      </c>
      <c r="AP89" s="814">
        <f t="shared" si="32"/>
        <v>0.41370095770262411</v>
      </c>
    </row>
    <row r="90" spans="1:42" x14ac:dyDescent="0.3">
      <c r="A90" s="435" t="s">
        <v>217</v>
      </c>
      <c r="B90" s="319" t="s">
        <v>218</v>
      </c>
      <c r="C90" s="436" t="s">
        <v>254</v>
      </c>
      <c r="D90" s="481">
        <f>'Administration LASER'!D89+'Other Oper Exp. LASER'!D89</f>
        <v>3976877.3</v>
      </c>
      <c r="E90" s="482">
        <f>'Administration LASER'!E89+'Other Oper Exp. LASER'!E89</f>
        <v>1074237.06</v>
      </c>
      <c r="F90" s="482">
        <f>'Administration LASER'!F89+'Other Oper Exp. LASER'!F89</f>
        <v>3100055.5</v>
      </c>
      <c r="G90" s="482">
        <f>'Administration LASER'!J89 + 'Other Oper Exp. LASER'!J89</f>
        <v>472740.96</v>
      </c>
      <c r="H90" s="483">
        <f>'Administration LASER'!I89+'Other Oper Exp. LASER'!I89</f>
        <v>8623910.8200000003</v>
      </c>
      <c r="I90" s="481">
        <f>'Client Services LASER'!D89</f>
        <v>143895.12897684204</v>
      </c>
      <c r="J90" s="482">
        <f>'Client Services LASER'!E89</f>
        <v>159379.37102315799</v>
      </c>
      <c r="K90" s="482">
        <f>'Client Services LASER'!F89</f>
        <v>53977.820000000007</v>
      </c>
      <c r="L90" s="482">
        <f>'Client Services LASER'!J89</f>
        <v>-0.18</v>
      </c>
      <c r="M90" s="483">
        <f>'Client Services LASER'!I89</f>
        <v>357252.14</v>
      </c>
      <c r="N90" s="1373">
        <f>'Statewide Benefits'!D90</f>
        <v>121330535.12796557</v>
      </c>
      <c r="O90" s="1374">
        <f>'Statewide Benefits'!E90</f>
        <v>103982757.8461297</v>
      </c>
      <c r="P90" s="1374">
        <f>'Statewide Benefits'!F90</f>
        <v>5038376.5299999993</v>
      </c>
      <c r="Q90" s="1777">
        <f>'Statewide Benefits'!G90</f>
        <v>0</v>
      </c>
      <c r="R90" s="1375">
        <f t="shared" si="21"/>
        <v>230351669.50409529</v>
      </c>
      <c r="S90" s="1373">
        <f>'Other Benefits LASER'!D89+'FC &amp; Adoptions LASER'!D89</f>
        <v>1832560.92</v>
      </c>
      <c r="T90" s="1374">
        <f>'Other Benefits LASER'!E89 + 'FC &amp; Adoptions LASER'!E89</f>
        <v>2279639.1700000004</v>
      </c>
      <c r="U90" s="1374">
        <f>'Other Benefits LASER'!F89+'FC &amp; Adoptions LASER'!F89</f>
        <v>16408.2</v>
      </c>
      <c r="V90" s="1777">
        <f>'FC &amp; Adoptions LASER'!J89+'Other Benefits LASER'!J89</f>
        <v>106462.81000000001</v>
      </c>
      <c r="W90" s="1375">
        <f>'Other Benefits LASER'!I89+'FC &amp; Adoptions LASER'!I89</f>
        <v>4235071.1000000006</v>
      </c>
      <c r="X90" s="1373">
        <f t="shared" si="33"/>
        <v>127283868.47694242</v>
      </c>
      <c r="Y90" s="1374">
        <f t="shared" si="34"/>
        <v>107496013.44715287</v>
      </c>
      <c r="Z90" s="1374">
        <f t="shared" si="35"/>
        <v>8208818.0499999998</v>
      </c>
      <c r="AA90" s="1777">
        <f t="shared" si="36"/>
        <v>579203.59000000008</v>
      </c>
      <c r="AB90" s="1375">
        <f t="shared" si="37"/>
        <v>243567903.56409529</v>
      </c>
      <c r="AD90" s="340">
        <f t="shared" si="22"/>
        <v>0.46114545743876323</v>
      </c>
      <c r="AE90" s="341">
        <f t="shared" si="23"/>
        <v>0.12456495462693108</v>
      </c>
      <c r="AF90" s="341">
        <f t="shared" si="24"/>
        <v>0.35947211940208812</v>
      </c>
      <c r="AG90" s="341">
        <f t="shared" si="25"/>
        <v>5.48174685322175E-2</v>
      </c>
      <c r="AH90" s="342">
        <f t="shared" si="26"/>
        <v>0.5857104120656943</v>
      </c>
      <c r="AJ90" s="812">
        <f t="shared" si="27"/>
        <v>3.5406597888340427E-2</v>
      </c>
      <c r="AK90" s="790">
        <f t="shared" si="28"/>
        <v>1.4667455554380486E-3</v>
      </c>
      <c r="AL90" s="814">
        <f t="shared" si="29"/>
        <v>0.96312665655622154</v>
      </c>
      <c r="AN90" s="812">
        <f t="shared" si="30"/>
        <v>0.37764943517051153</v>
      </c>
      <c r="AO90" s="790">
        <f t="shared" si="31"/>
        <v>6.5755897708075044E-3</v>
      </c>
      <c r="AP90" s="814">
        <f t="shared" si="32"/>
        <v>0.61577497505868095</v>
      </c>
    </row>
    <row r="91" spans="1:42" x14ac:dyDescent="0.3">
      <c r="A91" s="435" t="s">
        <v>219</v>
      </c>
      <c r="B91" s="319" t="s">
        <v>220</v>
      </c>
      <c r="C91" s="436" t="s">
        <v>254</v>
      </c>
      <c r="D91" s="481">
        <f>'Administration LASER'!D90+'Other Oper Exp. LASER'!D90</f>
        <v>3243597.64</v>
      </c>
      <c r="E91" s="482">
        <f>'Administration LASER'!E90+'Other Oper Exp. LASER'!E90</f>
        <v>979004.3600000001</v>
      </c>
      <c r="F91" s="482">
        <f>'Administration LASER'!F90+'Other Oper Exp. LASER'!F90</f>
        <v>2111510.4499999997</v>
      </c>
      <c r="G91" s="482">
        <f>'Administration LASER'!J90 + 'Other Oper Exp. LASER'!J90</f>
        <v>275305.72000000003</v>
      </c>
      <c r="H91" s="483">
        <f>'Administration LASER'!I90+'Other Oper Exp. LASER'!I90</f>
        <v>6609418.1699999999</v>
      </c>
      <c r="I91" s="481">
        <f>'Client Services LASER'!D90</f>
        <v>22296.908565745569</v>
      </c>
      <c r="J91" s="482">
        <f>'Client Services LASER'!E90</f>
        <v>28806.361434254428</v>
      </c>
      <c r="K91" s="482">
        <f>'Client Services LASER'!F90</f>
        <v>9010.17</v>
      </c>
      <c r="L91" s="482">
        <f>'Client Services LASER'!J90</f>
        <v>23902.76</v>
      </c>
      <c r="M91" s="483">
        <f>'Client Services LASER'!I90</f>
        <v>84016.2</v>
      </c>
      <c r="N91" s="1373">
        <f>'Statewide Benefits'!D91</f>
        <v>100959035.26882528</v>
      </c>
      <c r="O91" s="1374">
        <f>'Statewide Benefits'!E91</f>
        <v>82763673.210441172</v>
      </c>
      <c r="P91" s="1374">
        <f>'Statewide Benefits'!F91</f>
        <v>2564363.79</v>
      </c>
      <c r="Q91" s="1777">
        <f>'Statewide Benefits'!G91</f>
        <v>0</v>
      </c>
      <c r="R91" s="1375">
        <f t="shared" si="21"/>
        <v>186287072.26926646</v>
      </c>
      <c r="S91" s="1373">
        <f>'Other Benefits LASER'!D90+'FC &amp; Adoptions LASER'!D90</f>
        <v>687936.61</v>
      </c>
      <c r="T91" s="1374">
        <f>'Other Benefits LASER'!E90 + 'FC &amp; Adoptions LASER'!E90</f>
        <v>881821.07000000007</v>
      </c>
      <c r="U91" s="1374">
        <f>'Other Benefits LASER'!F90+'FC &amp; Adoptions LASER'!F90</f>
        <v>7984.88</v>
      </c>
      <c r="V91" s="1777">
        <f>'FC &amp; Adoptions LASER'!J90+'Other Benefits LASER'!J90</f>
        <v>93.970000000000013</v>
      </c>
      <c r="W91" s="1375">
        <f>'Other Benefits LASER'!I90+'FC &amp; Adoptions LASER'!I90</f>
        <v>1577836.5299999998</v>
      </c>
      <c r="X91" s="1373">
        <f t="shared" si="33"/>
        <v>104912866.42739102</v>
      </c>
      <c r="Y91" s="1374">
        <f t="shared" si="34"/>
        <v>84653305.001875415</v>
      </c>
      <c r="Z91" s="1374">
        <f t="shared" si="35"/>
        <v>4692869.29</v>
      </c>
      <c r="AA91" s="1777">
        <f t="shared" si="36"/>
        <v>299302.45</v>
      </c>
      <c r="AB91" s="1375">
        <f t="shared" si="37"/>
        <v>194558343.16926646</v>
      </c>
      <c r="AD91" s="340">
        <f t="shared" si="22"/>
        <v>0.49075388431656763</v>
      </c>
      <c r="AE91" s="341">
        <f t="shared" si="23"/>
        <v>0.14812262362876036</v>
      </c>
      <c r="AF91" s="341">
        <f t="shared" si="24"/>
        <v>0.31946994360019437</v>
      </c>
      <c r="AG91" s="341">
        <f t="shared" si="25"/>
        <v>4.1653548454477655E-2</v>
      </c>
      <c r="AH91" s="342">
        <f t="shared" si="26"/>
        <v>0.63887650794532802</v>
      </c>
      <c r="AJ91" s="812">
        <f t="shared" si="27"/>
        <v>3.3971394196391683E-2</v>
      </c>
      <c r="AK91" s="790">
        <f t="shared" si="28"/>
        <v>4.3183036322891382E-4</v>
      </c>
      <c r="AL91" s="814">
        <f t="shared" si="29"/>
        <v>0.96559677544037936</v>
      </c>
      <c r="AN91" s="812">
        <f t="shared" si="30"/>
        <v>0.44994017934814451</v>
      </c>
      <c r="AO91" s="790">
        <f t="shared" si="31"/>
        <v>1.9199703727524873E-3</v>
      </c>
      <c r="AP91" s="814">
        <f t="shared" si="32"/>
        <v>0.54813985027910295</v>
      </c>
    </row>
    <row r="92" spans="1:42" x14ac:dyDescent="0.3">
      <c r="A92" s="435" t="s">
        <v>223</v>
      </c>
      <c r="B92" s="319" t="s">
        <v>224</v>
      </c>
      <c r="C92" s="436" t="s">
        <v>251</v>
      </c>
      <c r="D92" s="481">
        <f>'Administration LASER'!D91+'Other Oper Exp. LASER'!D91</f>
        <v>775758.20000000007</v>
      </c>
      <c r="E92" s="482">
        <f>'Administration LASER'!E91+'Other Oper Exp. LASER'!E91</f>
        <v>280307.25</v>
      </c>
      <c r="F92" s="482">
        <f>'Administration LASER'!F91+'Other Oper Exp. LASER'!F91</f>
        <v>300028.32</v>
      </c>
      <c r="G92" s="482">
        <f>'Administration LASER'!J91 + 'Other Oper Exp. LASER'!J91</f>
        <v>311444.40000000002</v>
      </c>
      <c r="H92" s="483">
        <f>'Administration LASER'!I91+'Other Oper Exp. LASER'!I91</f>
        <v>1667538.1700000002</v>
      </c>
      <c r="I92" s="481">
        <f>'Client Services LASER'!D91</f>
        <v>67962.285550385684</v>
      </c>
      <c r="J92" s="482">
        <f>'Client Services LASER'!E91</f>
        <v>17418.374449614312</v>
      </c>
      <c r="K92" s="482">
        <f>'Client Services LASER'!F91</f>
        <v>18956.04</v>
      </c>
      <c r="L92" s="482">
        <f>'Client Services LASER'!J91</f>
        <v>6178.04</v>
      </c>
      <c r="M92" s="483">
        <f>'Client Services LASER'!I91</f>
        <v>110514.74</v>
      </c>
      <c r="N92" s="1373">
        <f>'Statewide Benefits'!D92</f>
        <v>7966764.8707120866</v>
      </c>
      <c r="O92" s="1374">
        <f>'Statewide Benefits'!E92</f>
        <v>6526676.6217317143</v>
      </c>
      <c r="P92" s="1374">
        <f>'Statewide Benefits'!F92</f>
        <v>196702.83</v>
      </c>
      <c r="Q92" s="1777">
        <f>'Statewide Benefits'!G92</f>
        <v>0</v>
      </c>
      <c r="R92" s="1375">
        <f t="shared" si="21"/>
        <v>14690144.3224438</v>
      </c>
      <c r="S92" s="1373">
        <f>'Other Benefits LASER'!D91+'FC &amp; Adoptions LASER'!D91</f>
        <v>73791.37</v>
      </c>
      <c r="T92" s="1374">
        <f>'Other Benefits LASER'!E91 + 'FC &amp; Adoptions LASER'!E91</f>
        <v>112819.23000000001</v>
      </c>
      <c r="U92" s="1374">
        <f>'Other Benefits LASER'!F91+'FC &amp; Adoptions LASER'!F91</f>
        <v>10475.200000000001</v>
      </c>
      <c r="V92" s="1777">
        <f>'FC &amp; Adoptions LASER'!J91+'Other Benefits LASER'!J91</f>
        <v>2475.48</v>
      </c>
      <c r="W92" s="1375">
        <f>'Other Benefits LASER'!I91+'FC &amp; Adoptions LASER'!I91</f>
        <v>199561.28</v>
      </c>
      <c r="X92" s="1373">
        <f t="shared" si="33"/>
        <v>8884276.7262624707</v>
      </c>
      <c r="Y92" s="1374">
        <f t="shared" si="34"/>
        <v>6937221.4761813292</v>
      </c>
      <c r="Z92" s="1374">
        <f t="shared" si="35"/>
        <v>526162.3899999999</v>
      </c>
      <c r="AA92" s="1777">
        <f t="shared" si="36"/>
        <v>320097.91999999998</v>
      </c>
      <c r="AB92" s="1375">
        <f t="shared" si="37"/>
        <v>16667758.5124438</v>
      </c>
      <c r="AD92" s="340">
        <f t="shared" si="22"/>
        <v>0.46521165989261881</v>
      </c>
      <c r="AE92" s="341">
        <f t="shared" si="23"/>
        <v>0.16809645202904108</v>
      </c>
      <c r="AF92" s="341">
        <f t="shared" si="24"/>
        <v>0.17992290995054103</v>
      </c>
      <c r="AG92" s="341">
        <f t="shared" si="25"/>
        <v>0.18676897812779902</v>
      </c>
      <c r="AH92" s="342">
        <f t="shared" si="26"/>
        <v>0.63330811192166003</v>
      </c>
      <c r="AJ92" s="812">
        <f t="shared" si="27"/>
        <v>0.10004573612912925</v>
      </c>
      <c r="AK92" s="790">
        <f t="shared" si="28"/>
        <v>6.6304500342677757E-3</v>
      </c>
      <c r="AL92" s="814">
        <f t="shared" si="29"/>
        <v>0.89332381383660298</v>
      </c>
      <c r="AN92" s="812">
        <f t="shared" si="30"/>
        <v>0.57022000375207371</v>
      </c>
      <c r="AO92" s="790">
        <f t="shared" si="31"/>
        <v>3.6026976386510645E-2</v>
      </c>
      <c r="AP92" s="814">
        <f t="shared" si="32"/>
        <v>0.39375301986141586</v>
      </c>
    </row>
    <row r="93" spans="1:42" x14ac:dyDescent="0.3">
      <c r="A93" s="435" t="s">
        <v>225</v>
      </c>
      <c r="B93" s="319" t="s">
        <v>226</v>
      </c>
      <c r="C93" s="436" t="s">
        <v>251</v>
      </c>
      <c r="D93" s="481">
        <f>'Administration LASER'!D92+'Other Oper Exp. LASER'!D92</f>
        <v>1075607.28</v>
      </c>
      <c r="E93" s="482">
        <f>'Administration LASER'!E92+'Other Oper Exp. LASER'!E92</f>
        <v>396844.34</v>
      </c>
      <c r="F93" s="482">
        <f>'Administration LASER'!F92+'Other Oper Exp. LASER'!F92</f>
        <v>391087.54000000004</v>
      </c>
      <c r="G93" s="482">
        <f>'Administration LASER'!J92 + 'Other Oper Exp. LASER'!J92</f>
        <v>171809.49</v>
      </c>
      <c r="H93" s="483">
        <f>'Administration LASER'!I92+'Other Oper Exp. LASER'!I92</f>
        <v>2035348.65</v>
      </c>
      <c r="I93" s="481">
        <f>'Client Services LASER'!D92</f>
        <v>33958.143852314541</v>
      </c>
      <c r="J93" s="482">
        <f>'Client Services LASER'!E92</f>
        <v>7228.4661476854608</v>
      </c>
      <c r="K93" s="482">
        <f>'Client Services LASER'!F92</f>
        <v>8094.1</v>
      </c>
      <c r="L93" s="482">
        <f>'Client Services LASER'!J92</f>
        <v>-6.0000000000000005E-2</v>
      </c>
      <c r="M93" s="483">
        <f>'Client Services LASER'!I92</f>
        <v>49280.65</v>
      </c>
      <c r="N93" s="1373">
        <f>'Statewide Benefits'!D93</f>
        <v>17014283.112845771</v>
      </c>
      <c r="O93" s="1374">
        <f>'Statewide Benefits'!E93</f>
        <v>14168985.249534693</v>
      </c>
      <c r="P93" s="1374">
        <f>'Statewide Benefits'!F93</f>
        <v>144586.18</v>
      </c>
      <c r="Q93" s="1777">
        <f>'Statewide Benefits'!G93</f>
        <v>0</v>
      </c>
      <c r="R93" s="1375">
        <f t="shared" si="21"/>
        <v>31327854.542380463</v>
      </c>
      <c r="S93" s="1373">
        <f>'Other Benefits LASER'!D92+'FC &amp; Adoptions LASER'!D92</f>
        <v>54786.579999999994</v>
      </c>
      <c r="T93" s="1374">
        <f>'Other Benefits LASER'!E92 + 'FC &amp; Adoptions LASER'!E92</f>
        <v>123720.44</v>
      </c>
      <c r="U93" s="1374">
        <f>'Other Benefits LASER'!F92+'FC &amp; Adoptions LASER'!F92</f>
        <v>8288.9599999999991</v>
      </c>
      <c r="V93" s="1777">
        <f>'FC &amp; Adoptions LASER'!J92+'Other Benefits LASER'!J92</f>
        <v>2239.91</v>
      </c>
      <c r="W93" s="1375">
        <f>'Other Benefits LASER'!I92+'FC &amp; Adoptions LASER'!I92</f>
        <v>189035.88999999998</v>
      </c>
      <c r="X93" s="1373">
        <f t="shared" si="33"/>
        <v>18178635.116698083</v>
      </c>
      <c r="Y93" s="1374">
        <f t="shared" si="34"/>
        <v>14696778.495682377</v>
      </c>
      <c r="Z93" s="1374">
        <f t="shared" si="35"/>
        <v>552056.78</v>
      </c>
      <c r="AA93" s="1777">
        <f t="shared" si="36"/>
        <v>174049.34</v>
      </c>
      <c r="AB93" s="1375">
        <f t="shared" si="37"/>
        <v>33601519.732380465</v>
      </c>
      <c r="AD93" s="340">
        <f t="shared" si="22"/>
        <v>0.52846340601154507</v>
      </c>
      <c r="AE93" s="341">
        <f t="shared" si="23"/>
        <v>0.19497609905801644</v>
      </c>
      <c r="AF93" s="341">
        <f t="shared" si="24"/>
        <v>0.19214768929146367</v>
      </c>
      <c r="AG93" s="341">
        <f t="shared" si="25"/>
        <v>8.4412805638974922E-2</v>
      </c>
      <c r="AH93" s="342">
        <f t="shared" si="26"/>
        <v>0.72343950506956156</v>
      </c>
      <c r="AJ93" s="812">
        <f t="shared" si="27"/>
        <v>6.0573112948775779E-2</v>
      </c>
      <c r="AK93" s="790">
        <f t="shared" si="28"/>
        <v>1.4666196765055889E-3</v>
      </c>
      <c r="AL93" s="814">
        <f t="shared" si="29"/>
        <v>0.9379602673747186</v>
      </c>
      <c r="AN93" s="812">
        <f t="shared" si="30"/>
        <v>0.70841905066359301</v>
      </c>
      <c r="AO93" s="790">
        <f t="shared" si="31"/>
        <v>1.4661716499523835E-2</v>
      </c>
      <c r="AP93" s="814">
        <f t="shared" si="32"/>
        <v>0.27691923283688313</v>
      </c>
    </row>
    <row r="94" spans="1:42" x14ac:dyDescent="0.3">
      <c r="A94" s="435" t="s">
        <v>227</v>
      </c>
      <c r="B94" s="319" t="s">
        <v>228</v>
      </c>
      <c r="C94" s="436" t="s">
        <v>255</v>
      </c>
      <c r="D94" s="481">
        <f>'Administration LASER'!D93+'Other Oper Exp. LASER'!D93</f>
        <v>2829356.25</v>
      </c>
      <c r="E94" s="482">
        <f>'Administration LASER'!E93+'Other Oper Exp. LASER'!E93</f>
        <v>1034666.54</v>
      </c>
      <c r="F94" s="482">
        <f>'Administration LASER'!F93+'Other Oper Exp. LASER'!F93</f>
        <v>1052886.82</v>
      </c>
      <c r="G94" s="482">
        <f>'Administration LASER'!J93 + 'Other Oper Exp. LASER'!J93</f>
        <v>318965.92</v>
      </c>
      <c r="H94" s="483">
        <f>'Administration LASER'!I93+'Other Oper Exp. LASER'!I93</f>
        <v>5235875.53</v>
      </c>
      <c r="I94" s="481">
        <f>'Client Services LASER'!D93</f>
        <v>92963.885831090549</v>
      </c>
      <c r="J94" s="482">
        <f>'Client Services LASER'!E93</f>
        <v>74032.134168909455</v>
      </c>
      <c r="K94" s="482">
        <f>'Client Services LASER'!F93</f>
        <v>28871.909999999996</v>
      </c>
      <c r="L94" s="482">
        <f>'Client Services LASER'!J93</f>
        <v>-9.0000000000000011E-2</v>
      </c>
      <c r="M94" s="483">
        <f>'Client Services LASER'!I93</f>
        <v>195867.84000000003</v>
      </c>
      <c r="N94" s="1373">
        <f>'Statewide Benefits'!D94</f>
        <v>61402155.267021112</v>
      </c>
      <c r="O94" s="1374">
        <f>'Statewide Benefits'!E94</f>
        <v>48186819.359977886</v>
      </c>
      <c r="P94" s="1374">
        <f>'Statewide Benefits'!F94</f>
        <v>506455.61</v>
      </c>
      <c r="Q94" s="1777">
        <f>'Statewide Benefits'!G94</f>
        <v>0</v>
      </c>
      <c r="R94" s="1375">
        <f t="shared" si="21"/>
        <v>110095430.23699899</v>
      </c>
      <c r="S94" s="1373">
        <f>'Other Benefits LASER'!D93+'FC &amp; Adoptions LASER'!D93</f>
        <v>1116881.4400000002</v>
      </c>
      <c r="T94" s="1374">
        <f>'Other Benefits LASER'!E93 + 'FC &amp; Adoptions LASER'!E93</f>
        <v>1657799.0599999998</v>
      </c>
      <c r="U94" s="1374">
        <f>'Other Benefits LASER'!F93+'FC &amp; Adoptions LASER'!F93</f>
        <v>57363.3</v>
      </c>
      <c r="V94" s="1777">
        <f>'FC &amp; Adoptions LASER'!J93+'Other Benefits LASER'!J93</f>
        <v>35472.899999999994</v>
      </c>
      <c r="W94" s="1375">
        <f>'Other Benefits LASER'!I93+'FC &amp; Adoptions LASER'!I93</f>
        <v>2867516.6999999997</v>
      </c>
      <c r="X94" s="1373">
        <f t="shared" si="33"/>
        <v>65441356.842852198</v>
      </c>
      <c r="Y94" s="1374">
        <f t="shared" si="34"/>
        <v>50953317.094146796</v>
      </c>
      <c r="Z94" s="1374">
        <f t="shared" si="35"/>
        <v>1645577.64</v>
      </c>
      <c r="AA94" s="1777">
        <f t="shared" si="36"/>
        <v>354438.73</v>
      </c>
      <c r="AB94" s="1375">
        <f t="shared" si="37"/>
        <v>118394690.306999</v>
      </c>
      <c r="AD94" s="340">
        <f t="shared" si="22"/>
        <v>0.54037882180136543</v>
      </c>
      <c r="AE94" s="341">
        <f t="shared" si="23"/>
        <v>0.19761098866305554</v>
      </c>
      <c r="AF94" s="341">
        <f t="shared" si="24"/>
        <v>0.20109088040142925</v>
      </c>
      <c r="AG94" s="341">
        <f t="shared" si="25"/>
        <v>6.091930913414971E-2</v>
      </c>
      <c r="AH94" s="342">
        <f t="shared" si="26"/>
        <v>0.73798981046442103</v>
      </c>
      <c r="AJ94" s="812">
        <f t="shared" si="27"/>
        <v>4.4223904943906739E-2</v>
      </c>
      <c r="AK94" s="790">
        <f t="shared" si="28"/>
        <v>1.6543633797437378E-3</v>
      </c>
      <c r="AL94" s="814">
        <f t="shared" si="29"/>
        <v>0.9541217316763495</v>
      </c>
      <c r="AN94" s="812">
        <f t="shared" si="30"/>
        <v>0.63982810315774596</v>
      </c>
      <c r="AO94" s="790">
        <f t="shared" si="31"/>
        <v>1.7545152108411E-2</v>
      </c>
      <c r="AP94" s="814">
        <f t="shared" si="32"/>
        <v>0.34262674473384319</v>
      </c>
    </row>
    <row r="95" spans="1:42" x14ac:dyDescent="0.3">
      <c r="A95" s="435" t="s">
        <v>231</v>
      </c>
      <c r="B95" s="319" t="s">
        <v>232</v>
      </c>
      <c r="C95" s="436" t="s">
        <v>254</v>
      </c>
      <c r="D95" s="481">
        <f>'Administration LASER'!D94+'Other Oper Exp. LASER'!D94</f>
        <v>1501477.6600000001</v>
      </c>
      <c r="E95" s="482">
        <f>'Administration LASER'!E94+'Other Oper Exp. LASER'!E94</f>
        <v>501855.83999999997</v>
      </c>
      <c r="F95" s="482">
        <f>'Administration LASER'!F94+'Other Oper Exp. LASER'!F94</f>
        <v>805776.39999999991</v>
      </c>
      <c r="G95" s="482">
        <f>'Administration LASER'!J94 + 'Other Oper Exp. LASER'!J94</f>
        <v>90696.140000000014</v>
      </c>
      <c r="H95" s="483">
        <f>'Administration LASER'!I94+'Other Oper Exp. LASER'!I94</f>
        <v>2899806.04</v>
      </c>
      <c r="I95" s="481">
        <f>'Client Services LASER'!D94</f>
        <v>28838.529068200038</v>
      </c>
      <c r="J95" s="482">
        <f>'Client Services LASER'!E94</f>
        <v>53664.290931799958</v>
      </c>
      <c r="K95" s="482">
        <f>'Client Services LASER'!F94</f>
        <v>15326.73</v>
      </c>
      <c r="L95" s="482">
        <f>'Client Services LASER'!J94</f>
        <v>-9.0000000000000011E-2</v>
      </c>
      <c r="M95" s="483">
        <f>'Client Services LASER'!I94</f>
        <v>97829.459999999992</v>
      </c>
      <c r="N95" s="1373">
        <f>'Statewide Benefits'!D95</f>
        <v>37184302.252715364</v>
      </c>
      <c r="O95" s="1374">
        <f>'Statewide Benefits'!E95</f>
        <v>30194358.391980402</v>
      </c>
      <c r="P95" s="1374">
        <f>'Statewide Benefits'!F95</f>
        <v>641522.24</v>
      </c>
      <c r="Q95" s="1777">
        <f>'Statewide Benefits'!G95</f>
        <v>0</v>
      </c>
      <c r="R95" s="1375">
        <f t="shared" si="21"/>
        <v>68020182.884695753</v>
      </c>
      <c r="S95" s="1373">
        <f>'Other Benefits LASER'!D94+'FC &amp; Adoptions LASER'!D94</f>
        <v>386614.81000000006</v>
      </c>
      <c r="T95" s="1374">
        <f>'Other Benefits LASER'!E94 + 'FC &amp; Adoptions LASER'!E94</f>
        <v>600780.85</v>
      </c>
      <c r="U95" s="1374">
        <f>'Other Benefits LASER'!F94+'FC &amp; Adoptions LASER'!F94</f>
        <v>20334.400000000001</v>
      </c>
      <c r="V95" s="1777">
        <f>'FC &amp; Adoptions LASER'!J94+'Other Benefits LASER'!J94</f>
        <v>-0.06</v>
      </c>
      <c r="W95" s="1375">
        <f>'Other Benefits LASER'!I94+'FC &amp; Adoptions LASER'!I94</f>
        <v>1007730</v>
      </c>
      <c r="X95" s="1373">
        <f t="shared" si="33"/>
        <v>39101233.251783565</v>
      </c>
      <c r="Y95" s="1374">
        <f t="shared" si="34"/>
        <v>31350659.372912202</v>
      </c>
      <c r="Z95" s="1374">
        <f t="shared" si="35"/>
        <v>1482959.7699999998</v>
      </c>
      <c r="AA95" s="1777">
        <f t="shared" si="36"/>
        <v>90695.99000000002</v>
      </c>
      <c r="AB95" s="1375">
        <f t="shared" si="37"/>
        <v>72025548.384695753</v>
      </c>
      <c r="AD95" s="340">
        <f t="shared" si="22"/>
        <v>0.51778554816721467</v>
      </c>
      <c r="AE95" s="341">
        <f t="shared" si="23"/>
        <v>0.17306531301659056</v>
      </c>
      <c r="AF95" s="341">
        <f t="shared" si="24"/>
        <v>0.27787251591489198</v>
      </c>
      <c r="AG95" s="341">
        <f t="shared" si="25"/>
        <v>3.1276622901302738E-2</v>
      </c>
      <c r="AH95" s="342">
        <f t="shared" si="26"/>
        <v>0.69085086118380523</v>
      </c>
      <c r="AJ95" s="812">
        <f t="shared" si="27"/>
        <v>4.0260797800689307E-2</v>
      </c>
      <c r="AK95" s="790">
        <f t="shared" si="28"/>
        <v>1.3582605366290713E-3</v>
      </c>
      <c r="AL95" s="814">
        <f t="shared" si="29"/>
        <v>0.95838094166268162</v>
      </c>
      <c r="AN95" s="812">
        <f t="shared" si="30"/>
        <v>0.54335688418573891</v>
      </c>
      <c r="AO95" s="790">
        <f t="shared" si="31"/>
        <v>1.0335229795208808E-2</v>
      </c>
      <c r="AP95" s="814">
        <f t="shared" si="32"/>
        <v>0.44630788601905236</v>
      </c>
    </row>
    <row r="96" spans="1:42" x14ac:dyDescent="0.3">
      <c r="A96" s="435" t="s">
        <v>233</v>
      </c>
      <c r="B96" s="319" t="s">
        <v>234</v>
      </c>
      <c r="C96" s="436" t="s">
        <v>255</v>
      </c>
      <c r="D96" s="481">
        <f>'Administration LASER'!D95+'Other Oper Exp. LASER'!D95</f>
        <v>2207424.48</v>
      </c>
      <c r="E96" s="482">
        <f>'Administration LASER'!E95+'Other Oper Exp. LASER'!E95</f>
        <v>835736.26</v>
      </c>
      <c r="F96" s="482">
        <f>'Administration LASER'!F95+'Other Oper Exp. LASER'!F95</f>
        <v>811987.42999999993</v>
      </c>
      <c r="G96" s="482">
        <f>'Administration LASER'!J95 + 'Other Oper Exp. LASER'!J95</f>
        <v>142554.77000000002</v>
      </c>
      <c r="H96" s="483">
        <f>'Administration LASER'!I95+'Other Oper Exp. LASER'!I95</f>
        <v>3997702.9399999995</v>
      </c>
      <c r="I96" s="481">
        <f>'Client Services LASER'!D95</f>
        <v>91969.730523334001</v>
      </c>
      <c r="J96" s="482">
        <f>'Client Services LASER'!E95</f>
        <v>61724.269476665992</v>
      </c>
      <c r="K96" s="482">
        <f>'Client Services LASER'!F95</f>
        <v>31128.71</v>
      </c>
      <c r="L96" s="482">
        <f>'Client Services LASER'!J95</f>
        <v>-0.17</v>
      </c>
      <c r="M96" s="483">
        <f>'Client Services LASER'!I95</f>
        <v>184822.53999999998</v>
      </c>
      <c r="N96" s="1373">
        <f>'Statewide Benefits'!D96</f>
        <v>57615823.265829287</v>
      </c>
      <c r="O96" s="1374">
        <f>'Statewide Benefits'!E96</f>
        <v>46511449.398692682</v>
      </c>
      <c r="P96" s="1374">
        <f>'Statewide Benefits'!F96</f>
        <v>675402.91999999993</v>
      </c>
      <c r="Q96" s="1777">
        <f>'Statewide Benefits'!G96</f>
        <v>0</v>
      </c>
      <c r="R96" s="1375">
        <f t="shared" si="21"/>
        <v>104802675.58452196</v>
      </c>
      <c r="S96" s="1373">
        <f>'Other Benefits LASER'!D95+'FC &amp; Adoptions LASER'!D95</f>
        <v>743556.91</v>
      </c>
      <c r="T96" s="1374">
        <f>'Other Benefits LASER'!E95 + 'FC &amp; Adoptions LASER'!E95</f>
        <v>1539276.81</v>
      </c>
      <c r="U96" s="1374">
        <f>'Other Benefits LASER'!F95+'FC &amp; Adoptions LASER'!F95</f>
        <v>164130.01999999999</v>
      </c>
      <c r="V96" s="1777">
        <f>'FC &amp; Adoptions LASER'!J95+'Other Benefits LASER'!J95</f>
        <v>5799.78</v>
      </c>
      <c r="W96" s="1375">
        <f>'Other Benefits LASER'!I95+'FC &amp; Adoptions LASER'!I95</f>
        <v>2452763.52</v>
      </c>
      <c r="X96" s="1373">
        <f t="shared" si="33"/>
        <v>60658774.386352621</v>
      </c>
      <c r="Y96" s="1374">
        <f t="shared" si="34"/>
        <v>48948186.73816935</v>
      </c>
      <c r="Z96" s="1374">
        <f t="shared" si="35"/>
        <v>1682649.0799999998</v>
      </c>
      <c r="AA96" s="1777">
        <f t="shared" si="36"/>
        <v>148354.38</v>
      </c>
      <c r="AB96" s="1375">
        <f t="shared" si="37"/>
        <v>111437964.58452196</v>
      </c>
      <c r="AD96" s="340">
        <f t="shared" si="22"/>
        <v>0.55217321375059458</v>
      </c>
      <c r="AE96" s="341">
        <f t="shared" si="23"/>
        <v>0.20905411746276478</v>
      </c>
      <c r="AF96" s="341">
        <f t="shared" si="24"/>
        <v>0.20311349847320073</v>
      </c>
      <c r="AG96" s="341">
        <f t="shared" si="25"/>
        <v>3.5659170313440056E-2</v>
      </c>
      <c r="AH96" s="342">
        <f t="shared" si="26"/>
        <v>0.76122733121335939</v>
      </c>
      <c r="AJ96" s="812">
        <f t="shared" si="27"/>
        <v>3.587379718307647E-2</v>
      </c>
      <c r="AK96" s="790">
        <f t="shared" si="28"/>
        <v>1.6585240109964344E-3</v>
      </c>
      <c r="AL96" s="814">
        <f t="shared" si="29"/>
        <v>0.9624676788059271</v>
      </c>
      <c r="AN96" s="812">
        <f t="shared" si="30"/>
        <v>0.48256492672851314</v>
      </c>
      <c r="AO96" s="790">
        <f t="shared" si="31"/>
        <v>1.8499822910193493E-2</v>
      </c>
      <c r="AP96" s="814">
        <f t="shared" si="32"/>
        <v>0.49893525036129344</v>
      </c>
    </row>
    <row r="97" spans="1:42" x14ac:dyDescent="0.3">
      <c r="A97" s="435" t="s">
        <v>235</v>
      </c>
      <c r="B97" s="319" t="s">
        <v>236</v>
      </c>
      <c r="C97" s="436" t="s">
        <v>253</v>
      </c>
      <c r="D97" s="481">
        <f>'Administration LASER'!D96+'Other Oper Exp. LASER'!D96</f>
        <v>1052393.1499999999</v>
      </c>
      <c r="E97" s="482">
        <f>'Administration LASER'!E96+'Other Oper Exp. LASER'!E96</f>
        <v>359514.27</v>
      </c>
      <c r="F97" s="482">
        <f>'Administration LASER'!F96+'Other Oper Exp. LASER'!F96</f>
        <v>520238.22</v>
      </c>
      <c r="G97" s="482">
        <f>'Administration LASER'!J96 + 'Other Oper Exp. LASER'!J96</f>
        <v>140293.00999999998</v>
      </c>
      <c r="H97" s="483">
        <f>'Administration LASER'!I96+'Other Oper Exp. LASER'!I96</f>
        <v>2072438.65</v>
      </c>
      <c r="I97" s="481">
        <f>'Client Services LASER'!D96</f>
        <v>27063.031265531805</v>
      </c>
      <c r="J97" s="482">
        <f>'Client Services LASER'!E96</f>
        <v>22998.538734468195</v>
      </c>
      <c r="K97" s="482">
        <f>'Client Services LASER'!F96</f>
        <v>9887.43</v>
      </c>
      <c r="L97" s="482">
        <f>'Client Services LASER'!J96</f>
        <v>-6.0000000000000005E-2</v>
      </c>
      <c r="M97" s="483">
        <f>'Client Services LASER'!I96</f>
        <v>59948.94</v>
      </c>
      <c r="N97" s="1373">
        <f>'Statewide Benefits'!D97</f>
        <v>25246271.632422116</v>
      </c>
      <c r="O97" s="1374">
        <f>'Statewide Benefits'!E97</f>
        <v>20480213.872404538</v>
      </c>
      <c r="P97" s="1374">
        <f>'Statewide Benefits'!F97</f>
        <v>644096.27</v>
      </c>
      <c r="Q97" s="1777">
        <f>'Statewide Benefits'!G97</f>
        <v>0</v>
      </c>
      <c r="R97" s="1375">
        <f t="shared" si="21"/>
        <v>46370581.774826653</v>
      </c>
      <c r="S97" s="1373">
        <f>'Other Benefits LASER'!D96+'FC &amp; Adoptions LASER'!D96</f>
        <v>85609.42</v>
      </c>
      <c r="T97" s="1374">
        <f>'Other Benefits LASER'!E96 + 'FC &amp; Adoptions LASER'!E96</f>
        <v>107095.77</v>
      </c>
      <c r="U97" s="1374">
        <f>'Other Benefits LASER'!F96+'FC &amp; Adoptions LASER'!F96</f>
        <v>3444</v>
      </c>
      <c r="V97" s="1777">
        <f>'FC &amp; Adoptions LASER'!J96+'Other Benefits LASER'!J96</f>
        <v>2767.91</v>
      </c>
      <c r="W97" s="1375">
        <f>'Other Benefits LASER'!I96+'FC &amp; Adoptions LASER'!I96</f>
        <v>198917.1</v>
      </c>
      <c r="X97" s="1373">
        <f t="shared" si="33"/>
        <v>26411337.23368765</v>
      </c>
      <c r="Y97" s="1374">
        <f t="shared" si="34"/>
        <v>20969822.451139007</v>
      </c>
      <c r="Z97" s="1374">
        <f t="shared" si="35"/>
        <v>1177665.92</v>
      </c>
      <c r="AA97" s="1777">
        <f t="shared" si="36"/>
        <v>143060.85999999999</v>
      </c>
      <c r="AB97" s="1375">
        <f t="shared" si="37"/>
        <v>48701886.464826651</v>
      </c>
      <c r="AD97" s="340">
        <f t="shared" si="22"/>
        <v>0.50780424790861722</v>
      </c>
      <c r="AE97" s="341">
        <f t="shared" si="23"/>
        <v>0.173474022982538</v>
      </c>
      <c r="AF97" s="341">
        <f t="shared" si="24"/>
        <v>0.25102707865441515</v>
      </c>
      <c r="AG97" s="341">
        <f t="shared" si="25"/>
        <v>6.7694650454429614E-2</v>
      </c>
      <c r="AH97" s="342">
        <f t="shared" si="26"/>
        <v>0.68127827089115522</v>
      </c>
      <c r="AJ97" s="812">
        <f t="shared" si="27"/>
        <v>4.2553560045292108E-2</v>
      </c>
      <c r="AK97" s="790">
        <f t="shared" si="28"/>
        <v>1.2309367121393986E-3</v>
      </c>
      <c r="AL97" s="814">
        <f t="shared" si="29"/>
        <v>0.95621550324256854</v>
      </c>
      <c r="AN97" s="812">
        <f t="shared" si="30"/>
        <v>0.44175365115431037</v>
      </c>
      <c r="AO97" s="790">
        <f t="shared" si="31"/>
        <v>8.395785113659399E-3</v>
      </c>
      <c r="AP97" s="814">
        <f t="shared" si="32"/>
        <v>0.54985056373203023</v>
      </c>
    </row>
    <row r="98" spans="1:42" x14ac:dyDescent="0.3">
      <c r="A98" s="435" t="s">
        <v>241</v>
      </c>
      <c r="B98" s="319" t="s">
        <v>242</v>
      </c>
      <c r="C98" s="436" t="s">
        <v>255</v>
      </c>
      <c r="D98" s="481">
        <f>'Administration LASER'!D97+'Other Oper Exp. LASER'!D97</f>
        <v>3167572.84</v>
      </c>
      <c r="E98" s="482">
        <f>'Administration LASER'!E97+'Other Oper Exp. LASER'!E97</f>
        <v>1260023.18</v>
      </c>
      <c r="F98" s="482">
        <f>'Administration LASER'!F97+'Other Oper Exp. LASER'!F97</f>
        <v>888606.39999999991</v>
      </c>
      <c r="G98" s="482">
        <f>'Administration LASER'!J97 + 'Other Oper Exp. LASER'!J97</f>
        <v>101326.48000000001</v>
      </c>
      <c r="H98" s="483">
        <f>'Administration LASER'!I97+'Other Oper Exp. LASER'!I97</f>
        <v>5417528.9000000004</v>
      </c>
      <c r="I98" s="481">
        <f>'Client Services LASER'!D97</f>
        <v>211436.38608023507</v>
      </c>
      <c r="J98" s="482">
        <f>'Client Services LASER'!E97</f>
        <v>139770.10391976492</v>
      </c>
      <c r="K98" s="482">
        <f>'Client Services LASER'!F97</f>
        <v>69971.95</v>
      </c>
      <c r="L98" s="482">
        <f>'Client Services LASER'!J97</f>
        <v>485.36</v>
      </c>
      <c r="M98" s="483">
        <f>'Client Services LASER'!I97</f>
        <v>421663.8</v>
      </c>
      <c r="N98" s="1373">
        <f>'Statewide Benefits'!D98</f>
        <v>62281680.526882879</v>
      </c>
      <c r="O98" s="1374">
        <f>'Statewide Benefits'!E98</f>
        <v>49643002.62511415</v>
      </c>
      <c r="P98" s="1374">
        <f>'Statewide Benefits'!F98</f>
        <v>548890.42000000004</v>
      </c>
      <c r="Q98" s="1777">
        <f>'Statewide Benefits'!G98</f>
        <v>0</v>
      </c>
      <c r="R98" s="1375">
        <f t="shared" si="21"/>
        <v>112473573.57199703</v>
      </c>
      <c r="S98" s="1373">
        <f>'Other Benefits LASER'!D97+'FC &amp; Adoptions LASER'!D97</f>
        <v>1644787.9899999998</v>
      </c>
      <c r="T98" s="1374">
        <f>'Other Benefits LASER'!E97 + 'FC &amp; Adoptions LASER'!E97</f>
        <v>2066703.75</v>
      </c>
      <c r="U98" s="1374">
        <f>'Other Benefits LASER'!F97+'FC &amp; Adoptions LASER'!F97</f>
        <v>36607.800000000003</v>
      </c>
      <c r="V98" s="1777">
        <f>'FC &amp; Adoptions LASER'!J97+'Other Benefits LASER'!J97</f>
        <v>17.669999999999998</v>
      </c>
      <c r="W98" s="1375">
        <f>'Other Benefits LASER'!I97+'FC &amp; Adoptions LASER'!I97</f>
        <v>3748117.21</v>
      </c>
      <c r="X98" s="1373">
        <f t="shared" si="33"/>
        <v>67305477.742963105</v>
      </c>
      <c r="Y98" s="1374">
        <f t="shared" si="34"/>
        <v>53109499.659033917</v>
      </c>
      <c r="Z98" s="1374">
        <f t="shared" si="35"/>
        <v>1544076.57</v>
      </c>
      <c r="AA98" s="1777">
        <f t="shared" si="36"/>
        <v>101829.51000000001</v>
      </c>
      <c r="AB98" s="1375">
        <f t="shared" si="37"/>
        <v>122060883.48199703</v>
      </c>
      <c r="AD98" s="340">
        <f t="shared" si="22"/>
        <v>0.58468960636278278</v>
      </c>
      <c r="AE98" s="341">
        <f t="shared" si="23"/>
        <v>0.23258264113736427</v>
      </c>
      <c r="AF98" s="341">
        <f t="shared" si="24"/>
        <v>0.1640243026668487</v>
      </c>
      <c r="AG98" s="341">
        <f t="shared" si="25"/>
        <v>1.8703449833004121E-2</v>
      </c>
      <c r="AH98" s="342">
        <f t="shared" si="26"/>
        <v>0.81727224750014704</v>
      </c>
      <c r="AJ98" s="812">
        <f t="shared" si="27"/>
        <v>4.4383825067094825E-2</v>
      </c>
      <c r="AK98" s="790">
        <f t="shared" si="28"/>
        <v>3.4545366867034999E-3</v>
      </c>
      <c r="AL98" s="814">
        <f t="shared" si="29"/>
        <v>0.9521616382462017</v>
      </c>
      <c r="AN98" s="812">
        <f t="shared" si="30"/>
        <v>0.57549373992508668</v>
      </c>
      <c r="AO98" s="790">
        <f t="shared" si="31"/>
        <v>4.5316373138153371E-2</v>
      </c>
      <c r="AP98" s="814">
        <f t="shared" si="32"/>
        <v>0.37918988693675992</v>
      </c>
    </row>
    <row r="99" spans="1:42" x14ac:dyDescent="0.3">
      <c r="A99" s="435" t="s">
        <v>243</v>
      </c>
      <c r="B99" s="319" t="s">
        <v>244</v>
      </c>
      <c r="C99" s="436" t="s">
        <v>255</v>
      </c>
      <c r="D99" s="481">
        <f>'Administration LASER'!D98+'Other Oper Exp. LASER'!D98</f>
        <v>1866453.6</v>
      </c>
      <c r="E99" s="482">
        <f>'Administration LASER'!E98+'Other Oper Exp. LASER'!E98</f>
        <v>601165.76</v>
      </c>
      <c r="F99" s="482">
        <f>'Administration LASER'!F98+'Other Oper Exp. LASER'!F98</f>
        <v>1055479.03</v>
      </c>
      <c r="G99" s="482">
        <f>'Administration LASER'!J98 + 'Other Oper Exp. LASER'!J98</f>
        <v>124072.74</v>
      </c>
      <c r="H99" s="483">
        <f>'Administration LASER'!I98+'Other Oper Exp. LASER'!I98</f>
        <v>3647171.13</v>
      </c>
      <c r="I99" s="481">
        <f>'Client Services LASER'!D98</f>
        <v>96985.026278945836</v>
      </c>
      <c r="J99" s="482">
        <f>'Client Services LASER'!E98</f>
        <v>45643.993721054154</v>
      </c>
      <c r="K99" s="482">
        <f>'Client Services LASER'!F98</f>
        <v>25662.32</v>
      </c>
      <c r="L99" s="482">
        <f>'Client Services LASER'!J98</f>
        <v>9.16</v>
      </c>
      <c r="M99" s="483">
        <f>'Client Services LASER'!I98</f>
        <v>168300.5</v>
      </c>
      <c r="N99" s="1373">
        <f>'Statewide Benefits'!D99</f>
        <v>40108636.191038147</v>
      </c>
      <c r="O99" s="1374">
        <f>'Statewide Benefits'!E99</f>
        <v>33930054.678656332</v>
      </c>
      <c r="P99" s="1374">
        <f>'Statewide Benefits'!F99</f>
        <v>587774.25</v>
      </c>
      <c r="Q99" s="1777">
        <f>'Statewide Benefits'!G99</f>
        <v>0</v>
      </c>
      <c r="R99" s="1375">
        <f t="shared" si="21"/>
        <v>74626465.119694471</v>
      </c>
      <c r="S99" s="1373">
        <f>'Other Benefits LASER'!D98+'FC &amp; Adoptions LASER'!D98</f>
        <v>784262.51</v>
      </c>
      <c r="T99" s="1374">
        <f>'Other Benefits LASER'!E98 + 'FC &amp; Adoptions LASER'!E98</f>
        <v>1056557.05</v>
      </c>
      <c r="U99" s="1374">
        <f>'Other Benefits LASER'!F98+'FC &amp; Adoptions LASER'!F98</f>
        <v>41073.4</v>
      </c>
      <c r="V99" s="1777">
        <f>'FC &amp; Adoptions LASER'!J98+'Other Benefits LASER'!J98</f>
        <v>888.35</v>
      </c>
      <c r="W99" s="1375">
        <f>'Other Benefits LASER'!I98+'FC &amp; Adoptions LASER'!I98</f>
        <v>1882781.31</v>
      </c>
      <c r="X99" s="1373">
        <f t="shared" si="33"/>
        <v>42856337.327317089</v>
      </c>
      <c r="Y99" s="1374">
        <f t="shared" si="34"/>
        <v>35633421.48237738</v>
      </c>
      <c r="Z99" s="1374">
        <f t="shared" si="35"/>
        <v>1709989</v>
      </c>
      <c r="AA99" s="1777">
        <f t="shared" si="36"/>
        <v>124970.25000000001</v>
      </c>
      <c r="AB99" s="1375">
        <f t="shared" si="37"/>
        <v>80324718.059694469</v>
      </c>
      <c r="AD99" s="340">
        <f t="shared" si="22"/>
        <v>0.51175377668664535</v>
      </c>
      <c r="AE99" s="341">
        <f t="shared" si="23"/>
        <v>0.1648306971545917</v>
      </c>
      <c r="AF99" s="341">
        <f t="shared" si="24"/>
        <v>0.28939662888809936</v>
      </c>
      <c r="AG99" s="341">
        <f t="shared" si="25"/>
        <v>3.4018897270663581E-2</v>
      </c>
      <c r="AH99" s="342">
        <f t="shared" si="26"/>
        <v>0.67658447384123721</v>
      </c>
      <c r="AJ99" s="812">
        <f t="shared" si="27"/>
        <v>4.5405339951390206E-2</v>
      </c>
      <c r="AK99" s="790">
        <f t="shared" si="28"/>
        <v>2.0952516742719853E-3</v>
      </c>
      <c r="AL99" s="814">
        <f t="shared" si="29"/>
        <v>0.95249940837433789</v>
      </c>
      <c r="AN99" s="812">
        <f t="shared" si="30"/>
        <v>0.61724316940050494</v>
      </c>
      <c r="AO99" s="790">
        <f t="shared" si="31"/>
        <v>1.5007301216557533E-2</v>
      </c>
      <c r="AP99" s="814">
        <f t="shared" si="32"/>
        <v>0.36774952938293759</v>
      </c>
    </row>
    <row r="100" spans="1:42" x14ac:dyDescent="0.3">
      <c r="A100" s="435" t="s">
        <v>245</v>
      </c>
      <c r="B100" s="319" t="s">
        <v>246</v>
      </c>
      <c r="C100" s="436" t="s">
        <v>251</v>
      </c>
      <c r="D100" s="481">
        <f>'Administration LASER'!D99+'Other Oper Exp. LASER'!D99</f>
        <v>2646294.3599999994</v>
      </c>
      <c r="E100" s="482">
        <f>'Administration LASER'!E99+'Other Oper Exp. LASER'!E99</f>
        <v>685929.19</v>
      </c>
      <c r="F100" s="482">
        <f>'Administration LASER'!F99+'Other Oper Exp. LASER'!F99</f>
        <v>2094384.51</v>
      </c>
      <c r="G100" s="482">
        <f>'Administration LASER'!J99 + 'Other Oper Exp. LASER'!J99</f>
        <v>264992.77</v>
      </c>
      <c r="H100" s="483">
        <f>'Administration LASER'!I99+'Other Oper Exp. LASER'!I99</f>
        <v>5691600.8300000001</v>
      </c>
      <c r="I100" s="481">
        <f>'Client Services LASER'!D99</f>
        <v>80446.668942820019</v>
      </c>
      <c r="J100" s="482">
        <f>'Client Services LASER'!E99</f>
        <v>59510.661057179997</v>
      </c>
      <c r="K100" s="482">
        <f>'Client Services LASER'!F99</f>
        <v>30907.190000000002</v>
      </c>
      <c r="L100" s="482">
        <f>'Client Services LASER'!J99</f>
        <v>-0.11</v>
      </c>
      <c r="M100" s="483">
        <f>'Client Services LASER'!I99</f>
        <v>170864.41000000003</v>
      </c>
      <c r="N100" s="1373">
        <f>'Statewide Benefits'!D100</f>
        <v>32008329.217888348</v>
      </c>
      <c r="O100" s="1374">
        <f>'Statewide Benefits'!E100</f>
        <v>27226039.981864776</v>
      </c>
      <c r="P100" s="1374">
        <f>'Statewide Benefits'!F100</f>
        <v>742060.85</v>
      </c>
      <c r="Q100" s="1777">
        <f>'Statewide Benefits'!G100</f>
        <v>0</v>
      </c>
      <c r="R100" s="1375">
        <f t="shared" si="21"/>
        <v>59976430.049753122</v>
      </c>
      <c r="S100" s="1373">
        <f>'Other Benefits LASER'!D99+'FC &amp; Adoptions LASER'!D99</f>
        <v>107255.32</v>
      </c>
      <c r="T100" s="1374">
        <f>'Other Benefits LASER'!E99 + 'FC &amp; Adoptions LASER'!E99</f>
        <v>232033.95</v>
      </c>
      <c r="U100" s="1374">
        <f>'Other Benefits LASER'!F99+'FC &amp; Adoptions LASER'!F99</f>
        <v>24074.25</v>
      </c>
      <c r="V100" s="1777">
        <f>'FC &amp; Adoptions LASER'!J99+'Other Benefits LASER'!J99</f>
        <v>2240</v>
      </c>
      <c r="W100" s="1375">
        <f>'Other Benefits LASER'!I99+'FC &amp; Adoptions LASER'!I99</f>
        <v>365603.52</v>
      </c>
      <c r="X100" s="1373">
        <f t="shared" si="33"/>
        <v>34842325.566831164</v>
      </c>
      <c r="Y100" s="1374">
        <f t="shared" si="34"/>
        <v>28203513.782921955</v>
      </c>
      <c r="Z100" s="1374">
        <f t="shared" si="35"/>
        <v>2891426.8000000003</v>
      </c>
      <c r="AA100" s="1777">
        <f t="shared" si="36"/>
        <v>267232.66000000003</v>
      </c>
      <c r="AB100" s="1375">
        <f t="shared" si="37"/>
        <v>66204498.809753127</v>
      </c>
      <c r="AD100" s="340">
        <f t="shared" si="22"/>
        <v>0.46494728619259118</v>
      </c>
      <c r="AE100" s="341">
        <f t="shared" si="23"/>
        <v>0.12051603942154882</v>
      </c>
      <c r="AF100" s="341">
        <f t="shared" si="24"/>
        <v>0.36797810889348681</v>
      </c>
      <c r="AG100" s="341">
        <f t="shared" si="25"/>
        <v>4.6558565492373083E-2</v>
      </c>
      <c r="AH100" s="342">
        <f t="shared" si="26"/>
        <v>0.58546332561413994</v>
      </c>
      <c r="AJ100" s="812">
        <f t="shared" si="27"/>
        <v>8.5970001016932765E-2</v>
      </c>
      <c r="AK100" s="790">
        <f t="shared" si="28"/>
        <v>2.5808579941221247E-3</v>
      </c>
      <c r="AL100" s="814">
        <f t="shared" si="29"/>
        <v>0.91144914098894514</v>
      </c>
      <c r="AN100" s="812">
        <f t="shared" si="30"/>
        <v>0.72434291264091477</v>
      </c>
      <c r="AO100" s="790">
        <f t="shared" si="31"/>
        <v>1.0689252102110972E-2</v>
      </c>
      <c r="AP100" s="814">
        <f t="shared" si="32"/>
        <v>0.26496783525697415</v>
      </c>
    </row>
    <row r="101" spans="1:42" x14ac:dyDescent="0.3">
      <c r="A101" s="435" t="s">
        <v>13</v>
      </c>
      <c r="B101" s="319" t="s">
        <v>14</v>
      </c>
      <c r="C101" s="436" t="s">
        <v>254</v>
      </c>
      <c r="D101" s="481">
        <f>'Administration LASER'!D100+'Other Oper Exp. LASER'!D100</f>
        <v>10268120.079999998</v>
      </c>
      <c r="E101" s="482">
        <f>'Administration LASER'!E100+'Other Oper Exp. LASER'!E100</f>
        <v>2141067.69</v>
      </c>
      <c r="F101" s="482">
        <f>'Administration LASER'!F100+'Other Oper Exp. LASER'!F100</f>
        <v>9605378.4700000007</v>
      </c>
      <c r="G101" s="482">
        <f>'Administration LASER'!J100 + 'Other Oper Exp. LASER'!J100</f>
        <v>810687.62000000034</v>
      </c>
      <c r="H101" s="483">
        <f>'Administration LASER'!I100+'Other Oper Exp. LASER'!I100</f>
        <v>22825253.859999999</v>
      </c>
      <c r="I101" s="481">
        <f>'Client Services LASER'!D100</f>
        <v>253585.39828677737</v>
      </c>
      <c r="J101" s="482">
        <f>'Client Services LASER'!E100</f>
        <v>129027.51171322262</v>
      </c>
      <c r="K101" s="482">
        <f>'Client Services LASER'!F100</f>
        <v>81444.209999999992</v>
      </c>
      <c r="L101" s="482">
        <f>'Client Services LASER'!J100</f>
        <v>206077.65999999997</v>
      </c>
      <c r="M101" s="483">
        <f>'Client Services LASER'!I100</f>
        <v>670134.78</v>
      </c>
      <c r="N101" s="1373">
        <f>'Statewide Benefits'!D101</f>
        <v>96786133.769116014</v>
      </c>
      <c r="O101" s="1374">
        <f>'Statewide Benefits'!E101</f>
        <v>78777167.935101867</v>
      </c>
      <c r="P101" s="1374">
        <f>'Statewide Benefits'!F101</f>
        <v>4157161.68</v>
      </c>
      <c r="Q101" s="1777">
        <f>'Statewide Benefits'!G101</f>
        <v>0</v>
      </c>
      <c r="R101" s="1375">
        <f t="shared" ref="R101:R125" si="38">SUM(N101:P101)</f>
        <v>179720463.38421789</v>
      </c>
      <c r="S101" s="1373">
        <f>'Other Benefits LASER'!D100+'FC &amp; Adoptions LASER'!D100</f>
        <v>2174311</v>
      </c>
      <c r="T101" s="1374">
        <f>'Other Benefits LASER'!E100 + 'FC &amp; Adoptions LASER'!E100</f>
        <v>2245566.5299999998</v>
      </c>
      <c r="U101" s="1374">
        <f>'Other Benefits LASER'!F100+'FC &amp; Adoptions LASER'!F100</f>
        <v>25179</v>
      </c>
      <c r="V101" s="1777">
        <f>'FC &amp; Adoptions LASER'!J100+'Other Benefits LASER'!J100</f>
        <v>-31207.839999999997</v>
      </c>
      <c r="W101" s="1375">
        <f>'Other Benefits LASER'!I100+'FC &amp; Adoptions LASER'!I100</f>
        <v>4413848.6900000004</v>
      </c>
      <c r="X101" s="1373">
        <f t="shared" si="33"/>
        <v>109482150.24740279</v>
      </c>
      <c r="Y101" s="1374">
        <f t="shared" si="34"/>
        <v>83292829.666815087</v>
      </c>
      <c r="Z101" s="1374">
        <f t="shared" si="35"/>
        <v>13869163.360000001</v>
      </c>
      <c r="AA101" s="1777">
        <f t="shared" si="36"/>
        <v>985557.44000000029</v>
      </c>
      <c r="AB101" s="1375">
        <f t="shared" si="37"/>
        <v>207629700.7142179</v>
      </c>
      <c r="AD101" s="340">
        <f t="shared" si="22"/>
        <v>0.44985786983926224</v>
      </c>
      <c r="AE101" s="341">
        <f t="shared" si="23"/>
        <v>9.3802579508309572E-2</v>
      </c>
      <c r="AF101" s="341">
        <f t="shared" si="24"/>
        <v>0.42082241577312302</v>
      </c>
      <c r="AG101" s="341">
        <f t="shared" si="25"/>
        <v>3.5517134879305141E-2</v>
      </c>
      <c r="AH101" s="342">
        <f t="shared" si="26"/>
        <v>0.54366044934757185</v>
      </c>
      <c r="AJ101" s="812">
        <f t="shared" si="27"/>
        <v>0.10993250860298037</v>
      </c>
      <c r="AK101" s="790">
        <f t="shared" si="28"/>
        <v>3.2275477819157261E-3</v>
      </c>
      <c r="AL101" s="814">
        <f t="shared" si="29"/>
        <v>0.88683994361510388</v>
      </c>
      <c r="AN101" s="812">
        <f t="shared" si="30"/>
        <v>0.69257086535607726</v>
      </c>
      <c r="AO101" s="790">
        <f t="shared" si="31"/>
        <v>5.8723232170509228E-3</v>
      </c>
      <c r="AP101" s="814">
        <f t="shared" si="32"/>
        <v>0.3015568114268718</v>
      </c>
    </row>
    <row r="102" spans="1:42" x14ac:dyDescent="0.3">
      <c r="A102" s="435" t="s">
        <v>33</v>
      </c>
      <c r="B102" s="319" t="s">
        <v>34</v>
      </c>
      <c r="C102" s="436" t="s">
        <v>255</v>
      </c>
      <c r="D102" s="481">
        <f>'Administration LASER'!D101+'Other Oper Exp. LASER'!D101</f>
        <v>1686500.71</v>
      </c>
      <c r="E102" s="482">
        <f>'Administration LASER'!E101+'Other Oper Exp. LASER'!E101</f>
        <v>678619.03</v>
      </c>
      <c r="F102" s="482">
        <f>'Administration LASER'!F101+'Other Oper Exp. LASER'!F101</f>
        <v>458194.82</v>
      </c>
      <c r="G102" s="482">
        <f>'Administration LASER'!J101 + 'Other Oper Exp. LASER'!J101</f>
        <v>72635.180000000008</v>
      </c>
      <c r="H102" s="483">
        <f>'Administration LASER'!I101+'Other Oper Exp. LASER'!I101</f>
        <v>2895949.7399999998</v>
      </c>
      <c r="I102" s="481">
        <f>'Client Services LASER'!D101</f>
        <v>66877.937138002162</v>
      </c>
      <c r="J102" s="482">
        <f>'Client Services LASER'!E101</f>
        <v>112187.20286199784</v>
      </c>
      <c r="K102" s="482">
        <f>'Client Services LASER'!F101</f>
        <v>33105.379999999997</v>
      </c>
      <c r="L102" s="482">
        <f>'Client Services LASER'!J101</f>
        <v>-0.13</v>
      </c>
      <c r="M102" s="483">
        <f>'Client Services LASER'!I101</f>
        <v>212170.39</v>
      </c>
      <c r="N102" s="1373">
        <f>'Statewide Benefits'!D102</f>
        <v>31657774.983228743</v>
      </c>
      <c r="O102" s="1374">
        <f>'Statewide Benefits'!E102</f>
        <v>25300154.389022332</v>
      </c>
      <c r="P102" s="1374">
        <f>'Statewide Benefits'!F102</f>
        <v>708010.09</v>
      </c>
      <c r="Q102" s="1777">
        <f>'Statewide Benefits'!G102</f>
        <v>0</v>
      </c>
      <c r="R102" s="1375">
        <f t="shared" si="38"/>
        <v>57665939.462251082</v>
      </c>
      <c r="S102" s="1373">
        <f>'Other Benefits LASER'!D101+'FC &amp; Adoptions LASER'!D101</f>
        <v>1032957.48</v>
      </c>
      <c r="T102" s="1374">
        <f>'Other Benefits LASER'!E101 + 'FC &amp; Adoptions LASER'!E101</f>
        <v>1321206.78</v>
      </c>
      <c r="U102" s="1374">
        <f>'Other Benefits LASER'!F101+'FC &amp; Adoptions LASER'!F101</f>
        <v>60821.2</v>
      </c>
      <c r="V102" s="1777">
        <f>'FC &amp; Adoptions LASER'!J101+'Other Benefits LASER'!J101</f>
        <v>-0.22000000000000003</v>
      </c>
      <c r="W102" s="1375">
        <f>'Other Benefits LASER'!I101+'FC &amp; Adoptions LASER'!I101</f>
        <v>2414985.2399999998</v>
      </c>
      <c r="X102" s="1373">
        <f t="shared" si="33"/>
        <v>34444111.110366747</v>
      </c>
      <c r="Y102" s="1374">
        <f t="shared" si="34"/>
        <v>27412167.401884332</v>
      </c>
      <c r="Z102" s="1374">
        <f t="shared" si="35"/>
        <v>1260131.49</v>
      </c>
      <c r="AA102" s="1777">
        <f t="shared" si="36"/>
        <v>72634.83</v>
      </c>
      <c r="AB102" s="1375">
        <f t="shared" si="37"/>
        <v>63189044.832251087</v>
      </c>
      <c r="AD102" s="340">
        <f t="shared" si="22"/>
        <v>0.58236532447555533</v>
      </c>
      <c r="AE102" s="341">
        <f t="shared" si="23"/>
        <v>0.23433384240984792</v>
      </c>
      <c r="AF102" s="341">
        <f t="shared" si="24"/>
        <v>0.15821918925982467</v>
      </c>
      <c r="AG102" s="341">
        <f t="shared" si="25"/>
        <v>2.5081643854772153E-2</v>
      </c>
      <c r="AH102" s="342">
        <f t="shared" si="26"/>
        <v>0.81669916688540334</v>
      </c>
      <c r="AJ102" s="812">
        <f t="shared" si="27"/>
        <v>4.5829933775513164E-2</v>
      </c>
      <c r="AK102" s="790">
        <f t="shared" si="28"/>
        <v>3.357708453470882E-3</v>
      </c>
      <c r="AL102" s="814">
        <f t="shared" si="29"/>
        <v>0.95081235777101591</v>
      </c>
      <c r="AN102" s="812">
        <f t="shared" si="30"/>
        <v>0.36360873737073263</v>
      </c>
      <c r="AO102" s="790">
        <f t="shared" si="31"/>
        <v>2.6271369506050513E-2</v>
      </c>
      <c r="AP102" s="814">
        <f t="shared" si="32"/>
        <v>0.61011989312321679</v>
      </c>
    </row>
    <row r="103" spans="1:42" x14ac:dyDescent="0.3">
      <c r="A103" s="435" t="s">
        <v>51</v>
      </c>
      <c r="B103" s="319" t="s">
        <v>52</v>
      </c>
      <c r="C103" s="436" t="s">
        <v>252</v>
      </c>
      <c r="D103" s="481">
        <f>'Administration LASER'!D102+'Other Oper Exp. LASER'!D102</f>
        <v>4605139.5699999994</v>
      </c>
      <c r="E103" s="482">
        <f>'Administration LASER'!E102+'Other Oper Exp. LASER'!E102</f>
        <v>1251843.01</v>
      </c>
      <c r="F103" s="482">
        <f>'Administration LASER'!F102+'Other Oper Exp. LASER'!F102</f>
        <v>3461774.25</v>
      </c>
      <c r="G103" s="482">
        <f>'Administration LASER'!J102 + 'Other Oper Exp. LASER'!J102</f>
        <v>323635.96999999997</v>
      </c>
      <c r="H103" s="483">
        <f>'Administration LASER'!I102+'Other Oper Exp. LASER'!I102</f>
        <v>9642392.7999999989</v>
      </c>
      <c r="I103" s="481">
        <f>'Client Services LASER'!D102</f>
        <v>157276.41789961205</v>
      </c>
      <c r="J103" s="482">
        <f>'Client Services LASER'!E102</f>
        <v>154500.58210038792</v>
      </c>
      <c r="K103" s="482">
        <f>'Client Services LASER'!F102</f>
        <v>71123.070000000007</v>
      </c>
      <c r="L103" s="482">
        <f>'Client Services LASER'!J102</f>
        <v>-0.2</v>
      </c>
      <c r="M103" s="483">
        <f>'Client Services LASER'!I102</f>
        <v>382899.87</v>
      </c>
      <c r="N103" s="1373">
        <f>'Statewide Benefits'!D103</f>
        <v>44619544.783674732</v>
      </c>
      <c r="O103" s="1374">
        <f>'Statewide Benefits'!E103</f>
        <v>41959853.975977525</v>
      </c>
      <c r="P103" s="1374">
        <f>'Statewide Benefits'!F103</f>
        <v>2242703.4700000002</v>
      </c>
      <c r="Q103" s="1777">
        <f>'Statewide Benefits'!G103</f>
        <v>0</v>
      </c>
      <c r="R103" s="1375">
        <f t="shared" si="38"/>
        <v>88822102.229652256</v>
      </c>
      <c r="S103" s="1373">
        <f>'Other Benefits LASER'!D102+'FC &amp; Adoptions LASER'!D102</f>
        <v>2286845.41</v>
      </c>
      <c r="T103" s="1374">
        <f>'Other Benefits LASER'!E102 + 'FC &amp; Adoptions LASER'!E102</f>
        <v>2393334.98</v>
      </c>
      <c r="U103" s="1374">
        <f>'Other Benefits LASER'!F102+'FC &amp; Adoptions LASER'!F102</f>
        <v>39004.869999999995</v>
      </c>
      <c r="V103" s="1777">
        <f>'FC &amp; Adoptions LASER'!J102+'Other Benefits LASER'!J102</f>
        <v>6529.1099999999988</v>
      </c>
      <c r="W103" s="1375">
        <f>'Other Benefits LASER'!I102+'FC &amp; Adoptions LASER'!I102</f>
        <v>4725714.3699999992</v>
      </c>
      <c r="X103" s="1373">
        <f t="shared" si="33"/>
        <v>51668806.181574345</v>
      </c>
      <c r="Y103" s="1374">
        <f t="shared" si="34"/>
        <v>45759532.548077911</v>
      </c>
      <c r="Z103" s="1374">
        <f t="shared" si="35"/>
        <v>5814605.6600000001</v>
      </c>
      <c r="AA103" s="1777">
        <f t="shared" si="36"/>
        <v>330164.87999999995</v>
      </c>
      <c r="AB103" s="1375">
        <f t="shared" si="37"/>
        <v>103573109.26965226</v>
      </c>
      <c r="AD103" s="340">
        <f t="shared" si="22"/>
        <v>0.47759302753150651</v>
      </c>
      <c r="AE103" s="341">
        <f t="shared" si="23"/>
        <v>0.12982700829196672</v>
      </c>
      <c r="AF103" s="341">
        <f t="shared" si="24"/>
        <v>0.35901609919894578</v>
      </c>
      <c r="AG103" s="341">
        <f t="shared" si="25"/>
        <v>3.3563864977581084E-2</v>
      </c>
      <c r="AH103" s="342">
        <f t="shared" si="26"/>
        <v>0.60742003582347315</v>
      </c>
      <c r="AJ103" s="812">
        <f t="shared" si="27"/>
        <v>9.309745423299072E-2</v>
      </c>
      <c r="AK103" s="790">
        <f t="shared" si="28"/>
        <v>3.6969042708095341E-3</v>
      </c>
      <c r="AL103" s="814">
        <f t="shared" si="29"/>
        <v>0.90320564149619975</v>
      </c>
      <c r="AN103" s="812">
        <f t="shared" si="30"/>
        <v>0.5953583875540065</v>
      </c>
      <c r="AO103" s="790">
        <f t="shared" si="31"/>
        <v>1.223179595639165E-2</v>
      </c>
      <c r="AP103" s="814">
        <f t="shared" si="32"/>
        <v>0.39240981648960183</v>
      </c>
    </row>
    <row r="104" spans="1:42" x14ac:dyDescent="0.3">
      <c r="A104" s="435" t="s">
        <v>53</v>
      </c>
      <c r="B104" s="319" t="s">
        <v>54</v>
      </c>
      <c r="C104" s="436" t="s">
        <v>251</v>
      </c>
      <c r="D104" s="481">
        <f>'Administration LASER'!D103+'Other Oper Exp. LASER'!D103</f>
        <v>8807512.7000000011</v>
      </c>
      <c r="E104" s="482">
        <f>'Administration LASER'!E103+'Other Oper Exp. LASER'!E103</f>
        <v>2705982.7</v>
      </c>
      <c r="F104" s="482">
        <f>'Administration LASER'!F103+'Other Oper Exp. LASER'!F103</f>
        <v>5469563.8800000008</v>
      </c>
      <c r="G104" s="482">
        <f>'Administration LASER'!J103 + 'Other Oper Exp. LASER'!J103</f>
        <v>810496.93</v>
      </c>
      <c r="H104" s="483">
        <f>'Administration LASER'!I103+'Other Oper Exp. LASER'!I103</f>
        <v>17793556.210000001</v>
      </c>
      <c r="I104" s="481">
        <f>'Client Services LASER'!D103</f>
        <v>173751.35920560107</v>
      </c>
      <c r="J104" s="482">
        <f>'Client Services LASER'!E103</f>
        <v>237828.97079439892</v>
      </c>
      <c r="K104" s="482">
        <f>'Client Services LASER'!F103</f>
        <v>78346.739999999991</v>
      </c>
      <c r="L104" s="482">
        <f>'Client Services LASER'!J103</f>
        <v>595.63</v>
      </c>
      <c r="M104" s="483">
        <f>'Client Services LASER'!I103</f>
        <v>490522.69999999995</v>
      </c>
      <c r="N104" s="1373">
        <f>'Statewide Benefits'!D104</f>
        <v>209216643.6705268</v>
      </c>
      <c r="O104" s="1374">
        <f>'Statewide Benefits'!E104</f>
        <v>169699680.28041247</v>
      </c>
      <c r="P104" s="1374">
        <f>'Statewide Benefits'!F104</f>
        <v>1995903.66</v>
      </c>
      <c r="Q104" s="1777">
        <f>'Statewide Benefits'!G104</f>
        <v>0</v>
      </c>
      <c r="R104" s="1375">
        <f t="shared" si="38"/>
        <v>380912227.61093932</v>
      </c>
      <c r="S104" s="1373">
        <f>'Other Benefits LASER'!D103+'FC &amp; Adoptions LASER'!D103</f>
        <v>1271427.8899999999</v>
      </c>
      <c r="T104" s="1374">
        <f>'Other Benefits LASER'!E103 + 'FC &amp; Adoptions LASER'!E103</f>
        <v>1735088.72</v>
      </c>
      <c r="U104" s="1374">
        <f>'Other Benefits LASER'!F103+'FC &amp; Adoptions LASER'!F103</f>
        <v>102455</v>
      </c>
      <c r="V104" s="1777">
        <f>'FC &amp; Adoptions LASER'!J103+'Other Benefits LASER'!J103</f>
        <v>39.489999999999995</v>
      </c>
      <c r="W104" s="1375">
        <f>'Other Benefits LASER'!I103+'FC &amp; Adoptions LASER'!I103</f>
        <v>3109011.1</v>
      </c>
      <c r="X104" s="1373">
        <f t="shared" si="33"/>
        <v>219469335.61973238</v>
      </c>
      <c r="Y104" s="1374">
        <f t="shared" si="34"/>
        <v>174378580.67120686</v>
      </c>
      <c r="Z104" s="1374">
        <f t="shared" si="35"/>
        <v>7646269.2800000012</v>
      </c>
      <c r="AA104" s="1777">
        <f t="shared" si="36"/>
        <v>811132.05</v>
      </c>
      <c r="AB104" s="1375">
        <f t="shared" si="37"/>
        <v>402305317.62093937</v>
      </c>
      <c r="AD104" s="340">
        <f t="shared" si="22"/>
        <v>0.49498327349819865</v>
      </c>
      <c r="AE104" s="341">
        <f t="shared" si="23"/>
        <v>0.15207655333559655</v>
      </c>
      <c r="AF104" s="341">
        <f t="shared" si="24"/>
        <v>0.3073901481776925</v>
      </c>
      <c r="AG104" s="341">
        <f t="shared" si="25"/>
        <v>4.5550024988512398E-2</v>
      </c>
      <c r="AH104" s="342">
        <f t="shared" si="26"/>
        <v>0.64705982683379526</v>
      </c>
      <c r="AJ104" s="812">
        <f t="shared" si="27"/>
        <v>4.4228985873772289E-2</v>
      </c>
      <c r="AK104" s="790">
        <f t="shared" si="28"/>
        <v>1.2192796826567948E-3</v>
      </c>
      <c r="AL104" s="814">
        <f t="shared" si="29"/>
        <v>0.95455173444357089</v>
      </c>
      <c r="AN104" s="812">
        <f t="shared" si="30"/>
        <v>0.71532451705650624</v>
      </c>
      <c r="AO104" s="790">
        <f t="shared" si="31"/>
        <v>1.0246400843471207E-2</v>
      </c>
      <c r="AP104" s="814">
        <f t="shared" si="32"/>
        <v>0.27442908210002248</v>
      </c>
    </row>
    <row r="105" spans="1:42" x14ac:dyDescent="0.3">
      <c r="A105" s="435" t="s">
        <v>65</v>
      </c>
      <c r="B105" s="319" t="s">
        <v>66</v>
      </c>
      <c r="C105" s="436" t="s">
        <v>252</v>
      </c>
      <c r="D105" s="481">
        <f>'Administration LASER'!D104+'Other Oper Exp. LASER'!D104</f>
        <v>3355436.0900000003</v>
      </c>
      <c r="E105" s="482">
        <f>'Administration LASER'!E104+'Other Oper Exp. LASER'!E104</f>
        <v>1297272.2899999998</v>
      </c>
      <c r="F105" s="482">
        <f>'Administration LASER'!F104+'Other Oper Exp. LASER'!F104</f>
        <v>1005595.65</v>
      </c>
      <c r="G105" s="482">
        <f>'Administration LASER'!J104 + 'Other Oper Exp. LASER'!J104</f>
        <v>278873.49000000005</v>
      </c>
      <c r="H105" s="483">
        <f>'Administration LASER'!I104+'Other Oper Exp. LASER'!I104</f>
        <v>5937177.5199999996</v>
      </c>
      <c r="I105" s="481">
        <f>'Client Services LASER'!D104</f>
        <v>93691.21135544288</v>
      </c>
      <c r="J105" s="482">
        <f>'Client Services LASER'!E104</f>
        <v>37492.778644557133</v>
      </c>
      <c r="K105" s="482">
        <f>'Client Services LASER'!F104</f>
        <v>23754.440000000002</v>
      </c>
      <c r="L105" s="482">
        <f>'Client Services LASER'!J104</f>
        <v>-0.15</v>
      </c>
      <c r="M105" s="483">
        <f>'Client Services LASER'!I104</f>
        <v>154938.28000000003</v>
      </c>
      <c r="N105" s="1373">
        <f>'Statewide Benefits'!D105</f>
        <v>107582260.3442978</v>
      </c>
      <c r="O105" s="1374">
        <f>'Statewide Benefits'!E105</f>
        <v>87722566.587350413</v>
      </c>
      <c r="P105" s="1374">
        <f>'Statewide Benefits'!F105</f>
        <v>1031135.96</v>
      </c>
      <c r="Q105" s="1777">
        <f>'Statewide Benefits'!G105</f>
        <v>0</v>
      </c>
      <c r="R105" s="1375">
        <f t="shared" si="38"/>
        <v>196335962.8916482</v>
      </c>
      <c r="S105" s="1373">
        <f>'Other Benefits LASER'!D104+'FC &amp; Adoptions LASER'!D104</f>
        <v>761002.77</v>
      </c>
      <c r="T105" s="1374">
        <f>'Other Benefits LASER'!E104 + 'FC &amp; Adoptions LASER'!E104</f>
        <v>960337.98</v>
      </c>
      <c r="U105" s="1374">
        <f>'Other Benefits LASER'!F104+'FC &amp; Adoptions LASER'!F104</f>
        <v>33556.6</v>
      </c>
      <c r="V105" s="1777">
        <f>'FC &amp; Adoptions LASER'!J104+'Other Benefits LASER'!J104</f>
        <v>-0.17</v>
      </c>
      <c r="W105" s="1375">
        <f>'Other Benefits LASER'!I104+'FC &amp; Adoptions LASER'!I104</f>
        <v>1754897.1800000002</v>
      </c>
      <c r="X105" s="1373">
        <f t="shared" si="33"/>
        <v>111792390.41565323</v>
      </c>
      <c r="Y105" s="1374">
        <f t="shared" si="34"/>
        <v>90017669.635994971</v>
      </c>
      <c r="Z105" s="1374">
        <f t="shared" si="35"/>
        <v>2094042.6500000001</v>
      </c>
      <c r="AA105" s="1777">
        <f t="shared" si="36"/>
        <v>278873.17000000004</v>
      </c>
      <c r="AB105" s="1375">
        <f t="shared" si="37"/>
        <v>204182975.87164822</v>
      </c>
      <c r="AD105" s="340">
        <f t="shared" si="22"/>
        <v>0.5651567733484244</v>
      </c>
      <c r="AE105" s="341">
        <f t="shared" si="23"/>
        <v>0.21849983188644828</v>
      </c>
      <c r="AF105" s="341">
        <f t="shared" si="24"/>
        <v>0.16937267693488137</v>
      </c>
      <c r="AG105" s="341">
        <f t="shared" si="25"/>
        <v>4.6970717830246055E-2</v>
      </c>
      <c r="AH105" s="342">
        <f t="shared" si="26"/>
        <v>0.78365660523487268</v>
      </c>
      <c r="AJ105" s="812">
        <f t="shared" si="27"/>
        <v>2.9077730377150432E-2</v>
      </c>
      <c r="AK105" s="790">
        <f t="shared" si="28"/>
        <v>7.5882075544533162E-4</v>
      </c>
      <c r="AL105" s="814">
        <f t="shared" si="29"/>
        <v>0.97016344886740413</v>
      </c>
      <c r="AN105" s="812">
        <f t="shared" si="30"/>
        <v>0.48021736806554532</v>
      </c>
      <c r="AO105" s="790">
        <f t="shared" si="31"/>
        <v>1.1343818618020985E-2</v>
      </c>
      <c r="AP105" s="814">
        <f t="shared" si="32"/>
        <v>0.50843881331643359</v>
      </c>
    </row>
    <row r="106" spans="1:42" x14ac:dyDescent="0.3">
      <c r="A106" s="435" t="s">
        <v>81</v>
      </c>
      <c r="B106" s="319" t="s">
        <v>284</v>
      </c>
      <c r="C106" s="436" t="s">
        <v>251</v>
      </c>
      <c r="D106" s="481">
        <f>'Administration LASER'!D105+'Other Oper Exp. LASER'!D105</f>
        <v>788904.46000000008</v>
      </c>
      <c r="E106" s="482">
        <f>'Administration LASER'!E105+'Other Oper Exp. LASER'!E105</f>
        <v>304179.67000000004</v>
      </c>
      <c r="F106" s="482">
        <f>'Administration LASER'!F105+'Other Oper Exp. LASER'!F105</f>
        <v>271440.46999999997</v>
      </c>
      <c r="G106" s="482">
        <f>'Administration LASER'!J105 + 'Other Oper Exp. LASER'!J105</f>
        <v>36975.94999999999</v>
      </c>
      <c r="H106" s="483">
        <f>'Administration LASER'!I105+'Other Oper Exp. LASER'!I105</f>
        <v>1401500.55</v>
      </c>
      <c r="I106" s="481">
        <f>'Client Services LASER'!D105</f>
        <v>14731.014705053076</v>
      </c>
      <c r="J106" s="482">
        <f>'Client Services LASER'!E105</f>
        <v>15622.195294946925</v>
      </c>
      <c r="K106" s="482">
        <f>'Client Services LASER'!F105</f>
        <v>5634.31</v>
      </c>
      <c r="L106" s="482">
        <f>'Client Services LASER'!J105</f>
        <v>-6.0000000000000005E-2</v>
      </c>
      <c r="M106" s="483">
        <f>'Client Services LASER'!I105</f>
        <v>35987.46</v>
      </c>
      <c r="N106" s="1373">
        <f>'Statewide Benefits'!D106</f>
        <v>21486729.259970348</v>
      </c>
      <c r="O106" s="1374">
        <f>'Statewide Benefits'!E106</f>
        <v>16953677.742392011</v>
      </c>
      <c r="P106" s="1374">
        <f>'Statewide Benefits'!F106</f>
        <v>61248.299999999996</v>
      </c>
      <c r="Q106" s="1777">
        <f>'Statewide Benefits'!G106</f>
        <v>0</v>
      </c>
      <c r="R106" s="1375">
        <f t="shared" si="38"/>
        <v>38501655.302362353</v>
      </c>
      <c r="S106" s="1373">
        <f>'Other Benefits LASER'!D105+'FC &amp; Adoptions LASER'!D105</f>
        <v>126330.62999999999</v>
      </c>
      <c r="T106" s="1374">
        <f>'Other Benefits LASER'!E105 + 'FC &amp; Adoptions LASER'!E105</f>
        <v>164613.61000000002</v>
      </c>
      <c r="U106" s="1374">
        <f>'Other Benefits LASER'!F105+'FC &amp; Adoptions LASER'!F105</f>
        <v>8586.6</v>
      </c>
      <c r="V106" s="1777">
        <f>'FC &amp; Adoptions LASER'!J105+'Other Benefits LASER'!J105</f>
        <v>32.15</v>
      </c>
      <c r="W106" s="1375">
        <f>'Other Benefits LASER'!I105+'FC &amp; Adoptions LASER'!I105</f>
        <v>299562.99</v>
      </c>
      <c r="X106" s="1373">
        <f t="shared" si="33"/>
        <v>22416695.364675399</v>
      </c>
      <c r="Y106" s="1374">
        <f t="shared" si="34"/>
        <v>17438093.217686959</v>
      </c>
      <c r="Z106" s="1374">
        <f t="shared" si="35"/>
        <v>346909.67999999993</v>
      </c>
      <c r="AA106" s="1777">
        <f t="shared" si="36"/>
        <v>37008.039999999994</v>
      </c>
      <c r="AB106" s="1375">
        <f t="shared" si="37"/>
        <v>40238706.302362353</v>
      </c>
      <c r="AD106" s="340">
        <f t="shared" si="22"/>
        <v>0.56289985758478656</v>
      </c>
      <c r="AE106" s="341">
        <f t="shared" si="23"/>
        <v>0.21703856627098722</v>
      </c>
      <c r="AF106" s="341">
        <f t="shared" si="24"/>
        <v>0.19367846127495275</v>
      </c>
      <c r="AG106" s="341">
        <f t="shared" si="25"/>
        <v>2.63831148692735E-2</v>
      </c>
      <c r="AH106" s="342">
        <f t="shared" si="26"/>
        <v>0.77993842385577383</v>
      </c>
      <c r="AJ106" s="812">
        <f t="shared" si="27"/>
        <v>3.4829662252777747E-2</v>
      </c>
      <c r="AK106" s="790">
        <f t="shared" si="28"/>
        <v>8.9434932946358739E-4</v>
      </c>
      <c r="AL106" s="814">
        <f t="shared" si="29"/>
        <v>0.96427598841775874</v>
      </c>
      <c r="AN106" s="812">
        <f t="shared" si="30"/>
        <v>0.78245285631695261</v>
      </c>
      <c r="AO106" s="790">
        <f t="shared" si="31"/>
        <v>1.6241432063815578E-2</v>
      </c>
      <c r="AP106" s="814">
        <f t="shared" si="32"/>
        <v>0.20130571161923186</v>
      </c>
    </row>
    <row r="107" spans="1:42" x14ac:dyDescent="0.3">
      <c r="A107" s="435" t="s">
        <v>87</v>
      </c>
      <c r="B107" s="319" t="s">
        <v>88</v>
      </c>
      <c r="C107" s="436" t="s">
        <v>254</v>
      </c>
      <c r="D107" s="481">
        <f>'Administration LASER'!D106+'Other Oper Exp. LASER'!D106</f>
        <v>1814021.8400000003</v>
      </c>
      <c r="E107" s="482">
        <f>'Administration LASER'!E106+'Other Oper Exp. LASER'!E106</f>
        <v>551972.63</v>
      </c>
      <c r="F107" s="482">
        <f>'Administration LASER'!F106+'Other Oper Exp. LASER'!F106</f>
        <v>979397.87999999989</v>
      </c>
      <c r="G107" s="482">
        <f>'Administration LASER'!J106 + 'Other Oper Exp. LASER'!J106</f>
        <v>121648.70000000001</v>
      </c>
      <c r="H107" s="483">
        <f>'Administration LASER'!I106+'Other Oper Exp. LASER'!I106</f>
        <v>3467041.05</v>
      </c>
      <c r="I107" s="481">
        <f>'Client Services LASER'!D106</f>
        <v>39797.511539486026</v>
      </c>
      <c r="J107" s="482">
        <f>'Client Services LASER'!E106</f>
        <v>50897.758460513971</v>
      </c>
      <c r="K107" s="482">
        <f>'Client Services LASER'!F106</f>
        <v>18839.07</v>
      </c>
      <c r="L107" s="482">
        <f>'Client Services LASER'!J106</f>
        <v>239.99</v>
      </c>
      <c r="M107" s="483">
        <f>'Client Services LASER'!I106</f>
        <v>109774.33</v>
      </c>
      <c r="N107" s="1373">
        <f>'Statewide Benefits'!D107</f>
        <v>38576012.146833271</v>
      </c>
      <c r="O107" s="1374">
        <f>'Statewide Benefits'!E107</f>
        <v>31685469.727896631</v>
      </c>
      <c r="P107" s="1374">
        <f>'Statewide Benefits'!F107</f>
        <v>1053310.83</v>
      </c>
      <c r="Q107" s="1777">
        <f>'Statewide Benefits'!G107</f>
        <v>0</v>
      </c>
      <c r="R107" s="1375">
        <f t="shared" si="38"/>
        <v>71314792.7047299</v>
      </c>
      <c r="S107" s="1373">
        <f>'Other Benefits LASER'!D106+'FC &amp; Adoptions LASER'!D106</f>
        <v>1037627.88</v>
      </c>
      <c r="T107" s="1374">
        <f>'Other Benefits LASER'!E106 + 'FC &amp; Adoptions LASER'!E106</f>
        <v>1355298.23</v>
      </c>
      <c r="U107" s="1374">
        <f>'Other Benefits LASER'!F106+'FC &amp; Adoptions LASER'!F106</f>
        <v>21673.4</v>
      </c>
      <c r="V107" s="1777">
        <f>'FC &amp; Adoptions LASER'!J106+'Other Benefits LASER'!J106</f>
        <v>1201.48</v>
      </c>
      <c r="W107" s="1375">
        <f>'Other Benefits LASER'!I106+'FC &amp; Adoptions LASER'!I106</f>
        <v>2415800.9899999998</v>
      </c>
      <c r="X107" s="1373">
        <f t="shared" si="33"/>
        <v>41467459.378372759</v>
      </c>
      <c r="Y107" s="1374">
        <f t="shared" si="34"/>
        <v>33643638.346357144</v>
      </c>
      <c r="Z107" s="1374">
        <f t="shared" si="35"/>
        <v>2073221.1799999997</v>
      </c>
      <c r="AA107" s="1777">
        <f t="shared" si="36"/>
        <v>123090.17000000001</v>
      </c>
      <c r="AB107" s="1375">
        <f t="shared" si="37"/>
        <v>77307409.07472989</v>
      </c>
      <c r="AD107" s="340">
        <f t="shared" si="22"/>
        <v>0.52321902562993894</v>
      </c>
      <c r="AE107" s="341">
        <f t="shared" si="23"/>
        <v>0.15920568059036971</v>
      </c>
      <c r="AF107" s="341">
        <f t="shared" si="24"/>
        <v>0.28248811187280287</v>
      </c>
      <c r="AG107" s="341">
        <f t="shared" si="25"/>
        <v>3.5087181906888587E-2</v>
      </c>
      <c r="AH107" s="342">
        <f t="shared" si="26"/>
        <v>0.6824247062203086</v>
      </c>
      <c r="AJ107" s="812">
        <f t="shared" si="27"/>
        <v>4.484746147227045E-2</v>
      </c>
      <c r="AK107" s="790">
        <f t="shared" si="28"/>
        <v>1.4199716600757591E-3</v>
      </c>
      <c r="AL107" s="814">
        <f t="shared" si="29"/>
        <v>0.95373256686765384</v>
      </c>
      <c r="AN107" s="812">
        <f t="shared" si="30"/>
        <v>0.47240395257779494</v>
      </c>
      <c r="AO107" s="790">
        <f t="shared" si="31"/>
        <v>9.0868597049543944E-3</v>
      </c>
      <c r="AP107" s="814">
        <f t="shared" si="32"/>
        <v>0.51850918771725074</v>
      </c>
    </row>
    <row r="108" spans="1:42" x14ac:dyDescent="0.3">
      <c r="A108" s="435" t="s">
        <v>89</v>
      </c>
      <c r="B108" s="319" t="s">
        <v>90</v>
      </c>
      <c r="C108" s="436" t="s">
        <v>255</v>
      </c>
      <c r="D108" s="481">
        <f>'Administration LASER'!D107+'Other Oper Exp. LASER'!D107</f>
        <v>715096.97</v>
      </c>
      <c r="E108" s="482">
        <f>'Administration LASER'!E107+'Other Oper Exp. LASER'!E107</f>
        <v>263765.33999999997</v>
      </c>
      <c r="F108" s="482">
        <f>'Administration LASER'!F107+'Other Oper Exp. LASER'!F107</f>
        <v>276837.27999999997</v>
      </c>
      <c r="G108" s="482">
        <f>'Administration LASER'!J107 + 'Other Oper Exp. LASER'!J107</f>
        <v>66625.790000000008</v>
      </c>
      <c r="H108" s="483">
        <f>'Administration LASER'!I107+'Other Oper Exp. LASER'!I107</f>
        <v>1322325.3799999999</v>
      </c>
      <c r="I108" s="481">
        <f>'Client Services LASER'!D107</f>
        <v>8933.4261020746417</v>
      </c>
      <c r="J108" s="482">
        <f>'Client Services LASER'!E107</f>
        <v>6613.4738979253589</v>
      </c>
      <c r="K108" s="482">
        <f>'Client Services LASER'!F107</f>
        <v>2826.8099999999995</v>
      </c>
      <c r="L108" s="482">
        <f>'Client Services LASER'!J107</f>
        <v>0</v>
      </c>
      <c r="M108" s="483">
        <f>'Client Services LASER'!I107</f>
        <v>18373.71</v>
      </c>
      <c r="N108" s="1373">
        <f>'Statewide Benefits'!D108</f>
        <v>15624487.243087476</v>
      </c>
      <c r="O108" s="1374">
        <f>'Statewide Benefits'!E108</f>
        <v>13712539.34928395</v>
      </c>
      <c r="P108" s="1374">
        <f>'Statewide Benefits'!F108</f>
        <v>516786.81</v>
      </c>
      <c r="Q108" s="1777">
        <f>'Statewide Benefits'!G108</f>
        <v>0</v>
      </c>
      <c r="R108" s="1375">
        <f t="shared" si="38"/>
        <v>29853813.402371425</v>
      </c>
      <c r="S108" s="1373">
        <f>'Other Benefits LASER'!D107+'FC &amp; Adoptions LASER'!D107</f>
        <v>458767.05000000005</v>
      </c>
      <c r="T108" s="1374">
        <f>'Other Benefits LASER'!E107 + 'FC &amp; Adoptions LASER'!E107</f>
        <v>478561.19</v>
      </c>
      <c r="U108" s="1374">
        <f>'Other Benefits LASER'!F107+'FC &amp; Adoptions LASER'!F107</f>
        <v>12216.8</v>
      </c>
      <c r="V108" s="1777">
        <f>'FC &amp; Adoptions LASER'!J107+'Other Benefits LASER'!J107</f>
        <v>6276.22</v>
      </c>
      <c r="W108" s="1375">
        <f>'Other Benefits LASER'!I107+'FC &amp; Adoptions LASER'!I107</f>
        <v>955821.26</v>
      </c>
      <c r="X108" s="1373">
        <f t="shared" si="33"/>
        <v>16807284.68918955</v>
      </c>
      <c r="Y108" s="1374">
        <f t="shared" si="34"/>
        <v>14461479.353181874</v>
      </c>
      <c r="Z108" s="1374">
        <f t="shared" si="35"/>
        <v>808667.7</v>
      </c>
      <c r="AA108" s="1777">
        <f t="shared" si="36"/>
        <v>72902.010000000009</v>
      </c>
      <c r="AB108" s="1375">
        <f t="shared" si="37"/>
        <v>32150333.752371427</v>
      </c>
      <c r="AD108" s="340">
        <f t="shared" si="22"/>
        <v>0.54078744975763837</v>
      </c>
      <c r="AE108" s="341">
        <f t="shared" si="23"/>
        <v>0.19947082918426629</v>
      </c>
      <c r="AF108" s="341">
        <f t="shared" si="24"/>
        <v>0.20935639910352472</v>
      </c>
      <c r="AG108" s="341">
        <f t="shared" si="25"/>
        <v>5.0385321954570676E-2</v>
      </c>
      <c r="AH108" s="342">
        <f t="shared" si="26"/>
        <v>0.74025827894190466</v>
      </c>
      <c r="AJ108" s="812">
        <f t="shared" si="27"/>
        <v>4.1129444881811354E-2</v>
      </c>
      <c r="AK108" s="790">
        <f t="shared" si="28"/>
        <v>5.7149360070468148E-4</v>
      </c>
      <c r="AL108" s="814">
        <f t="shared" si="29"/>
        <v>0.95829906151748401</v>
      </c>
      <c r="AN108" s="812">
        <f t="shared" si="30"/>
        <v>0.34233750154729808</v>
      </c>
      <c r="AO108" s="790">
        <f t="shared" si="31"/>
        <v>3.4956385669911135E-3</v>
      </c>
      <c r="AP108" s="814">
        <f t="shared" si="32"/>
        <v>0.65416685988571077</v>
      </c>
    </row>
    <row r="109" spans="1:42" x14ac:dyDescent="0.3">
      <c r="A109" s="435" t="s">
        <v>105</v>
      </c>
      <c r="B109" s="319" t="s">
        <v>106</v>
      </c>
      <c r="C109" s="436" t="s">
        <v>251</v>
      </c>
      <c r="D109" s="481">
        <f>'Administration LASER'!D108+'Other Oper Exp. LASER'!D108</f>
        <v>7957866.9500000002</v>
      </c>
      <c r="E109" s="482">
        <f>'Administration LASER'!E108+'Other Oper Exp. LASER'!E108</f>
        <v>2886170.66</v>
      </c>
      <c r="F109" s="482">
        <f>'Administration LASER'!F108+'Other Oper Exp. LASER'!F108</f>
        <v>3269520.3600000003</v>
      </c>
      <c r="G109" s="482">
        <f>'Administration LASER'!J108 + 'Other Oper Exp. LASER'!J108</f>
        <v>373203.58</v>
      </c>
      <c r="H109" s="483">
        <f>'Administration LASER'!I108+'Other Oper Exp. LASER'!I108</f>
        <v>14486761.550000001</v>
      </c>
      <c r="I109" s="481">
        <f>'Client Services LASER'!D108</f>
        <v>243646.99860755363</v>
      </c>
      <c r="J109" s="482">
        <f>'Client Services LASER'!E108</f>
        <v>477339.07139244641</v>
      </c>
      <c r="K109" s="482">
        <f>'Client Services LASER'!F108</f>
        <v>141740.03999999998</v>
      </c>
      <c r="L109" s="482">
        <f>'Client Services LASER'!J108</f>
        <v>3396.6</v>
      </c>
      <c r="M109" s="483">
        <f>'Client Services LASER'!I108</f>
        <v>866122.71000000008</v>
      </c>
      <c r="N109" s="1373">
        <f>'Statewide Benefits'!D109</f>
        <v>173826049.56924212</v>
      </c>
      <c r="O109" s="1374">
        <f>'Statewide Benefits'!E109</f>
        <v>138744303.58954337</v>
      </c>
      <c r="P109" s="1374">
        <f>'Statewide Benefits'!F109</f>
        <v>1365015.5</v>
      </c>
      <c r="Q109" s="1777">
        <f>'Statewide Benefits'!G109</f>
        <v>0</v>
      </c>
      <c r="R109" s="1375">
        <f t="shared" si="38"/>
        <v>313935368.65878546</v>
      </c>
      <c r="S109" s="1373">
        <f>'Other Benefits LASER'!D108+'FC &amp; Adoptions LASER'!D108</f>
        <v>1641268.2300000002</v>
      </c>
      <c r="T109" s="1374">
        <f>'Other Benefits LASER'!E108 + 'FC &amp; Adoptions LASER'!E108</f>
        <v>2021935.5899999999</v>
      </c>
      <c r="U109" s="1374">
        <f>'Other Benefits LASER'!F108+'FC &amp; Adoptions LASER'!F108</f>
        <v>100076.18</v>
      </c>
      <c r="V109" s="1777">
        <f>'FC &amp; Adoptions LASER'!J108+'Other Benefits LASER'!J108</f>
        <v>-0.16999999999999998</v>
      </c>
      <c r="W109" s="1375">
        <f>'Other Benefits LASER'!I108+'FC &amp; Adoptions LASER'!I108</f>
        <v>3763279.83</v>
      </c>
      <c r="X109" s="1373">
        <f t="shared" si="33"/>
        <v>183668831.74784967</v>
      </c>
      <c r="Y109" s="1374">
        <f t="shared" si="34"/>
        <v>144129748.91093582</v>
      </c>
      <c r="Z109" s="1374">
        <f t="shared" si="35"/>
        <v>4876352.08</v>
      </c>
      <c r="AA109" s="1777">
        <f t="shared" si="36"/>
        <v>376600.01</v>
      </c>
      <c r="AB109" s="1375">
        <f t="shared" si="37"/>
        <v>333051532.74878544</v>
      </c>
      <c r="AD109" s="340">
        <f t="shared" si="22"/>
        <v>0.54931993755360731</v>
      </c>
      <c r="AE109" s="341">
        <f t="shared" si="23"/>
        <v>0.19922814702503336</v>
      </c>
      <c r="AF109" s="341">
        <f t="shared" si="24"/>
        <v>0.22569021714863527</v>
      </c>
      <c r="AG109" s="341">
        <f t="shared" si="25"/>
        <v>2.5761698272724037E-2</v>
      </c>
      <c r="AH109" s="342">
        <f t="shared" si="26"/>
        <v>0.74854808457864064</v>
      </c>
      <c r="AJ109" s="812">
        <f t="shared" si="27"/>
        <v>4.349705713838313E-2</v>
      </c>
      <c r="AK109" s="790">
        <f t="shared" si="28"/>
        <v>2.6005666536094291E-3</v>
      </c>
      <c r="AL109" s="814">
        <f t="shared" si="29"/>
        <v>0.95390237620800744</v>
      </c>
      <c r="AN109" s="812">
        <f t="shared" si="30"/>
        <v>0.67048488426619113</v>
      </c>
      <c r="AO109" s="790">
        <f t="shared" si="31"/>
        <v>2.906681832539048E-2</v>
      </c>
      <c r="AP109" s="814">
        <f t="shared" si="32"/>
        <v>0.30044829740841844</v>
      </c>
    </row>
    <row r="110" spans="1:42" x14ac:dyDescent="0.3">
      <c r="A110" s="435" t="s">
        <v>115</v>
      </c>
      <c r="B110" s="319" t="s">
        <v>116</v>
      </c>
      <c r="C110" s="436" t="s">
        <v>253</v>
      </c>
      <c r="D110" s="481">
        <f>'Administration LASER'!D109+'Other Oper Exp. LASER'!D109</f>
        <v>2156475.04</v>
      </c>
      <c r="E110" s="482">
        <f>'Administration LASER'!E109+'Other Oper Exp. LASER'!E109</f>
        <v>734579.84</v>
      </c>
      <c r="F110" s="482">
        <f>'Administration LASER'!F109+'Other Oper Exp. LASER'!F109</f>
        <v>1001653.8699999999</v>
      </c>
      <c r="G110" s="482">
        <f>'Administration LASER'!J109 + 'Other Oper Exp. LASER'!J109</f>
        <v>202061.97999999998</v>
      </c>
      <c r="H110" s="483">
        <f>'Administration LASER'!I109+'Other Oper Exp. LASER'!I109</f>
        <v>4094770.73</v>
      </c>
      <c r="I110" s="481">
        <f>'Client Services LASER'!D109</f>
        <v>59443.600984779237</v>
      </c>
      <c r="J110" s="482">
        <f>'Client Services LASER'!E109</f>
        <v>75400.269015220765</v>
      </c>
      <c r="K110" s="482">
        <f>'Client Services LASER'!F109</f>
        <v>26450.34</v>
      </c>
      <c r="L110" s="482">
        <f>'Client Services LASER'!J109</f>
        <v>-9.9999999999999992E-2</v>
      </c>
      <c r="M110" s="483">
        <f>'Client Services LASER'!I109</f>
        <v>161294.10999999999</v>
      </c>
      <c r="N110" s="1373">
        <f>'Statewide Benefits'!D110</f>
        <v>50414756.851673163</v>
      </c>
      <c r="O110" s="1374">
        <f>'Statewide Benefits'!E110</f>
        <v>39377001.985494412</v>
      </c>
      <c r="P110" s="1374">
        <f>'Statewide Benefits'!F110</f>
        <v>812997.47</v>
      </c>
      <c r="Q110" s="1777">
        <f>'Statewide Benefits'!G110</f>
        <v>0</v>
      </c>
      <c r="R110" s="1375">
        <f t="shared" si="38"/>
        <v>90604756.307167575</v>
      </c>
      <c r="S110" s="1373">
        <f>'Other Benefits LASER'!D109+'FC &amp; Adoptions LASER'!D109</f>
        <v>547158.57999999996</v>
      </c>
      <c r="T110" s="1374">
        <f>'Other Benefits LASER'!E109 + 'FC &amp; Adoptions LASER'!E109</f>
        <v>618613.61999999988</v>
      </c>
      <c r="U110" s="1374">
        <f>'Other Benefits LASER'!F109+'FC &amp; Adoptions LASER'!F109</f>
        <v>14667.8</v>
      </c>
      <c r="V110" s="1777">
        <f>'FC &amp; Adoptions LASER'!J109+'Other Benefits LASER'!J109</f>
        <v>141.72</v>
      </c>
      <c r="W110" s="1375">
        <f>'Other Benefits LASER'!I109+'FC &amp; Adoptions LASER'!I109</f>
        <v>1180581.72</v>
      </c>
      <c r="X110" s="1373">
        <f t="shared" si="33"/>
        <v>53177834.072657943</v>
      </c>
      <c r="Y110" s="1374">
        <f t="shared" si="34"/>
        <v>40805595.714509629</v>
      </c>
      <c r="Z110" s="1374">
        <f t="shared" si="35"/>
        <v>1855769.4799999997</v>
      </c>
      <c r="AA110" s="1777">
        <f t="shared" si="36"/>
        <v>202203.59999999998</v>
      </c>
      <c r="AB110" s="1375">
        <f t="shared" si="37"/>
        <v>96041402.867167577</v>
      </c>
      <c r="AD110" s="340">
        <f t="shared" si="22"/>
        <v>0.5266412168575797</v>
      </c>
      <c r="AE110" s="341">
        <f t="shared" si="23"/>
        <v>0.17939462022089817</v>
      </c>
      <c r="AF110" s="341">
        <f t="shared" si="24"/>
        <v>0.24461781526898818</v>
      </c>
      <c r="AG110" s="341">
        <f t="shared" si="25"/>
        <v>4.9346347652533887E-2</v>
      </c>
      <c r="AH110" s="342">
        <f t="shared" si="26"/>
        <v>0.70603583707847783</v>
      </c>
      <c r="AJ110" s="812">
        <f t="shared" si="27"/>
        <v>4.2635473949327596E-2</v>
      </c>
      <c r="AK110" s="790">
        <f t="shared" si="28"/>
        <v>1.679422677978598E-3</v>
      </c>
      <c r="AL110" s="814">
        <f t="shared" si="29"/>
        <v>0.95568510337269374</v>
      </c>
      <c r="AN110" s="812">
        <f t="shared" si="30"/>
        <v>0.53975123569765793</v>
      </c>
      <c r="AO110" s="790">
        <f t="shared" si="31"/>
        <v>1.4253031039178424E-2</v>
      </c>
      <c r="AP110" s="814">
        <f t="shared" si="32"/>
        <v>0.44599573326316377</v>
      </c>
    </row>
    <row r="111" spans="1:42" x14ac:dyDescent="0.3">
      <c r="A111" s="435" t="s">
        <v>137</v>
      </c>
      <c r="B111" s="319" t="s">
        <v>138</v>
      </c>
      <c r="C111" s="436" t="s">
        <v>252</v>
      </c>
      <c r="D111" s="481">
        <f>'Administration LASER'!D110+'Other Oper Exp. LASER'!D110</f>
        <v>5792521.1500000004</v>
      </c>
      <c r="E111" s="482">
        <f>'Administration LASER'!E110+'Other Oper Exp. LASER'!E110</f>
        <v>1732050.17</v>
      </c>
      <c r="F111" s="482">
        <f>'Administration LASER'!F110+'Other Oper Exp. LASER'!F110</f>
        <v>3403141.4400000004</v>
      </c>
      <c r="G111" s="482">
        <f>'Administration LASER'!J110 + 'Other Oper Exp. LASER'!J110</f>
        <v>904986.82000000007</v>
      </c>
      <c r="H111" s="483">
        <f>'Administration LASER'!I110+'Other Oper Exp. LASER'!I110</f>
        <v>11832699.580000002</v>
      </c>
      <c r="I111" s="481">
        <f>'Client Services LASER'!D110</f>
        <v>124431.30156755776</v>
      </c>
      <c r="J111" s="482">
        <f>'Client Services LASER'!E110</f>
        <v>59687.098432442232</v>
      </c>
      <c r="K111" s="482">
        <f>'Client Services LASER'!F110</f>
        <v>37732.01</v>
      </c>
      <c r="L111" s="482">
        <f>'Client Services LASER'!J110</f>
        <v>-0.02</v>
      </c>
      <c r="M111" s="483">
        <f>'Client Services LASER'!I110</f>
        <v>221850.39</v>
      </c>
      <c r="N111" s="1373">
        <f>'Statewide Benefits'!D111</f>
        <v>101564413.07036562</v>
      </c>
      <c r="O111" s="1374">
        <f>'Statewide Benefits'!E111</f>
        <v>84168544.123865053</v>
      </c>
      <c r="P111" s="1374">
        <f>'Statewide Benefits'!F111</f>
        <v>2140981</v>
      </c>
      <c r="Q111" s="1777">
        <f>'Statewide Benefits'!G111</f>
        <v>0</v>
      </c>
      <c r="R111" s="1375">
        <f t="shared" si="38"/>
        <v>187873938.19423068</v>
      </c>
      <c r="S111" s="1373">
        <f>'Other Benefits LASER'!D110+'FC &amp; Adoptions LASER'!D110</f>
        <v>3743734.71</v>
      </c>
      <c r="T111" s="1374">
        <f>'Other Benefits LASER'!E110 + 'FC &amp; Adoptions LASER'!E110</f>
        <v>4598378.3600000003</v>
      </c>
      <c r="U111" s="1374">
        <f>'Other Benefits LASER'!F110+'FC &amp; Adoptions LASER'!F110</f>
        <v>86455.2</v>
      </c>
      <c r="V111" s="1777">
        <f>'FC &amp; Adoptions LASER'!J110+'Other Benefits LASER'!J110</f>
        <v>-0.47</v>
      </c>
      <c r="W111" s="1375">
        <f>'Other Benefits LASER'!I110+'FC &amp; Adoptions LASER'!I110</f>
        <v>8428567.8000000007</v>
      </c>
      <c r="X111" s="1373">
        <f t="shared" si="33"/>
        <v>111225100.23193318</v>
      </c>
      <c r="Y111" s="1374">
        <f t="shared" si="34"/>
        <v>90558659.752297491</v>
      </c>
      <c r="Z111" s="1374">
        <f t="shared" si="35"/>
        <v>5668309.6500000004</v>
      </c>
      <c r="AA111" s="1777">
        <f t="shared" si="36"/>
        <v>904986.33000000007</v>
      </c>
      <c r="AB111" s="1375">
        <f t="shared" si="37"/>
        <v>208357055.96423069</v>
      </c>
      <c r="AD111" s="340">
        <f t="shared" si="22"/>
        <v>0.48953504741983817</v>
      </c>
      <c r="AE111" s="341">
        <f t="shared" si="23"/>
        <v>0.14637827642709406</v>
      </c>
      <c r="AF111" s="341">
        <f t="shared" si="24"/>
        <v>0.2876048206067951</v>
      </c>
      <c r="AG111" s="341">
        <f t="shared" si="25"/>
        <v>7.6481855546272556E-2</v>
      </c>
      <c r="AH111" s="342">
        <f t="shared" si="26"/>
        <v>0.63591332384693222</v>
      </c>
      <c r="AJ111" s="812">
        <f t="shared" si="27"/>
        <v>5.6790491328651521E-2</v>
      </c>
      <c r="AK111" s="790">
        <f t="shared" si="28"/>
        <v>1.0647606291676812E-3</v>
      </c>
      <c r="AL111" s="814">
        <f t="shared" si="29"/>
        <v>0.94214474804218085</v>
      </c>
      <c r="AN111" s="812">
        <f t="shared" si="30"/>
        <v>0.60038029856043595</v>
      </c>
      <c r="AO111" s="790">
        <f t="shared" si="31"/>
        <v>6.6566599797525175E-3</v>
      </c>
      <c r="AP111" s="814">
        <f t="shared" si="32"/>
        <v>0.39296304145981159</v>
      </c>
    </row>
    <row r="112" spans="1:42" x14ac:dyDescent="0.3">
      <c r="A112" s="435" t="s">
        <v>141</v>
      </c>
      <c r="B112" s="319" t="s">
        <v>142</v>
      </c>
      <c r="C112" s="436" t="s">
        <v>254</v>
      </c>
      <c r="D112" s="481">
        <f>'Administration LASER'!D111+'Other Oper Exp. LASER'!D111</f>
        <v>1804923.03</v>
      </c>
      <c r="E112" s="482">
        <f>'Administration LASER'!E111+'Other Oper Exp. LASER'!E111</f>
        <v>484735.95</v>
      </c>
      <c r="F112" s="482">
        <f>'Administration LASER'!F111+'Other Oper Exp. LASER'!F111</f>
        <v>1450041.5999999999</v>
      </c>
      <c r="G112" s="482">
        <f>'Administration LASER'!J111 + 'Other Oper Exp. LASER'!J111</f>
        <v>268205.44</v>
      </c>
      <c r="H112" s="483">
        <f>'Administration LASER'!I111+'Other Oper Exp. LASER'!I111</f>
        <v>4007906.02</v>
      </c>
      <c r="I112" s="481">
        <f>'Client Services LASER'!D111</f>
        <v>27224.421348468506</v>
      </c>
      <c r="J112" s="482">
        <f>'Client Services LASER'!E111</f>
        <v>21050.058651531494</v>
      </c>
      <c r="K112" s="482">
        <f>'Client Services LASER'!F111</f>
        <v>9532.5199999999986</v>
      </c>
      <c r="L112" s="482">
        <f>'Client Services LASER'!J111</f>
        <v>3.0000000000000006E-2</v>
      </c>
      <c r="M112" s="483">
        <f>'Client Services LASER'!I111</f>
        <v>57807.029999999992</v>
      </c>
      <c r="N112" s="1373">
        <f>'Statewide Benefits'!D112</f>
        <v>33068003.053529974</v>
      </c>
      <c r="O112" s="1374">
        <f>'Statewide Benefits'!E112</f>
        <v>25196992.29368801</v>
      </c>
      <c r="P112" s="1374">
        <f>'Statewide Benefits'!F112</f>
        <v>462423.70999999996</v>
      </c>
      <c r="Q112" s="1777">
        <f>'Statewide Benefits'!G112</f>
        <v>0</v>
      </c>
      <c r="R112" s="1375">
        <f t="shared" si="38"/>
        <v>58727419.057217985</v>
      </c>
      <c r="S112" s="1373">
        <f>'Other Benefits LASER'!D111+'FC &amp; Adoptions LASER'!D111</f>
        <v>276201.09000000003</v>
      </c>
      <c r="T112" s="1374">
        <f>'Other Benefits LASER'!E111 + 'FC &amp; Adoptions LASER'!E111</f>
        <v>283599.5</v>
      </c>
      <c r="U112" s="1374">
        <f>'Other Benefits LASER'!F111+'FC &amp; Adoptions LASER'!F111</f>
        <v>4148.3999999999996</v>
      </c>
      <c r="V112" s="1777">
        <f>'FC &amp; Adoptions LASER'!J111+'Other Benefits LASER'!J111</f>
        <v>2179.77</v>
      </c>
      <c r="W112" s="1375">
        <f>'Other Benefits LASER'!I111+'FC &amp; Adoptions LASER'!I111</f>
        <v>566128.76</v>
      </c>
      <c r="X112" s="1373">
        <f t="shared" si="33"/>
        <v>35176351.594878443</v>
      </c>
      <c r="Y112" s="1374">
        <f t="shared" si="34"/>
        <v>25986377.802339543</v>
      </c>
      <c r="Z112" s="1374">
        <f t="shared" si="35"/>
        <v>1926146.2299999997</v>
      </c>
      <c r="AA112" s="1777">
        <f t="shared" si="36"/>
        <v>270385.24000000005</v>
      </c>
      <c r="AB112" s="1375">
        <f t="shared" si="37"/>
        <v>63359260.86721798</v>
      </c>
      <c r="AD112" s="340">
        <f t="shared" si="22"/>
        <v>0.45034065693985509</v>
      </c>
      <c r="AE112" s="341">
        <f t="shared" si="23"/>
        <v>0.12094493922290124</v>
      </c>
      <c r="AF112" s="341">
        <f t="shared" si="24"/>
        <v>0.36179530976128027</v>
      </c>
      <c r="AG112" s="341">
        <f t="shared" si="25"/>
        <v>6.6919094075963387E-2</v>
      </c>
      <c r="AH112" s="342">
        <f t="shared" si="26"/>
        <v>0.57128559616275632</v>
      </c>
      <c r="AJ112" s="812">
        <f t="shared" si="27"/>
        <v>6.3256830416620072E-2</v>
      </c>
      <c r="AK112" s="790">
        <f t="shared" si="28"/>
        <v>9.1236907136821245E-4</v>
      </c>
      <c r="AL112" s="814">
        <f t="shared" si="29"/>
        <v>0.93583080051201173</v>
      </c>
      <c r="AN112" s="812">
        <f t="shared" si="30"/>
        <v>0.75282010130663857</v>
      </c>
      <c r="AO112" s="790">
        <f t="shared" si="31"/>
        <v>4.9490115815350117E-3</v>
      </c>
      <c r="AP112" s="814">
        <f t="shared" si="32"/>
        <v>0.24223088711182642</v>
      </c>
    </row>
    <row r="113" spans="1:42" x14ac:dyDescent="0.3">
      <c r="A113" s="435" t="s">
        <v>143</v>
      </c>
      <c r="B113" s="319" t="s">
        <v>144</v>
      </c>
      <c r="C113" s="436" t="s">
        <v>254</v>
      </c>
      <c r="D113" s="481">
        <f>'Administration LASER'!D112+'Other Oper Exp. LASER'!D112</f>
        <v>780107.5199999999</v>
      </c>
      <c r="E113" s="482">
        <f>'Administration LASER'!E112+'Other Oper Exp. LASER'!E112</f>
        <v>207438.78999999998</v>
      </c>
      <c r="F113" s="482">
        <f>'Administration LASER'!F112+'Other Oper Exp. LASER'!F112</f>
        <v>619799.30000000005</v>
      </c>
      <c r="G113" s="482">
        <f>'Administration LASER'!J112 + 'Other Oper Exp. LASER'!J112</f>
        <v>95567.88</v>
      </c>
      <c r="H113" s="483">
        <f>'Administration LASER'!I112+'Other Oper Exp. LASER'!I112</f>
        <v>1702913.4900000002</v>
      </c>
      <c r="I113" s="481">
        <f>'Client Services LASER'!D112</f>
        <v>8549.4181139496486</v>
      </c>
      <c r="J113" s="482">
        <f>'Client Services LASER'!E112</f>
        <v>3540.8318860503514</v>
      </c>
      <c r="K113" s="482">
        <f>'Client Services LASER'!F112</f>
        <v>3030.73</v>
      </c>
      <c r="L113" s="482">
        <f>'Client Services LASER'!J112</f>
        <v>-9.9999999999999985E-3</v>
      </c>
      <c r="M113" s="483">
        <f>'Client Services LASER'!I112</f>
        <v>15120.97</v>
      </c>
      <c r="N113" s="1373">
        <f>'Statewide Benefits'!D113</f>
        <v>12002655.323722493</v>
      </c>
      <c r="O113" s="1374">
        <f>'Statewide Benefits'!E113</f>
        <v>9642255.1711690519</v>
      </c>
      <c r="P113" s="1374">
        <f>'Statewide Benefits'!F113</f>
        <v>360006.48</v>
      </c>
      <c r="Q113" s="1777">
        <f>'Statewide Benefits'!G113</f>
        <v>0</v>
      </c>
      <c r="R113" s="1375">
        <f t="shared" si="38"/>
        <v>22004916.974891547</v>
      </c>
      <c r="S113" s="1373">
        <f>'Other Benefits LASER'!D112+'FC &amp; Adoptions LASER'!D112</f>
        <v>13065.16</v>
      </c>
      <c r="T113" s="1374">
        <f>'Other Benefits LASER'!E112 + 'FC &amp; Adoptions LASER'!E112</f>
        <v>18524.77</v>
      </c>
      <c r="U113" s="1374">
        <f>'Other Benefits LASER'!F112+'FC &amp; Adoptions LASER'!F112</f>
        <v>1454.2</v>
      </c>
      <c r="V113" s="1777">
        <f>'FC &amp; Adoptions LASER'!J112+'Other Benefits LASER'!J112</f>
        <v>0</v>
      </c>
      <c r="W113" s="1375">
        <f>'Other Benefits LASER'!I112+'FC &amp; Adoptions LASER'!I112</f>
        <v>33044.130000000005</v>
      </c>
      <c r="X113" s="1373">
        <f t="shared" si="33"/>
        <v>12804377.421836443</v>
      </c>
      <c r="Y113" s="1374">
        <f t="shared" si="34"/>
        <v>9871759.5630551018</v>
      </c>
      <c r="Z113" s="1374">
        <f t="shared" si="35"/>
        <v>984290.71</v>
      </c>
      <c r="AA113" s="1777">
        <f t="shared" si="36"/>
        <v>95567.87000000001</v>
      </c>
      <c r="AB113" s="1375">
        <f t="shared" si="37"/>
        <v>23755995.564891547</v>
      </c>
      <c r="AD113" s="340">
        <f t="shared" si="22"/>
        <v>0.45810167373798877</v>
      </c>
      <c r="AE113" s="341">
        <f t="shared" si="23"/>
        <v>0.12181405057751933</v>
      </c>
      <c r="AF113" s="341">
        <f t="shared" si="24"/>
        <v>0.36396405550818672</v>
      </c>
      <c r="AG113" s="341">
        <f t="shared" si="25"/>
        <v>5.6120220176305018E-2</v>
      </c>
      <c r="AH113" s="342">
        <f t="shared" si="26"/>
        <v>0.57991572431550809</v>
      </c>
      <c r="AJ113" s="812">
        <f t="shared" si="27"/>
        <v>7.1683524495883388E-2</v>
      </c>
      <c r="AK113" s="790">
        <f t="shared" si="28"/>
        <v>6.3651173695060555E-4</v>
      </c>
      <c r="AL113" s="814">
        <f t="shared" si="29"/>
        <v>0.92767996376716599</v>
      </c>
      <c r="AN113" s="812">
        <f t="shared" si="30"/>
        <v>0.6296913032939222</v>
      </c>
      <c r="AO113" s="790">
        <f t="shared" si="31"/>
        <v>3.0791004824174354E-3</v>
      </c>
      <c r="AP113" s="814">
        <f t="shared" si="32"/>
        <v>0.36722959622366041</v>
      </c>
    </row>
    <row r="114" spans="1:42" x14ac:dyDescent="0.3">
      <c r="A114" s="435" t="s">
        <v>157</v>
      </c>
      <c r="B114" s="319" t="s">
        <v>158</v>
      </c>
      <c r="C114" s="436" t="s">
        <v>251</v>
      </c>
      <c r="D114" s="481">
        <f>'Administration LASER'!D113+'Other Oper Exp. LASER'!D113</f>
        <v>15387665.16</v>
      </c>
      <c r="E114" s="482">
        <f>'Administration LASER'!E113+'Other Oper Exp. LASER'!E113</f>
        <v>4394343.32</v>
      </c>
      <c r="F114" s="482">
        <f>'Administration LASER'!F113+'Other Oper Exp. LASER'!F113</f>
        <v>10341034.709999999</v>
      </c>
      <c r="G114" s="482">
        <f>'Administration LASER'!J113 + 'Other Oper Exp. LASER'!J113</f>
        <v>1468463.6800000002</v>
      </c>
      <c r="H114" s="483">
        <f>'Administration LASER'!I113+'Other Oper Exp. LASER'!I113</f>
        <v>31591506.870000001</v>
      </c>
      <c r="I114" s="481">
        <f>'Client Services LASER'!D113</f>
        <v>362212.40044581192</v>
      </c>
      <c r="J114" s="482">
        <f>'Client Services LASER'!E113</f>
        <v>373920.49955418817</v>
      </c>
      <c r="K114" s="482">
        <f>'Client Services LASER'!F113</f>
        <v>149390.68000000002</v>
      </c>
      <c r="L114" s="482">
        <f>'Client Services LASER'!J113</f>
        <v>-0.17</v>
      </c>
      <c r="M114" s="483">
        <f>'Client Services LASER'!I113</f>
        <v>885523.41000000015</v>
      </c>
      <c r="N114" s="1373">
        <f>'Statewide Benefits'!D114</f>
        <v>248846091.11637306</v>
      </c>
      <c r="O114" s="1374">
        <f>'Statewide Benefits'!E114</f>
        <v>191630880.66451776</v>
      </c>
      <c r="P114" s="1374">
        <f>'Statewide Benefits'!F114</f>
        <v>2357766.77</v>
      </c>
      <c r="Q114" s="1777">
        <f>'Statewide Benefits'!G114</f>
        <v>0</v>
      </c>
      <c r="R114" s="1375">
        <f t="shared" si="38"/>
        <v>442834738.5508908</v>
      </c>
      <c r="S114" s="1373">
        <f>'Other Benefits LASER'!D113+'FC &amp; Adoptions LASER'!D113</f>
        <v>2697270.89</v>
      </c>
      <c r="T114" s="1374">
        <f>'Other Benefits LASER'!E113 + 'FC &amp; Adoptions LASER'!E113</f>
        <v>3184324.37</v>
      </c>
      <c r="U114" s="1374">
        <f>'Other Benefits LASER'!F113+'FC &amp; Adoptions LASER'!F113</f>
        <v>106662.62</v>
      </c>
      <c r="V114" s="1777">
        <f>'FC &amp; Adoptions LASER'!J113+'Other Benefits LASER'!J113</f>
        <v>-0.56000000000000005</v>
      </c>
      <c r="W114" s="1375">
        <f>'Other Benefits LASER'!I113+'FC &amp; Adoptions LASER'!I113</f>
        <v>5988257.3200000003</v>
      </c>
      <c r="X114" s="1373">
        <f t="shared" si="33"/>
        <v>267293239.56681886</v>
      </c>
      <c r="Y114" s="1374">
        <f t="shared" si="34"/>
        <v>199583468.85407194</v>
      </c>
      <c r="Z114" s="1374">
        <f t="shared" si="35"/>
        <v>12954854.779999997</v>
      </c>
      <c r="AA114" s="1777">
        <f t="shared" si="36"/>
        <v>1468462.9500000002</v>
      </c>
      <c r="AB114" s="1375">
        <f t="shared" si="37"/>
        <v>481300026.15089077</v>
      </c>
      <c r="AD114" s="340">
        <f t="shared" si="22"/>
        <v>0.48708234220421026</v>
      </c>
      <c r="AE114" s="341">
        <f t="shared" si="23"/>
        <v>0.13909888306635246</v>
      </c>
      <c r="AF114" s="341">
        <f t="shared" si="24"/>
        <v>0.32733591191308686</v>
      </c>
      <c r="AG114" s="341">
        <f t="shared" si="25"/>
        <v>4.6482862816350362E-2</v>
      </c>
      <c r="AH114" s="342">
        <f t="shared" si="26"/>
        <v>0.62618122527056275</v>
      </c>
      <c r="AJ114" s="812">
        <f t="shared" si="27"/>
        <v>6.563786651467135E-2</v>
      </c>
      <c r="AK114" s="790">
        <f t="shared" si="28"/>
        <v>1.8398573901643269E-3</v>
      </c>
      <c r="AL114" s="814">
        <f t="shared" si="29"/>
        <v>0.93252227609516436</v>
      </c>
      <c r="AN114" s="812">
        <f t="shared" si="30"/>
        <v>0.79823625085822858</v>
      </c>
      <c r="AO114" s="790">
        <f t="shared" si="31"/>
        <v>1.1531636790759922E-2</v>
      </c>
      <c r="AP114" s="814">
        <f t="shared" si="32"/>
        <v>0.19023211235101167</v>
      </c>
    </row>
    <row r="115" spans="1:42" x14ac:dyDescent="0.3">
      <c r="A115" s="435" t="s">
        <v>159</v>
      </c>
      <c r="B115" s="319" t="s">
        <v>160</v>
      </c>
      <c r="C115" s="436" t="s">
        <v>251</v>
      </c>
      <c r="D115" s="481">
        <f>'Administration LASER'!D114+'Other Oper Exp. LASER'!D114</f>
        <v>16931220.68</v>
      </c>
      <c r="E115" s="482">
        <f>'Administration LASER'!E114+'Other Oper Exp. LASER'!E114</f>
        <v>6618874.8300000001</v>
      </c>
      <c r="F115" s="482">
        <f>'Administration LASER'!F114+'Other Oper Exp. LASER'!F114</f>
        <v>4820088.71</v>
      </c>
      <c r="G115" s="482">
        <f>'Administration LASER'!J114 + 'Other Oper Exp. LASER'!J114</f>
        <v>1712404.5299999998</v>
      </c>
      <c r="H115" s="483">
        <f>'Administration LASER'!I114+'Other Oper Exp. LASER'!I114</f>
        <v>30082588.75</v>
      </c>
      <c r="I115" s="481">
        <f>'Client Services LASER'!D114</f>
        <v>304562.62437865138</v>
      </c>
      <c r="J115" s="482">
        <f>'Client Services LASER'!E114</f>
        <v>458639.89562134858</v>
      </c>
      <c r="K115" s="482">
        <f>'Client Services LASER'!F114</f>
        <v>141027.17000000001</v>
      </c>
      <c r="L115" s="482">
        <f>'Client Services LASER'!J114</f>
        <v>-0.32000000000000006</v>
      </c>
      <c r="M115" s="483">
        <f>'Client Services LASER'!I114</f>
        <v>904229.37000000011</v>
      </c>
      <c r="N115" s="1373">
        <f>'Statewide Benefits'!D115</f>
        <v>338142665.5402863</v>
      </c>
      <c r="O115" s="1374">
        <f>'Statewide Benefits'!E115</f>
        <v>271813515.89236605</v>
      </c>
      <c r="P115" s="1374">
        <f>'Statewide Benefits'!F115</f>
        <v>2884811.6799999997</v>
      </c>
      <c r="Q115" s="1777">
        <f>'Statewide Benefits'!G115</f>
        <v>0</v>
      </c>
      <c r="R115" s="1375">
        <f t="shared" si="38"/>
        <v>612840993.1126523</v>
      </c>
      <c r="S115" s="1373">
        <f>'Other Benefits LASER'!D114+'FC &amp; Adoptions LASER'!D114</f>
        <v>3774308.63</v>
      </c>
      <c r="T115" s="1374">
        <f>'Other Benefits LASER'!E114 + 'FC &amp; Adoptions LASER'!E114</f>
        <v>4506112.2300000004</v>
      </c>
      <c r="U115" s="1374">
        <f>'Other Benefits LASER'!F114+'FC &amp; Adoptions LASER'!F114</f>
        <v>171336.15</v>
      </c>
      <c r="V115" s="1777">
        <f>'FC &amp; Adoptions LASER'!J114+'Other Benefits LASER'!J114</f>
        <v>-0.5</v>
      </c>
      <c r="W115" s="1375">
        <f>'Other Benefits LASER'!I114+'FC &amp; Adoptions LASER'!I114</f>
        <v>8451756.5099999998</v>
      </c>
      <c r="X115" s="1373">
        <f t="shared" si="33"/>
        <v>359152757.47466493</v>
      </c>
      <c r="Y115" s="1374">
        <f t="shared" si="34"/>
        <v>283397142.84798741</v>
      </c>
      <c r="Z115" s="1374">
        <f t="shared" si="35"/>
        <v>8017263.71</v>
      </c>
      <c r="AA115" s="1777">
        <f t="shared" si="36"/>
        <v>1712403.7099999997</v>
      </c>
      <c r="AB115" s="1375">
        <f t="shared" si="37"/>
        <v>652279567.7426523</v>
      </c>
      <c r="AD115" s="340">
        <f t="shared" si="22"/>
        <v>0.56282459002136243</v>
      </c>
      <c r="AE115" s="341">
        <f t="shared" si="23"/>
        <v>0.22002344562184661</v>
      </c>
      <c r="AF115" s="341">
        <f t="shared" si="24"/>
        <v>0.16022852122392559</v>
      </c>
      <c r="AG115" s="341">
        <f t="shared" si="25"/>
        <v>5.6923443132865348E-2</v>
      </c>
      <c r="AH115" s="342">
        <f t="shared" si="26"/>
        <v>0.78284803564320904</v>
      </c>
      <c r="AJ115" s="812">
        <f t="shared" si="27"/>
        <v>4.6119164600091626E-2</v>
      </c>
      <c r="AK115" s="790">
        <f t="shared" si="28"/>
        <v>1.3862604544386879E-3</v>
      </c>
      <c r="AL115" s="814">
        <f t="shared" si="29"/>
        <v>0.95249457494546963</v>
      </c>
      <c r="AN115" s="812">
        <f t="shared" si="30"/>
        <v>0.60121369139795955</v>
      </c>
      <c r="AO115" s="790">
        <f t="shared" si="31"/>
        <v>1.7590436725200352E-2</v>
      </c>
      <c r="AP115" s="814">
        <f t="shared" si="32"/>
        <v>0.38119587187684006</v>
      </c>
    </row>
    <row r="116" spans="1:42" x14ac:dyDescent="0.3">
      <c r="A116" s="435" t="s">
        <v>165</v>
      </c>
      <c r="B116" s="319" t="s">
        <v>166</v>
      </c>
      <c r="C116" s="436" t="s">
        <v>255</v>
      </c>
      <c r="D116" s="481">
        <f>'Administration LASER'!D115+'Other Oper Exp. LASER'!D115</f>
        <v>544164</v>
      </c>
      <c r="E116" s="482">
        <f>'Administration LASER'!E115+'Other Oper Exp. LASER'!E115</f>
        <v>193349.47</v>
      </c>
      <c r="F116" s="482">
        <f>'Administration LASER'!F115+'Other Oper Exp. LASER'!F115</f>
        <v>249952.93000000002</v>
      </c>
      <c r="G116" s="482">
        <f>'Administration LASER'!J115 + 'Other Oper Exp. LASER'!J115</f>
        <v>33330.700000000004</v>
      </c>
      <c r="H116" s="483">
        <f>'Administration LASER'!I115+'Other Oper Exp. LASER'!I115</f>
        <v>1020797.1</v>
      </c>
      <c r="I116" s="481">
        <f>'Client Services LASER'!D115</f>
        <v>26227.876320068357</v>
      </c>
      <c r="J116" s="482">
        <f>'Client Services LASER'!E115</f>
        <v>21483.053679931647</v>
      </c>
      <c r="K116" s="482">
        <f>'Client Services LASER'!F115</f>
        <v>9307.7100000000009</v>
      </c>
      <c r="L116" s="482">
        <f>'Client Services LASER'!J115</f>
        <v>-7.0000000000000007E-2</v>
      </c>
      <c r="M116" s="483">
        <f>'Client Services LASER'!I115</f>
        <v>57018.570000000007</v>
      </c>
      <c r="N116" s="1373">
        <f>'Statewide Benefits'!D116</f>
        <v>6873716.8590225624</v>
      </c>
      <c r="O116" s="1374">
        <f>'Statewide Benefits'!E116</f>
        <v>5251878.1359224245</v>
      </c>
      <c r="P116" s="1374">
        <f>'Statewide Benefits'!F116</f>
        <v>41973.599999999999</v>
      </c>
      <c r="Q116" s="1777">
        <f>'Statewide Benefits'!G116</f>
        <v>0</v>
      </c>
      <c r="R116" s="1375">
        <f t="shared" si="38"/>
        <v>12167568.594944986</v>
      </c>
      <c r="S116" s="1373">
        <f>'Other Benefits LASER'!D115+'FC &amp; Adoptions LASER'!D115</f>
        <v>67135.039999999994</v>
      </c>
      <c r="T116" s="1374">
        <f>'Other Benefits LASER'!E115 + 'FC &amp; Adoptions LASER'!E115</f>
        <v>124710.34</v>
      </c>
      <c r="U116" s="1374">
        <f>'Other Benefits LASER'!F115+'FC &amp; Adoptions LASER'!F115</f>
        <v>9777.6</v>
      </c>
      <c r="V116" s="1777">
        <f>'FC &amp; Adoptions LASER'!J115+'Other Benefits LASER'!J115</f>
        <v>-115.69</v>
      </c>
      <c r="W116" s="1375">
        <f>'Other Benefits LASER'!I115+'FC &amp; Adoptions LASER'!I115</f>
        <v>201507.28999999998</v>
      </c>
      <c r="X116" s="1373">
        <f t="shared" si="33"/>
        <v>7511243.7753426312</v>
      </c>
      <c r="Y116" s="1374">
        <f t="shared" si="34"/>
        <v>5591420.999602356</v>
      </c>
      <c r="Z116" s="1374">
        <f t="shared" si="35"/>
        <v>311011.83999999997</v>
      </c>
      <c r="AA116" s="1777">
        <f t="shared" si="36"/>
        <v>33214.94</v>
      </c>
      <c r="AB116" s="1375">
        <f t="shared" si="37"/>
        <v>13446891.554944985</v>
      </c>
      <c r="AD116" s="340">
        <f t="shared" si="22"/>
        <v>0.53307753323358775</v>
      </c>
      <c r="AE116" s="341">
        <f t="shared" si="23"/>
        <v>0.18941028535445487</v>
      </c>
      <c r="AF116" s="341">
        <f t="shared" si="24"/>
        <v>0.24486054084597225</v>
      </c>
      <c r="AG116" s="341">
        <f t="shared" si="25"/>
        <v>3.2651640565985157E-2</v>
      </c>
      <c r="AH116" s="342">
        <f t="shared" si="26"/>
        <v>0.72248781858804256</v>
      </c>
      <c r="AJ116" s="812">
        <f t="shared" si="27"/>
        <v>7.5913239563876023E-2</v>
      </c>
      <c r="AK116" s="790">
        <f t="shared" si="28"/>
        <v>4.2402788605097278E-3</v>
      </c>
      <c r="AL116" s="814">
        <f t="shared" si="29"/>
        <v>0.91984648157561422</v>
      </c>
      <c r="AN116" s="812">
        <f t="shared" si="30"/>
        <v>0.80367657385648095</v>
      </c>
      <c r="AO116" s="790">
        <f t="shared" si="31"/>
        <v>2.9927188624072967E-2</v>
      </c>
      <c r="AP116" s="814">
        <f t="shared" si="32"/>
        <v>0.16639623751944621</v>
      </c>
    </row>
    <row r="117" spans="1:42" x14ac:dyDescent="0.3">
      <c r="A117" s="435" t="s">
        <v>175</v>
      </c>
      <c r="B117" s="319" t="s">
        <v>176</v>
      </c>
      <c r="C117" s="436" t="s">
        <v>253</v>
      </c>
      <c r="D117" s="481">
        <f>'Administration LASER'!D116+'Other Oper Exp. LASER'!D116</f>
        <v>3424861.08</v>
      </c>
      <c r="E117" s="482">
        <f>'Administration LASER'!E116+'Other Oper Exp. LASER'!E116</f>
        <v>1408495.6199999999</v>
      </c>
      <c r="F117" s="482">
        <f>'Administration LASER'!F116+'Other Oper Exp. LASER'!F116</f>
        <v>867357.89</v>
      </c>
      <c r="G117" s="482">
        <f>'Administration LASER'!J116 + 'Other Oper Exp. LASER'!J116</f>
        <v>67902.12000000001</v>
      </c>
      <c r="H117" s="483">
        <f>'Administration LASER'!I116+'Other Oper Exp. LASER'!I116</f>
        <v>5768616.71</v>
      </c>
      <c r="I117" s="481">
        <f>'Client Services LASER'!D116</f>
        <v>70416.404539954325</v>
      </c>
      <c r="J117" s="482">
        <f>'Client Services LASER'!E116</f>
        <v>109680.08546004568</v>
      </c>
      <c r="K117" s="482">
        <f>'Client Services LASER'!F116</f>
        <v>34361.430000000015</v>
      </c>
      <c r="L117" s="482">
        <f>'Client Services LASER'!J116</f>
        <v>-0.12</v>
      </c>
      <c r="M117" s="483">
        <f>'Client Services LASER'!I116</f>
        <v>214457.80000000002</v>
      </c>
      <c r="N117" s="1373">
        <f>'Statewide Benefits'!D117</f>
        <v>91771504.380547509</v>
      </c>
      <c r="O117" s="1374">
        <f>'Statewide Benefits'!E117</f>
        <v>74552451.428837791</v>
      </c>
      <c r="P117" s="1374">
        <f>'Statewide Benefits'!F117</f>
        <v>1417825.6099999999</v>
      </c>
      <c r="Q117" s="1777">
        <f>'Statewide Benefits'!G117</f>
        <v>0</v>
      </c>
      <c r="R117" s="1375">
        <f t="shared" si="38"/>
        <v>167741781.41938531</v>
      </c>
      <c r="S117" s="1373">
        <f>'Other Benefits LASER'!D116+'FC &amp; Adoptions LASER'!D116</f>
        <v>1186089.75</v>
      </c>
      <c r="T117" s="1374">
        <f>'Other Benefits LASER'!E116 + 'FC &amp; Adoptions LASER'!E116</f>
        <v>1817294.6300000001</v>
      </c>
      <c r="U117" s="1374">
        <f>'Other Benefits LASER'!F116+'FC &amp; Adoptions LASER'!F116</f>
        <v>114612.48</v>
      </c>
      <c r="V117" s="1777">
        <f>'FC &amp; Adoptions LASER'!J116+'Other Benefits LASER'!J116</f>
        <v>-0.15000000000000002</v>
      </c>
      <c r="W117" s="1375">
        <f>'Other Benefits LASER'!I116+'FC &amp; Adoptions LASER'!I116</f>
        <v>3117996.71</v>
      </c>
      <c r="X117" s="1373">
        <f t="shared" si="33"/>
        <v>96452871.615087464</v>
      </c>
      <c r="Y117" s="1374">
        <f t="shared" si="34"/>
        <v>77887921.764297828</v>
      </c>
      <c r="Z117" s="1374">
        <f t="shared" si="35"/>
        <v>2434157.4099999997</v>
      </c>
      <c r="AA117" s="1777">
        <f t="shared" si="36"/>
        <v>67901.85000000002</v>
      </c>
      <c r="AB117" s="1375">
        <f t="shared" si="37"/>
        <v>176842852.63938531</v>
      </c>
      <c r="AD117" s="340">
        <f t="shared" si="22"/>
        <v>0.59370577942246405</v>
      </c>
      <c r="AE117" s="341">
        <f t="shared" si="23"/>
        <v>0.24416522899820117</v>
      </c>
      <c r="AF117" s="341">
        <f t="shared" si="24"/>
        <v>0.15035803791512437</v>
      </c>
      <c r="AG117" s="341">
        <f t="shared" si="25"/>
        <v>1.1770953664210429E-2</v>
      </c>
      <c r="AH117" s="342">
        <f t="shared" si="26"/>
        <v>0.8378710084206652</v>
      </c>
      <c r="AJ117" s="812">
        <f t="shared" si="27"/>
        <v>3.2620016155039393E-2</v>
      </c>
      <c r="AK117" s="790">
        <f t="shared" si="28"/>
        <v>1.2127026724530305E-3</v>
      </c>
      <c r="AL117" s="814">
        <f t="shared" si="29"/>
        <v>0.96616728117250761</v>
      </c>
      <c r="AN117" s="812">
        <f t="shared" si="30"/>
        <v>0.35632777339572302</v>
      </c>
      <c r="AO117" s="790">
        <f t="shared" si="31"/>
        <v>1.4116354948466549E-2</v>
      </c>
      <c r="AP117" s="814">
        <f t="shared" si="32"/>
        <v>0.62955587165581051</v>
      </c>
    </row>
    <row r="118" spans="1:42" x14ac:dyDescent="0.3">
      <c r="A118" s="435" t="s">
        <v>179</v>
      </c>
      <c r="B118" s="319" t="s">
        <v>180</v>
      </c>
      <c r="C118" s="436" t="s">
        <v>251</v>
      </c>
      <c r="D118" s="481">
        <f>'Administration LASER'!D117+'Other Oper Exp. LASER'!D117</f>
        <v>8099623.7599999988</v>
      </c>
      <c r="E118" s="482">
        <f>'Administration LASER'!E117+'Other Oper Exp. LASER'!E117</f>
        <v>3175476.59</v>
      </c>
      <c r="F118" s="482">
        <f>'Administration LASER'!F117+'Other Oper Exp. LASER'!F117</f>
        <v>2370571.59</v>
      </c>
      <c r="G118" s="482">
        <f>'Administration LASER'!J117 + 'Other Oper Exp. LASER'!J117</f>
        <v>1555424.03</v>
      </c>
      <c r="H118" s="483">
        <f>'Administration LASER'!I117+'Other Oper Exp. LASER'!I117</f>
        <v>15201095.969999999</v>
      </c>
      <c r="I118" s="481">
        <f>'Client Services LASER'!D117</f>
        <v>106935.47664186674</v>
      </c>
      <c r="J118" s="482">
        <f>'Client Services LASER'!E117</f>
        <v>106750.46335813323</v>
      </c>
      <c r="K118" s="482">
        <f>'Client Services LASER'!F117</f>
        <v>40089.83</v>
      </c>
      <c r="L118" s="482">
        <f>'Client Services LASER'!J117</f>
        <v>-0.08</v>
      </c>
      <c r="M118" s="483">
        <f>'Client Services LASER'!I117</f>
        <v>253775.68999999997</v>
      </c>
      <c r="N118" s="1373">
        <f>'Statewide Benefits'!D118</f>
        <v>178805213.2192212</v>
      </c>
      <c r="O118" s="1374">
        <f>'Statewide Benefits'!E118</f>
        <v>137434792.99950501</v>
      </c>
      <c r="P118" s="1374">
        <f>'Statewide Benefits'!F118</f>
        <v>394788.55</v>
      </c>
      <c r="Q118" s="1777">
        <f>'Statewide Benefits'!G118</f>
        <v>0</v>
      </c>
      <c r="R118" s="1375">
        <f t="shared" si="38"/>
        <v>316634794.76872623</v>
      </c>
      <c r="S118" s="1373">
        <f>'Other Benefits LASER'!D117+'FC &amp; Adoptions LASER'!D117</f>
        <v>1379339.1600000001</v>
      </c>
      <c r="T118" s="1374">
        <f>'Other Benefits LASER'!E117 + 'FC &amp; Adoptions LASER'!E117</f>
        <v>1907196.77</v>
      </c>
      <c r="U118" s="1374">
        <f>'Other Benefits LASER'!F117+'FC &amp; Adoptions LASER'!F117</f>
        <v>78632.649999999994</v>
      </c>
      <c r="V118" s="1777">
        <f>'FC &amp; Adoptions LASER'!J117+'Other Benefits LASER'!J117</f>
        <v>816.95</v>
      </c>
      <c r="W118" s="1375">
        <f>'Other Benefits LASER'!I117+'FC &amp; Adoptions LASER'!I117</f>
        <v>3365985.5300000003</v>
      </c>
      <c r="X118" s="1373">
        <f t="shared" si="33"/>
        <v>188391111.61586305</v>
      </c>
      <c r="Y118" s="1374">
        <f t="shared" si="34"/>
        <v>142624216.82286316</v>
      </c>
      <c r="Z118" s="1374">
        <f t="shared" si="35"/>
        <v>2884082.6199999996</v>
      </c>
      <c r="AA118" s="1777">
        <f t="shared" si="36"/>
        <v>1556240.9</v>
      </c>
      <c r="AB118" s="1375">
        <f t="shared" si="37"/>
        <v>335455651.95872623</v>
      </c>
      <c r="AD118" s="340">
        <f t="shared" si="22"/>
        <v>0.53283156530193265</v>
      </c>
      <c r="AE118" s="341">
        <f t="shared" si="23"/>
        <v>0.20889787132894472</v>
      </c>
      <c r="AF118" s="341">
        <f t="shared" si="24"/>
        <v>0.155947412915386</v>
      </c>
      <c r="AG118" s="341">
        <f t="shared" si="25"/>
        <v>0.10232315045373667</v>
      </c>
      <c r="AH118" s="342">
        <f t="shared" si="26"/>
        <v>0.7417294366308772</v>
      </c>
      <c r="AJ118" s="812">
        <f t="shared" si="27"/>
        <v>4.5314770764006418E-2</v>
      </c>
      <c r="AK118" s="790">
        <f t="shared" si="28"/>
        <v>7.5651040165280634E-4</v>
      </c>
      <c r="AL118" s="814">
        <f t="shared" si="29"/>
        <v>0.95392871883434072</v>
      </c>
      <c r="AN118" s="812">
        <f t="shared" si="30"/>
        <v>0.82194995856256026</v>
      </c>
      <c r="AO118" s="790">
        <f t="shared" si="31"/>
        <v>1.3900375017689336E-2</v>
      </c>
      <c r="AP118" s="814">
        <f t="shared" si="32"/>
        <v>0.16414966641975048</v>
      </c>
    </row>
    <row r="119" spans="1:42" x14ac:dyDescent="0.3">
      <c r="A119" s="435" t="s">
        <v>191</v>
      </c>
      <c r="B119" s="319" t="s">
        <v>192</v>
      </c>
      <c r="C119" s="436" t="s">
        <v>255</v>
      </c>
      <c r="D119" s="481">
        <f>'Administration LASER'!D118+'Other Oper Exp. LASER'!D118</f>
        <v>709193.20000000007</v>
      </c>
      <c r="E119" s="482">
        <f>'Administration LASER'!E118+'Other Oper Exp. LASER'!E118</f>
        <v>246216.18</v>
      </c>
      <c r="F119" s="482">
        <f>'Administration LASER'!F118+'Other Oper Exp. LASER'!F118</f>
        <v>346144.48000000004</v>
      </c>
      <c r="G119" s="482">
        <f>'Administration LASER'!J118 + 'Other Oper Exp. LASER'!J118</f>
        <v>53591.289999999994</v>
      </c>
      <c r="H119" s="483">
        <f>'Administration LASER'!I118+'Other Oper Exp. LASER'!I118</f>
        <v>1355145.15</v>
      </c>
      <c r="I119" s="481">
        <f>'Client Services LASER'!D118</f>
        <v>8583.1910154923771</v>
      </c>
      <c r="J119" s="482">
        <f>'Client Services LASER'!E118</f>
        <v>8968.358984507624</v>
      </c>
      <c r="K119" s="482">
        <f>'Client Services LASER'!F118</f>
        <v>3529.1499999999996</v>
      </c>
      <c r="L119" s="482">
        <f>'Client Services LASER'!J118</f>
        <v>-0.06</v>
      </c>
      <c r="M119" s="483">
        <f>'Client Services LASER'!I118</f>
        <v>21080.640000000003</v>
      </c>
      <c r="N119" s="1373">
        <f>'Statewide Benefits'!D119</f>
        <v>13145290.647349915</v>
      </c>
      <c r="O119" s="1374">
        <f>'Statewide Benefits'!E119</f>
        <v>11137803.520050539</v>
      </c>
      <c r="P119" s="1374">
        <f>'Statewide Benefits'!F119</f>
        <v>210331.62</v>
      </c>
      <c r="Q119" s="1777">
        <f>'Statewide Benefits'!G119</f>
        <v>0</v>
      </c>
      <c r="R119" s="1375">
        <f t="shared" si="38"/>
        <v>24493425.787400454</v>
      </c>
      <c r="S119" s="1373">
        <f>'Other Benefits LASER'!D118+'FC &amp; Adoptions LASER'!D118</f>
        <v>349928.57</v>
      </c>
      <c r="T119" s="1374">
        <f>'Other Benefits LASER'!E118 + 'FC &amp; Adoptions LASER'!E118</f>
        <v>385571.69</v>
      </c>
      <c r="U119" s="1374">
        <f>'Other Benefits LASER'!F118+'FC &amp; Adoptions LASER'!F118</f>
        <v>16199.4</v>
      </c>
      <c r="V119" s="1777">
        <f>'FC &amp; Adoptions LASER'!J118+'Other Benefits LASER'!J118</f>
        <v>1102.3499999999999</v>
      </c>
      <c r="W119" s="1375">
        <f>'Other Benefits LASER'!I118+'FC &amp; Adoptions LASER'!I118</f>
        <v>752802.01</v>
      </c>
      <c r="X119" s="1373">
        <f t="shared" si="33"/>
        <v>14212995.608365407</v>
      </c>
      <c r="Y119" s="1374">
        <f t="shared" si="34"/>
        <v>11778559.749035046</v>
      </c>
      <c r="Z119" s="1374">
        <f t="shared" si="35"/>
        <v>576204.65</v>
      </c>
      <c r="AA119" s="1777">
        <f t="shared" si="36"/>
        <v>54693.579999999994</v>
      </c>
      <c r="AB119" s="1375">
        <f t="shared" si="37"/>
        <v>26622453.587400455</v>
      </c>
      <c r="AD119" s="340">
        <f t="shared" si="22"/>
        <v>0.52333375505937507</v>
      </c>
      <c r="AE119" s="341">
        <f t="shared" si="23"/>
        <v>0.18168989499021562</v>
      </c>
      <c r="AF119" s="341">
        <f t="shared" si="24"/>
        <v>0.25542981871720538</v>
      </c>
      <c r="AG119" s="341">
        <f t="shared" si="25"/>
        <v>3.9546531233204056E-2</v>
      </c>
      <c r="AH119" s="342">
        <f t="shared" si="26"/>
        <v>0.70502365004959078</v>
      </c>
      <c r="AJ119" s="812">
        <f t="shared" si="27"/>
        <v>5.0902338717620912E-2</v>
      </c>
      <c r="AK119" s="790">
        <f t="shared" si="28"/>
        <v>7.9183685796626897E-4</v>
      </c>
      <c r="AL119" s="814">
        <f t="shared" si="29"/>
        <v>0.9483058244244128</v>
      </c>
      <c r="AN119" s="812">
        <f t="shared" si="30"/>
        <v>0.60073184067501018</v>
      </c>
      <c r="AO119" s="790">
        <f t="shared" si="31"/>
        <v>6.1248204088599411E-3</v>
      </c>
      <c r="AP119" s="814">
        <f t="shared" si="32"/>
        <v>0.39314333891612985</v>
      </c>
    </row>
    <row r="120" spans="1:42" x14ac:dyDescent="0.3">
      <c r="A120" s="435" t="s">
        <v>195</v>
      </c>
      <c r="B120" s="319" t="s">
        <v>285</v>
      </c>
      <c r="C120" s="436" t="s">
        <v>253</v>
      </c>
      <c r="D120" s="481">
        <f>'Administration LASER'!D119+'Other Oper Exp. LASER'!D119</f>
        <v>17969010.93</v>
      </c>
      <c r="E120" s="482">
        <f>'Administration LASER'!E119+'Other Oper Exp. LASER'!E119</f>
        <v>6920962.8599999994</v>
      </c>
      <c r="F120" s="482">
        <f>'Administration LASER'!F119+'Other Oper Exp. LASER'!F119</f>
        <v>5209672.9400000004</v>
      </c>
      <c r="G120" s="482">
        <f>'Administration LASER'!J119 + 'Other Oper Exp. LASER'!J119</f>
        <v>1882921.3</v>
      </c>
      <c r="H120" s="483">
        <f>'Administration LASER'!I119+'Other Oper Exp. LASER'!I119</f>
        <v>31982568.030000001</v>
      </c>
      <c r="I120" s="481">
        <f>'Client Services LASER'!D119</f>
        <v>459607.45563322527</v>
      </c>
      <c r="J120" s="482">
        <f>'Client Services LASER'!E119</f>
        <v>124447.50436677475</v>
      </c>
      <c r="K120" s="482">
        <f>'Client Services LASER'!F119</f>
        <v>116010.61</v>
      </c>
      <c r="L120" s="482">
        <f>'Client Services LASER'!J119</f>
        <v>-0.26</v>
      </c>
      <c r="M120" s="483">
        <f>'Client Services LASER'!I119</f>
        <v>700065.30999999994</v>
      </c>
      <c r="N120" s="1373">
        <f>'Statewide Benefits'!D120</f>
        <v>371694328.83247358</v>
      </c>
      <c r="O120" s="1374">
        <f>'Statewide Benefits'!E120</f>
        <v>302578664.74506229</v>
      </c>
      <c r="P120" s="1374">
        <f>'Statewide Benefits'!F120</f>
        <v>5920662.5800000001</v>
      </c>
      <c r="Q120" s="1777">
        <f>'Statewide Benefits'!G120</f>
        <v>0</v>
      </c>
      <c r="R120" s="1375">
        <f t="shared" si="38"/>
        <v>680193656.15753591</v>
      </c>
      <c r="S120" s="1373">
        <f>'Other Benefits LASER'!D119+'FC &amp; Adoptions LASER'!D119</f>
        <v>5279632.0100000007</v>
      </c>
      <c r="T120" s="1374">
        <f>'Other Benefits LASER'!E119 + 'FC &amp; Adoptions LASER'!E119</f>
        <v>7622425.9000000004</v>
      </c>
      <c r="U120" s="1374">
        <f>'Other Benefits LASER'!F119+'FC &amp; Adoptions LASER'!F119</f>
        <v>474524.44999999995</v>
      </c>
      <c r="V120" s="1777">
        <f>'FC &amp; Adoptions LASER'!J119+'Other Benefits LASER'!J119</f>
        <v>34850.049999999996</v>
      </c>
      <c r="W120" s="1375">
        <f>'Other Benefits LASER'!I119+'FC &amp; Adoptions LASER'!I119</f>
        <v>13411432.41</v>
      </c>
      <c r="X120" s="1373">
        <f t="shared" si="33"/>
        <v>395402579.2281068</v>
      </c>
      <c r="Y120" s="1374">
        <f t="shared" si="34"/>
        <v>317246501.00942904</v>
      </c>
      <c r="Z120" s="1374">
        <f t="shared" si="35"/>
        <v>11720870.58</v>
      </c>
      <c r="AA120" s="1777">
        <f t="shared" si="36"/>
        <v>1917771.09</v>
      </c>
      <c r="AB120" s="1375">
        <f t="shared" si="37"/>
        <v>726287721.90753591</v>
      </c>
      <c r="AD120" s="340">
        <f t="shared" si="22"/>
        <v>0.56183765209675685</v>
      </c>
      <c r="AE120" s="341">
        <f t="shared" si="23"/>
        <v>0.21639797196735608</v>
      </c>
      <c r="AF120" s="341">
        <f t="shared" si="24"/>
        <v>0.16289101410222187</v>
      </c>
      <c r="AG120" s="341">
        <f t="shared" si="25"/>
        <v>5.8873361833665108E-2</v>
      </c>
      <c r="AH120" s="342">
        <f t="shared" si="26"/>
        <v>0.77823562406411295</v>
      </c>
      <c r="AJ120" s="812">
        <f t="shared" si="27"/>
        <v>4.4035672179615501E-2</v>
      </c>
      <c r="AK120" s="790">
        <f t="shared" si="28"/>
        <v>9.6389528403610495E-4</v>
      </c>
      <c r="AL120" s="814">
        <f t="shared" si="29"/>
        <v>0.95500043253634836</v>
      </c>
      <c r="AN120" s="812">
        <f t="shared" si="30"/>
        <v>0.44447832645550811</v>
      </c>
      <c r="AO120" s="790">
        <f t="shared" si="31"/>
        <v>9.897780988893063E-3</v>
      </c>
      <c r="AP120" s="814">
        <f t="shared" si="32"/>
        <v>0.54562389255559895</v>
      </c>
    </row>
    <row r="121" spans="1:42" x14ac:dyDescent="0.3">
      <c r="A121" s="435" t="s">
        <v>199</v>
      </c>
      <c r="B121" s="319" t="s">
        <v>286</v>
      </c>
      <c r="C121" s="436" t="s">
        <v>252</v>
      </c>
      <c r="D121" s="481">
        <f>'Administration LASER'!D120+'Other Oper Exp. LASER'!D120</f>
        <v>8763062.0899999999</v>
      </c>
      <c r="E121" s="482">
        <f>'Administration LASER'!E120+'Other Oper Exp. LASER'!E120</f>
        <v>3001767.33</v>
      </c>
      <c r="F121" s="482">
        <f>'Administration LASER'!F120+'Other Oper Exp. LASER'!F120</f>
        <v>3613519.3200000003</v>
      </c>
      <c r="G121" s="482">
        <f>'Administration LASER'!J120 + 'Other Oper Exp. LASER'!J120</f>
        <v>1167956.0699999998</v>
      </c>
      <c r="H121" s="483">
        <f>'Administration LASER'!I120+'Other Oper Exp. LASER'!I120</f>
        <v>16546304.810000001</v>
      </c>
      <c r="I121" s="481">
        <f>'Client Services LASER'!D120</f>
        <v>182709.40638052326</v>
      </c>
      <c r="J121" s="482">
        <f>'Client Services LASER'!E120</f>
        <v>170730.47361947672</v>
      </c>
      <c r="K121" s="482">
        <f>'Client Services LASER'!F120</f>
        <v>67488.56</v>
      </c>
      <c r="L121" s="482">
        <f>'Client Services LASER'!J120</f>
        <v>15086.22</v>
      </c>
      <c r="M121" s="483">
        <f>'Client Services LASER'!I120</f>
        <v>436014.66</v>
      </c>
      <c r="N121" s="1373">
        <f>'Statewide Benefits'!D121</f>
        <v>184036566.84364867</v>
      </c>
      <c r="O121" s="1374">
        <f>'Statewide Benefits'!E121</f>
        <v>150507900.15244833</v>
      </c>
      <c r="P121" s="1374">
        <f>'Statewide Benefits'!F121</f>
        <v>3971429.63</v>
      </c>
      <c r="Q121" s="1777">
        <f>'Statewide Benefits'!G121</f>
        <v>0</v>
      </c>
      <c r="R121" s="1375">
        <f t="shared" si="38"/>
        <v>338515896.62609696</v>
      </c>
      <c r="S121" s="1373">
        <f>'Other Benefits LASER'!D120+'FC &amp; Adoptions LASER'!D120</f>
        <v>5313370.2</v>
      </c>
      <c r="T121" s="1374">
        <f>'Other Benefits LASER'!E120 + 'FC &amp; Adoptions LASER'!E120</f>
        <v>6298738.5599999996</v>
      </c>
      <c r="U121" s="1374">
        <f>'Other Benefits LASER'!F120+'FC &amp; Adoptions LASER'!F120</f>
        <v>139484.32999999999</v>
      </c>
      <c r="V121" s="1777">
        <f>'FC &amp; Adoptions LASER'!J120+'Other Benefits LASER'!J120</f>
        <v>67944.33</v>
      </c>
      <c r="W121" s="1375">
        <f>'Other Benefits LASER'!I120+'FC &amp; Adoptions LASER'!I120</f>
        <v>11819537.42</v>
      </c>
      <c r="X121" s="1373">
        <f t="shared" si="33"/>
        <v>198295708.54002917</v>
      </c>
      <c r="Y121" s="1374">
        <f t="shared" si="34"/>
        <v>159979136.5160678</v>
      </c>
      <c r="Z121" s="1374">
        <f t="shared" si="35"/>
        <v>7791921.8399999999</v>
      </c>
      <c r="AA121" s="1777">
        <f t="shared" si="36"/>
        <v>1250986.6199999999</v>
      </c>
      <c r="AB121" s="1375">
        <f t="shared" si="37"/>
        <v>367317753.51609701</v>
      </c>
      <c r="AD121" s="340">
        <f t="shared" si="22"/>
        <v>0.52960840445196655</v>
      </c>
      <c r="AE121" s="341">
        <f t="shared" si="23"/>
        <v>0.18141617505957211</v>
      </c>
      <c r="AF121" s="341">
        <f t="shared" si="24"/>
        <v>0.21838829645010027</v>
      </c>
      <c r="AG121" s="341">
        <f t="shared" si="25"/>
        <v>7.0587124038361038E-2</v>
      </c>
      <c r="AH121" s="342">
        <f t="shared" si="26"/>
        <v>0.71102457951153863</v>
      </c>
      <c r="AJ121" s="812">
        <f t="shared" si="27"/>
        <v>4.5046297522003356E-2</v>
      </c>
      <c r="AK121" s="790">
        <f t="shared" si="28"/>
        <v>1.1870231041824458E-3</v>
      </c>
      <c r="AL121" s="814">
        <f t="shared" si="29"/>
        <v>0.9537666793738141</v>
      </c>
      <c r="AN121" s="812">
        <f t="shared" si="30"/>
        <v>0.46375199779981369</v>
      </c>
      <c r="AO121" s="790">
        <f t="shared" si="31"/>
        <v>8.6613497139493897E-3</v>
      </c>
      <c r="AP121" s="814">
        <f t="shared" si="32"/>
        <v>0.52758665248623693</v>
      </c>
    </row>
    <row r="122" spans="1:42" x14ac:dyDescent="0.3">
      <c r="A122" s="435" t="s">
        <v>221</v>
      </c>
      <c r="B122" s="319" t="s">
        <v>222</v>
      </c>
      <c r="C122" s="436" t="s">
        <v>251</v>
      </c>
      <c r="D122" s="481">
        <f>'Administration LASER'!D121+'Other Oper Exp. LASER'!D121</f>
        <v>4885773.6100000003</v>
      </c>
      <c r="E122" s="482">
        <f>'Administration LASER'!E121+'Other Oper Exp. LASER'!E121</f>
        <v>1642270.58</v>
      </c>
      <c r="F122" s="482">
        <f>'Administration LASER'!F121+'Other Oper Exp. LASER'!F121</f>
        <v>2452712.25</v>
      </c>
      <c r="G122" s="482">
        <f>'Administration LASER'!J121 + 'Other Oper Exp. LASER'!J121</f>
        <v>1411520.6400000001</v>
      </c>
      <c r="H122" s="483">
        <f>'Administration LASER'!I121+'Other Oper Exp. LASER'!I121</f>
        <v>10392277.08</v>
      </c>
      <c r="I122" s="481">
        <f>'Client Services LASER'!D121</f>
        <v>147969.0946781917</v>
      </c>
      <c r="J122" s="482">
        <f>'Client Services LASER'!E121</f>
        <v>42281.755321808319</v>
      </c>
      <c r="K122" s="482">
        <f>'Client Services LASER'!F121</f>
        <v>47050.969999999994</v>
      </c>
      <c r="L122" s="482">
        <f>'Client Services LASER'!J121</f>
        <v>57538.239999999998</v>
      </c>
      <c r="M122" s="483">
        <f>'Client Services LASER'!I121</f>
        <v>294840.06000000006</v>
      </c>
      <c r="N122" s="1373">
        <f>'Statewide Benefits'!D122</f>
        <v>107355732.35885878</v>
      </c>
      <c r="O122" s="1374">
        <f>'Statewide Benefits'!E122</f>
        <v>87369513.43280302</v>
      </c>
      <c r="P122" s="1374">
        <f>'Statewide Benefits'!F122</f>
        <v>599911.91</v>
      </c>
      <c r="Q122" s="1777">
        <f>'Statewide Benefits'!G122</f>
        <v>0</v>
      </c>
      <c r="R122" s="1375">
        <f t="shared" si="38"/>
        <v>195325157.7016618</v>
      </c>
      <c r="S122" s="1373">
        <f>'Other Benefits LASER'!D121+'FC &amp; Adoptions LASER'!D121</f>
        <v>416996.99</v>
      </c>
      <c r="T122" s="1374">
        <f>'Other Benefits LASER'!E121 + 'FC &amp; Adoptions LASER'!E121</f>
        <v>594502.49</v>
      </c>
      <c r="U122" s="1374">
        <f>'Other Benefits LASER'!F121+'FC &amp; Adoptions LASER'!F121</f>
        <v>40036</v>
      </c>
      <c r="V122" s="1777">
        <f>'FC &amp; Adoptions LASER'!J121+'Other Benefits LASER'!J121</f>
        <v>11500.01</v>
      </c>
      <c r="W122" s="1375">
        <f>'Other Benefits LASER'!I121+'FC &amp; Adoptions LASER'!I121</f>
        <v>1063035.49</v>
      </c>
      <c r="X122" s="1373">
        <f t="shared" si="33"/>
        <v>112806472.05353697</v>
      </c>
      <c r="Y122" s="1374">
        <f t="shared" si="34"/>
        <v>89648568.258124828</v>
      </c>
      <c r="Z122" s="1374">
        <f t="shared" si="35"/>
        <v>3139711.1300000004</v>
      </c>
      <c r="AA122" s="1777">
        <f t="shared" si="36"/>
        <v>1480558.8900000001</v>
      </c>
      <c r="AB122" s="1375">
        <f t="shared" si="37"/>
        <v>207075310.33166182</v>
      </c>
      <c r="AD122" s="340">
        <f t="shared" si="22"/>
        <v>0.47013504089519526</v>
      </c>
      <c r="AE122" s="341">
        <f t="shared" si="23"/>
        <v>0.15802798244867428</v>
      </c>
      <c r="AF122" s="341">
        <f t="shared" si="24"/>
        <v>0.23601297685954309</v>
      </c>
      <c r="AG122" s="341">
        <f t="shared" si="25"/>
        <v>0.13582399979658741</v>
      </c>
      <c r="AH122" s="342">
        <f t="shared" si="26"/>
        <v>0.62816302334386953</v>
      </c>
      <c r="AJ122" s="812">
        <f t="shared" si="27"/>
        <v>5.0185978537736958E-2</v>
      </c>
      <c r="AK122" s="790">
        <f t="shared" si="28"/>
        <v>1.4238301008834416E-3</v>
      </c>
      <c r="AL122" s="814">
        <f t="shared" si="29"/>
        <v>0.94839019136137948</v>
      </c>
      <c r="AN122" s="812">
        <f t="shared" si="30"/>
        <v>0.78119041798600108</v>
      </c>
      <c r="AO122" s="790">
        <f t="shared" si="31"/>
        <v>1.4985763992880449E-2</v>
      </c>
      <c r="AP122" s="814">
        <f t="shared" si="32"/>
        <v>0.20382381802111837</v>
      </c>
    </row>
    <row r="123" spans="1:42" x14ac:dyDescent="0.3">
      <c r="A123" s="435" t="s">
        <v>229</v>
      </c>
      <c r="B123" s="319" t="s">
        <v>230</v>
      </c>
      <c r="C123" s="436" t="s">
        <v>251</v>
      </c>
      <c r="D123" s="481">
        <f>'Administration LASER'!D122+'Other Oper Exp. LASER'!D122</f>
        <v>14933671.109999999</v>
      </c>
      <c r="E123" s="482">
        <f>'Administration LASER'!E122+'Other Oper Exp. LASER'!E122</f>
        <v>4241338.37</v>
      </c>
      <c r="F123" s="482">
        <f>'Administration LASER'!F122+'Other Oper Exp. LASER'!F122</f>
        <v>10316396.52</v>
      </c>
      <c r="G123" s="482">
        <f>'Administration LASER'!J122 + 'Other Oper Exp. LASER'!J122</f>
        <v>1276327.24</v>
      </c>
      <c r="H123" s="483">
        <f>'Administration LASER'!I122+'Other Oper Exp. LASER'!I122</f>
        <v>30767733.240000002</v>
      </c>
      <c r="I123" s="481">
        <f>'Client Services LASER'!D122</f>
        <v>469429.72821331263</v>
      </c>
      <c r="J123" s="482">
        <f>'Client Services LASER'!E122</f>
        <v>163117.99178668734</v>
      </c>
      <c r="K123" s="482">
        <f>'Client Services LASER'!F122</f>
        <v>134262.13999999998</v>
      </c>
      <c r="L123" s="482">
        <f>'Client Services LASER'!J122</f>
        <v>217033.00000000003</v>
      </c>
      <c r="M123" s="483">
        <f>'Client Services LASER'!I122</f>
        <v>983842.86</v>
      </c>
      <c r="N123" s="1373">
        <f>'Statewide Benefits'!D123</f>
        <v>317716018.17971992</v>
      </c>
      <c r="O123" s="1374">
        <f>'Statewide Benefits'!E123</f>
        <v>262459817.00058118</v>
      </c>
      <c r="P123" s="1374">
        <f>'Statewide Benefits'!F123</f>
        <v>5216951.91</v>
      </c>
      <c r="Q123" s="1777">
        <f>'Statewide Benefits'!G123</f>
        <v>0</v>
      </c>
      <c r="R123" s="1375">
        <f t="shared" si="38"/>
        <v>585392787.09030104</v>
      </c>
      <c r="S123" s="1373">
        <f>'Other Benefits LASER'!D122+'FC &amp; Adoptions LASER'!D122</f>
        <v>3378386.5700000003</v>
      </c>
      <c r="T123" s="1374">
        <f>'Other Benefits LASER'!E122 + 'FC &amp; Adoptions LASER'!E122</f>
        <v>4889849.41</v>
      </c>
      <c r="U123" s="1374">
        <f>'Other Benefits LASER'!F122+'FC &amp; Adoptions LASER'!F122</f>
        <v>162177.83000000002</v>
      </c>
      <c r="V123" s="1777">
        <f>'FC &amp; Adoptions LASER'!J122+'Other Benefits LASER'!J122</f>
        <v>95259.44</v>
      </c>
      <c r="W123" s="1375">
        <f>'Other Benefits LASER'!I122+'FC &amp; Adoptions LASER'!I122</f>
        <v>8525673.25</v>
      </c>
      <c r="X123" s="1373">
        <f t="shared" si="33"/>
        <v>336497505.58793324</v>
      </c>
      <c r="Y123" s="1374">
        <f t="shared" si="34"/>
        <v>271754122.77236789</v>
      </c>
      <c r="Z123" s="1374">
        <f t="shared" si="35"/>
        <v>15829788.4</v>
      </c>
      <c r="AA123" s="1777">
        <f t="shared" si="36"/>
        <v>1588619.68</v>
      </c>
      <c r="AB123" s="1375">
        <f t="shared" si="37"/>
        <v>625670036.44030106</v>
      </c>
      <c r="AD123" s="340">
        <f t="shared" si="22"/>
        <v>0.48536793378672699</v>
      </c>
      <c r="AE123" s="341">
        <f t="shared" si="23"/>
        <v>0.13785020615317842</v>
      </c>
      <c r="AF123" s="341">
        <f t="shared" si="24"/>
        <v>0.33529920581175704</v>
      </c>
      <c r="AG123" s="341">
        <f t="shared" si="25"/>
        <v>4.1482654248337469E-2</v>
      </c>
      <c r="AH123" s="342">
        <f t="shared" si="26"/>
        <v>0.62321813993990538</v>
      </c>
      <c r="AJ123" s="812">
        <f t="shared" si="27"/>
        <v>4.9175654015734115E-2</v>
      </c>
      <c r="AK123" s="790">
        <f t="shared" si="28"/>
        <v>1.5724628041922772E-3</v>
      </c>
      <c r="AL123" s="814">
        <f t="shared" si="29"/>
        <v>0.94925188318007359</v>
      </c>
      <c r="AN123" s="812">
        <f t="shared" si="30"/>
        <v>0.65170779667528589</v>
      </c>
      <c r="AO123" s="790">
        <f t="shared" si="31"/>
        <v>8.4816130580747367E-3</v>
      </c>
      <c r="AP123" s="814">
        <f t="shared" si="32"/>
        <v>0.33981059026663935</v>
      </c>
    </row>
    <row r="124" spans="1:42" x14ac:dyDescent="0.3">
      <c r="A124" s="435" t="s">
        <v>237</v>
      </c>
      <c r="B124" s="319" t="s">
        <v>238</v>
      </c>
      <c r="C124" s="436" t="s">
        <v>251</v>
      </c>
      <c r="D124" s="481">
        <f>'Administration LASER'!D123+'Other Oper Exp. LASER'!D123</f>
        <v>558558.27</v>
      </c>
      <c r="E124" s="482">
        <f>'Administration LASER'!E123+'Other Oper Exp. LASER'!E123</f>
        <v>167225.26999999999</v>
      </c>
      <c r="F124" s="482">
        <f>'Administration LASER'!F123+'Other Oper Exp. LASER'!F123</f>
        <v>312836.91000000003</v>
      </c>
      <c r="G124" s="482">
        <f>'Administration LASER'!J123 + 'Other Oper Exp. LASER'!J123</f>
        <v>548243.34999999986</v>
      </c>
      <c r="H124" s="483">
        <f>'Administration LASER'!I123+'Other Oper Exp. LASER'!I123</f>
        <v>1586863.8</v>
      </c>
      <c r="I124" s="481">
        <f>'Client Services LASER'!D123</f>
        <v>20468.958881322051</v>
      </c>
      <c r="J124" s="482">
        <f>'Client Services LASER'!E123</f>
        <v>6633.0411186779502</v>
      </c>
      <c r="K124" s="482">
        <f>'Client Services LASER'!F123</f>
        <v>5673.74</v>
      </c>
      <c r="L124" s="482">
        <f>'Client Services LASER'!J123</f>
        <v>9.9999999999999967E-3</v>
      </c>
      <c r="M124" s="483">
        <f>'Client Services LASER'!I123</f>
        <v>32775.75</v>
      </c>
      <c r="N124" s="1373">
        <f>'Statewide Benefits'!D124</f>
        <v>9034171.5986978263</v>
      </c>
      <c r="O124" s="1374">
        <f>'Statewide Benefits'!E124</f>
        <v>6790721.4287402388</v>
      </c>
      <c r="P124" s="1374">
        <f>'Statewide Benefits'!F124</f>
        <v>85377.08</v>
      </c>
      <c r="Q124" s="1777">
        <f>'Statewide Benefits'!G124</f>
        <v>0</v>
      </c>
      <c r="R124" s="1375">
        <f t="shared" si="38"/>
        <v>15910270.107438065</v>
      </c>
      <c r="S124" s="1373">
        <f>'Other Benefits LASER'!D123+'FC &amp; Adoptions LASER'!D123</f>
        <v>85978.659999999989</v>
      </c>
      <c r="T124" s="1374">
        <f>'Other Benefits LASER'!E123 + 'FC &amp; Adoptions LASER'!E123</f>
        <v>189187.09999999998</v>
      </c>
      <c r="U124" s="1374">
        <f>'Other Benefits LASER'!F123+'FC &amp; Adoptions LASER'!F123</f>
        <v>21333.8</v>
      </c>
      <c r="V124" s="1777">
        <f>'FC &amp; Adoptions LASER'!J123+'Other Benefits LASER'!J123</f>
        <v>55217.39</v>
      </c>
      <c r="W124" s="1375">
        <f>'Other Benefits LASER'!I123+'FC &amp; Adoptions LASER'!I123</f>
        <v>351716.94999999995</v>
      </c>
      <c r="X124" s="1373">
        <f t="shared" si="33"/>
        <v>9699177.4875791483</v>
      </c>
      <c r="Y124" s="1374">
        <f t="shared" si="34"/>
        <v>7153766.8398589166</v>
      </c>
      <c r="Z124" s="1374">
        <f t="shared" si="35"/>
        <v>425221.53</v>
      </c>
      <c r="AA124" s="1777">
        <f t="shared" si="36"/>
        <v>603460.74999999988</v>
      </c>
      <c r="AB124" s="1375">
        <f t="shared" si="37"/>
        <v>17881626.607438065</v>
      </c>
      <c r="AD124" s="340">
        <f t="shared" si="22"/>
        <v>0.35198879072041345</v>
      </c>
      <c r="AE124" s="341">
        <f t="shared" si="23"/>
        <v>0.10538098480789591</v>
      </c>
      <c r="AF124" s="341">
        <f t="shared" si="24"/>
        <v>0.1971416261433401</v>
      </c>
      <c r="AG124" s="341">
        <f t="shared" si="25"/>
        <v>0.34548859832835044</v>
      </c>
      <c r="AH124" s="342">
        <f t="shared" si="26"/>
        <v>0.45736977552830937</v>
      </c>
      <c r="AJ124" s="812">
        <f t="shared" si="27"/>
        <v>8.8742698571947928E-2</v>
      </c>
      <c r="AK124" s="790">
        <f t="shared" si="28"/>
        <v>1.832928889498596E-3</v>
      </c>
      <c r="AL124" s="814">
        <f t="shared" si="29"/>
        <v>0.90942437253855346</v>
      </c>
      <c r="AN124" s="812">
        <f t="shared" si="30"/>
        <v>0.73570336384425317</v>
      </c>
      <c r="AO124" s="790">
        <f t="shared" si="31"/>
        <v>1.3343021459896444E-2</v>
      </c>
      <c r="AP124" s="814">
        <f t="shared" si="32"/>
        <v>0.25095361469585042</v>
      </c>
    </row>
    <row r="125" spans="1:42" x14ac:dyDescent="0.3">
      <c r="A125" s="437" t="s">
        <v>239</v>
      </c>
      <c r="B125" s="438" t="s">
        <v>240</v>
      </c>
      <c r="C125" s="439" t="s">
        <v>254</v>
      </c>
      <c r="D125" s="481">
        <f>'Administration LASER'!D124+'Other Oper Exp. LASER'!D124</f>
        <v>2105356.12</v>
      </c>
      <c r="E125" s="482">
        <f>'Administration LASER'!E124+'Other Oper Exp. LASER'!E124</f>
        <v>562157.46</v>
      </c>
      <c r="F125" s="482">
        <f>'Administration LASER'!F124+'Other Oper Exp. LASER'!F124</f>
        <v>1638747.88</v>
      </c>
      <c r="G125" s="482">
        <f>'Administration LASER'!J124 + 'Other Oper Exp. LASER'!J124</f>
        <v>279999.67000000004</v>
      </c>
      <c r="H125" s="483">
        <f>'Administration LASER'!I124+'Other Oper Exp. LASER'!I124</f>
        <v>4586261.13</v>
      </c>
      <c r="I125" s="481">
        <f>'Client Services LASER'!D124</f>
        <v>61695.648629383657</v>
      </c>
      <c r="J125" s="482">
        <f>'Client Services LASER'!E124</f>
        <v>33331.101370616343</v>
      </c>
      <c r="K125" s="482">
        <f>'Client Services LASER'!F124</f>
        <v>16498.989999999998</v>
      </c>
      <c r="L125" s="482">
        <f>'Client Services LASER'!J124</f>
        <v>28762.639999999999</v>
      </c>
      <c r="M125" s="483">
        <f>'Client Services LASER'!I124</f>
        <v>140288.37999999998</v>
      </c>
      <c r="N125" s="1376">
        <f>'Statewide Benefits'!D125</f>
        <v>34266680.034584597</v>
      </c>
      <c r="O125" s="1377">
        <f>'Statewide Benefits'!E125</f>
        <v>28894461.137647055</v>
      </c>
      <c r="P125" s="1377">
        <f>'Statewide Benefits'!F125</f>
        <v>1526717.5</v>
      </c>
      <c r="Q125" s="1778">
        <f>'Statewide Benefits'!G125</f>
        <v>0</v>
      </c>
      <c r="R125" s="1378">
        <f t="shared" si="38"/>
        <v>64687858.672231652</v>
      </c>
      <c r="S125" s="1376">
        <f>'Other Benefits LASER'!D124+'FC &amp; Adoptions LASER'!D124</f>
        <v>657804.55000000005</v>
      </c>
      <c r="T125" s="1377">
        <f>'Other Benefits LASER'!E124 + 'FC &amp; Adoptions LASER'!E124</f>
        <v>777909.55</v>
      </c>
      <c r="U125" s="1377">
        <f>'Other Benefits LASER'!F124+'FC &amp; Adoptions LASER'!F124</f>
        <v>24364</v>
      </c>
      <c r="V125" s="1777">
        <f>'FC &amp; Adoptions LASER'!J124+'Other Benefits LASER'!J124</f>
        <v>6399.81</v>
      </c>
      <c r="W125" s="1378">
        <f>'Other Benefits LASER'!I124+'FC &amp; Adoptions LASER'!I124</f>
        <v>1466477.9100000001</v>
      </c>
      <c r="X125" s="1373">
        <f t="shared" si="33"/>
        <v>37091536.353213981</v>
      </c>
      <c r="Y125" s="1374">
        <f t="shared" si="34"/>
        <v>30267859.249017671</v>
      </c>
      <c r="Z125" s="1374">
        <f t="shared" si="35"/>
        <v>3206328.37</v>
      </c>
      <c r="AA125" s="1777">
        <f t="shared" si="36"/>
        <v>315162.12000000005</v>
      </c>
      <c r="AB125" s="1375">
        <f t="shared" si="37"/>
        <v>70880886.092231646</v>
      </c>
      <c r="AD125" s="489">
        <f t="shared" si="22"/>
        <v>0.45905718412505658</v>
      </c>
      <c r="AE125" s="490">
        <f t="shared" si="23"/>
        <v>0.1225742372850889</v>
      </c>
      <c r="AF125" s="490">
        <f t="shared" si="24"/>
        <v>0.35731674092443139</v>
      </c>
      <c r="AG125" s="1784">
        <f t="shared" si="25"/>
        <v>6.1051837665423131E-2</v>
      </c>
      <c r="AH125" s="491">
        <f t="shared" si="26"/>
        <v>0.58163142141014545</v>
      </c>
      <c r="AJ125" s="813">
        <f t="shared" si="27"/>
        <v>6.4703778167110718E-2</v>
      </c>
      <c r="AK125" s="811">
        <f t="shared" si="28"/>
        <v>1.9792131240776801E-3</v>
      </c>
      <c r="AL125" s="815">
        <f t="shared" si="29"/>
        <v>0.93331700870881174</v>
      </c>
      <c r="AN125" s="813">
        <f t="shared" si="30"/>
        <v>0.51109795719394757</v>
      </c>
      <c r="AO125" s="811">
        <f t="shared" si="31"/>
        <v>5.1457580434907226E-3</v>
      </c>
      <c r="AP125" s="815">
        <f t="shared" si="32"/>
        <v>0.48375628476256161</v>
      </c>
    </row>
    <row r="126" spans="1:42" x14ac:dyDescent="0.3">
      <c r="A126" s="440"/>
      <c r="B126" s="440"/>
      <c r="C126" s="440"/>
    </row>
    <row r="127" spans="1:42" x14ac:dyDescent="0.3">
      <c r="A127" s="1001" t="s">
        <v>1028</v>
      </c>
      <c r="B127" s="440"/>
      <c r="C127" s="440"/>
      <c r="R127" s="474" t="s">
        <v>452</v>
      </c>
      <c r="S127" s="474"/>
      <c r="T127" s="474"/>
      <c r="U127" s="474"/>
      <c r="V127" s="474"/>
      <c r="W127" s="474"/>
      <c r="X127" s="474"/>
      <c r="Y127" s="474"/>
      <c r="Z127" s="474"/>
      <c r="AA127" s="474"/>
      <c r="AB127" s="474"/>
      <c r="AC127" s="474"/>
      <c r="AD127" s="478">
        <f>MIN(AD6:AD125)</f>
        <v>0.35198879072041345</v>
      </c>
      <c r="AE127" s="478">
        <f>MIN(AE6:AE125)</f>
        <v>6.5139239524649339E-2</v>
      </c>
      <c r="AF127" s="478">
        <f>MIN(AF6:AF125)</f>
        <v>0.14940000727102945</v>
      </c>
      <c r="AG127" s="478"/>
      <c r="AH127" s="478">
        <f>MIN(AH6:AH125)</f>
        <v>0.45736977552830937</v>
      </c>
      <c r="AJ127" s="478">
        <f>MIN(AJ6:AJ125)</f>
        <v>2.1924340209482671E-2</v>
      </c>
      <c r="AK127" s="478">
        <f>MIN(AK6:AK125)</f>
        <v>1.6349326662285068E-4</v>
      </c>
      <c r="AL127" s="478">
        <f>MIN(AL6:AL125)</f>
        <v>0.88582779208598694</v>
      </c>
      <c r="AN127" s="478">
        <f>MIN(AN6:AN125)</f>
        <v>0.15175585793024399</v>
      </c>
      <c r="AO127" s="478">
        <f>MIN(AO6:AO125)</f>
        <v>1.1898626829578902E-3</v>
      </c>
      <c r="AP127" s="478">
        <f>MIN(AP6:AP125)</f>
        <v>2.8732191526393093E-2</v>
      </c>
    </row>
    <row r="128" spans="1:42" x14ac:dyDescent="0.3">
      <c r="A128" s="426"/>
      <c r="B128" s="426"/>
      <c r="C128" s="426"/>
      <c r="R128" s="474" t="s">
        <v>453</v>
      </c>
      <c r="S128" s="474"/>
      <c r="T128" s="474"/>
      <c r="U128" s="474"/>
      <c r="V128" s="474"/>
      <c r="W128" s="474"/>
      <c r="X128" s="474"/>
      <c r="Y128" s="474"/>
      <c r="Z128" s="474"/>
      <c r="AA128" s="474"/>
      <c r="AB128" s="474"/>
      <c r="AC128" s="474"/>
      <c r="AD128" s="478">
        <f>MAX(AD6:AD125)</f>
        <v>0.59370577942246405</v>
      </c>
      <c r="AE128" s="478">
        <f>MAX(AE6:AE125)</f>
        <v>0.24416522899820117</v>
      </c>
      <c r="AF128" s="478">
        <f>MAX(AF6:AF125)</f>
        <v>0.46754688424246843</v>
      </c>
      <c r="AG128" s="478"/>
      <c r="AH128" s="478">
        <f>MAX(AH6:AH125)</f>
        <v>0.8378710084206652</v>
      </c>
      <c r="AJ128" s="478">
        <f>MAX(AJ6:AJ125)</f>
        <v>0.11063304629784303</v>
      </c>
      <c r="AK128" s="478">
        <f>MAX(AK6:AK125)</f>
        <v>7.448473388856831E-3</v>
      </c>
      <c r="AL128" s="478">
        <f>MAX(AL6:AL125)</f>
        <v>0.97791216652389457</v>
      </c>
      <c r="AN128" s="478">
        <f>MAX(AN6:AN125)</f>
        <v>0.94925498244337381</v>
      </c>
      <c r="AO128" s="478">
        <f>MAX(AO6:AO125)</f>
        <v>4.5316373138153371E-2</v>
      </c>
      <c r="AP128" s="478">
        <f>MAX(AP6:AP125)</f>
        <v>0.84516446955343327</v>
      </c>
    </row>
    <row r="129" spans="1:3" x14ac:dyDescent="0.3">
      <c r="A129" s="41" t="s">
        <v>247</v>
      </c>
      <c r="B129" s="441"/>
      <c r="C129" s="441"/>
    </row>
    <row r="130" spans="1:3" x14ac:dyDescent="0.3">
      <c r="A130" s="41" t="s">
        <v>248</v>
      </c>
      <c r="B130" s="195" t="s">
        <v>249</v>
      </c>
      <c r="C130" s="442"/>
    </row>
  </sheetData>
  <sheetProtection algorithmName="SHA-512" hashValue="Nn5+C+EyoCdyLg/PNKZQEEkmFByCDgbg+ApdLFI343nxSQfQ+cxzcsZt2QNyZsMJnEGECutqhNaDgO5RNtONEA==" saltValue="NGFsK8k/ky9/cqBhERX26Q==" spinCount="100000" sheet="1" objects="1" scenarios="1"/>
  <autoFilter ref="A4:C4"/>
  <mergeCells count="8">
    <mergeCell ref="AN3:AP3"/>
    <mergeCell ref="D3:H3"/>
    <mergeCell ref="I3:M3"/>
    <mergeCell ref="N3:R3"/>
    <mergeCell ref="AJ3:AL3"/>
    <mergeCell ref="AD3:AH3"/>
    <mergeCell ref="X3:AB3"/>
    <mergeCell ref="S3:W3"/>
  </mergeCells>
  <hyperlinks>
    <hyperlink ref="B130"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F5" activePane="bottomRight" state="frozen"/>
      <selection pane="topRight" activeCell="D1" sqref="D1"/>
      <selection pane="bottomLeft" activeCell="A5" sqref="A5"/>
      <selection pane="bottomRight" activeCell="A127" sqref="A127"/>
    </sheetView>
  </sheetViews>
  <sheetFormatPr defaultColWidth="9" defaultRowHeight="15.6" x14ac:dyDescent="0.3"/>
  <cols>
    <col min="1" max="1" width="9" style="275"/>
    <col min="2" max="2" width="33.296875" style="275" customWidth="1"/>
    <col min="3" max="3" width="16.69921875" style="275" customWidth="1"/>
    <col min="4" max="4" width="7.19921875" style="275" customWidth="1"/>
    <col min="5" max="6" width="9.09765625" style="275" bestFit="1" customWidth="1"/>
    <col min="7" max="7" width="9.796875" style="275" bestFit="1" customWidth="1"/>
    <col min="8" max="15" width="10.09765625" style="275" bestFit="1" customWidth="1"/>
    <col min="16" max="16" width="11.09765625" style="275" bestFit="1" customWidth="1"/>
    <col min="17" max="16384" width="9" style="275"/>
  </cols>
  <sheetData>
    <row r="1" spans="1:16" ht="12.75" customHeight="1" x14ac:dyDescent="0.3">
      <c r="A1" s="95" t="s">
        <v>885</v>
      </c>
    </row>
    <row r="3" spans="1:16" ht="53.25" customHeight="1" x14ac:dyDescent="0.3">
      <c r="A3" s="278" t="s">
        <v>4</v>
      </c>
      <c r="B3" s="322" t="s">
        <v>5</v>
      </c>
      <c r="C3" s="322" t="s">
        <v>250</v>
      </c>
      <c r="D3" s="1103" t="s">
        <v>866</v>
      </c>
      <c r="E3" s="1103" t="s">
        <v>867</v>
      </c>
      <c r="F3" s="1103" t="s">
        <v>868</v>
      </c>
      <c r="G3" s="1103" t="s">
        <v>869</v>
      </c>
      <c r="H3" s="1103" t="s">
        <v>870</v>
      </c>
      <c r="I3" s="1103" t="s">
        <v>871</v>
      </c>
      <c r="J3" s="1103" t="s">
        <v>872</v>
      </c>
      <c r="K3" s="1103" t="s">
        <v>873</v>
      </c>
      <c r="L3" s="1103" t="s">
        <v>874</v>
      </c>
      <c r="M3" s="1103" t="s">
        <v>875</v>
      </c>
      <c r="N3" s="1103" t="s">
        <v>876</v>
      </c>
      <c r="O3" s="1103" t="s">
        <v>877</v>
      </c>
      <c r="P3" s="1104" t="s">
        <v>262</v>
      </c>
    </row>
    <row r="4" spans="1:16" x14ac:dyDescent="0.3">
      <c r="A4" s="345">
        <v>999</v>
      </c>
      <c r="B4" s="346" t="s">
        <v>8</v>
      </c>
      <c r="C4" s="346"/>
      <c r="D4" s="1105">
        <f>SUM(D5:D124)</f>
        <v>3517</v>
      </c>
      <c r="E4" s="1106">
        <f t="shared" ref="E4:P4" si="0">SUM(E5:E124)</f>
        <v>3705</v>
      </c>
      <c r="F4" s="1106">
        <f t="shared" si="0"/>
        <v>3402</v>
      </c>
      <c r="G4" s="1106">
        <f t="shared" si="0"/>
        <v>3168</v>
      </c>
      <c r="H4" s="1107">
        <f t="shared" si="0"/>
        <v>2657</v>
      </c>
      <c r="I4" s="1107">
        <f t="shared" si="0"/>
        <v>2438</v>
      </c>
      <c r="J4" s="1107">
        <f t="shared" si="0"/>
        <v>3026</v>
      </c>
      <c r="K4" s="1107">
        <f t="shared" si="0"/>
        <v>2607</v>
      </c>
      <c r="L4" s="1107">
        <f t="shared" si="0"/>
        <v>2378</v>
      </c>
      <c r="M4" s="1107">
        <f t="shared" si="0"/>
        <v>1887</v>
      </c>
      <c r="N4" s="1107">
        <f t="shared" si="0"/>
        <v>1123</v>
      </c>
      <c r="O4" s="1107">
        <f t="shared" si="0"/>
        <v>1452</v>
      </c>
      <c r="P4" s="1107">
        <f t="shared" si="0"/>
        <v>31360</v>
      </c>
    </row>
    <row r="5" spans="1:16" x14ac:dyDescent="0.3">
      <c r="A5" s="279" t="s">
        <v>9</v>
      </c>
      <c r="B5" s="324" t="s">
        <v>10</v>
      </c>
      <c r="C5" s="324" t="s">
        <v>251</v>
      </c>
      <c r="D5" s="108">
        <v>5</v>
      </c>
      <c r="E5" s="108">
        <v>9</v>
      </c>
      <c r="F5" s="108"/>
      <c r="G5" s="108">
        <v>4</v>
      </c>
      <c r="H5" s="108">
        <v>2</v>
      </c>
      <c r="I5" s="108">
        <v>6</v>
      </c>
      <c r="J5" s="108">
        <v>6</v>
      </c>
      <c r="K5" s="108">
        <v>6</v>
      </c>
      <c r="L5" s="108">
        <v>2</v>
      </c>
      <c r="M5" s="108">
        <v>5</v>
      </c>
      <c r="N5" s="108">
        <v>2</v>
      </c>
      <c r="O5" s="108">
        <v>4</v>
      </c>
      <c r="P5" s="108">
        <v>51</v>
      </c>
    </row>
    <row r="6" spans="1:16" x14ac:dyDescent="0.3">
      <c r="A6" s="280" t="s">
        <v>11</v>
      </c>
      <c r="B6" s="348" t="s">
        <v>12</v>
      </c>
      <c r="C6" s="348" t="s">
        <v>252</v>
      </c>
      <c r="D6" s="108">
        <v>25</v>
      </c>
      <c r="E6" s="108">
        <v>24</v>
      </c>
      <c r="F6" s="108">
        <v>17</v>
      </c>
      <c r="G6" s="108">
        <v>20</v>
      </c>
      <c r="H6" s="108">
        <v>17</v>
      </c>
      <c r="I6" s="108">
        <v>14</v>
      </c>
      <c r="J6" s="108">
        <v>12</v>
      </c>
      <c r="K6" s="108">
        <v>14</v>
      </c>
      <c r="L6" s="108">
        <v>12</v>
      </c>
      <c r="M6" s="108">
        <v>14</v>
      </c>
      <c r="N6" s="108">
        <v>3</v>
      </c>
      <c r="O6" s="108">
        <v>12</v>
      </c>
      <c r="P6" s="108">
        <v>184</v>
      </c>
    </row>
    <row r="7" spans="1:16" x14ac:dyDescent="0.3">
      <c r="A7" s="280" t="s">
        <v>15</v>
      </c>
      <c r="B7" s="348" t="s">
        <v>273</v>
      </c>
      <c r="C7" s="348" t="s">
        <v>252</v>
      </c>
      <c r="D7" s="108">
        <v>6</v>
      </c>
      <c r="E7" s="108">
        <v>5</v>
      </c>
      <c r="F7" s="108">
        <v>5</v>
      </c>
      <c r="G7" s="108">
        <v>4</v>
      </c>
      <c r="H7" s="108">
        <v>5</v>
      </c>
      <c r="I7" s="108">
        <v>5</v>
      </c>
      <c r="J7" s="108">
        <v>4</v>
      </c>
      <c r="K7" s="108">
        <v>4</v>
      </c>
      <c r="L7" s="108">
        <v>10</v>
      </c>
      <c r="M7" s="108">
        <v>3</v>
      </c>
      <c r="N7" s="108">
        <v>1</v>
      </c>
      <c r="O7" s="108">
        <v>1</v>
      </c>
      <c r="P7" s="108">
        <v>53</v>
      </c>
    </row>
    <row r="8" spans="1:16" x14ac:dyDescent="0.3">
      <c r="A8" s="280" t="s">
        <v>17</v>
      </c>
      <c r="B8" s="348" t="s">
        <v>18</v>
      </c>
      <c r="C8" s="348" t="s">
        <v>253</v>
      </c>
      <c r="D8" s="108">
        <v>2</v>
      </c>
      <c r="E8" s="108">
        <v>2</v>
      </c>
      <c r="F8" s="108">
        <v>1</v>
      </c>
      <c r="G8" s="108">
        <v>1</v>
      </c>
      <c r="H8" s="108">
        <v>1</v>
      </c>
      <c r="I8" s="108"/>
      <c r="J8" s="108">
        <v>1</v>
      </c>
      <c r="K8" s="108">
        <v>1</v>
      </c>
      <c r="L8" s="108">
        <v>1</v>
      </c>
      <c r="M8" s="108"/>
      <c r="N8" s="108">
        <v>2</v>
      </c>
      <c r="O8" s="108">
        <v>5</v>
      </c>
      <c r="P8" s="108">
        <v>17</v>
      </c>
    </row>
    <row r="9" spans="1:16" x14ac:dyDescent="0.3">
      <c r="A9" s="280" t="s">
        <v>19</v>
      </c>
      <c r="B9" s="348" t="s">
        <v>20</v>
      </c>
      <c r="C9" s="348" t="s">
        <v>252</v>
      </c>
      <c r="D9" s="108">
        <v>11</v>
      </c>
      <c r="E9" s="108">
        <v>14</v>
      </c>
      <c r="F9" s="108">
        <v>6</v>
      </c>
      <c r="G9" s="108">
        <v>7</v>
      </c>
      <c r="H9" s="108">
        <v>13</v>
      </c>
      <c r="I9" s="108">
        <v>14</v>
      </c>
      <c r="J9" s="108">
        <v>23</v>
      </c>
      <c r="K9" s="108">
        <v>4</v>
      </c>
      <c r="L9" s="108">
        <v>6</v>
      </c>
      <c r="M9" s="108">
        <v>8</v>
      </c>
      <c r="N9" s="108">
        <v>5</v>
      </c>
      <c r="O9" s="108">
        <v>3</v>
      </c>
      <c r="P9" s="108">
        <v>114</v>
      </c>
    </row>
    <row r="10" spans="1:16" x14ac:dyDescent="0.3">
      <c r="A10" s="280" t="s">
        <v>21</v>
      </c>
      <c r="B10" s="348" t="s">
        <v>22</v>
      </c>
      <c r="C10" s="348" t="s">
        <v>252</v>
      </c>
      <c r="D10" s="108">
        <v>8</v>
      </c>
      <c r="E10" s="108">
        <v>6</v>
      </c>
      <c r="F10" s="108">
        <v>1</v>
      </c>
      <c r="G10" s="108">
        <v>4</v>
      </c>
      <c r="H10" s="108">
        <v>2</v>
      </c>
      <c r="I10" s="108">
        <v>4</v>
      </c>
      <c r="J10" s="108">
        <v>3</v>
      </c>
      <c r="K10" s="108">
        <v>4</v>
      </c>
      <c r="L10" s="108">
        <v>3</v>
      </c>
      <c r="M10" s="108">
        <v>4</v>
      </c>
      <c r="N10" s="108">
        <v>2</v>
      </c>
      <c r="O10" s="108"/>
      <c r="P10" s="108">
        <v>41</v>
      </c>
    </row>
    <row r="11" spans="1:16" x14ac:dyDescent="0.3">
      <c r="A11" s="280" t="s">
        <v>23</v>
      </c>
      <c r="B11" s="348" t="s">
        <v>24</v>
      </c>
      <c r="C11" s="348" t="s">
        <v>254</v>
      </c>
      <c r="D11" s="108">
        <v>32</v>
      </c>
      <c r="E11" s="108">
        <v>30</v>
      </c>
      <c r="F11" s="108">
        <v>29</v>
      </c>
      <c r="G11" s="108">
        <v>47</v>
      </c>
      <c r="H11" s="108">
        <v>34</v>
      </c>
      <c r="I11" s="108">
        <v>36</v>
      </c>
      <c r="J11" s="108">
        <v>31</v>
      </c>
      <c r="K11" s="108">
        <v>40</v>
      </c>
      <c r="L11" s="108">
        <v>33</v>
      </c>
      <c r="M11" s="108">
        <v>13</v>
      </c>
      <c r="N11" s="108">
        <v>10</v>
      </c>
      <c r="O11" s="108">
        <v>17</v>
      </c>
      <c r="P11" s="108">
        <v>352</v>
      </c>
    </row>
    <row r="12" spans="1:16" x14ac:dyDescent="0.3">
      <c r="A12" s="280" t="s">
        <v>25</v>
      </c>
      <c r="B12" s="348" t="s">
        <v>444</v>
      </c>
      <c r="C12" s="348" t="s">
        <v>252</v>
      </c>
      <c r="D12" s="108">
        <v>59</v>
      </c>
      <c r="E12" s="108">
        <v>38</v>
      </c>
      <c r="F12" s="108">
        <v>42</v>
      </c>
      <c r="G12" s="108">
        <v>32</v>
      </c>
      <c r="H12" s="108">
        <v>33</v>
      </c>
      <c r="I12" s="108">
        <v>33</v>
      </c>
      <c r="J12" s="108">
        <v>61</v>
      </c>
      <c r="K12" s="108">
        <v>62</v>
      </c>
      <c r="L12" s="108">
        <v>31</v>
      </c>
      <c r="M12" s="108">
        <v>25</v>
      </c>
      <c r="N12" s="108">
        <v>25</v>
      </c>
      <c r="O12" s="108">
        <v>20</v>
      </c>
      <c r="P12" s="108">
        <v>461</v>
      </c>
    </row>
    <row r="13" spans="1:16" x14ac:dyDescent="0.3">
      <c r="A13" s="280" t="s">
        <v>26</v>
      </c>
      <c r="B13" s="348" t="s">
        <v>27</v>
      </c>
      <c r="C13" s="348" t="s">
        <v>252</v>
      </c>
      <c r="D13" s="108"/>
      <c r="E13" s="108"/>
      <c r="F13" s="108"/>
      <c r="G13" s="108">
        <v>1</v>
      </c>
      <c r="H13" s="108">
        <v>2</v>
      </c>
      <c r="I13" s="108">
        <v>2</v>
      </c>
      <c r="J13" s="108"/>
      <c r="K13" s="108"/>
      <c r="L13" s="108"/>
      <c r="M13" s="108">
        <v>1</v>
      </c>
      <c r="N13" s="108"/>
      <c r="O13" s="108"/>
      <c r="P13" s="108">
        <v>6</v>
      </c>
    </row>
    <row r="14" spans="1:16" x14ac:dyDescent="0.3">
      <c r="A14" s="280" t="s">
        <v>28</v>
      </c>
      <c r="B14" s="348" t="s">
        <v>568</v>
      </c>
      <c r="C14" s="348" t="s">
        <v>252</v>
      </c>
      <c r="D14" s="108">
        <v>19</v>
      </c>
      <c r="E14" s="108">
        <v>18</v>
      </c>
      <c r="F14" s="108">
        <v>24</v>
      </c>
      <c r="G14" s="108">
        <v>11</v>
      </c>
      <c r="H14" s="108">
        <v>17</v>
      </c>
      <c r="I14" s="108">
        <v>9</v>
      </c>
      <c r="J14" s="108">
        <v>15</v>
      </c>
      <c r="K14" s="108">
        <v>19</v>
      </c>
      <c r="L14" s="108">
        <v>11</v>
      </c>
      <c r="M14" s="108">
        <v>22</v>
      </c>
      <c r="N14" s="108">
        <v>24</v>
      </c>
      <c r="O14" s="108">
        <v>14</v>
      </c>
      <c r="P14" s="108">
        <v>203</v>
      </c>
    </row>
    <row r="15" spans="1:16" x14ac:dyDescent="0.3">
      <c r="A15" s="280" t="s">
        <v>29</v>
      </c>
      <c r="B15" s="348" t="s">
        <v>30</v>
      </c>
      <c r="C15" s="348" t="s">
        <v>255</v>
      </c>
      <c r="D15" s="108">
        <v>1</v>
      </c>
      <c r="E15" s="108"/>
      <c r="F15" s="108">
        <v>2</v>
      </c>
      <c r="G15" s="108">
        <v>1</v>
      </c>
      <c r="H15" s="108">
        <v>1</v>
      </c>
      <c r="I15" s="108"/>
      <c r="J15" s="108">
        <v>2</v>
      </c>
      <c r="K15" s="108">
        <v>1</v>
      </c>
      <c r="L15" s="108"/>
      <c r="M15" s="108">
        <v>1</v>
      </c>
      <c r="N15" s="108"/>
      <c r="O15" s="108">
        <v>1</v>
      </c>
      <c r="P15" s="108">
        <v>10</v>
      </c>
    </row>
    <row r="16" spans="1:16" x14ac:dyDescent="0.3">
      <c r="A16" s="280" t="s">
        <v>31</v>
      </c>
      <c r="B16" s="348" t="s">
        <v>32</v>
      </c>
      <c r="C16" s="348" t="s">
        <v>252</v>
      </c>
      <c r="D16" s="108">
        <v>2</v>
      </c>
      <c r="E16" s="108">
        <v>13</v>
      </c>
      <c r="F16" s="108">
        <v>7</v>
      </c>
      <c r="G16" s="108">
        <v>3</v>
      </c>
      <c r="H16" s="108">
        <v>7</v>
      </c>
      <c r="I16" s="108">
        <v>1</v>
      </c>
      <c r="J16" s="108">
        <v>4</v>
      </c>
      <c r="K16" s="108">
        <v>4</v>
      </c>
      <c r="L16" s="108">
        <v>5</v>
      </c>
      <c r="M16" s="108">
        <v>4</v>
      </c>
      <c r="N16" s="108">
        <v>2</v>
      </c>
      <c r="O16" s="108"/>
      <c r="P16" s="108">
        <v>52</v>
      </c>
    </row>
    <row r="17" spans="1:16" x14ac:dyDescent="0.3">
      <c r="A17" s="280" t="s">
        <v>35</v>
      </c>
      <c r="B17" s="348" t="s">
        <v>36</v>
      </c>
      <c r="C17" s="348" t="s">
        <v>251</v>
      </c>
      <c r="D17" s="108">
        <v>5</v>
      </c>
      <c r="E17" s="108">
        <v>10</v>
      </c>
      <c r="F17" s="108">
        <v>5</v>
      </c>
      <c r="G17" s="108">
        <v>10</v>
      </c>
      <c r="H17" s="108">
        <v>3</v>
      </c>
      <c r="I17" s="108">
        <v>2</v>
      </c>
      <c r="J17" s="108">
        <v>5</v>
      </c>
      <c r="K17" s="108">
        <v>3</v>
      </c>
      <c r="L17" s="108">
        <v>4</v>
      </c>
      <c r="M17" s="108">
        <v>5</v>
      </c>
      <c r="N17" s="108">
        <v>2</v>
      </c>
      <c r="O17" s="108">
        <v>2</v>
      </c>
      <c r="P17" s="108">
        <v>56</v>
      </c>
    </row>
    <row r="18" spans="1:16" x14ac:dyDescent="0.3">
      <c r="A18" s="280" t="s">
        <v>37</v>
      </c>
      <c r="B18" s="348" t="s">
        <v>38</v>
      </c>
      <c r="C18" s="348" t="s">
        <v>255</v>
      </c>
      <c r="D18" s="108">
        <v>3</v>
      </c>
      <c r="E18" s="108">
        <v>1</v>
      </c>
      <c r="F18" s="108">
        <v>1</v>
      </c>
      <c r="G18" s="108"/>
      <c r="H18" s="108"/>
      <c r="I18" s="108"/>
      <c r="J18" s="108">
        <v>3</v>
      </c>
      <c r="K18" s="108"/>
      <c r="L18" s="108">
        <v>2</v>
      </c>
      <c r="M18" s="108">
        <v>2</v>
      </c>
      <c r="N18" s="108"/>
      <c r="O18" s="108">
        <v>2</v>
      </c>
      <c r="P18" s="108">
        <v>14</v>
      </c>
    </row>
    <row r="19" spans="1:16" x14ac:dyDescent="0.3">
      <c r="A19" s="280" t="s">
        <v>39</v>
      </c>
      <c r="B19" s="348" t="s">
        <v>40</v>
      </c>
      <c r="C19" s="348" t="s">
        <v>253</v>
      </c>
      <c r="D19" s="108">
        <v>5</v>
      </c>
      <c r="E19" s="108">
        <v>5</v>
      </c>
      <c r="F19" s="108">
        <v>2</v>
      </c>
      <c r="G19" s="108">
        <v>8</v>
      </c>
      <c r="H19" s="108">
        <v>2</v>
      </c>
      <c r="I19" s="108">
        <v>4</v>
      </c>
      <c r="J19" s="108">
        <v>1</v>
      </c>
      <c r="K19" s="108">
        <v>5</v>
      </c>
      <c r="L19" s="108">
        <v>1</v>
      </c>
      <c r="M19" s="108"/>
      <c r="N19" s="108">
        <v>1</v>
      </c>
      <c r="O19" s="108">
        <v>1</v>
      </c>
      <c r="P19" s="108">
        <v>35</v>
      </c>
    </row>
    <row r="20" spans="1:16" x14ac:dyDescent="0.3">
      <c r="A20" s="280" t="s">
        <v>41</v>
      </c>
      <c r="B20" s="348" t="s">
        <v>42</v>
      </c>
      <c r="C20" s="348" t="s">
        <v>252</v>
      </c>
      <c r="D20" s="108">
        <v>15</v>
      </c>
      <c r="E20" s="108">
        <v>34</v>
      </c>
      <c r="F20" s="108">
        <v>19</v>
      </c>
      <c r="G20" s="108">
        <v>5</v>
      </c>
      <c r="H20" s="108">
        <v>14</v>
      </c>
      <c r="I20" s="108">
        <v>12</v>
      </c>
      <c r="J20" s="108">
        <v>8</v>
      </c>
      <c r="K20" s="108">
        <v>23</v>
      </c>
      <c r="L20" s="108">
        <v>13</v>
      </c>
      <c r="M20" s="108">
        <v>13</v>
      </c>
      <c r="N20" s="108">
        <v>9</v>
      </c>
      <c r="O20" s="108">
        <v>10</v>
      </c>
      <c r="P20" s="108">
        <v>175</v>
      </c>
    </row>
    <row r="21" spans="1:16" x14ac:dyDescent="0.3">
      <c r="A21" s="280" t="s">
        <v>43</v>
      </c>
      <c r="B21" s="348" t="s">
        <v>44</v>
      </c>
      <c r="C21" s="348" t="s">
        <v>253</v>
      </c>
      <c r="D21" s="108">
        <v>11</v>
      </c>
      <c r="E21" s="108">
        <v>14</v>
      </c>
      <c r="F21" s="108">
        <v>8</v>
      </c>
      <c r="G21" s="108">
        <v>4</v>
      </c>
      <c r="H21" s="108">
        <v>6</v>
      </c>
      <c r="I21" s="108">
        <v>9</v>
      </c>
      <c r="J21" s="108">
        <v>9</v>
      </c>
      <c r="K21" s="108">
        <v>10</v>
      </c>
      <c r="L21" s="108">
        <v>7</v>
      </c>
      <c r="M21" s="108">
        <v>11</v>
      </c>
      <c r="N21" s="108">
        <v>11</v>
      </c>
      <c r="O21" s="108">
        <v>6</v>
      </c>
      <c r="P21" s="108">
        <v>106</v>
      </c>
    </row>
    <row r="22" spans="1:16" x14ac:dyDescent="0.3">
      <c r="A22" s="280" t="s">
        <v>45</v>
      </c>
      <c r="B22" s="348" t="s">
        <v>46</v>
      </c>
      <c r="C22" s="348" t="s">
        <v>255</v>
      </c>
      <c r="D22" s="108">
        <v>9</v>
      </c>
      <c r="E22" s="108">
        <v>13</v>
      </c>
      <c r="F22" s="108">
        <v>4</v>
      </c>
      <c r="G22" s="108">
        <v>2</v>
      </c>
      <c r="H22" s="108">
        <v>10</v>
      </c>
      <c r="I22" s="108">
        <v>12</v>
      </c>
      <c r="J22" s="108">
        <v>6</v>
      </c>
      <c r="K22" s="108">
        <v>9</v>
      </c>
      <c r="L22" s="108">
        <v>6</v>
      </c>
      <c r="M22" s="108">
        <v>9</v>
      </c>
      <c r="N22" s="108">
        <v>5</v>
      </c>
      <c r="O22" s="108">
        <v>4</v>
      </c>
      <c r="P22" s="108">
        <v>89</v>
      </c>
    </row>
    <row r="23" spans="1:16" x14ac:dyDescent="0.3">
      <c r="A23" s="280" t="s">
        <v>47</v>
      </c>
      <c r="B23" s="348" t="s">
        <v>256</v>
      </c>
      <c r="C23" s="348" t="s">
        <v>253</v>
      </c>
      <c r="D23" s="108">
        <v>4</v>
      </c>
      <c r="E23" s="108">
        <v>2</v>
      </c>
      <c r="F23" s="108">
        <v>3</v>
      </c>
      <c r="G23" s="108">
        <v>3</v>
      </c>
      <c r="H23" s="108">
        <v>1</v>
      </c>
      <c r="I23" s="108"/>
      <c r="J23" s="108">
        <v>1</v>
      </c>
      <c r="K23" s="108">
        <v>1</v>
      </c>
      <c r="L23" s="108"/>
      <c r="M23" s="108">
        <v>4</v>
      </c>
      <c r="N23" s="108"/>
      <c r="O23" s="108"/>
      <c r="P23" s="108">
        <v>19</v>
      </c>
    </row>
    <row r="24" spans="1:16" x14ac:dyDescent="0.3">
      <c r="A24" s="280" t="s">
        <v>49</v>
      </c>
      <c r="B24" s="348" t="s">
        <v>50</v>
      </c>
      <c r="C24" s="348" t="s">
        <v>252</v>
      </c>
      <c r="D24" s="108"/>
      <c r="E24" s="108"/>
      <c r="F24" s="108">
        <v>1</v>
      </c>
      <c r="G24" s="108">
        <v>1</v>
      </c>
      <c r="H24" s="108"/>
      <c r="I24" s="108"/>
      <c r="J24" s="108"/>
      <c r="K24" s="108">
        <v>1</v>
      </c>
      <c r="L24" s="108">
        <v>1</v>
      </c>
      <c r="M24" s="108">
        <v>2</v>
      </c>
      <c r="N24" s="108"/>
      <c r="O24" s="108"/>
      <c r="P24" s="108">
        <v>6</v>
      </c>
    </row>
    <row r="25" spans="1:16" x14ac:dyDescent="0.3">
      <c r="A25" s="280" t="s">
        <v>55</v>
      </c>
      <c r="B25" s="348" t="s">
        <v>271</v>
      </c>
      <c r="C25" s="348" t="s">
        <v>253</v>
      </c>
      <c r="D25" s="108">
        <v>155</v>
      </c>
      <c r="E25" s="108">
        <v>164</v>
      </c>
      <c r="F25" s="108">
        <v>159</v>
      </c>
      <c r="G25" s="108">
        <v>171</v>
      </c>
      <c r="H25" s="108">
        <v>155</v>
      </c>
      <c r="I25" s="108">
        <v>153</v>
      </c>
      <c r="J25" s="108">
        <v>119</v>
      </c>
      <c r="K25" s="108">
        <v>118</v>
      </c>
      <c r="L25" s="108">
        <v>104</v>
      </c>
      <c r="M25" s="108">
        <v>96</v>
      </c>
      <c r="N25" s="108">
        <v>42</v>
      </c>
      <c r="O25" s="108">
        <v>58</v>
      </c>
      <c r="P25" s="108">
        <v>1494</v>
      </c>
    </row>
    <row r="26" spans="1:16" x14ac:dyDescent="0.3">
      <c r="A26" s="280" t="s">
        <v>57</v>
      </c>
      <c r="B26" s="348" t="s">
        <v>58</v>
      </c>
      <c r="C26" s="348" t="s">
        <v>254</v>
      </c>
      <c r="D26" s="108">
        <v>1</v>
      </c>
      <c r="E26" s="108">
        <v>2</v>
      </c>
      <c r="F26" s="108">
        <v>3</v>
      </c>
      <c r="G26" s="108">
        <v>4</v>
      </c>
      <c r="H26" s="108">
        <v>2</v>
      </c>
      <c r="I26" s="108">
        <v>2</v>
      </c>
      <c r="J26" s="108">
        <v>1</v>
      </c>
      <c r="K26" s="108"/>
      <c r="L26" s="108"/>
      <c r="M26" s="108"/>
      <c r="N26" s="108"/>
      <c r="O26" s="108"/>
      <c r="P26" s="108">
        <v>15</v>
      </c>
    </row>
    <row r="27" spans="1:16" x14ac:dyDescent="0.3">
      <c r="A27" s="280" t="s">
        <v>59</v>
      </c>
      <c r="B27" s="348" t="s">
        <v>60</v>
      </c>
      <c r="C27" s="348" t="s">
        <v>252</v>
      </c>
      <c r="D27" s="108"/>
      <c r="E27" s="108">
        <v>1</v>
      </c>
      <c r="F27" s="108">
        <v>5</v>
      </c>
      <c r="G27" s="108">
        <v>1</v>
      </c>
      <c r="H27" s="108">
        <v>2</v>
      </c>
      <c r="I27" s="108">
        <v>3</v>
      </c>
      <c r="J27" s="108"/>
      <c r="K27" s="108">
        <v>2</v>
      </c>
      <c r="L27" s="108">
        <v>1</v>
      </c>
      <c r="M27" s="108"/>
      <c r="N27" s="108"/>
      <c r="O27" s="108"/>
      <c r="P27" s="108">
        <v>15</v>
      </c>
    </row>
    <row r="28" spans="1:16" x14ac:dyDescent="0.3">
      <c r="A28" s="280" t="s">
        <v>61</v>
      </c>
      <c r="B28" s="348" t="s">
        <v>62</v>
      </c>
      <c r="C28" s="348" t="s">
        <v>254</v>
      </c>
      <c r="D28" s="108">
        <v>22</v>
      </c>
      <c r="E28" s="108">
        <v>32</v>
      </c>
      <c r="F28" s="108">
        <v>29</v>
      </c>
      <c r="G28" s="108">
        <v>17</v>
      </c>
      <c r="H28" s="108">
        <v>14</v>
      </c>
      <c r="I28" s="108">
        <v>5</v>
      </c>
      <c r="J28" s="108">
        <v>24</v>
      </c>
      <c r="K28" s="108">
        <v>13</v>
      </c>
      <c r="L28" s="108">
        <v>23</v>
      </c>
      <c r="M28" s="108">
        <v>7</v>
      </c>
      <c r="N28" s="108">
        <v>8</v>
      </c>
      <c r="O28" s="108">
        <v>10</v>
      </c>
      <c r="P28" s="108">
        <v>204</v>
      </c>
    </row>
    <row r="29" spans="1:16" x14ac:dyDescent="0.3">
      <c r="A29" s="280" t="s">
        <v>63</v>
      </c>
      <c r="B29" s="348" t="s">
        <v>64</v>
      </c>
      <c r="C29" s="348" t="s">
        <v>253</v>
      </c>
      <c r="D29" s="108"/>
      <c r="E29" s="108">
        <v>10</v>
      </c>
      <c r="F29" s="108">
        <v>3</v>
      </c>
      <c r="G29" s="108">
        <v>3</v>
      </c>
      <c r="H29" s="108">
        <v>1</v>
      </c>
      <c r="I29" s="108">
        <v>5</v>
      </c>
      <c r="J29" s="108">
        <v>1</v>
      </c>
      <c r="K29" s="108">
        <v>1</v>
      </c>
      <c r="L29" s="108">
        <v>1</v>
      </c>
      <c r="M29" s="108">
        <v>1</v>
      </c>
      <c r="N29" s="108"/>
      <c r="O29" s="108">
        <v>1</v>
      </c>
      <c r="P29" s="108">
        <v>27</v>
      </c>
    </row>
    <row r="30" spans="1:16" x14ac:dyDescent="0.3">
      <c r="A30" s="280" t="s">
        <v>67</v>
      </c>
      <c r="B30" s="348" t="s">
        <v>68</v>
      </c>
      <c r="C30" s="348" t="s">
        <v>255</v>
      </c>
      <c r="D30" s="108">
        <v>1</v>
      </c>
      <c r="E30" s="108">
        <v>1</v>
      </c>
      <c r="F30" s="108">
        <v>1</v>
      </c>
      <c r="G30" s="108"/>
      <c r="H30" s="108">
        <v>1</v>
      </c>
      <c r="I30" s="108"/>
      <c r="J30" s="108">
        <v>1</v>
      </c>
      <c r="K30" s="108">
        <v>1</v>
      </c>
      <c r="L30" s="108"/>
      <c r="M30" s="108">
        <v>1</v>
      </c>
      <c r="N30" s="108"/>
      <c r="O30" s="108">
        <v>1</v>
      </c>
      <c r="P30" s="108">
        <v>8</v>
      </c>
    </row>
    <row r="31" spans="1:16" x14ac:dyDescent="0.3">
      <c r="A31" s="280" t="s">
        <v>69</v>
      </c>
      <c r="B31" s="348" t="s">
        <v>70</v>
      </c>
      <c r="C31" s="348" t="s">
        <v>251</v>
      </c>
      <c r="D31" s="108">
        <v>16</v>
      </c>
      <c r="E31" s="108">
        <v>13</v>
      </c>
      <c r="F31" s="108">
        <v>12</v>
      </c>
      <c r="G31" s="108">
        <v>11</v>
      </c>
      <c r="H31" s="108">
        <v>9</v>
      </c>
      <c r="I31" s="108">
        <v>5</v>
      </c>
      <c r="J31" s="108">
        <v>6</v>
      </c>
      <c r="K31" s="108">
        <v>8</v>
      </c>
      <c r="L31" s="108">
        <v>8</v>
      </c>
      <c r="M31" s="108">
        <v>9</v>
      </c>
      <c r="N31" s="108">
        <v>3</v>
      </c>
      <c r="O31" s="108">
        <v>2</v>
      </c>
      <c r="P31" s="108">
        <v>102</v>
      </c>
    </row>
    <row r="32" spans="1:16" x14ac:dyDescent="0.3">
      <c r="A32" s="280" t="s">
        <v>71</v>
      </c>
      <c r="B32" s="348" t="s">
        <v>72</v>
      </c>
      <c r="C32" s="348" t="s">
        <v>253</v>
      </c>
      <c r="D32" s="108">
        <v>4</v>
      </c>
      <c r="E32" s="108">
        <v>4</v>
      </c>
      <c r="F32" s="108">
        <v>6</v>
      </c>
      <c r="G32" s="108">
        <v>5</v>
      </c>
      <c r="H32" s="108">
        <v>7</v>
      </c>
      <c r="I32" s="108">
        <v>5</v>
      </c>
      <c r="J32" s="108">
        <v>6</v>
      </c>
      <c r="K32" s="108">
        <v>3</v>
      </c>
      <c r="L32" s="108">
        <v>10</v>
      </c>
      <c r="M32" s="108">
        <v>4</v>
      </c>
      <c r="N32" s="108"/>
      <c r="O32" s="108">
        <v>1</v>
      </c>
      <c r="P32" s="108">
        <v>55</v>
      </c>
    </row>
    <row r="33" spans="1:16" x14ac:dyDescent="0.3">
      <c r="A33" s="280" t="s">
        <v>73</v>
      </c>
      <c r="B33" s="348" t="s">
        <v>272</v>
      </c>
      <c r="C33" s="348" t="s">
        <v>254</v>
      </c>
      <c r="D33" s="108">
        <v>268</v>
      </c>
      <c r="E33" s="108">
        <v>300</v>
      </c>
      <c r="F33" s="108">
        <v>303</v>
      </c>
      <c r="G33" s="108">
        <v>281</v>
      </c>
      <c r="H33" s="108">
        <v>252</v>
      </c>
      <c r="I33" s="108">
        <v>191</v>
      </c>
      <c r="J33" s="108">
        <v>248</v>
      </c>
      <c r="K33" s="108">
        <v>160</v>
      </c>
      <c r="L33" s="108">
        <v>189</v>
      </c>
      <c r="M33" s="108">
        <v>184</v>
      </c>
      <c r="N33" s="108">
        <v>102</v>
      </c>
      <c r="O33" s="108">
        <v>120</v>
      </c>
      <c r="P33" s="108">
        <v>2598</v>
      </c>
    </row>
    <row r="34" spans="1:16" x14ac:dyDescent="0.3">
      <c r="A34" s="280" t="s">
        <v>75</v>
      </c>
      <c r="B34" s="348" t="s">
        <v>76</v>
      </c>
      <c r="C34" s="348" t="s">
        <v>254</v>
      </c>
      <c r="D34" s="108">
        <v>14</v>
      </c>
      <c r="E34" s="108">
        <v>10</v>
      </c>
      <c r="F34" s="108">
        <v>13</v>
      </c>
      <c r="G34" s="108">
        <v>9</v>
      </c>
      <c r="H34" s="108">
        <v>14</v>
      </c>
      <c r="I34" s="108">
        <v>18</v>
      </c>
      <c r="J34" s="108">
        <v>15</v>
      </c>
      <c r="K34" s="108">
        <v>9</v>
      </c>
      <c r="L34" s="108">
        <v>12</v>
      </c>
      <c r="M34" s="108">
        <v>4</v>
      </c>
      <c r="N34" s="108">
        <v>8</v>
      </c>
      <c r="O34" s="108">
        <v>5</v>
      </c>
      <c r="P34" s="108">
        <v>131</v>
      </c>
    </row>
    <row r="35" spans="1:16" x14ac:dyDescent="0.3">
      <c r="A35" s="280" t="s">
        <v>77</v>
      </c>
      <c r="B35" s="348" t="s">
        <v>78</v>
      </c>
      <c r="C35" s="348" t="s">
        <v>255</v>
      </c>
      <c r="D35" s="108">
        <v>1</v>
      </c>
      <c r="E35" s="108">
        <v>2</v>
      </c>
      <c r="F35" s="108">
        <v>2</v>
      </c>
      <c r="G35" s="108">
        <v>2</v>
      </c>
      <c r="H35" s="108">
        <v>1</v>
      </c>
      <c r="I35" s="108">
        <v>7</v>
      </c>
      <c r="J35" s="108">
        <v>1</v>
      </c>
      <c r="K35" s="108">
        <v>3</v>
      </c>
      <c r="L35" s="108">
        <v>6</v>
      </c>
      <c r="M35" s="108">
        <v>2</v>
      </c>
      <c r="N35" s="108"/>
      <c r="O35" s="108">
        <v>2</v>
      </c>
      <c r="P35" s="108">
        <v>29</v>
      </c>
    </row>
    <row r="36" spans="1:16" x14ac:dyDescent="0.3">
      <c r="A36" s="280" t="s">
        <v>79</v>
      </c>
      <c r="B36" s="348" t="s">
        <v>80</v>
      </c>
      <c r="C36" s="348" t="s">
        <v>253</v>
      </c>
      <c r="D36" s="108">
        <v>6</v>
      </c>
      <c r="E36" s="108">
        <v>9</v>
      </c>
      <c r="F36" s="108">
        <v>7</v>
      </c>
      <c r="G36" s="108">
        <v>5</v>
      </c>
      <c r="H36" s="108">
        <v>5</v>
      </c>
      <c r="I36" s="108">
        <v>4</v>
      </c>
      <c r="J36" s="108">
        <v>1</v>
      </c>
      <c r="K36" s="108">
        <v>3</v>
      </c>
      <c r="L36" s="108">
        <v>2</v>
      </c>
      <c r="M36" s="108">
        <v>2</v>
      </c>
      <c r="N36" s="108"/>
      <c r="O36" s="108"/>
      <c r="P36" s="108">
        <v>44</v>
      </c>
    </row>
    <row r="37" spans="1:16" x14ac:dyDescent="0.3">
      <c r="A37" s="280" t="s">
        <v>83</v>
      </c>
      <c r="B37" s="348" t="s">
        <v>84</v>
      </c>
      <c r="C37" s="348" t="s">
        <v>252</v>
      </c>
      <c r="D37" s="108">
        <v>14</v>
      </c>
      <c r="E37" s="108">
        <v>18</v>
      </c>
      <c r="F37" s="108">
        <v>7</v>
      </c>
      <c r="G37" s="108">
        <v>12</v>
      </c>
      <c r="H37" s="108">
        <v>11</v>
      </c>
      <c r="I37" s="108">
        <v>9</v>
      </c>
      <c r="J37" s="108">
        <v>12</v>
      </c>
      <c r="K37" s="108">
        <v>15</v>
      </c>
      <c r="L37" s="108">
        <v>9</v>
      </c>
      <c r="M37" s="108">
        <v>4</v>
      </c>
      <c r="N37" s="108">
        <v>6</v>
      </c>
      <c r="O37" s="108">
        <v>9</v>
      </c>
      <c r="P37" s="108">
        <v>126</v>
      </c>
    </row>
    <row r="38" spans="1:16" x14ac:dyDescent="0.3">
      <c r="A38" s="280" t="s">
        <v>85</v>
      </c>
      <c r="B38" s="348" t="s">
        <v>86</v>
      </c>
      <c r="C38" s="348" t="s">
        <v>254</v>
      </c>
      <c r="D38" s="108">
        <v>18</v>
      </c>
      <c r="E38" s="108">
        <v>46</v>
      </c>
      <c r="F38" s="108">
        <v>21</v>
      </c>
      <c r="G38" s="108">
        <v>6</v>
      </c>
      <c r="H38" s="108">
        <v>19</v>
      </c>
      <c r="I38" s="108">
        <v>21</v>
      </c>
      <c r="J38" s="108">
        <v>14</v>
      </c>
      <c r="K38" s="108">
        <v>24</v>
      </c>
      <c r="L38" s="108">
        <v>18</v>
      </c>
      <c r="M38" s="108">
        <v>17</v>
      </c>
      <c r="N38" s="108">
        <v>3</v>
      </c>
      <c r="O38" s="108">
        <v>8</v>
      </c>
      <c r="P38" s="108">
        <v>215</v>
      </c>
    </row>
    <row r="39" spans="1:16" x14ac:dyDescent="0.3">
      <c r="A39" s="280" t="s">
        <v>91</v>
      </c>
      <c r="B39" s="348" t="s">
        <v>92</v>
      </c>
      <c r="C39" s="348" t="s">
        <v>255</v>
      </c>
      <c r="D39" s="108">
        <v>2</v>
      </c>
      <c r="E39" s="108">
        <v>2</v>
      </c>
      <c r="F39" s="108">
        <v>7</v>
      </c>
      <c r="G39" s="108">
        <v>4</v>
      </c>
      <c r="H39" s="108">
        <v>6</v>
      </c>
      <c r="I39" s="108">
        <v>3</v>
      </c>
      <c r="J39" s="108">
        <v>4</v>
      </c>
      <c r="K39" s="108">
        <v>8</v>
      </c>
      <c r="L39" s="108">
        <v>7</v>
      </c>
      <c r="M39" s="108">
        <v>4</v>
      </c>
      <c r="N39" s="108"/>
      <c r="O39" s="108">
        <v>1</v>
      </c>
      <c r="P39" s="108">
        <v>48</v>
      </c>
    </row>
    <row r="40" spans="1:16" x14ac:dyDescent="0.3">
      <c r="A40" s="280" t="s">
        <v>93</v>
      </c>
      <c r="B40" s="348" t="s">
        <v>94</v>
      </c>
      <c r="C40" s="348" t="s">
        <v>251</v>
      </c>
      <c r="D40" s="108">
        <v>7</v>
      </c>
      <c r="E40" s="108">
        <v>8</v>
      </c>
      <c r="F40" s="108">
        <v>12</v>
      </c>
      <c r="G40" s="108">
        <v>13</v>
      </c>
      <c r="H40" s="108">
        <v>7</v>
      </c>
      <c r="I40" s="108">
        <v>4</v>
      </c>
      <c r="J40" s="108">
        <v>8</v>
      </c>
      <c r="K40" s="108">
        <v>12</v>
      </c>
      <c r="L40" s="108">
        <v>8</v>
      </c>
      <c r="M40" s="108">
        <v>4</v>
      </c>
      <c r="N40" s="108">
        <v>7</v>
      </c>
      <c r="O40" s="108">
        <v>5</v>
      </c>
      <c r="P40" s="108">
        <v>95</v>
      </c>
    </row>
    <row r="41" spans="1:16" x14ac:dyDescent="0.3">
      <c r="A41" s="280" t="s">
        <v>95</v>
      </c>
      <c r="B41" s="348" t="s">
        <v>96</v>
      </c>
      <c r="C41" s="348" t="s">
        <v>253</v>
      </c>
      <c r="D41" s="108">
        <v>5</v>
      </c>
      <c r="E41" s="108">
        <v>4</v>
      </c>
      <c r="F41" s="108">
        <v>2</v>
      </c>
      <c r="G41" s="108">
        <v>5</v>
      </c>
      <c r="H41" s="108">
        <v>3</v>
      </c>
      <c r="I41" s="108">
        <v>2</v>
      </c>
      <c r="J41" s="108">
        <v>1</v>
      </c>
      <c r="K41" s="108">
        <v>3</v>
      </c>
      <c r="L41" s="108">
        <v>2</v>
      </c>
      <c r="M41" s="108">
        <v>2</v>
      </c>
      <c r="N41" s="108">
        <v>1</v>
      </c>
      <c r="O41" s="108"/>
      <c r="P41" s="108">
        <v>30</v>
      </c>
    </row>
    <row r="42" spans="1:16" x14ac:dyDescent="0.3">
      <c r="A42" s="280" t="s">
        <v>97</v>
      </c>
      <c r="B42" s="348" t="s">
        <v>98</v>
      </c>
      <c r="C42" s="348" t="s">
        <v>255</v>
      </c>
      <c r="D42" s="108">
        <v>1</v>
      </c>
      <c r="E42" s="108">
        <v>3</v>
      </c>
      <c r="F42" s="108">
        <v>4</v>
      </c>
      <c r="G42" s="108">
        <v>2</v>
      </c>
      <c r="H42" s="108"/>
      <c r="I42" s="108"/>
      <c r="J42" s="108"/>
      <c r="K42" s="108"/>
      <c r="L42" s="108">
        <v>3</v>
      </c>
      <c r="M42" s="108">
        <v>9</v>
      </c>
      <c r="N42" s="108">
        <v>2</v>
      </c>
      <c r="O42" s="108"/>
      <c r="P42" s="108">
        <v>24</v>
      </c>
    </row>
    <row r="43" spans="1:16" x14ac:dyDescent="0.3">
      <c r="A43" s="280" t="s">
        <v>99</v>
      </c>
      <c r="B43" s="348" t="s">
        <v>100</v>
      </c>
      <c r="C43" s="348" t="s">
        <v>254</v>
      </c>
      <c r="D43" s="108">
        <v>3</v>
      </c>
      <c r="E43" s="108">
        <v>11</v>
      </c>
      <c r="F43" s="108">
        <v>2</v>
      </c>
      <c r="G43" s="108">
        <v>1</v>
      </c>
      <c r="H43" s="108">
        <v>2</v>
      </c>
      <c r="I43" s="108"/>
      <c r="J43" s="108">
        <v>5</v>
      </c>
      <c r="K43" s="108">
        <v>7</v>
      </c>
      <c r="L43" s="108">
        <v>3</v>
      </c>
      <c r="M43" s="108">
        <v>1</v>
      </c>
      <c r="N43" s="108">
        <v>1</v>
      </c>
      <c r="O43" s="108"/>
      <c r="P43" s="108">
        <v>36</v>
      </c>
    </row>
    <row r="44" spans="1:16" x14ac:dyDescent="0.3">
      <c r="A44" s="280" t="s">
        <v>101</v>
      </c>
      <c r="B44" s="348" t="s">
        <v>263</v>
      </c>
      <c r="C44" s="348" t="s">
        <v>251</v>
      </c>
      <c r="D44" s="108">
        <v>6</v>
      </c>
      <c r="E44" s="108">
        <v>80</v>
      </c>
      <c r="F44" s="108">
        <v>12</v>
      </c>
      <c r="G44" s="108">
        <v>13</v>
      </c>
      <c r="H44" s="108">
        <v>8</v>
      </c>
      <c r="I44" s="108">
        <v>5</v>
      </c>
      <c r="J44" s="108">
        <v>7</v>
      </c>
      <c r="K44" s="108">
        <v>7</v>
      </c>
      <c r="L44" s="108">
        <v>3</v>
      </c>
      <c r="M44" s="108"/>
      <c r="N44" s="108">
        <v>2</v>
      </c>
      <c r="O44" s="108">
        <v>10</v>
      </c>
      <c r="P44" s="108">
        <v>153</v>
      </c>
    </row>
    <row r="45" spans="1:16" x14ac:dyDescent="0.3">
      <c r="A45" s="280" t="s">
        <v>103</v>
      </c>
      <c r="B45" s="348" t="s">
        <v>104</v>
      </c>
      <c r="C45" s="348" t="s">
        <v>252</v>
      </c>
      <c r="D45" s="108">
        <v>9</v>
      </c>
      <c r="E45" s="108">
        <v>7</v>
      </c>
      <c r="F45" s="108">
        <v>3</v>
      </c>
      <c r="G45" s="108">
        <v>4</v>
      </c>
      <c r="H45" s="108">
        <v>7</v>
      </c>
      <c r="I45" s="108">
        <v>5</v>
      </c>
      <c r="J45" s="108">
        <v>9</v>
      </c>
      <c r="K45" s="108">
        <v>6</v>
      </c>
      <c r="L45" s="108">
        <v>3</v>
      </c>
      <c r="M45" s="108">
        <v>4</v>
      </c>
      <c r="N45" s="108">
        <v>3</v>
      </c>
      <c r="O45" s="108">
        <v>5</v>
      </c>
      <c r="P45" s="108">
        <v>65</v>
      </c>
    </row>
    <row r="46" spans="1:16" x14ac:dyDescent="0.3">
      <c r="A46" s="280" t="s">
        <v>107</v>
      </c>
      <c r="B46" s="348" t="s">
        <v>108</v>
      </c>
      <c r="C46" s="348" t="s">
        <v>253</v>
      </c>
      <c r="D46" s="108">
        <v>27</v>
      </c>
      <c r="E46" s="108">
        <v>21</v>
      </c>
      <c r="F46" s="108">
        <v>23</v>
      </c>
      <c r="G46" s="108">
        <v>15</v>
      </c>
      <c r="H46" s="108">
        <v>19</v>
      </c>
      <c r="I46" s="108">
        <v>9</v>
      </c>
      <c r="J46" s="108">
        <v>28</v>
      </c>
      <c r="K46" s="108">
        <v>27</v>
      </c>
      <c r="L46" s="108">
        <v>18</v>
      </c>
      <c r="M46" s="108">
        <v>10</v>
      </c>
      <c r="N46" s="108">
        <v>12</v>
      </c>
      <c r="O46" s="108">
        <v>16</v>
      </c>
      <c r="P46" s="108">
        <v>225</v>
      </c>
    </row>
    <row r="47" spans="1:16" x14ac:dyDescent="0.3">
      <c r="A47" s="280" t="s">
        <v>109</v>
      </c>
      <c r="B47" s="348" t="s">
        <v>110</v>
      </c>
      <c r="C47" s="348" t="s">
        <v>253</v>
      </c>
      <c r="D47" s="108">
        <v>188</v>
      </c>
      <c r="E47" s="108">
        <v>201</v>
      </c>
      <c r="F47" s="108">
        <v>146</v>
      </c>
      <c r="G47" s="108">
        <v>170</v>
      </c>
      <c r="H47" s="108">
        <v>127</v>
      </c>
      <c r="I47" s="108">
        <v>141</v>
      </c>
      <c r="J47" s="108">
        <v>124</v>
      </c>
      <c r="K47" s="108">
        <v>114</v>
      </c>
      <c r="L47" s="108">
        <v>108</v>
      </c>
      <c r="M47" s="108">
        <v>121</v>
      </c>
      <c r="N47" s="108">
        <v>51</v>
      </c>
      <c r="O47" s="108">
        <v>67</v>
      </c>
      <c r="P47" s="108">
        <v>1558</v>
      </c>
    </row>
    <row r="48" spans="1:16" x14ac:dyDescent="0.3">
      <c r="A48" s="280" t="s">
        <v>111</v>
      </c>
      <c r="B48" s="348" t="s">
        <v>275</v>
      </c>
      <c r="C48" s="348" t="s">
        <v>252</v>
      </c>
      <c r="D48" s="108">
        <v>38</v>
      </c>
      <c r="E48" s="108">
        <v>49</v>
      </c>
      <c r="F48" s="108">
        <v>19</v>
      </c>
      <c r="G48" s="108">
        <v>20</v>
      </c>
      <c r="H48" s="108">
        <v>22</v>
      </c>
      <c r="I48" s="108">
        <v>17</v>
      </c>
      <c r="J48" s="108">
        <v>19</v>
      </c>
      <c r="K48" s="108">
        <v>28</v>
      </c>
      <c r="L48" s="108">
        <v>16</v>
      </c>
      <c r="M48" s="108">
        <v>13</v>
      </c>
      <c r="N48" s="108">
        <v>12</v>
      </c>
      <c r="O48" s="108">
        <v>8</v>
      </c>
      <c r="P48" s="108">
        <v>261</v>
      </c>
    </row>
    <row r="49" spans="1:16" x14ac:dyDescent="0.3">
      <c r="A49" s="280" t="s">
        <v>113</v>
      </c>
      <c r="B49" s="348" t="s">
        <v>114</v>
      </c>
      <c r="C49" s="348" t="s">
        <v>252</v>
      </c>
      <c r="D49" s="108"/>
      <c r="E49" s="108"/>
      <c r="F49" s="108">
        <v>1</v>
      </c>
      <c r="G49" s="108"/>
      <c r="H49" s="108">
        <v>1</v>
      </c>
      <c r="I49" s="108"/>
      <c r="J49" s="108"/>
      <c r="K49" s="108"/>
      <c r="L49" s="108"/>
      <c r="M49" s="108">
        <v>1</v>
      </c>
      <c r="N49" s="108"/>
      <c r="O49" s="108"/>
      <c r="P49" s="108">
        <v>3</v>
      </c>
    </row>
    <row r="50" spans="1:16" x14ac:dyDescent="0.3">
      <c r="A50" s="280" t="s">
        <v>117</v>
      </c>
      <c r="B50" s="348" t="s">
        <v>257</v>
      </c>
      <c r="C50" s="348" t="s">
        <v>251</v>
      </c>
      <c r="D50" s="108">
        <v>7</v>
      </c>
      <c r="E50" s="108">
        <v>7</v>
      </c>
      <c r="F50" s="108">
        <v>6</v>
      </c>
      <c r="G50" s="108">
        <v>6</v>
      </c>
      <c r="H50" s="108">
        <v>5</v>
      </c>
      <c r="I50" s="108">
        <v>4</v>
      </c>
      <c r="J50" s="108">
        <v>5</v>
      </c>
      <c r="K50" s="108">
        <v>8</v>
      </c>
      <c r="L50" s="108">
        <v>16</v>
      </c>
      <c r="M50" s="108">
        <v>7</v>
      </c>
      <c r="N50" s="108">
        <v>8</v>
      </c>
      <c r="O50" s="108">
        <v>6</v>
      </c>
      <c r="P50" s="108">
        <v>85</v>
      </c>
    </row>
    <row r="51" spans="1:16" x14ac:dyDescent="0.3">
      <c r="A51" s="280" t="s">
        <v>119</v>
      </c>
      <c r="B51" s="348" t="s">
        <v>120</v>
      </c>
      <c r="C51" s="348" t="s">
        <v>251</v>
      </c>
      <c r="D51" s="108">
        <v>25</v>
      </c>
      <c r="E51" s="108">
        <v>21</v>
      </c>
      <c r="F51" s="108">
        <v>23</v>
      </c>
      <c r="G51" s="108">
        <v>25</v>
      </c>
      <c r="H51" s="108">
        <v>24</v>
      </c>
      <c r="I51" s="108">
        <v>13</v>
      </c>
      <c r="J51" s="108">
        <v>17</v>
      </c>
      <c r="K51" s="108">
        <v>14</v>
      </c>
      <c r="L51" s="108">
        <v>16</v>
      </c>
      <c r="M51" s="108">
        <v>15</v>
      </c>
      <c r="N51" s="108">
        <v>4</v>
      </c>
      <c r="O51" s="108">
        <v>12</v>
      </c>
      <c r="P51" s="108">
        <v>209</v>
      </c>
    </row>
    <row r="52" spans="1:16" x14ac:dyDescent="0.3">
      <c r="A52" s="280" t="s">
        <v>121</v>
      </c>
      <c r="B52" s="348" t="s">
        <v>268</v>
      </c>
      <c r="C52" s="348" t="s">
        <v>253</v>
      </c>
      <c r="D52" s="108"/>
      <c r="E52" s="108">
        <v>1</v>
      </c>
      <c r="F52" s="108">
        <v>2</v>
      </c>
      <c r="G52" s="108">
        <v>1</v>
      </c>
      <c r="H52" s="108">
        <v>8</v>
      </c>
      <c r="I52" s="108">
        <v>2</v>
      </c>
      <c r="J52" s="108">
        <v>1</v>
      </c>
      <c r="K52" s="108">
        <v>1</v>
      </c>
      <c r="L52" s="108">
        <v>1</v>
      </c>
      <c r="M52" s="108">
        <v>2</v>
      </c>
      <c r="N52" s="108"/>
      <c r="O52" s="108">
        <v>1</v>
      </c>
      <c r="P52" s="108">
        <v>20</v>
      </c>
    </row>
    <row r="53" spans="1:16" x14ac:dyDescent="0.3">
      <c r="A53" s="280" t="s">
        <v>123</v>
      </c>
      <c r="B53" s="348" t="s">
        <v>124</v>
      </c>
      <c r="C53" s="348" t="s">
        <v>254</v>
      </c>
      <c r="D53" s="108">
        <v>10</v>
      </c>
      <c r="E53" s="108">
        <v>18</v>
      </c>
      <c r="F53" s="108">
        <v>9</v>
      </c>
      <c r="G53" s="108">
        <v>11</v>
      </c>
      <c r="H53" s="108">
        <v>5</v>
      </c>
      <c r="I53" s="108">
        <v>5</v>
      </c>
      <c r="J53" s="108">
        <v>6</v>
      </c>
      <c r="K53" s="108">
        <v>6</v>
      </c>
      <c r="L53" s="108">
        <v>2</v>
      </c>
      <c r="M53" s="108">
        <v>1</v>
      </c>
      <c r="N53" s="108"/>
      <c r="O53" s="108">
        <v>3</v>
      </c>
      <c r="P53" s="108">
        <v>76</v>
      </c>
    </row>
    <row r="54" spans="1:16" x14ac:dyDescent="0.3">
      <c r="A54" s="280" t="s">
        <v>125</v>
      </c>
      <c r="B54" s="348" t="s">
        <v>126</v>
      </c>
      <c r="C54" s="348" t="s">
        <v>253</v>
      </c>
      <c r="D54" s="108">
        <v>14</v>
      </c>
      <c r="E54" s="108">
        <v>6</v>
      </c>
      <c r="F54" s="108">
        <v>3</v>
      </c>
      <c r="G54" s="108">
        <v>5</v>
      </c>
      <c r="H54" s="108">
        <v>6</v>
      </c>
      <c r="I54" s="108">
        <v>1</v>
      </c>
      <c r="J54" s="108">
        <v>4</v>
      </c>
      <c r="K54" s="108">
        <v>6</v>
      </c>
      <c r="L54" s="108">
        <v>10</v>
      </c>
      <c r="M54" s="108">
        <v>3</v>
      </c>
      <c r="N54" s="108">
        <v>2</v>
      </c>
      <c r="O54" s="108">
        <v>4</v>
      </c>
      <c r="P54" s="108">
        <v>64</v>
      </c>
    </row>
    <row r="55" spans="1:16" x14ac:dyDescent="0.3">
      <c r="A55" s="280" t="s">
        <v>127</v>
      </c>
      <c r="B55" s="348" t="s">
        <v>128</v>
      </c>
      <c r="C55" s="348" t="s">
        <v>253</v>
      </c>
      <c r="D55" s="108">
        <v>2</v>
      </c>
      <c r="E55" s="108">
        <v>1</v>
      </c>
      <c r="F55" s="108">
        <v>3</v>
      </c>
      <c r="G55" s="108">
        <v>3</v>
      </c>
      <c r="H55" s="108"/>
      <c r="I55" s="108"/>
      <c r="J55" s="108"/>
      <c r="K55" s="108">
        <v>7</v>
      </c>
      <c r="L55" s="108">
        <v>4</v>
      </c>
      <c r="M55" s="108">
        <v>2</v>
      </c>
      <c r="N55" s="108">
        <v>1</v>
      </c>
      <c r="O55" s="108">
        <v>1</v>
      </c>
      <c r="P55" s="108">
        <v>24</v>
      </c>
    </row>
    <row r="56" spans="1:16" x14ac:dyDescent="0.3">
      <c r="A56" s="280" t="s">
        <v>129</v>
      </c>
      <c r="B56" s="348" t="s">
        <v>130</v>
      </c>
      <c r="C56" s="348" t="s">
        <v>255</v>
      </c>
      <c r="D56" s="108">
        <v>2</v>
      </c>
      <c r="E56" s="108">
        <v>4</v>
      </c>
      <c r="F56" s="108">
        <v>4</v>
      </c>
      <c r="G56" s="108">
        <v>3</v>
      </c>
      <c r="H56" s="108">
        <v>4</v>
      </c>
      <c r="I56" s="108">
        <v>1</v>
      </c>
      <c r="J56" s="108">
        <v>8</v>
      </c>
      <c r="K56" s="108">
        <v>1</v>
      </c>
      <c r="L56" s="108"/>
      <c r="M56" s="108">
        <v>3</v>
      </c>
      <c r="N56" s="108">
        <v>1</v>
      </c>
      <c r="O56" s="108">
        <v>2</v>
      </c>
      <c r="P56" s="108">
        <v>33</v>
      </c>
    </row>
    <row r="57" spans="1:16" x14ac:dyDescent="0.3">
      <c r="A57" s="280" t="s">
        <v>131</v>
      </c>
      <c r="B57" s="348" t="s">
        <v>132</v>
      </c>
      <c r="C57" s="348" t="s">
        <v>254</v>
      </c>
      <c r="D57" s="108">
        <v>81</v>
      </c>
      <c r="E57" s="108">
        <v>94</v>
      </c>
      <c r="F57" s="108">
        <v>59</v>
      </c>
      <c r="G57" s="108">
        <v>62</v>
      </c>
      <c r="H57" s="108">
        <v>53</v>
      </c>
      <c r="I57" s="108">
        <v>61</v>
      </c>
      <c r="J57" s="108">
        <v>61</v>
      </c>
      <c r="K57" s="108">
        <v>43</v>
      </c>
      <c r="L57" s="108">
        <v>34</v>
      </c>
      <c r="M57" s="108">
        <v>40</v>
      </c>
      <c r="N57" s="108">
        <v>30</v>
      </c>
      <c r="O57" s="108">
        <v>35</v>
      </c>
      <c r="P57" s="108">
        <v>653</v>
      </c>
    </row>
    <row r="58" spans="1:16" x14ac:dyDescent="0.3">
      <c r="A58" s="280" t="s">
        <v>133</v>
      </c>
      <c r="B58" s="348" t="s">
        <v>134</v>
      </c>
      <c r="C58" s="348" t="s">
        <v>254</v>
      </c>
      <c r="D58" s="108">
        <v>8</v>
      </c>
      <c r="E58" s="108">
        <v>24</v>
      </c>
      <c r="F58" s="108">
        <v>6</v>
      </c>
      <c r="G58" s="108">
        <v>5</v>
      </c>
      <c r="H58" s="108">
        <v>4</v>
      </c>
      <c r="I58" s="108">
        <v>5</v>
      </c>
      <c r="J58" s="108">
        <v>9</v>
      </c>
      <c r="K58" s="108">
        <v>5</v>
      </c>
      <c r="L58" s="108">
        <v>20</v>
      </c>
      <c r="M58" s="108">
        <v>3</v>
      </c>
      <c r="N58" s="108">
        <v>4</v>
      </c>
      <c r="O58" s="108">
        <v>15</v>
      </c>
      <c r="P58" s="108">
        <v>108</v>
      </c>
    </row>
    <row r="59" spans="1:16" x14ac:dyDescent="0.3">
      <c r="A59" s="280" t="s">
        <v>135</v>
      </c>
      <c r="B59" s="348" t="s">
        <v>136</v>
      </c>
      <c r="C59" s="348" t="s">
        <v>253</v>
      </c>
      <c r="D59" s="108">
        <v>4</v>
      </c>
      <c r="E59" s="108">
        <v>1</v>
      </c>
      <c r="F59" s="108">
        <v>2</v>
      </c>
      <c r="G59" s="108">
        <v>2</v>
      </c>
      <c r="H59" s="108">
        <v>5</v>
      </c>
      <c r="I59" s="108">
        <v>2</v>
      </c>
      <c r="J59" s="108">
        <v>4</v>
      </c>
      <c r="K59" s="108"/>
      <c r="L59" s="108">
        <v>2</v>
      </c>
      <c r="M59" s="108">
        <v>2</v>
      </c>
      <c r="N59" s="108">
        <v>2</v>
      </c>
      <c r="O59" s="108">
        <v>1</v>
      </c>
      <c r="P59" s="108">
        <v>27</v>
      </c>
    </row>
    <row r="60" spans="1:16" x14ac:dyDescent="0.3">
      <c r="A60" s="280" t="s">
        <v>139</v>
      </c>
      <c r="B60" s="348" t="s">
        <v>140</v>
      </c>
      <c r="C60" s="348" t="s">
        <v>254</v>
      </c>
      <c r="D60" s="108">
        <v>4</v>
      </c>
      <c r="E60" s="108">
        <v>3</v>
      </c>
      <c r="F60" s="108">
        <v>3</v>
      </c>
      <c r="G60" s="108">
        <v>1</v>
      </c>
      <c r="H60" s="108">
        <v>5</v>
      </c>
      <c r="I60" s="108"/>
      <c r="J60" s="108">
        <v>1</v>
      </c>
      <c r="K60" s="108">
        <v>6</v>
      </c>
      <c r="L60" s="108">
        <v>4</v>
      </c>
      <c r="M60" s="108">
        <v>1</v>
      </c>
      <c r="N60" s="108"/>
      <c r="O60" s="108"/>
      <c r="P60" s="108">
        <v>28</v>
      </c>
    </row>
    <row r="61" spans="1:16" x14ac:dyDescent="0.3">
      <c r="A61" s="280" t="s">
        <v>145</v>
      </c>
      <c r="B61" s="348" t="s">
        <v>146</v>
      </c>
      <c r="C61" s="348" t="s">
        <v>251</v>
      </c>
      <c r="D61" s="108">
        <v>5</v>
      </c>
      <c r="E61" s="108">
        <v>1</v>
      </c>
      <c r="F61" s="108"/>
      <c r="G61" s="108">
        <v>4</v>
      </c>
      <c r="H61" s="108">
        <v>1</v>
      </c>
      <c r="I61" s="108"/>
      <c r="J61" s="108"/>
      <c r="K61" s="108"/>
      <c r="L61" s="108">
        <v>3</v>
      </c>
      <c r="M61" s="108"/>
      <c r="N61" s="108">
        <v>2</v>
      </c>
      <c r="O61" s="108"/>
      <c r="P61" s="108">
        <v>16</v>
      </c>
    </row>
    <row r="62" spans="1:16" x14ac:dyDescent="0.3">
      <c r="A62" s="280" t="s">
        <v>147</v>
      </c>
      <c r="B62" s="348" t="s">
        <v>148</v>
      </c>
      <c r="C62" s="348" t="s">
        <v>252</v>
      </c>
      <c r="D62" s="108">
        <v>4</v>
      </c>
      <c r="E62" s="108">
        <v>6</v>
      </c>
      <c r="F62" s="108">
        <v>6</v>
      </c>
      <c r="G62" s="108">
        <v>4</v>
      </c>
      <c r="H62" s="108">
        <v>5</v>
      </c>
      <c r="I62" s="108">
        <v>4</v>
      </c>
      <c r="J62" s="108">
        <v>5</v>
      </c>
      <c r="K62" s="108">
        <v>1</v>
      </c>
      <c r="L62" s="108">
        <v>4</v>
      </c>
      <c r="M62" s="108">
        <v>3</v>
      </c>
      <c r="N62" s="108">
        <v>2</v>
      </c>
      <c r="O62" s="108">
        <v>9</v>
      </c>
      <c r="P62" s="108">
        <v>53</v>
      </c>
    </row>
    <row r="63" spans="1:16" x14ac:dyDescent="0.3">
      <c r="A63" s="280" t="s">
        <v>149</v>
      </c>
      <c r="B63" s="348" t="s">
        <v>150</v>
      </c>
      <c r="C63" s="348" t="s">
        <v>253</v>
      </c>
      <c r="D63" s="108">
        <v>12</v>
      </c>
      <c r="E63" s="108">
        <v>8</v>
      </c>
      <c r="F63" s="108">
        <v>10</v>
      </c>
      <c r="G63" s="108">
        <v>8</v>
      </c>
      <c r="H63" s="108">
        <v>3</v>
      </c>
      <c r="I63" s="108">
        <v>3</v>
      </c>
      <c r="J63" s="108">
        <v>2</v>
      </c>
      <c r="K63" s="108">
        <v>1</v>
      </c>
      <c r="L63" s="108">
        <v>3</v>
      </c>
      <c r="M63" s="108">
        <v>1</v>
      </c>
      <c r="N63" s="108">
        <v>1</v>
      </c>
      <c r="O63" s="108">
        <v>1</v>
      </c>
      <c r="P63" s="108">
        <v>53</v>
      </c>
    </row>
    <row r="64" spans="1:16" x14ac:dyDescent="0.3">
      <c r="A64" s="280" t="s">
        <v>151</v>
      </c>
      <c r="B64" s="348" t="s">
        <v>152</v>
      </c>
      <c r="C64" s="348" t="s">
        <v>255</v>
      </c>
      <c r="D64" s="108">
        <v>31</v>
      </c>
      <c r="E64" s="108">
        <v>38</v>
      </c>
      <c r="F64" s="108">
        <v>38</v>
      </c>
      <c r="G64" s="108">
        <v>23</v>
      </c>
      <c r="H64" s="108">
        <v>20</v>
      </c>
      <c r="I64" s="108">
        <v>27</v>
      </c>
      <c r="J64" s="108">
        <v>33</v>
      </c>
      <c r="K64" s="108">
        <v>15</v>
      </c>
      <c r="L64" s="108">
        <v>10</v>
      </c>
      <c r="M64" s="108">
        <v>14</v>
      </c>
      <c r="N64" s="108">
        <v>14</v>
      </c>
      <c r="O64" s="108">
        <v>6</v>
      </c>
      <c r="P64" s="108">
        <v>269</v>
      </c>
    </row>
    <row r="65" spans="1:16" x14ac:dyDescent="0.3">
      <c r="A65" s="280" t="s">
        <v>153</v>
      </c>
      <c r="B65" s="348" t="s">
        <v>154</v>
      </c>
      <c r="C65" s="348" t="s">
        <v>252</v>
      </c>
      <c r="D65" s="108">
        <v>1</v>
      </c>
      <c r="E65" s="108">
        <v>1</v>
      </c>
      <c r="F65" s="108">
        <v>1</v>
      </c>
      <c r="G65" s="108"/>
      <c r="H65" s="108">
        <v>2</v>
      </c>
      <c r="I65" s="108">
        <v>1</v>
      </c>
      <c r="J65" s="108">
        <v>1</v>
      </c>
      <c r="K65" s="108">
        <v>4</v>
      </c>
      <c r="L65" s="108">
        <v>1</v>
      </c>
      <c r="M65" s="108"/>
      <c r="N65" s="108">
        <v>2</v>
      </c>
      <c r="O65" s="108">
        <v>1</v>
      </c>
      <c r="P65" s="108">
        <v>15</v>
      </c>
    </row>
    <row r="66" spans="1:16" x14ac:dyDescent="0.3">
      <c r="A66" s="280" t="s">
        <v>155</v>
      </c>
      <c r="B66" s="348" t="s">
        <v>156</v>
      </c>
      <c r="C66" s="348" t="s">
        <v>253</v>
      </c>
      <c r="D66" s="108">
        <v>5</v>
      </c>
      <c r="E66" s="108">
        <v>7</v>
      </c>
      <c r="F66" s="108">
        <v>4</v>
      </c>
      <c r="G66" s="108">
        <v>4</v>
      </c>
      <c r="H66" s="108">
        <v>2</v>
      </c>
      <c r="I66" s="108">
        <v>2</v>
      </c>
      <c r="J66" s="108">
        <v>3</v>
      </c>
      <c r="K66" s="108">
        <v>3</v>
      </c>
      <c r="L66" s="108">
        <v>2</v>
      </c>
      <c r="M66" s="108">
        <v>3</v>
      </c>
      <c r="N66" s="108">
        <v>1</v>
      </c>
      <c r="O66" s="108">
        <v>4</v>
      </c>
      <c r="P66" s="108">
        <v>40</v>
      </c>
    </row>
    <row r="67" spans="1:16" x14ac:dyDescent="0.3">
      <c r="A67" s="280" t="s">
        <v>161</v>
      </c>
      <c r="B67" s="348" t="s">
        <v>162</v>
      </c>
      <c r="C67" s="348" t="s">
        <v>251</v>
      </c>
      <c r="D67" s="108">
        <v>3</v>
      </c>
      <c r="E67" s="108"/>
      <c r="F67" s="108">
        <v>2</v>
      </c>
      <c r="G67" s="108">
        <v>3</v>
      </c>
      <c r="H67" s="108">
        <v>2</v>
      </c>
      <c r="I67" s="108">
        <v>1</v>
      </c>
      <c r="J67" s="108">
        <v>3</v>
      </c>
      <c r="K67" s="108">
        <v>1</v>
      </c>
      <c r="L67" s="108">
        <v>2</v>
      </c>
      <c r="M67" s="108">
        <v>4</v>
      </c>
      <c r="N67" s="108"/>
      <c r="O67" s="108">
        <v>2</v>
      </c>
      <c r="P67" s="108">
        <v>23</v>
      </c>
    </row>
    <row r="68" spans="1:16" x14ac:dyDescent="0.3">
      <c r="A68" s="280" t="s">
        <v>163</v>
      </c>
      <c r="B68" s="348" t="s">
        <v>164</v>
      </c>
      <c r="C68" s="348" t="s">
        <v>253</v>
      </c>
      <c r="D68" s="108"/>
      <c r="E68" s="108">
        <v>2</v>
      </c>
      <c r="F68" s="108"/>
      <c r="G68" s="108">
        <v>1</v>
      </c>
      <c r="H68" s="108">
        <v>2</v>
      </c>
      <c r="I68" s="108">
        <v>1</v>
      </c>
      <c r="J68" s="108"/>
      <c r="K68" s="108">
        <v>1</v>
      </c>
      <c r="L68" s="108"/>
      <c r="M68" s="108">
        <v>2</v>
      </c>
      <c r="N68" s="108"/>
      <c r="O68" s="108">
        <v>3</v>
      </c>
      <c r="P68" s="108">
        <v>12</v>
      </c>
    </row>
    <row r="69" spans="1:16" x14ac:dyDescent="0.3">
      <c r="A69" s="280" t="s">
        <v>167</v>
      </c>
      <c r="B69" s="348" t="s">
        <v>168</v>
      </c>
      <c r="C69" s="348" t="s">
        <v>253</v>
      </c>
      <c r="D69" s="108">
        <v>5</v>
      </c>
      <c r="E69" s="108">
        <v>2</v>
      </c>
      <c r="F69" s="108">
        <v>3</v>
      </c>
      <c r="G69" s="108">
        <v>2</v>
      </c>
      <c r="H69" s="108">
        <v>4</v>
      </c>
      <c r="I69" s="108">
        <v>4</v>
      </c>
      <c r="J69" s="108">
        <v>3</v>
      </c>
      <c r="K69" s="108">
        <v>2</v>
      </c>
      <c r="L69" s="108">
        <v>5</v>
      </c>
      <c r="M69" s="108">
        <v>2</v>
      </c>
      <c r="N69" s="108"/>
      <c r="O69" s="108">
        <v>1</v>
      </c>
      <c r="P69" s="108">
        <v>33</v>
      </c>
    </row>
    <row r="70" spans="1:16" x14ac:dyDescent="0.3">
      <c r="A70" s="280" t="s">
        <v>169</v>
      </c>
      <c r="B70" s="348" t="s">
        <v>170</v>
      </c>
      <c r="C70" s="348" t="s">
        <v>254</v>
      </c>
      <c r="D70" s="108">
        <v>11</v>
      </c>
      <c r="E70" s="108">
        <v>13</v>
      </c>
      <c r="F70" s="108">
        <v>14</v>
      </c>
      <c r="G70" s="108">
        <v>13</v>
      </c>
      <c r="H70" s="108">
        <v>3</v>
      </c>
      <c r="I70" s="108">
        <v>7</v>
      </c>
      <c r="J70" s="108">
        <v>10</v>
      </c>
      <c r="K70" s="108">
        <v>8</v>
      </c>
      <c r="L70" s="108">
        <v>5</v>
      </c>
      <c r="M70" s="108">
        <v>5</v>
      </c>
      <c r="N70" s="108">
        <v>4</v>
      </c>
      <c r="O70" s="108">
        <v>4</v>
      </c>
      <c r="P70" s="108">
        <v>97</v>
      </c>
    </row>
    <row r="71" spans="1:16" x14ac:dyDescent="0.3">
      <c r="A71" s="280" t="s">
        <v>171</v>
      </c>
      <c r="B71" s="348" t="s">
        <v>172</v>
      </c>
      <c r="C71" s="348" t="s">
        <v>254</v>
      </c>
      <c r="D71" s="108">
        <v>9</v>
      </c>
      <c r="E71" s="108">
        <v>4</v>
      </c>
      <c r="F71" s="108">
        <v>3</v>
      </c>
      <c r="G71" s="108">
        <v>1</v>
      </c>
      <c r="H71" s="108">
        <v>5</v>
      </c>
      <c r="I71" s="108">
        <v>3</v>
      </c>
      <c r="J71" s="108">
        <v>4</v>
      </c>
      <c r="K71" s="108"/>
      <c r="L71" s="108">
        <v>2</v>
      </c>
      <c r="M71" s="108">
        <v>4</v>
      </c>
      <c r="N71" s="108"/>
      <c r="O71" s="108">
        <v>1</v>
      </c>
      <c r="P71" s="108">
        <v>36</v>
      </c>
    </row>
    <row r="72" spans="1:16" x14ac:dyDescent="0.3">
      <c r="A72" s="280" t="s">
        <v>173</v>
      </c>
      <c r="B72" s="348" t="s">
        <v>174</v>
      </c>
      <c r="C72" s="348" t="s">
        <v>255</v>
      </c>
      <c r="D72" s="108">
        <v>4</v>
      </c>
      <c r="E72" s="108">
        <v>3</v>
      </c>
      <c r="F72" s="108">
        <v>1</v>
      </c>
      <c r="G72" s="108">
        <v>1</v>
      </c>
      <c r="H72" s="108">
        <v>1</v>
      </c>
      <c r="I72" s="108">
        <v>1</v>
      </c>
      <c r="J72" s="108">
        <v>1</v>
      </c>
      <c r="K72" s="108">
        <v>1</v>
      </c>
      <c r="L72" s="108">
        <v>1</v>
      </c>
      <c r="M72" s="108"/>
      <c r="N72" s="108">
        <v>2</v>
      </c>
      <c r="O72" s="108"/>
      <c r="P72" s="108">
        <v>16</v>
      </c>
    </row>
    <row r="73" spans="1:16" x14ac:dyDescent="0.3">
      <c r="A73" s="280" t="s">
        <v>177</v>
      </c>
      <c r="B73" s="348" t="s">
        <v>178</v>
      </c>
      <c r="C73" s="348" t="s">
        <v>252</v>
      </c>
      <c r="D73" s="108">
        <v>15</v>
      </c>
      <c r="E73" s="108">
        <v>10</v>
      </c>
      <c r="F73" s="108">
        <v>10</v>
      </c>
      <c r="G73" s="108">
        <v>19</v>
      </c>
      <c r="H73" s="108">
        <v>7</v>
      </c>
      <c r="I73" s="108">
        <v>16</v>
      </c>
      <c r="J73" s="108">
        <v>17</v>
      </c>
      <c r="K73" s="108">
        <v>24</v>
      </c>
      <c r="L73" s="108">
        <v>14</v>
      </c>
      <c r="M73" s="108">
        <v>8</v>
      </c>
      <c r="N73" s="108">
        <v>1</v>
      </c>
      <c r="O73" s="108">
        <v>6</v>
      </c>
      <c r="P73" s="108">
        <v>147</v>
      </c>
    </row>
    <row r="74" spans="1:16" x14ac:dyDescent="0.3">
      <c r="A74" s="280" t="s">
        <v>181</v>
      </c>
      <c r="B74" s="348" t="s">
        <v>182</v>
      </c>
      <c r="C74" s="348" t="s">
        <v>253</v>
      </c>
      <c r="D74" s="108"/>
      <c r="E74" s="108">
        <v>4</v>
      </c>
      <c r="F74" s="108">
        <v>12</v>
      </c>
      <c r="G74" s="108">
        <v>9</v>
      </c>
      <c r="H74" s="108">
        <v>14</v>
      </c>
      <c r="I74" s="108">
        <v>4</v>
      </c>
      <c r="J74" s="108">
        <v>7</v>
      </c>
      <c r="K74" s="108"/>
      <c r="L74" s="108">
        <v>2</v>
      </c>
      <c r="M74" s="108">
        <v>2</v>
      </c>
      <c r="N74" s="108">
        <v>4</v>
      </c>
      <c r="O74" s="108">
        <v>3</v>
      </c>
      <c r="P74" s="108">
        <v>61</v>
      </c>
    </row>
    <row r="75" spans="1:16" x14ac:dyDescent="0.3">
      <c r="A75" s="280" t="s">
        <v>183</v>
      </c>
      <c r="B75" s="348" t="s">
        <v>184</v>
      </c>
      <c r="C75" s="348" t="s">
        <v>253</v>
      </c>
      <c r="D75" s="108">
        <v>13</v>
      </c>
      <c r="E75" s="108">
        <v>13</v>
      </c>
      <c r="F75" s="108">
        <v>4</v>
      </c>
      <c r="G75" s="108">
        <v>8</v>
      </c>
      <c r="H75" s="108">
        <v>6</v>
      </c>
      <c r="I75" s="108">
        <v>8</v>
      </c>
      <c r="J75" s="108">
        <v>5</v>
      </c>
      <c r="K75" s="108">
        <v>3</v>
      </c>
      <c r="L75" s="108">
        <v>5</v>
      </c>
      <c r="M75" s="108">
        <v>5</v>
      </c>
      <c r="N75" s="108">
        <v>2</v>
      </c>
      <c r="O75" s="108">
        <v>1</v>
      </c>
      <c r="P75" s="108">
        <v>73</v>
      </c>
    </row>
    <row r="76" spans="1:16" x14ac:dyDescent="0.3">
      <c r="A76" s="280" t="s">
        <v>185</v>
      </c>
      <c r="B76" s="348" t="s">
        <v>186</v>
      </c>
      <c r="C76" s="348" t="s">
        <v>251</v>
      </c>
      <c r="D76" s="108">
        <v>19</v>
      </c>
      <c r="E76" s="108">
        <v>21</v>
      </c>
      <c r="F76" s="108">
        <v>15</v>
      </c>
      <c r="G76" s="108">
        <v>24</v>
      </c>
      <c r="H76" s="108">
        <v>10</v>
      </c>
      <c r="I76" s="108">
        <v>7</v>
      </c>
      <c r="J76" s="108">
        <v>17</v>
      </c>
      <c r="K76" s="108">
        <v>9</v>
      </c>
      <c r="L76" s="108">
        <v>6</v>
      </c>
      <c r="M76" s="108">
        <v>4</v>
      </c>
      <c r="N76" s="108">
        <v>4</v>
      </c>
      <c r="O76" s="108">
        <v>7</v>
      </c>
      <c r="P76" s="108">
        <v>143</v>
      </c>
    </row>
    <row r="77" spans="1:16" x14ac:dyDescent="0.3">
      <c r="A77" s="280" t="s">
        <v>187</v>
      </c>
      <c r="B77" s="348" t="s">
        <v>188</v>
      </c>
      <c r="C77" s="348" t="s">
        <v>254</v>
      </c>
      <c r="D77" s="108">
        <v>243</v>
      </c>
      <c r="E77" s="108">
        <v>199</v>
      </c>
      <c r="F77" s="108">
        <v>197</v>
      </c>
      <c r="G77" s="108">
        <v>175</v>
      </c>
      <c r="H77" s="108">
        <v>169</v>
      </c>
      <c r="I77" s="108">
        <v>144</v>
      </c>
      <c r="J77" s="108">
        <v>230</v>
      </c>
      <c r="K77" s="108">
        <v>152</v>
      </c>
      <c r="L77" s="108">
        <v>134</v>
      </c>
      <c r="M77" s="108">
        <v>114</v>
      </c>
      <c r="N77" s="108">
        <v>56</v>
      </c>
      <c r="O77" s="108">
        <v>92</v>
      </c>
      <c r="P77" s="108">
        <v>1905</v>
      </c>
    </row>
    <row r="78" spans="1:16" x14ac:dyDescent="0.3">
      <c r="A78" s="280" t="s">
        <v>189</v>
      </c>
      <c r="B78" s="348" t="s">
        <v>190</v>
      </c>
      <c r="C78" s="348" t="s">
        <v>255</v>
      </c>
      <c r="D78" s="108">
        <v>11</v>
      </c>
      <c r="E78" s="108">
        <v>9</v>
      </c>
      <c r="F78" s="108">
        <v>12</v>
      </c>
      <c r="G78" s="108">
        <v>4</v>
      </c>
      <c r="H78" s="108">
        <v>13</v>
      </c>
      <c r="I78" s="108">
        <v>4</v>
      </c>
      <c r="J78" s="108">
        <v>6</v>
      </c>
      <c r="K78" s="108">
        <v>8</v>
      </c>
      <c r="L78" s="108">
        <v>8</v>
      </c>
      <c r="M78" s="108">
        <v>2</v>
      </c>
      <c r="N78" s="108">
        <v>5</v>
      </c>
      <c r="O78" s="108">
        <v>2</v>
      </c>
      <c r="P78" s="108">
        <v>84</v>
      </c>
    </row>
    <row r="79" spans="1:16" x14ac:dyDescent="0.3">
      <c r="A79" s="280" t="s">
        <v>193</v>
      </c>
      <c r="B79" s="348" t="s">
        <v>194</v>
      </c>
      <c r="C79" s="348" t="s">
        <v>254</v>
      </c>
      <c r="D79" s="108">
        <v>7</v>
      </c>
      <c r="E79" s="108">
        <v>2</v>
      </c>
      <c r="F79" s="108"/>
      <c r="G79" s="108">
        <v>3</v>
      </c>
      <c r="H79" s="108"/>
      <c r="I79" s="108">
        <v>2</v>
      </c>
      <c r="J79" s="108">
        <v>4</v>
      </c>
      <c r="K79" s="108"/>
      <c r="L79" s="108">
        <v>4</v>
      </c>
      <c r="M79" s="108"/>
      <c r="N79" s="108">
        <v>2</v>
      </c>
      <c r="O79" s="108"/>
      <c r="P79" s="108">
        <v>24</v>
      </c>
    </row>
    <row r="80" spans="1:16" x14ac:dyDescent="0.3">
      <c r="A80" s="280" t="s">
        <v>197</v>
      </c>
      <c r="B80" s="348" t="s">
        <v>259</v>
      </c>
      <c r="C80" s="348" t="s">
        <v>253</v>
      </c>
      <c r="D80" s="108">
        <v>8</v>
      </c>
      <c r="E80" s="108">
        <v>3</v>
      </c>
      <c r="F80" s="108">
        <v>1</v>
      </c>
      <c r="G80" s="108">
        <v>4</v>
      </c>
      <c r="H80" s="108">
        <v>1</v>
      </c>
      <c r="I80" s="108">
        <v>1</v>
      </c>
      <c r="J80" s="108">
        <v>5</v>
      </c>
      <c r="K80" s="108">
        <v>2</v>
      </c>
      <c r="L80" s="108"/>
      <c r="M80" s="108">
        <v>2</v>
      </c>
      <c r="N80" s="108">
        <v>18</v>
      </c>
      <c r="O80" s="108">
        <v>2</v>
      </c>
      <c r="P80" s="108">
        <v>47</v>
      </c>
    </row>
    <row r="81" spans="1:16" x14ac:dyDescent="0.3">
      <c r="A81" s="280" t="s">
        <v>201</v>
      </c>
      <c r="B81" s="348" t="s">
        <v>276</v>
      </c>
      <c r="C81" s="348" t="s">
        <v>252</v>
      </c>
      <c r="D81" s="108">
        <v>40</v>
      </c>
      <c r="E81" s="108">
        <v>32</v>
      </c>
      <c r="F81" s="108">
        <v>34</v>
      </c>
      <c r="G81" s="108">
        <v>33</v>
      </c>
      <c r="H81" s="108">
        <v>23</v>
      </c>
      <c r="I81" s="108">
        <v>39</v>
      </c>
      <c r="J81" s="108">
        <v>42</v>
      </c>
      <c r="K81" s="108">
        <v>29</v>
      </c>
      <c r="L81" s="108">
        <v>24</v>
      </c>
      <c r="M81" s="108">
        <v>14</v>
      </c>
      <c r="N81" s="108">
        <v>17</v>
      </c>
      <c r="O81" s="108">
        <v>20</v>
      </c>
      <c r="P81" s="108">
        <v>347</v>
      </c>
    </row>
    <row r="82" spans="1:16" x14ac:dyDescent="0.3">
      <c r="A82" s="280" t="s">
        <v>203</v>
      </c>
      <c r="B82" s="348" t="s">
        <v>269</v>
      </c>
      <c r="C82" s="348" t="s">
        <v>252</v>
      </c>
      <c r="D82" s="108">
        <v>4</v>
      </c>
      <c r="E82" s="108">
        <v>5</v>
      </c>
      <c r="F82" s="108">
        <v>9</v>
      </c>
      <c r="G82" s="108">
        <v>11</v>
      </c>
      <c r="H82" s="108">
        <v>3</v>
      </c>
      <c r="I82" s="108">
        <v>6</v>
      </c>
      <c r="J82" s="108">
        <v>5</v>
      </c>
      <c r="K82" s="108">
        <v>10</v>
      </c>
      <c r="L82" s="108">
        <v>2</v>
      </c>
      <c r="M82" s="108">
        <v>2</v>
      </c>
      <c r="N82" s="108">
        <v>2</v>
      </c>
      <c r="O82" s="108">
        <v>2</v>
      </c>
      <c r="P82" s="108">
        <v>61</v>
      </c>
    </row>
    <row r="83" spans="1:16" x14ac:dyDescent="0.3">
      <c r="A83" s="280" t="s">
        <v>205</v>
      </c>
      <c r="B83" s="348" t="s">
        <v>270</v>
      </c>
      <c r="C83" s="348" t="s">
        <v>254</v>
      </c>
      <c r="D83" s="108">
        <v>36</v>
      </c>
      <c r="E83" s="108">
        <v>41</v>
      </c>
      <c r="F83" s="108">
        <v>20</v>
      </c>
      <c r="G83" s="108">
        <v>19</v>
      </c>
      <c r="H83" s="108">
        <v>20</v>
      </c>
      <c r="I83" s="108">
        <v>11</v>
      </c>
      <c r="J83" s="108">
        <v>21</v>
      </c>
      <c r="K83" s="108">
        <v>22</v>
      </c>
      <c r="L83" s="108">
        <v>14</v>
      </c>
      <c r="M83" s="108">
        <v>20</v>
      </c>
      <c r="N83" s="108">
        <v>11</v>
      </c>
      <c r="O83" s="108">
        <v>6</v>
      </c>
      <c r="P83" s="108">
        <v>241</v>
      </c>
    </row>
    <row r="84" spans="1:16" x14ac:dyDescent="0.3">
      <c r="A84" s="280" t="s">
        <v>207</v>
      </c>
      <c r="B84" s="348" t="s">
        <v>208</v>
      </c>
      <c r="C84" s="348" t="s">
        <v>255</v>
      </c>
      <c r="D84" s="108">
        <v>12</v>
      </c>
      <c r="E84" s="108">
        <v>1</v>
      </c>
      <c r="F84" s="108">
        <v>7</v>
      </c>
      <c r="G84" s="108">
        <v>4</v>
      </c>
      <c r="H84" s="108">
        <v>6</v>
      </c>
      <c r="I84" s="108">
        <v>3</v>
      </c>
      <c r="J84" s="108">
        <v>2</v>
      </c>
      <c r="K84" s="108">
        <v>3</v>
      </c>
      <c r="L84" s="108">
        <v>3</v>
      </c>
      <c r="M84" s="108">
        <v>1</v>
      </c>
      <c r="N84" s="108">
        <v>1</v>
      </c>
      <c r="O84" s="108">
        <v>1</v>
      </c>
      <c r="P84" s="108">
        <v>44</v>
      </c>
    </row>
    <row r="85" spans="1:16" x14ac:dyDescent="0.3">
      <c r="A85" s="280" t="s">
        <v>209</v>
      </c>
      <c r="B85" s="348" t="s">
        <v>210</v>
      </c>
      <c r="C85" s="348" t="s">
        <v>255</v>
      </c>
      <c r="D85" s="108"/>
      <c r="E85" s="108"/>
      <c r="F85" s="108">
        <v>1</v>
      </c>
      <c r="G85" s="108"/>
      <c r="H85" s="108">
        <v>1</v>
      </c>
      <c r="I85" s="108">
        <v>1</v>
      </c>
      <c r="J85" s="108"/>
      <c r="K85" s="108"/>
      <c r="L85" s="108">
        <v>1</v>
      </c>
      <c r="M85" s="108"/>
      <c r="N85" s="108"/>
      <c r="O85" s="108">
        <v>2</v>
      </c>
      <c r="P85" s="108">
        <v>6</v>
      </c>
    </row>
    <row r="86" spans="1:16" x14ac:dyDescent="0.3">
      <c r="A86" s="280" t="s">
        <v>211</v>
      </c>
      <c r="B86" s="348" t="s">
        <v>212</v>
      </c>
      <c r="C86" s="348" t="s">
        <v>254</v>
      </c>
      <c r="D86" s="108">
        <v>21</v>
      </c>
      <c r="E86" s="108">
        <v>30</v>
      </c>
      <c r="F86" s="108">
        <v>14</v>
      </c>
      <c r="G86" s="108">
        <v>24</v>
      </c>
      <c r="H86" s="108">
        <v>14</v>
      </c>
      <c r="I86" s="108">
        <v>14</v>
      </c>
      <c r="J86" s="108">
        <v>13</v>
      </c>
      <c r="K86" s="108">
        <v>12</v>
      </c>
      <c r="L86" s="108">
        <v>10</v>
      </c>
      <c r="M86" s="108">
        <v>9</v>
      </c>
      <c r="N86" s="108">
        <v>9</v>
      </c>
      <c r="O86" s="108">
        <v>7</v>
      </c>
      <c r="P86" s="108">
        <v>177</v>
      </c>
    </row>
    <row r="87" spans="1:16" x14ac:dyDescent="0.3">
      <c r="A87" s="280" t="s">
        <v>213</v>
      </c>
      <c r="B87" s="348" t="s">
        <v>214</v>
      </c>
      <c r="C87" s="348" t="s">
        <v>255</v>
      </c>
      <c r="D87" s="108">
        <v>6</v>
      </c>
      <c r="E87" s="108">
        <v>6</v>
      </c>
      <c r="F87" s="108">
        <v>5</v>
      </c>
      <c r="G87" s="108">
        <v>4</v>
      </c>
      <c r="H87" s="108">
        <v>5</v>
      </c>
      <c r="I87" s="108">
        <v>5</v>
      </c>
      <c r="J87" s="108">
        <v>9</v>
      </c>
      <c r="K87" s="108">
        <v>4</v>
      </c>
      <c r="L87" s="108">
        <v>7</v>
      </c>
      <c r="M87" s="108">
        <v>3</v>
      </c>
      <c r="N87" s="108">
        <v>3</v>
      </c>
      <c r="O87" s="108">
        <v>3</v>
      </c>
      <c r="P87" s="108">
        <v>60</v>
      </c>
    </row>
    <row r="88" spans="1:16" x14ac:dyDescent="0.3">
      <c r="A88" s="280" t="s">
        <v>215</v>
      </c>
      <c r="B88" s="348" t="s">
        <v>216</v>
      </c>
      <c r="C88" s="348" t="s">
        <v>251</v>
      </c>
      <c r="D88" s="108">
        <v>6</v>
      </c>
      <c r="E88" s="108">
        <v>4</v>
      </c>
      <c r="F88" s="108">
        <v>1</v>
      </c>
      <c r="G88" s="108">
        <v>4</v>
      </c>
      <c r="H88" s="108"/>
      <c r="I88" s="108">
        <v>5</v>
      </c>
      <c r="J88" s="108">
        <v>10</v>
      </c>
      <c r="K88" s="108">
        <v>2</v>
      </c>
      <c r="L88" s="108">
        <v>2</v>
      </c>
      <c r="M88" s="108">
        <v>2</v>
      </c>
      <c r="N88" s="108">
        <v>1</v>
      </c>
      <c r="O88" s="108">
        <v>5</v>
      </c>
      <c r="P88" s="108">
        <v>42</v>
      </c>
    </row>
    <row r="89" spans="1:16" x14ac:dyDescent="0.3">
      <c r="A89" s="280" t="s">
        <v>217</v>
      </c>
      <c r="B89" s="348" t="s">
        <v>218</v>
      </c>
      <c r="C89" s="348" t="s">
        <v>254</v>
      </c>
      <c r="D89" s="108">
        <v>50</v>
      </c>
      <c r="E89" s="108">
        <v>61</v>
      </c>
      <c r="F89" s="108">
        <v>71</v>
      </c>
      <c r="G89" s="108">
        <v>53</v>
      </c>
      <c r="H89" s="108">
        <v>32</v>
      </c>
      <c r="I89" s="108">
        <v>47</v>
      </c>
      <c r="J89" s="108">
        <v>57</v>
      </c>
      <c r="K89" s="108">
        <v>29</v>
      </c>
      <c r="L89" s="108">
        <v>33</v>
      </c>
      <c r="M89" s="108">
        <v>36</v>
      </c>
      <c r="N89" s="108">
        <v>20</v>
      </c>
      <c r="O89" s="108">
        <v>30</v>
      </c>
      <c r="P89" s="108">
        <v>519</v>
      </c>
    </row>
    <row r="90" spans="1:16" x14ac:dyDescent="0.3">
      <c r="A90" s="280" t="s">
        <v>219</v>
      </c>
      <c r="B90" s="348" t="s">
        <v>220</v>
      </c>
      <c r="C90" s="348" t="s">
        <v>254</v>
      </c>
      <c r="D90" s="108">
        <v>52</v>
      </c>
      <c r="E90" s="108">
        <v>63</v>
      </c>
      <c r="F90" s="108">
        <v>69</v>
      </c>
      <c r="G90" s="108">
        <v>66</v>
      </c>
      <c r="H90" s="108">
        <v>72</v>
      </c>
      <c r="I90" s="108">
        <v>42</v>
      </c>
      <c r="J90" s="108">
        <v>53</v>
      </c>
      <c r="K90" s="108">
        <v>47</v>
      </c>
      <c r="L90" s="108">
        <v>27</v>
      </c>
      <c r="M90" s="108">
        <v>35</v>
      </c>
      <c r="N90" s="108">
        <v>10</v>
      </c>
      <c r="O90" s="108">
        <v>38</v>
      </c>
      <c r="P90" s="108">
        <v>574</v>
      </c>
    </row>
    <row r="91" spans="1:16" x14ac:dyDescent="0.3">
      <c r="A91" s="280" t="s">
        <v>223</v>
      </c>
      <c r="B91" s="348" t="s">
        <v>224</v>
      </c>
      <c r="C91" s="348" t="s">
        <v>251</v>
      </c>
      <c r="D91" s="108">
        <v>1</v>
      </c>
      <c r="E91" s="108">
        <v>1</v>
      </c>
      <c r="F91" s="108"/>
      <c r="G91" s="108">
        <v>3</v>
      </c>
      <c r="H91" s="108">
        <v>2</v>
      </c>
      <c r="I91" s="108"/>
      <c r="J91" s="108"/>
      <c r="K91" s="108"/>
      <c r="L91" s="108">
        <v>2</v>
      </c>
      <c r="M91" s="108"/>
      <c r="N91" s="108"/>
      <c r="O91" s="108"/>
      <c r="P91" s="108">
        <v>9</v>
      </c>
    </row>
    <row r="92" spans="1:16" x14ac:dyDescent="0.3">
      <c r="A92" s="280" t="s">
        <v>225</v>
      </c>
      <c r="B92" s="348" t="s">
        <v>226</v>
      </c>
      <c r="C92" s="348" t="s">
        <v>251</v>
      </c>
      <c r="D92" s="108"/>
      <c r="E92" s="108">
        <v>1</v>
      </c>
      <c r="F92" s="108">
        <v>10</v>
      </c>
      <c r="G92" s="108"/>
      <c r="H92" s="108">
        <v>7</v>
      </c>
      <c r="I92" s="108"/>
      <c r="J92" s="108">
        <v>1</v>
      </c>
      <c r="K92" s="108">
        <v>2</v>
      </c>
      <c r="L92" s="108">
        <v>5</v>
      </c>
      <c r="M92" s="108">
        <v>1</v>
      </c>
      <c r="N92" s="108">
        <v>3</v>
      </c>
      <c r="O92" s="108">
        <v>1</v>
      </c>
      <c r="P92" s="108">
        <v>31</v>
      </c>
    </row>
    <row r="93" spans="1:16" x14ac:dyDescent="0.3">
      <c r="A93" s="280" t="s">
        <v>227</v>
      </c>
      <c r="B93" s="348" t="s">
        <v>228</v>
      </c>
      <c r="C93" s="348" t="s">
        <v>255</v>
      </c>
      <c r="D93" s="108">
        <v>7</v>
      </c>
      <c r="E93" s="108">
        <v>22</v>
      </c>
      <c r="F93" s="108">
        <v>5</v>
      </c>
      <c r="G93" s="108">
        <v>11</v>
      </c>
      <c r="H93" s="108">
        <v>8</v>
      </c>
      <c r="I93" s="108">
        <v>6</v>
      </c>
      <c r="J93" s="108">
        <v>8</v>
      </c>
      <c r="K93" s="108">
        <v>7</v>
      </c>
      <c r="L93" s="108">
        <v>7</v>
      </c>
      <c r="M93" s="108">
        <v>8</v>
      </c>
      <c r="N93" s="108">
        <v>6</v>
      </c>
      <c r="O93" s="108">
        <v>8</v>
      </c>
      <c r="P93" s="108">
        <v>103</v>
      </c>
    </row>
    <row r="94" spans="1:16" x14ac:dyDescent="0.3">
      <c r="A94" s="280" t="s">
        <v>231</v>
      </c>
      <c r="B94" s="348" t="s">
        <v>232</v>
      </c>
      <c r="C94" s="348" t="s">
        <v>254</v>
      </c>
      <c r="D94" s="108">
        <v>24</v>
      </c>
      <c r="E94" s="108">
        <v>8</v>
      </c>
      <c r="F94" s="108">
        <v>18</v>
      </c>
      <c r="G94" s="108">
        <v>16</v>
      </c>
      <c r="H94" s="108">
        <v>19</v>
      </c>
      <c r="I94" s="108">
        <v>16</v>
      </c>
      <c r="J94" s="108">
        <v>14</v>
      </c>
      <c r="K94" s="108">
        <v>13</v>
      </c>
      <c r="L94" s="108">
        <v>19</v>
      </c>
      <c r="M94" s="108">
        <v>6</v>
      </c>
      <c r="N94" s="108">
        <v>7</v>
      </c>
      <c r="O94" s="108">
        <v>9</v>
      </c>
      <c r="P94" s="108">
        <v>169</v>
      </c>
    </row>
    <row r="95" spans="1:16" x14ac:dyDescent="0.3">
      <c r="A95" s="280" t="s">
        <v>233</v>
      </c>
      <c r="B95" s="348" t="s">
        <v>234</v>
      </c>
      <c r="C95" s="348" t="s">
        <v>255</v>
      </c>
      <c r="D95" s="108">
        <v>12</v>
      </c>
      <c r="E95" s="108">
        <v>16</v>
      </c>
      <c r="F95" s="108">
        <v>8</v>
      </c>
      <c r="G95" s="108">
        <v>9</v>
      </c>
      <c r="H95" s="108">
        <v>8</v>
      </c>
      <c r="I95" s="108">
        <v>7</v>
      </c>
      <c r="J95" s="108">
        <v>5</v>
      </c>
      <c r="K95" s="108">
        <v>11</v>
      </c>
      <c r="L95" s="108">
        <v>13</v>
      </c>
      <c r="M95" s="108">
        <v>4</v>
      </c>
      <c r="N95" s="108">
        <v>10</v>
      </c>
      <c r="O95" s="108">
        <v>6</v>
      </c>
      <c r="P95" s="108">
        <v>109</v>
      </c>
    </row>
    <row r="96" spans="1:16" x14ac:dyDescent="0.3">
      <c r="A96" s="280" t="s">
        <v>235</v>
      </c>
      <c r="B96" s="348" t="s">
        <v>236</v>
      </c>
      <c r="C96" s="348" t="s">
        <v>253</v>
      </c>
      <c r="D96" s="108">
        <v>4</v>
      </c>
      <c r="E96" s="108">
        <v>8</v>
      </c>
      <c r="F96" s="108">
        <v>8</v>
      </c>
      <c r="G96" s="108">
        <v>9</v>
      </c>
      <c r="H96" s="108">
        <v>5</v>
      </c>
      <c r="I96" s="108">
        <v>9</v>
      </c>
      <c r="J96" s="108">
        <v>5</v>
      </c>
      <c r="K96" s="108">
        <v>2</v>
      </c>
      <c r="L96" s="108">
        <v>5</v>
      </c>
      <c r="M96" s="108">
        <v>6</v>
      </c>
      <c r="N96" s="108">
        <v>3</v>
      </c>
      <c r="O96" s="108">
        <v>4</v>
      </c>
      <c r="P96" s="108">
        <v>68</v>
      </c>
    </row>
    <row r="97" spans="1:16" x14ac:dyDescent="0.3">
      <c r="A97" s="280" t="s">
        <v>241</v>
      </c>
      <c r="B97" s="348" t="s">
        <v>242</v>
      </c>
      <c r="C97" s="348" t="s">
        <v>255</v>
      </c>
      <c r="D97" s="108">
        <v>5</v>
      </c>
      <c r="E97" s="108">
        <v>8</v>
      </c>
      <c r="F97" s="108">
        <v>4</v>
      </c>
      <c r="G97" s="108">
        <v>4</v>
      </c>
      <c r="H97" s="108">
        <v>6</v>
      </c>
      <c r="I97" s="108">
        <v>2</v>
      </c>
      <c r="J97" s="108"/>
      <c r="K97" s="108">
        <v>3</v>
      </c>
      <c r="L97" s="108">
        <v>2</v>
      </c>
      <c r="M97" s="108">
        <v>1</v>
      </c>
      <c r="N97" s="108">
        <v>6</v>
      </c>
      <c r="O97" s="108">
        <v>1</v>
      </c>
      <c r="P97" s="108">
        <v>42</v>
      </c>
    </row>
    <row r="98" spans="1:16" x14ac:dyDescent="0.3">
      <c r="A98" s="280" t="s">
        <v>243</v>
      </c>
      <c r="B98" s="348" t="s">
        <v>244</v>
      </c>
      <c r="C98" s="348" t="s">
        <v>255</v>
      </c>
      <c r="D98" s="108">
        <v>11</v>
      </c>
      <c r="E98" s="108">
        <v>14</v>
      </c>
      <c r="F98" s="108">
        <v>7</v>
      </c>
      <c r="G98" s="108">
        <v>12</v>
      </c>
      <c r="H98" s="108">
        <v>2</v>
      </c>
      <c r="I98" s="108">
        <v>3</v>
      </c>
      <c r="J98" s="108">
        <v>1</v>
      </c>
      <c r="K98" s="108">
        <v>2</v>
      </c>
      <c r="L98" s="108">
        <v>3</v>
      </c>
      <c r="M98" s="108">
        <v>3</v>
      </c>
      <c r="N98" s="108">
        <v>3</v>
      </c>
      <c r="O98" s="108">
        <v>1</v>
      </c>
      <c r="P98" s="108">
        <v>62</v>
      </c>
    </row>
    <row r="99" spans="1:16" x14ac:dyDescent="0.3">
      <c r="A99" s="280" t="s">
        <v>245</v>
      </c>
      <c r="B99" s="348" t="s">
        <v>246</v>
      </c>
      <c r="C99" s="348" t="s">
        <v>251</v>
      </c>
      <c r="D99" s="108">
        <v>18</v>
      </c>
      <c r="E99" s="108">
        <v>13</v>
      </c>
      <c r="F99" s="108">
        <v>14</v>
      </c>
      <c r="G99" s="108">
        <v>14</v>
      </c>
      <c r="H99" s="108">
        <v>11</v>
      </c>
      <c r="I99" s="108">
        <v>13</v>
      </c>
      <c r="J99" s="108">
        <v>7</v>
      </c>
      <c r="K99" s="108">
        <v>14</v>
      </c>
      <c r="L99" s="108">
        <v>7</v>
      </c>
      <c r="M99" s="108">
        <v>14</v>
      </c>
      <c r="N99" s="108">
        <v>5</v>
      </c>
      <c r="O99" s="108">
        <v>13</v>
      </c>
      <c r="P99" s="108">
        <v>143</v>
      </c>
    </row>
    <row r="100" spans="1:16" x14ac:dyDescent="0.3">
      <c r="A100" s="280" t="s">
        <v>13</v>
      </c>
      <c r="B100" s="348" t="s">
        <v>14</v>
      </c>
      <c r="C100" s="348" t="s">
        <v>254</v>
      </c>
      <c r="D100" s="108">
        <v>65</v>
      </c>
      <c r="E100" s="108">
        <v>61</v>
      </c>
      <c r="F100" s="108">
        <v>46</v>
      </c>
      <c r="G100" s="108">
        <v>50</v>
      </c>
      <c r="H100" s="108">
        <v>45</v>
      </c>
      <c r="I100" s="108">
        <v>32</v>
      </c>
      <c r="J100" s="108">
        <v>54</v>
      </c>
      <c r="K100" s="108">
        <v>87</v>
      </c>
      <c r="L100" s="108">
        <v>63</v>
      </c>
      <c r="M100" s="108">
        <v>100</v>
      </c>
      <c r="N100" s="108">
        <v>22</v>
      </c>
      <c r="O100" s="108">
        <v>30</v>
      </c>
      <c r="P100" s="108">
        <v>655</v>
      </c>
    </row>
    <row r="101" spans="1:16" x14ac:dyDescent="0.3">
      <c r="A101" s="280" t="s">
        <v>33</v>
      </c>
      <c r="B101" s="348" t="s">
        <v>34</v>
      </c>
      <c r="C101" s="348" t="s">
        <v>255</v>
      </c>
      <c r="D101" s="108">
        <v>17</v>
      </c>
      <c r="E101" s="108">
        <v>15</v>
      </c>
      <c r="F101" s="108">
        <v>14</v>
      </c>
      <c r="G101" s="108">
        <v>13</v>
      </c>
      <c r="H101" s="108">
        <v>4</v>
      </c>
      <c r="I101" s="108">
        <v>12</v>
      </c>
      <c r="J101" s="108">
        <v>17</v>
      </c>
      <c r="K101" s="108">
        <v>12</v>
      </c>
      <c r="L101" s="108">
        <v>14</v>
      </c>
      <c r="M101" s="108">
        <v>3</v>
      </c>
      <c r="N101" s="108">
        <v>3</v>
      </c>
      <c r="O101" s="108">
        <v>5</v>
      </c>
      <c r="P101" s="108">
        <v>129</v>
      </c>
    </row>
    <row r="102" spans="1:16" x14ac:dyDescent="0.3">
      <c r="A102" s="280" t="s">
        <v>51</v>
      </c>
      <c r="B102" s="348" t="s">
        <v>52</v>
      </c>
      <c r="C102" s="348" t="s">
        <v>252</v>
      </c>
      <c r="D102" s="108">
        <v>20</v>
      </c>
      <c r="E102" s="108">
        <v>23</v>
      </c>
      <c r="F102" s="108">
        <v>23</v>
      </c>
      <c r="G102" s="108">
        <v>11</v>
      </c>
      <c r="H102" s="108">
        <v>7</v>
      </c>
      <c r="I102" s="108">
        <v>12</v>
      </c>
      <c r="J102" s="108">
        <v>11</v>
      </c>
      <c r="K102" s="108">
        <v>6</v>
      </c>
      <c r="L102" s="108">
        <v>8</v>
      </c>
      <c r="M102" s="108">
        <v>6</v>
      </c>
      <c r="N102" s="108">
        <v>2</v>
      </c>
      <c r="O102" s="108">
        <v>3</v>
      </c>
      <c r="P102" s="108">
        <v>132</v>
      </c>
    </row>
    <row r="103" spans="1:16" x14ac:dyDescent="0.3">
      <c r="A103" s="280" t="s">
        <v>53</v>
      </c>
      <c r="B103" s="348" t="s">
        <v>54</v>
      </c>
      <c r="C103" s="348" t="s">
        <v>251</v>
      </c>
      <c r="D103" s="108">
        <v>121</v>
      </c>
      <c r="E103" s="108">
        <v>133</v>
      </c>
      <c r="F103" s="108">
        <v>146</v>
      </c>
      <c r="G103" s="108">
        <v>110</v>
      </c>
      <c r="H103" s="108">
        <v>86</v>
      </c>
      <c r="I103" s="108">
        <v>76</v>
      </c>
      <c r="J103" s="108">
        <v>90</v>
      </c>
      <c r="K103" s="108">
        <v>102</v>
      </c>
      <c r="L103" s="108">
        <v>112</v>
      </c>
      <c r="M103" s="108">
        <v>54</v>
      </c>
      <c r="N103" s="108">
        <v>46</v>
      </c>
      <c r="O103" s="108">
        <v>55</v>
      </c>
      <c r="P103" s="108">
        <v>1131</v>
      </c>
    </row>
    <row r="104" spans="1:16" x14ac:dyDescent="0.3">
      <c r="A104" s="280" t="s">
        <v>65</v>
      </c>
      <c r="B104" s="348" t="s">
        <v>66</v>
      </c>
      <c r="C104" s="348" t="s">
        <v>252</v>
      </c>
      <c r="D104" s="108">
        <v>21</v>
      </c>
      <c r="E104" s="108">
        <v>25</v>
      </c>
      <c r="F104" s="108">
        <v>18</v>
      </c>
      <c r="G104" s="108">
        <v>17</v>
      </c>
      <c r="H104" s="108">
        <v>18</v>
      </c>
      <c r="I104" s="108">
        <v>15</v>
      </c>
      <c r="J104" s="108">
        <v>32</v>
      </c>
      <c r="K104" s="108">
        <v>16</v>
      </c>
      <c r="L104" s="108">
        <v>17</v>
      </c>
      <c r="M104" s="108">
        <v>6</v>
      </c>
      <c r="N104" s="108">
        <v>3</v>
      </c>
      <c r="O104" s="108">
        <v>9</v>
      </c>
      <c r="P104" s="108">
        <v>197</v>
      </c>
    </row>
    <row r="105" spans="1:16" x14ac:dyDescent="0.3">
      <c r="A105" s="280" t="s">
        <v>81</v>
      </c>
      <c r="B105" s="348" t="s">
        <v>82</v>
      </c>
      <c r="C105" s="348" t="s">
        <v>251</v>
      </c>
      <c r="D105" s="108">
        <v>3</v>
      </c>
      <c r="E105" s="108">
        <v>2</v>
      </c>
      <c r="F105" s="108">
        <v>4</v>
      </c>
      <c r="G105" s="108">
        <v>4</v>
      </c>
      <c r="H105" s="108">
        <v>8</v>
      </c>
      <c r="I105" s="108"/>
      <c r="J105" s="108">
        <v>5</v>
      </c>
      <c r="K105" s="108">
        <v>21</v>
      </c>
      <c r="L105" s="108">
        <v>14</v>
      </c>
      <c r="M105" s="108">
        <v>6</v>
      </c>
      <c r="N105" s="108">
        <v>3</v>
      </c>
      <c r="O105" s="108">
        <v>20</v>
      </c>
      <c r="P105" s="108">
        <v>90</v>
      </c>
    </row>
    <row r="106" spans="1:16" x14ac:dyDescent="0.3">
      <c r="A106" s="280" t="s">
        <v>87</v>
      </c>
      <c r="B106" s="348" t="s">
        <v>88</v>
      </c>
      <c r="C106" s="348" t="s">
        <v>254</v>
      </c>
      <c r="D106" s="108">
        <v>22</v>
      </c>
      <c r="E106" s="108">
        <v>15</v>
      </c>
      <c r="F106" s="108">
        <v>13</v>
      </c>
      <c r="G106" s="108">
        <v>21</v>
      </c>
      <c r="H106" s="108">
        <v>27</v>
      </c>
      <c r="I106" s="108">
        <v>26</v>
      </c>
      <c r="J106" s="108">
        <v>23</v>
      </c>
      <c r="K106" s="108">
        <v>28</v>
      </c>
      <c r="L106" s="108">
        <v>7</v>
      </c>
      <c r="M106" s="108">
        <v>11</v>
      </c>
      <c r="N106" s="108">
        <v>15</v>
      </c>
      <c r="O106" s="108">
        <v>6</v>
      </c>
      <c r="P106" s="108">
        <v>214</v>
      </c>
    </row>
    <row r="107" spans="1:16" x14ac:dyDescent="0.3">
      <c r="A107" s="280" t="s">
        <v>89</v>
      </c>
      <c r="B107" s="348" t="s">
        <v>90</v>
      </c>
      <c r="C107" s="348" t="s">
        <v>255</v>
      </c>
      <c r="D107" s="108">
        <v>2</v>
      </c>
      <c r="E107" s="108">
        <v>1</v>
      </c>
      <c r="F107" s="108"/>
      <c r="G107" s="108">
        <v>1</v>
      </c>
      <c r="H107" s="108"/>
      <c r="I107" s="108"/>
      <c r="J107" s="108">
        <v>3</v>
      </c>
      <c r="K107" s="108"/>
      <c r="L107" s="108"/>
      <c r="M107" s="108">
        <v>3</v>
      </c>
      <c r="N107" s="108"/>
      <c r="O107" s="108">
        <v>1</v>
      </c>
      <c r="P107" s="108">
        <v>11</v>
      </c>
    </row>
    <row r="108" spans="1:16" x14ac:dyDescent="0.3">
      <c r="A108" s="280" t="s">
        <v>105</v>
      </c>
      <c r="B108" s="348" t="s">
        <v>106</v>
      </c>
      <c r="C108" s="348" t="s">
        <v>251</v>
      </c>
      <c r="D108" s="108">
        <v>124</v>
      </c>
      <c r="E108" s="108">
        <v>120</v>
      </c>
      <c r="F108" s="108">
        <v>92</v>
      </c>
      <c r="G108" s="108">
        <v>123</v>
      </c>
      <c r="H108" s="108">
        <v>85</v>
      </c>
      <c r="I108" s="108">
        <v>91</v>
      </c>
      <c r="J108" s="108">
        <v>160</v>
      </c>
      <c r="K108" s="108">
        <v>72</v>
      </c>
      <c r="L108" s="108">
        <v>58</v>
      </c>
      <c r="M108" s="108">
        <v>46</v>
      </c>
      <c r="N108" s="108">
        <v>33</v>
      </c>
      <c r="O108" s="108">
        <v>42</v>
      </c>
      <c r="P108" s="108">
        <v>1046</v>
      </c>
    </row>
    <row r="109" spans="1:16" x14ac:dyDescent="0.3">
      <c r="A109" s="280" t="s">
        <v>115</v>
      </c>
      <c r="B109" s="348" t="s">
        <v>116</v>
      </c>
      <c r="C109" s="348" t="s">
        <v>253</v>
      </c>
      <c r="D109" s="108">
        <v>25</v>
      </c>
      <c r="E109" s="108">
        <v>21</v>
      </c>
      <c r="F109" s="108">
        <v>19</v>
      </c>
      <c r="G109" s="108">
        <v>19</v>
      </c>
      <c r="H109" s="108">
        <v>15</v>
      </c>
      <c r="I109" s="108">
        <v>12</v>
      </c>
      <c r="J109" s="108">
        <v>26</v>
      </c>
      <c r="K109" s="108">
        <v>24</v>
      </c>
      <c r="L109" s="108">
        <v>9</v>
      </c>
      <c r="M109" s="108">
        <v>8</v>
      </c>
      <c r="N109" s="108">
        <v>9</v>
      </c>
      <c r="O109" s="108">
        <v>10</v>
      </c>
      <c r="P109" s="108">
        <v>197</v>
      </c>
    </row>
    <row r="110" spans="1:16" x14ac:dyDescent="0.3">
      <c r="A110" s="280" t="s">
        <v>137</v>
      </c>
      <c r="B110" s="348" t="s">
        <v>138</v>
      </c>
      <c r="C110" s="348" t="s">
        <v>252</v>
      </c>
      <c r="D110" s="108">
        <v>57</v>
      </c>
      <c r="E110" s="108">
        <v>69</v>
      </c>
      <c r="F110" s="108">
        <v>58</v>
      </c>
      <c r="G110" s="108">
        <v>49</v>
      </c>
      <c r="H110" s="108">
        <v>41</v>
      </c>
      <c r="I110" s="108">
        <v>40</v>
      </c>
      <c r="J110" s="108">
        <v>29</v>
      </c>
      <c r="K110" s="108">
        <v>40</v>
      </c>
      <c r="L110" s="108">
        <v>30</v>
      </c>
      <c r="M110" s="108">
        <v>26</v>
      </c>
      <c r="N110" s="108">
        <v>7</v>
      </c>
      <c r="O110" s="108">
        <v>13</v>
      </c>
      <c r="P110" s="108">
        <v>459</v>
      </c>
    </row>
    <row r="111" spans="1:16" x14ac:dyDescent="0.3">
      <c r="A111" s="280" t="s">
        <v>141</v>
      </c>
      <c r="B111" s="348" t="s">
        <v>142</v>
      </c>
      <c r="C111" s="348" t="s">
        <v>254</v>
      </c>
      <c r="D111" s="108">
        <v>14</v>
      </c>
      <c r="E111" s="108">
        <v>12</v>
      </c>
      <c r="F111" s="108">
        <v>17</v>
      </c>
      <c r="G111" s="108">
        <v>17</v>
      </c>
      <c r="H111" s="108">
        <v>12</v>
      </c>
      <c r="I111" s="108">
        <v>11</v>
      </c>
      <c r="J111" s="108">
        <v>22</v>
      </c>
      <c r="K111" s="108">
        <v>20</v>
      </c>
      <c r="L111" s="108">
        <v>8</v>
      </c>
      <c r="M111" s="108">
        <v>9</v>
      </c>
      <c r="N111" s="108">
        <v>3</v>
      </c>
      <c r="O111" s="108">
        <v>11</v>
      </c>
      <c r="P111" s="108">
        <v>156</v>
      </c>
    </row>
    <row r="112" spans="1:16" x14ac:dyDescent="0.3">
      <c r="A112" s="280" t="s">
        <v>143</v>
      </c>
      <c r="B112" s="348" t="s">
        <v>144</v>
      </c>
      <c r="C112" s="348" t="s">
        <v>254</v>
      </c>
      <c r="D112" s="108">
        <v>7</v>
      </c>
      <c r="E112" s="108">
        <v>6</v>
      </c>
      <c r="F112" s="108">
        <v>3</v>
      </c>
      <c r="G112" s="108">
        <v>2</v>
      </c>
      <c r="H112" s="108">
        <v>1</v>
      </c>
      <c r="I112" s="108">
        <v>5</v>
      </c>
      <c r="J112" s="108">
        <v>5</v>
      </c>
      <c r="K112" s="108">
        <v>3</v>
      </c>
      <c r="L112" s="108">
        <v>5</v>
      </c>
      <c r="M112" s="108">
        <v>5</v>
      </c>
      <c r="N112" s="108">
        <v>3</v>
      </c>
      <c r="O112" s="108">
        <v>1</v>
      </c>
      <c r="P112" s="108">
        <v>46</v>
      </c>
    </row>
    <row r="113" spans="1:16" x14ac:dyDescent="0.3">
      <c r="A113" s="280" t="s">
        <v>157</v>
      </c>
      <c r="B113" s="348" t="s">
        <v>158</v>
      </c>
      <c r="C113" s="348" t="s">
        <v>251</v>
      </c>
      <c r="D113" s="108">
        <v>210</v>
      </c>
      <c r="E113" s="108">
        <v>221</v>
      </c>
      <c r="F113" s="108">
        <v>216</v>
      </c>
      <c r="G113" s="108">
        <v>214</v>
      </c>
      <c r="H113" s="108">
        <v>164</v>
      </c>
      <c r="I113" s="108">
        <v>134</v>
      </c>
      <c r="J113" s="108">
        <v>237</v>
      </c>
      <c r="K113" s="108">
        <v>138</v>
      </c>
      <c r="L113" s="108">
        <v>113</v>
      </c>
      <c r="M113" s="108">
        <v>74</v>
      </c>
      <c r="N113" s="108">
        <v>67</v>
      </c>
      <c r="O113" s="108">
        <v>50</v>
      </c>
      <c r="P113" s="108">
        <v>1838</v>
      </c>
    </row>
    <row r="114" spans="1:16" x14ac:dyDescent="0.3">
      <c r="A114" s="280" t="s">
        <v>159</v>
      </c>
      <c r="B114" s="348" t="s">
        <v>160</v>
      </c>
      <c r="C114" s="348" t="s">
        <v>251</v>
      </c>
      <c r="D114" s="108">
        <v>233</v>
      </c>
      <c r="E114" s="108">
        <v>228</v>
      </c>
      <c r="F114" s="108">
        <v>216</v>
      </c>
      <c r="G114" s="108">
        <v>209</v>
      </c>
      <c r="H114" s="108">
        <v>179</v>
      </c>
      <c r="I114" s="108">
        <v>166</v>
      </c>
      <c r="J114" s="108">
        <v>197</v>
      </c>
      <c r="K114" s="108">
        <v>150</v>
      </c>
      <c r="L114" s="108">
        <v>141</v>
      </c>
      <c r="M114" s="108">
        <v>127</v>
      </c>
      <c r="N114" s="108">
        <v>69</v>
      </c>
      <c r="O114" s="108">
        <v>116</v>
      </c>
      <c r="P114" s="108">
        <v>2031</v>
      </c>
    </row>
    <row r="115" spans="1:16" x14ac:dyDescent="0.3">
      <c r="A115" s="280" t="s">
        <v>165</v>
      </c>
      <c r="B115" s="348" t="s">
        <v>166</v>
      </c>
      <c r="C115" s="348" t="s">
        <v>255</v>
      </c>
      <c r="D115" s="108"/>
      <c r="E115" s="108">
        <v>2</v>
      </c>
      <c r="F115" s="108"/>
      <c r="G115" s="108">
        <v>1</v>
      </c>
      <c r="H115" s="108">
        <v>1</v>
      </c>
      <c r="I115" s="108"/>
      <c r="J115" s="108"/>
      <c r="K115" s="108"/>
      <c r="L115" s="108">
        <v>1</v>
      </c>
      <c r="M115" s="108"/>
      <c r="N115" s="108"/>
      <c r="O115" s="108"/>
      <c r="P115" s="108">
        <v>5</v>
      </c>
    </row>
    <row r="116" spans="1:16" x14ac:dyDescent="0.3">
      <c r="A116" s="280" t="s">
        <v>175</v>
      </c>
      <c r="B116" s="348" t="s">
        <v>176</v>
      </c>
      <c r="C116" s="348" t="s">
        <v>253</v>
      </c>
      <c r="D116" s="108">
        <v>42</v>
      </c>
      <c r="E116" s="108">
        <v>41</v>
      </c>
      <c r="F116" s="108">
        <v>136</v>
      </c>
      <c r="G116" s="108">
        <v>61</v>
      </c>
      <c r="H116" s="108">
        <v>46</v>
      </c>
      <c r="I116" s="108">
        <v>34</v>
      </c>
      <c r="J116" s="108">
        <v>37</v>
      </c>
      <c r="K116" s="108">
        <v>53</v>
      </c>
      <c r="L116" s="108">
        <v>31</v>
      </c>
      <c r="M116" s="108">
        <v>18</v>
      </c>
      <c r="N116" s="108">
        <v>10</v>
      </c>
      <c r="O116" s="108">
        <v>19</v>
      </c>
      <c r="P116" s="108">
        <v>528</v>
      </c>
    </row>
    <row r="117" spans="1:16" x14ac:dyDescent="0.3">
      <c r="A117" s="280" t="s">
        <v>179</v>
      </c>
      <c r="B117" s="348" t="s">
        <v>180</v>
      </c>
      <c r="C117" s="348" t="s">
        <v>251</v>
      </c>
      <c r="D117" s="108">
        <v>58</v>
      </c>
      <c r="E117" s="108">
        <v>74</v>
      </c>
      <c r="F117" s="108">
        <v>73</v>
      </c>
      <c r="G117" s="108">
        <v>70</v>
      </c>
      <c r="H117" s="108">
        <v>52</v>
      </c>
      <c r="I117" s="108">
        <v>44</v>
      </c>
      <c r="J117" s="108">
        <v>96</v>
      </c>
      <c r="K117" s="108">
        <v>58</v>
      </c>
      <c r="L117" s="108">
        <v>154</v>
      </c>
      <c r="M117" s="108">
        <v>50</v>
      </c>
      <c r="N117" s="108">
        <v>22</v>
      </c>
      <c r="O117" s="108">
        <v>42</v>
      </c>
      <c r="P117" s="108">
        <v>793</v>
      </c>
    </row>
    <row r="118" spans="1:16" x14ac:dyDescent="0.3">
      <c r="A118" s="280" t="s">
        <v>191</v>
      </c>
      <c r="B118" s="348" t="s">
        <v>192</v>
      </c>
      <c r="C118" s="348" t="s">
        <v>255</v>
      </c>
      <c r="D118" s="108">
        <v>6</v>
      </c>
      <c r="E118" s="108">
        <v>8</v>
      </c>
      <c r="F118" s="108">
        <v>6</v>
      </c>
      <c r="G118" s="108">
        <v>5</v>
      </c>
      <c r="H118" s="108">
        <v>3</v>
      </c>
      <c r="I118" s="108">
        <v>4</v>
      </c>
      <c r="J118" s="108">
        <v>6</v>
      </c>
      <c r="K118" s="108">
        <v>4</v>
      </c>
      <c r="L118" s="108">
        <v>5</v>
      </c>
      <c r="M118" s="108">
        <v>3</v>
      </c>
      <c r="N118" s="108">
        <v>1</v>
      </c>
      <c r="O118" s="108">
        <v>2</v>
      </c>
      <c r="P118" s="108">
        <v>53</v>
      </c>
    </row>
    <row r="119" spans="1:16" x14ac:dyDescent="0.3">
      <c r="A119" s="280" t="s">
        <v>195</v>
      </c>
      <c r="B119" s="348" t="s">
        <v>196</v>
      </c>
      <c r="C119" s="348" t="s">
        <v>253</v>
      </c>
      <c r="D119" s="108">
        <v>181</v>
      </c>
      <c r="E119" s="108">
        <v>170</v>
      </c>
      <c r="F119" s="108">
        <v>202</v>
      </c>
      <c r="G119" s="108">
        <v>138</v>
      </c>
      <c r="H119" s="108">
        <v>109</v>
      </c>
      <c r="I119" s="108">
        <v>116</v>
      </c>
      <c r="J119" s="108">
        <v>105</v>
      </c>
      <c r="K119" s="108">
        <v>122</v>
      </c>
      <c r="L119" s="108">
        <v>120</v>
      </c>
      <c r="M119" s="108">
        <v>86</v>
      </c>
      <c r="N119" s="108">
        <v>16</v>
      </c>
      <c r="O119" s="108">
        <v>60</v>
      </c>
      <c r="P119" s="108">
        <v>1425</v>
      </c>
    </row>
    <row r="120" spans="1:16" x14ac:dyDescent="0.3">
      <c r="A120" s="280" t="s">
        <v>199</v>
      </c>
      <c r="B120" s="348" t="s">
        <v>200</v>
      </c>
      <c r="C120" s="348" t="s">
        <v>252</v>
      </c>
      <c r="D120" s="108">
        <v>92</v>
      </c>
      <c r="E120" s="108">
        <v>79</v>
      </c>
      <c r="F120" s="108">
        <v>89</v>
      </c>
      <c r="G120" s="108">
        <v>74</v>
      </c>
      <c r="H120" s="108">
        <v>51</v>
      </c>
      <c r="I120" s="108">
        <v>54</v>
      </c>
      <c r="J120" s="108">
        <v>95</v>
      </c>
      <c r="K120" s="108">
        <v>69</v>
      </c>
      <c r="L120" s="108">
        <v>38</v>
      </c>
      <c r="M120" s="108">
        <v>40</v>
      </c>
      <c r="N120" s="108">
        <v>35</v>
      </c>
      <c r="O120" s="108">
        <v>18</v>
      </c>
      <c r="P120" s="108">
        <v>734</v>
      </c>
    </row>
    <row r="121" spans="1:16" x14ac:dyDescent="0.3">
      <c r="A121" s="280" t="s">
        <v>221</v>
      </c>
      <c r="B121" s="348" t="s">
        <v>222</v>
      </c>
      <c r="C121" s="348" t="s">
        <v>251</v>
      </c>
      <c r="D121" s="108">
        <v>51</v>
      </c>
      <c r="E121" s="108">
        <v>44</v>
      </c>
      <c r="F121" s="108">
        <v>39</v>
      </c>
      <c r="G121" s="108">
        <v>37</v>
      </c>
      <c r="H121" s="108">
        <v>31</v>
      </c>
      <c r="I121" s="108">
        <v>46</v>
      </c>
      <c r="J121" s="108">
        <v>50</v>
      </c>
      <c r="K121" s="108">
        <v>27</v>
      </c>
      <c r="L121" s="108">
        <v>22</v>
      </c>
      <c r="M121" s="108">
        <v>19</v>
      </c>
      <c r="N121" s="108">
        <v>9</v>
      </c>
      <c r="O121" s="108">
        <v>15</v>
      </c>
      <c r="P121" s="108">
        <v>390</v>
      </c>
    </row>
    <row r="122" spans="1:16" x14ac:dyDescent="0.3">
      <c r="A122" s="280" t="s">
        <v>229</v>
      </c>
      <c r="B122" s="348" t="s">
        <v>230</v>
      </c>
      <c r="C122" s="348" t="s">
        <v>251</v>
      </c>
      <c r="D122" s="108">
        <v>232</v>
      </c>
      <c r="E122" s="108">
        <v>213</v>
      </c>
      <c r="F122" s="108">
        <v>204</v>
      </c>
      <c r="G122" s="108">
        <v>235</v>
      </c>
      <c r="H122" s="108">
        <v>163</v>
      </c>
      <c r="I122" s="108">
        <v>158</v>
      </c>
      <c r="J122" s="108">
        <v>136</v>
      </c>
      <c r="K122" s="108">
        <v>212</v>
      </c>
      <c r="L122" s="108">
        <v>177</v>
      </c>
      <c r="M122" s="108">
        <v>112</v>
      </c>
      <c r="N122" s="108">
        <v>73</v>
      </c>
      <c r="O122" s="108">
        <v>102</v>
      </c>
      <c r="P122" s="108">
        <v>2017</v>
      </c>
    </row>
    <row r="123" spans="1:16" x14ac:dyDescent="0.3">
      <c r="A123" s="280" t="s">
        <v>237</v>
      </c>
      <c r="B123" s="348" t="s">
        <v>238</v>
      </c>
      <c r="C123" s="348" t="s">
        <v>251</v>
      </c>
      <c r="D123" s="108">
        <v>2</v>
      </c>
      <c r="E123" s="108">
        <v>2</v>
      </c>
      <c r="F123" s="108">
        <v>2</v>
      </c>
      <c r="G123" s="108">
        <v>5</v>
      </c>
      <c r="H123" s="108">
        <v>2</v>
      </c>
      <c r="I123" s="108">
        <v>3</v>
      </c>
      <c r="J123" s="108">
        <v>7</v>
      </c>
      <c r="K123" s="108">
        <v>2</v>
      </c>
      <c r="L123" s="108">
        <v>4</v>
      </c>
      <c r="M123" s="108">
        <v>2</v>
      </c>
      <c r="N123" s="108">
        <v>10</v>
      </c>
      <c r="O123" s="108">
        <v>4</v>
      </c>
      <c r="P123" s="108">
        <v>45</v>
      </c>
    </row>
    <row r="124" spans="1:16" x14ac:dyDescent="0.3">
      <c r="A124" s="281" t="s">
        <v>239</v>
      </c>
      <c r="B124" s="282" t="s">
        <v>240</v>
      </c>
      <c r="C124" s="282" t="s">
        <v>254</v>
      </c>
      <c r="D124" s="108">
        <v>12</v>
      </c>
      <c r="E124" s="108">
        <v>24</v>
      </c>
      <c r="F124" s="108">
        <v>29</v>
      </c>
      <c r="G124" s="108">
        <v>10</v>
      </c>
      <c r="H124" s="108">
        <v>9</v>
      </c>
      <c r="I124" s="108">
        <v>7</v>
      </c>
      <c r="J124" s="108">
        <v>9</v>
      </c>
      <c r="K124" s="108">
        <v>14</v>
      </c>
      <c r="L124" s="108">
        <v>19</v>
      </c>
      <c r="M124" s="108">
        <v>8</v>
      </c>
      <c r="N124" s="108">
        <v>6</v>
      </c>
      <c r="O124" s="108">
        <v>5</v>
      </c>
      <c r="P124" s="108">
        <v>152</v>
      </c>
    </row>
    <row r="126" spans="1:16" ht="65.25" customHeight="1" x14ac:dyDescent="0.3">
      <c r="A126" s="2540" t="s">
        <v>878</v>
      </c>
      <c r="B126" s="2540"/>
      <c r="C126" s="2540"/>
    </row>
    <row r="128" spans="1:16"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C126"/>
  </mergeCells>
  <hyperlinks>
    <hyperlink ref="B129"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129"/>
  <sheetViews>
    <sheetView workbookViewId="0">
      <pane xSplit="3" ySplit="4" topLeftCell="D5" activePane="bottomRight" state="frozen"/>
      <selection pane="topRight" activeCell="D1" sqref="D1"/>
      <selection pane="bottomLeft" activeCell="A5" sqref="A5"/>
      <selection pane="bottomRight" activeCell="K126" sqref="K126"/>
    </sheetView>
  </sheetViews>
  <sheetFormatPr defaultColWidth="9" defaultRowHeight="15.6" x14ac:dyDescent="0.3"/>
  <cols>
    <col min="1" max="1" width="9" style="275"/>
    <col min="2" max="2" width="33.296875" style="275" customWidth="1"/>
    <col min="3" max="3" width="16.69921875" style="275" customWidth="1"/>
    <col min="4" max="12" width="11" style="275" customWidth="1"/>
    <col min="13" max="13" width="4.59765625" style="275" customWidth="1"/>
    <col min="14" max="16384" width="9" style="275"/>
  </cols>
  <sheetData>
    <row r="1" spans="1:16" ht="12.75" customHeight="1" x14ac:dyDescent="0.3">
      <c r="A1" s="95" t="s">
        <v>854</v>
      </c>
    </row>
    <row r="3" spans="1:16" x14ac:dyDescent="0.3">
      <c r="A3" s="278" t="s">
        <v>4</v>
      </c>
      <c r="B3" s="322" t="s">
        <v>5</v>
      </c>
      <c r="C3" s="322" t="s">
        <v>250</v>
      </c>
      <c r="D3" s="352">
        <v>2012</v>
      </c>
      <c r="E3" s="352">
        <v>2013</v>
      </c>
      <c r="F3" s="352">
        <v>2014</v>
      </c>
      <c r="G3" s="864">
        <v>2015</v>
      </c>
      <c r="H3" s="864">
        <v>2016</v>
      </c>
      <c r="I3" s="1414">
        <v>2017</v>
      </c>
      <c r="J3" s="1414">
        <v>2018</v>
      </c>
      <c r="K3" s="1940">
        <v>2019</v>
      </c>
      <c r="L3" s="2085">
        <v>2020</v>
      </c>
      <c r="M3" s="277"/>
      <c r="N3" s="277"/>
      <c r="O3" s="277"/>
      <c r="P3" s="277"/>
    </row>
    <row r="4" spans="1:16" x14ac:dyDescent="0.3">
      <c r="A4" s="1946">
        <v>999</v>
      </c>
      <c r="B4" s="1577" t="s">
        <v>805</v>
      </c>
      <c r="C4" s="1577"/>
      <c r="D4" s="1578">
        <v>1196415</v>
      </c>
      <c r="E4" s="1578">
        <v>1241146</v>
      </c>
      <c r="F4" s="1578">
        <v>1216614</v>
      </c>
      <c r="G4" s="1578">
        <v>1170959</v>
      </c>
      <c r="H4" s="1578">
        <v>1103419</v>
      </c>
      <c r="I4" s="1578">
        <v>1051744</v>
      </c>
      <c r="J4" s="1578">
        <v>994708</v>
      </c>
      <c r="K4" s="1578">
        <v>941846</v>
      </c>
      <c r="L4" s="2086">
        <v>943849</v>
      </c>
      <c r="M4" s="277"/>
      <c r="N4" s="277"/>
      <c r="O4" s="277"/>
      <c r="P4" s="277"/>
    </row>
    <row r="5" spans="1:16" x14ac:dyDescent="0.3">
      <c r="A5" s="1548" t="s">
        <v>9</v>
      </c>
      <c r="B5" s="1549" t="s">
        <v>10</v>
      </c>
      <c r="C5" s="1549" t="s">
        <v>251</v>
      </c>
      <c r="D5" s="1415">
        <v>9085</v>
      </c>
      <c r="E5" s="1415">
        <v>9423</v>
      </c>
      <c r="F5" s="1415">
        <v>9215</v>
      </c>
      <c r="G5" s="1415">
        <v>8673</v>
      </c>
      <c r="H5" s="1415">
        <v>7971</v>
      </c>
      <c r="I5" s="1415">
        <v>7315</v>
      </c>
      <c r="J5" s="1415">
        <v>6811</v>
      </c>
      <c r="K5" s="1907">
        <v>6523</v>
      </c>
      <c r="L5" s="863">
        <v>6368</v>
      </c>
    </row>
    <row r="6" spans="1:16" x14ac:dyDescent="0.3">
      <c r="A6" s="280" t="s">
        <v>11</v>
      </c>
      <c r="B6" s="348" t="s">
        <v>12</v>
      </c>
      <c r="C6" s="348" t="s">
        <v>252</v>
      </c>
      <c r="D6" s="559">
        <v>9675</v>
      </c>
      <c r="E6" s="559">
        <v>9946</v>
      </c>
      <c r="F6" s="559">
        <v>9655</v>
      </c>
      <c r="G6" s="995">
        <v>9271</v>
      </c>
      <c r="H6" s="995">
        <v>8073</v>
      </c>
      <c r="I6" s="1415">
        <v>7902</v>
      </c>
      <c r="J6" s="1415">
        <v>6834</v>
      </c>
      <c r="K6" s="1907">
        <v>6513</v>
      </c>
      <c r="L6" s="863">
        <v>6754</v>
      </c>
    </row>
    <row r="7" spans="1:16" x14ac:dyDescent="0.3">
      <c r="A7" s="280" t="s">
        <v>15</v>
      </c>
      <c r="B7" s="348" t="s">
        <v>273</v>
      </c>
      <c r="C7" s="348" t="s">
        <v>252</v>
      </c>
      <c r="D7" s="559">
        <v>5236</v>
      </c>
      <c r="E7" s="559">
        <v>5440</v>
      </c>
      <c r="F7" s="559">
        <v>5131</v>
      </c>
      <c r="G7" s="995">
        <v>4893</v>
      </c>
      <c r="H7" s="995">
        <v>4788</v>
      </c>
      <c r="I7" s="1415">
        <v>4899</v>
      </c>
      <c r="J7" s="1415">
        <v>4373</v>
      </c>
      <c r="K7" s="1907">
        <v>4165</v>
      </c>
      <c r="L7" s="863">
        <v>4079</v>
      </c>
    </row>
    <row r="8" spans="1:16" x14ac:dyDescent="0.3">
      <c r="A8" s="280" t="s">
        <v>17</v>
      </c>
      <c r="B8" s="348" t="s">
        <v>18</v>
      </c>
      <c r="C8" s="348" t="s">
        <v>253</v>
      </c>
      <c r="D8" s="559">
        <v>3023</v>
      </c>
      <c r="E8" s="559">
        <v>2930</v>
      </c>
      <c r="F8" s="559">
        <v>2727</v>
      </c>
      <c r="G8" s="995">
        <v>2510</v>
      </c>
      <c r="H8" s="995">
        <v>2337</v>
      </c>
      <c r="I8" s="1415">
        <v>2274</v>
      </c>
      <c r="J8" s="1415">
        <v>2066</v>
      </c>
      <c r="K8" s="1907">
        <v>1997</v>
      </c>
      <c r="L8" s="863">
        <v>1851</v>
      </c>
    </row>
    <row r="9" spans="1:16" x14ac:dyDescent="0.3">
      <c r="A9" s="280" t="s">
        <v>19</v>
      </c>
      <c r="B9" s="348" t="s">
        <v>20</v>
      </c>
      <c r="C9" s="348" t="s">
        <v>252</v>
      </c>
      <c r="D9" s="559">
        <v>5939</v>
      </c>
      <c r="E9" s="559">
        <v>6100</v>
      </c>
      <c r="F9" s="559">
        <v>5668</v>
      </c>
      <c r="G9" s="995">
        <v>5218</v>
      </c>
      <c r="H9" s="995">
        <v>5099</v>
      </c>
      <c r="I9" s="1415">
        <v>5190</v>
      </c>
      <c r="J9" s="1415">
        <v>4771</v>
      </c>
      <c r="K9" s="1907">
        <v>4497</v>
      </c>
      <c r="L9" s="863">
        <v>4519</v>
      </c>
    </row>
    <row r="10" spans="1:16" x14ac:dyDescent="0.3">
      <c r="A10" s="280" t="s">
        <v>21</v>
      </c>
      <c r="B10" s="348" t="s">
        <v>22</v>
      </c>
      <c r="C10" s="348" t="s">
        <v>252</v>
      </c>
      <c r="D10" s="559">
        <v>3642</v>
      </c>
      <c r="E10" s="559">
        <v>3744</v>
      </c>
      <c r="F10" s="559">
        <v>3631</v>
      </c>
      <c r="G10" s="995">
        <v>3477</v>
      </c>
      <c r="H10" s="995">
        <v>3352</v>
      </c>
      <c r="I10" s="1415">
        <v>3392</v>
      </c>
      <c r="J10" s="1415">
        <v>3105</v>
      </c>
      <c r="K10" s="1907">
        <v>2908</v>
      </c>
      <c r="L10" s="863">
        <v>2812</v>
      </c>
    </row>
    <row r="11" spans="1:16" x14ac:dyDescent="0.3">
      <c r="A11" s="280" t="s">
        <v>23</v>
      </c>
      <c r="B11" s="348" t="s">
        <v>24</v>
      </c>
      <c r="C11" s="348" t="s">
        <v>254</v>
      </c>
      <c r="D11" s="559">
        <v>10376</v>
      </c>
      <c r="E11" s="559">
        <v>11128</v>
      </c>
      <c r="F11" s="559">
        <v>11291</v>
      </c>
      <c r="G11" s="995">
        <v>11270</v>
      </c>
      <c r="H11" s="995">
        <v>10559</v>
      </c>
      <c r="I11" s="1415">
        <v>10213</v>
      </c>
      <c r="J11" s="1415">
        <v>9118</v>
      </c>
      <c r="K11" s="1907">
        <v>8301</v>
      </c>
      <c r="L11" s="863">
        <v>8247</v>
      </c>
    </row>
    <row r="12" spans="1:16" x14ac:dyDescent="0.3">
      <c r="A12" s="280" t="s">
        <v>25</v>
      </c>
      <c r="B12" s="348" t="s">
        <v>444</v>
      </c>
      <c r="C12" s="348" t="s">
        <v>252</v>
      </c>
      <c r="D12" s="559">
        <v>22762</v>
      </c>
      <c r="E12" s="559">
        <v>24805</v>
      </c>
      <c r="F12" s="559">
        <v>22085</v>
      </c>
      <c r="G12" s="995">
        <v>20226</v>
      </c>
      <c r="H12" s="995">
        <v>18704</v>
      </c>
      <c r="I12" s="1415">
        <v>18888</v>
      </c>
      <c r="J12" s="1415">
        <v>16297</v>
      </c>
      <c r="K12" s="1907">
        <v>15198</v>
      </c>
      <c r="L12" s="863">
        <v>14760</v>
      </c>
    </row>
    <row r="13" spans="1:16" x14ac:dyDescent="0.3">
      <c r="A13" s="280" t="s">
        <v>26</v>
      </c>
      <c r="B13" s="348" t="s">
        <v>27</v>
      </c>
      <c r="C13" s="348" t="s">
        <v>252</v>
      </c>
      <c r="D13" s="559">
        <v>674</v>
      </c>
      <c r="E13" s="559">
        <v>730</v>
      </c>
      <c r="F13" s="559">
        <v>645</v>
      </c>
      <c r="G13" s="995">
        <v>594</v>
      </c>
      <c r="H13" s="995">
        <v>542</v>
      </c>
      <c r="I13" s="1415">
        <v>507</v>
      </c>
      <c r="J13" s="1415">
        <v>445</v>
      </c>
      <c r="K13" s="1907">
        <v>440</v>
      </c>
      <c r="L13" s="863">
        <v>435</v>
      </c>
    </row>
    <row r="14" spans="1:16" x14ac:dyDescent="0.3">
      <c r="A14" s="280" t="s">
        <v>28</v>
      </c>
      <c r="B14" s="348" t="s">
        <v>568</v>
      </c>
      <c r="C14" s="348" t="s">
        <v>252</v>
      </c>
      <c r="D14" s="559">
        <v>10487</v>
      </c>
      <c r="E14" s="559">
        <v>10815</v>
      </c>
      <c r="F14" s="559">
        <v>11129</v>
      </c>
      <c r="G14" s="995">
        <v>9409</v>
      </c>
      <c r="H14" s="995">
        <v>8548</v>
      </c>
      <c r="I14" s="1415">
        <v>8581</v>
      </c>
      <c r="J14" s="1415">
        <v>8032</v>
      </c>
      <c r="K14" s="1907">
        <v>7609</v>
      </c>
      <c r="L14" s="863">
        <v>7191</v>
      </c>
    </row>
    <row r="15" spans="1:16" x14ac:dyDescent="0.3">
      <c r="A15" s="280" t="s">
        <v>29</v>
      </c>
      <c r="B15" s="348" t="s">
        <v>30</v>
      </c>
      <c r="C15" s="348" t="s">
        <v>255</v>
      </c>
      <c r="D15" s="559">
        <v>929</v>
      </c>
      <c r="E15" s="559">
        <v>967</v>
      </c>
      <c r="F15" s="559">
        <v>903</v>
      </c>
      <c r="G15" s="995">
        <v>820</v>
      </c>
      <c r="H15" s="995">
        <v>803</v>
      </c>
      <c r="I15" s="1415">
        <v>787</v>
      </c>
      <c r="J15" s="1415">
        <v>697</v>
      </c>
      <c r="K15" s="1907">
        <v>656</v>
      </c>
      <c r="L15" s="863">
        <v>679</v>
      </c>
    </row>
    <row r="16" spans="1:16" x14ac:dyDescent="0.3">
      <c r="A16" s="280" t="s">
        <v>31</v>
      </c>
      <c r="B16" s="348" t="s">
        <v>32</v>
      </c>
      <c r="C16" s="348" t="s">
        <v>252</v>
      </c>
      <c r="D16" s="559">
        <v>2665</v>
      </c>
      <c r="E16" s="559">
        <v>2727</v>
      </c>
      <c r="F16" s="559">
        <v>2705</v>
      </c>
      <c r="G16" s="995">
        <v>2701</v>
      </c>
      <c r="H16" s="995">
        <v>2694</v>
      </c>
      <c r="I16" s="1415">
        <v>2778</v>
      </c>
      <c r="J16" s="1415">
        <v>2364</v>
      </c>
      <c r="K16" s="1907">
        <v>2199</v>
      </c>
      <c r="L16" s="863">
        <v>2097</v>
      </c>
    </row>
    <row r="17" spans="1:12" x14ac:dyDescent="0.3">
      <c r="A17" s="280" t="s">
        <v>35</v>
      </c>
      <c r="B17" s="348" t="s">
        <v>36</v>
      </c>
      <c r="C17" s="348" t="s">
        <v>251</v>
      </c>
      <c r="D17" s="559">
        <v>5124</v>
      </c>
      <c r="E17" s="559">
        <v>5179</v>
      </c>
      <c r="F17" s="559">
        <v>5064</v>
      </c>
      <c r="G17" s="995">
        <v>4823</v>
      </c>
      <c r="H17" s="995">
        <v>4593</v>
      </c>
      <c r="I17" s="1415">
        <v>4570</v>
      </c>
      <c r="J17" s="1415">
        <v>4196</v>
      </c>
      <c r="K17" s="1907">
        <v>3873</v>
      </c>
      <c r="L17" s="863">
        <v>3862</v>
      </c>
    </row>
    <row r="18" spans="1:12" x14ac:dyDescent="0.3">
      <c r="A18" s="280" t="s">
        <v>37</v>
      </c>
      <c r="B18" s="348" t="s">
        <v>38</v>
      </c>
      <c r="C18" s="348" t="s">
        <v>255</v>
      </c>
      <c r="D18" s="559">
        <v>6097</v>
      </c>
      <c r="E18" s="559">
        <v>6473</v>
      </c>
      <c r="F18" s="559">
        <v>6245</v>
      </c>
      <c r="G18" s="995">
        <v>6238</v>
      </c>
      <c r="H18" s="995">
        <v>6200</v>
      </c>
      <c r="I18" s="1415">
        <v>6180</v>
      </c>
      <c r="J18" s="1415">
        <v>5715</v>
      </c>
      <c r="K18" s="1907">
        <v>5478</v>
      </c>
      <c r="L18" s="863">
        <v>5692</v>
      </c>
    </row>
    <row r="19" spans="1:12" x14ac:dyDescent="0.3">
      <c r="A19" s="280" t="s">
        <v>39</v>
      </c>
      <c r="B19" s="348" t="s">
        <v>40</v>
      </c>
      <c r="C19" s="348" t="s">
        <v>253</v>
      </c>
      <c r="D19" s="559">
        <v>4698</v>
      </c>
      <c r="E19" s="559">
        <v>4790</v>
      </c>
      <c r="F19" s="559">
        <v>4408</v>
      </c>
      <c r="G19" s="995">
        <v>4238</v>
      </c>
      <c r="H19" s="995">
        <v>3819</v>
      </c>
      <c r="I19" s="1415">
        <v>3833</v>
      </c>
      <c r="J19" s="1415">
        <v>3428</v>
      </c>
      <c r="K19" s="1907">
        <v>3333</v>
      </c>
      <c r="L19" s="863">
        <v>3357</v>
      </c>
    </row>
    <row r="20" spans="1:12" x14ac:dyDescent="0.3">
      <c r="A20" s="280" t="s">
        <v>41</v>
      </c>
      <c r="B20" s="348" t="s">
        <v>42</v>
      </c>
      <c r="C20" s="348" t="s">
        <v>252</v>
      </c>
      <c r="D20" s="559">
        <v>11103</v>
      </c>
      <c r="E20" s="559">
        <v>11308</v>
      </c>
      <c r="F20" s="559">
        <v>10950</v>
      </c>
      <c r="G20" s="995">
        <v>10676</v>
      </c>
      <c r="H20" s="995">
        <v>10068</v>
      </c>
      <c r="I20" s="1415">
        <v>9867</v>
      </c>
      <c r="J20" s="1415">
        <v>8898</v>
      </c>
      <c r="K20" s="1907">
        <v>8405</v>
      </c>
      <c r="L20" s="863">
        <v>8327</v>
      </c>
    </row>
    <row r="21" spans="1:12" x14ac:dyDescent="0.3">
      <c r="A21" s="280" t="s">
        <v>43</v>
      </c>
      <c r="B21" s="348" t="s">
        <v>44</v>
      </c>
      <c r="C21" s="348" t="s">
        <v>253</v>
      </c>
      <c r="D21" s="559">
        <v>7199</v>
      </c>
      <c r="E21" s="559">
        <v>7381</v>
      </c>
      <c r="F21" s="559">
        <v>6944</v>
      </c>
      <c r="G21" s="995">
        <v>6817</v>
      </c>
      <c r="H21" s="995">
        <v>6288</v>
      </c>
      <c r="I21" s="1415">
        <v>5908</v>
      </c>
      <c r="J21" s="1415">
        <v>5238</v>
      </c>
      <c r="K21" s="1907">
        <v>4858</v>
      </c>
      <c r="L21" s="863">
        <v>4813</v>
      </c>
    </row>
    <row r="22" spans="1:12" x14ac:dyDescent="0.3">
      <c r="A22" s="280" t="s">
        <v>45</v>
      </c>
      <c r="B22" s="348" t="s">
        <v>46</v>
      </c>
      <c r="C22" s="348" t="s">
        <v>255</v>
      </c>
      <c r="D22" s="559">
        <v>7631</v>
      </c>
      <c r="E22" s="559">
        <v>7792</v>
      </c>
      <c r="F22" s="559">
        <v>7480</v>
      </c>
      <c r="G22" s="995">
        <v>7095</v>
      </c>
      <c r="H22" s="995">
        <v>6689</v>
      </c>
      <c r="I22" s="1415">
        <v>6339</v>
      </c>
      <c r="J22" s="1415">
        <v>5683</v>
      </c>
      <c r="K22" s="1907">
        <v>5510</v>
      </c>
      <c r="L22" s="863">
        <v>5461</v>
      </c>
    </row>
    <row r="23" spans="1:12" x14ac:dyDescent="0.3">
      <c r="A23" s="280" t="s">
        <v>47</v>
      </c>
      <c r="B23" s="348" t="s">
        <v>256</v>
      </c>
      <c r="C23" s="348" t="s">
        <v>253</v>
      </c>
      <c r="D23" s="559">
        <v>1436</v>
      </c>
      <c r="E23" s="559">
        <v>1519</v>
      </c>
      <c r="F23" s="559">
        <v>1443</v>
      </c>
      <c r="G23" s="995">
        <v>1376</v>
      </c>
      <c r="H23" s="995">
        <v>1299</v>
      </c>
      <c r="I23" s="1415">
        <v>1264</v>
      </c>
      <c r="J23" s="1415">
        <v>1141</v>
      </c>
      <c r="K23" s="1907">
        <v>1091</v>
      </c>
      <c r="L23" s="863">
        <v>1056</v>
      </c>
    </row>
    <row r="24" spans="1:12" x14ac:dyDescent="0.3">
      <c r="A24" s="280" t="s">
        <v>49</v>
      </c>
      <c r="B24" s="348" t="s">
        <v>50</v>
      </c>
      <c r="C24" s="348" t="s">
        <v>252</v>
      </c>
      <c r="D24" s="559">
        <v>3454</v>
      </c>
      <c r="E24" s="559">
        <v>3397</v>
      </c>
      <c r="F24" s="559">
        <v>3138</v>
      </c>
      <c r="G24" s="995">
        <v>3071</v>
      </c>
      <c r="H24" s="995">
        <v>2936</v>
      </c>
      <c r="I24" s="1415">
        <v>2910</v>
      </c>
      <c r="J24" s="1415">
        <v>2609</v>
      </c>
      <c r="K24" s="1907">
        <v>2536</v>
      </c>
      <c r="L24" s="863">
        <v>2458</v>
      </c>
    </row>
    <row r="25" spans="1:12" x14ac:dyDescent="0.3">
      <c r="A25" s="280" t="s">
        <v>55</v>
      </c>
      <c r="B25" s="348" t="s">
        <v>271</v>
      </c>
      <c r="C25" s="348" t="s">
        <v>253</v>
      </c>
      <c r="D25" s="559">
        <v>45896</v>
      </c>
      <c r="E25" s="559">
        <v>48422</v>
      </c>
      <c r="F25" s="559">
        <v>47698</v>
      </c>
      <c r="G25" s="995">
        <v>45751</v>
      </c>
      <c r="H25" s="995">
        <v>42514</v>
      </c>
      <c r="I25" s="1415">
        <v>42928</v>
      </c>
      <c r="J25" s="1415">
        <v>38773</v>
      </c>
      <c r="K25" s="1907">
        <v>38552</v>
      </c>
      <c r="L25" s="863">
        <v>39498</v>
      </c>
    </row>
    <row r="26" spans="1:12" x14ac:dyDescent="0.3">
      <c r="A26" s="280" t="s">
        <v>57</v>
      </c>
      <c r="B26" s="348" t="s">
        <v>58</v>
      </c>
      <c r="C26" s="348" t="s">
        <v>254</v>
      </c>
      <c r="D26" s="559">
        <v>1261</v>
      </c>
      <c r="E26" s="559">
        <v>1252</v>
      </c>
      <c r="F26" s="559">
        <v>1164</v>
      </c>
      <c r="G26" s="995">
        <v>985</v>
      </c>
      <c r="H26" s="995">
        <v>852</v>
      </c>
      <c r="I26" s="1415">
        <v>815</v>
      </c>
      <c r="J26" s="1415">
        <v>715</v>
      </c>
      <c r="K26" s="1907">
        <v>674</v>
      </c>
      <c r="L26" s="863">
        <v>687</v>
      </c>
    </row>
    <row r="27" spans="1:12" x14ac:dyDescent="0.3">
      <c r="A27" s="280" t="s">
        <v>59</v>
      </c>
      <c r="B27" s="348" t="s">
        <v>60</v>
      </c>
      <c r="C27" s="348" t="s">
        <v>252</v>
      </c>
      <c r="D27" s="559">
        <v>884</v>
      </c>
      <c r="E27" s="559">
        <v>903</v>
      </c>
      <c r="F27" s="559">
        <v>846</v>
      </c>
      <c r="G27" s="995">
        <v>849</v>
      </c>
      <c r="H27" s="995">
        <v>854</v>
      </c>
      <c r="I27" s="1415">
        <v>872</v>
      </c>
      <c r="J27" s="1415">
        <v>794</v>
      </c>
      <c r="K27" s="1907">
        <v>656</v>
      </c>
      <c r="L27" s="863">
        <v>601</v>
      </c>
    </row>
    <row r="28" spans="1:12" x14ac:dyDescent="0.3">
      <c r="A28" s="280" t="s">
        <v>61</v>
      </c>
      <c r="B28" s="348" t="s">
        <v>62</v>
      </c>
      <c r="C28" s="348" t="s">
        <v>254</v>
      </c>
      <c r="D28" s="559">
        <v>8176</v>
      </c>
      <c r="E28" s="559">
        <v>8637</v>
      </c>
      <c r="F28" s="559">
        <v>8259</v>
      </c>
      <c r="G28" s="995">
        <v>7990</v>
      </c>
      <c r="H28" s="995">
        <v>7325</v>
      </c>
      <c r="I28" s="1415">
        <v>7085</v>
      </c>
      <c r="J28" s="1415">
        <v>6337</v>
      </c>
      <c r="K28" s="1907">
        <v>5902</v>
      </c>
      <c r="L28" s="863">
        <v>5663</v>
      </c>
    </row>
    <row r="29" spans="1:12" x14ac:dyDescent="0.3">
      <c r="A29" s="280" t="s">
        <v>63</v>
      </c>
      <c r="B29" s="348" t="s">
        <v>64</v>
      </c>
      <c r="C29" s="348" t="s">
        <v>253</v>
      </c>
      <c r="D29" s="559">
        <v>3139</v>
      </c>
      <c r="E29" s="559">
        <v>3158</v>
      </c>
      <c r="F29" s="559">
        <v>3096</v>
      </c>
      <c r="G29" s="995">
        <v>2923</v>
      </c>
      <c r="H29" s="995">
        <v>2545</v>
      </c>
      <c r="I29" s="1415">
        <v>2582</v>
      </c>
      <c r="J29" s="1415">
        <v>2405</v>
      </c>
      <c r="K29" s="1907">
        <v>2336</v>
      </c>
      <c r="L29" s="863">
        <v>2398</v>
      </c>
    </row>
    <row r="30" spans="1:12" x14ac:dyDescent="0.3">
      <c r="A30" s="280" t="s">
        <v>67</v>
      </c>
      <c r="B30" s="348" t="s">
        <v>68</v>
      </c>
      <c r="C30" s="348" t="s">
        <v>255</v>
      </c>
      <c r="D30" s="559">
        <v>4516</v>
      </c>
      <c r="E30" s="559">
        <v>4753</v>
      </c>
      <c r="F30" s="559">
        <v>4513</v>
      </c>
      <c r="G30" s="995">
        <v>4373</v>
      </c>
      <c r="H30" s="995">
        <v>4425</v>
      </c>
      <c r="I30" s="1415">
        <v>4437</v>
      </c>
      <c r="J30" s="1415">
        <v>3876</v>
      </c>
      <c r="K30" s="1907">
        <v>3609</v>
      </c>
      <c r="L30" s="863">
        <v>3487</v>
      </c>
    </row>
    <row r="31" spans="1:12" x14ac:dyDescent="0.3">
      <c r="A31" s="280" t="s">
        <v>69</v>
      </c>
      <c r="B31" s="348" t="s">
        <v>70</v>
      </c>
      <c r="C31" s="348" t="s">
        <v>251</v>
      </c>
      <c r="D31" s="559">
        <v>6647</v>
      </c>
      <c r="E31" s="559">
        <v>6689</v>
      </c>
      <c r="F31" s="559">
        <v>6368</v>
      </c>
      <c r="G31" s="995">
        <v>6268</v>
      </c>
      <c r="H31" s="995">
        <v>6022</v>
      </c>
      <c r="I31" s="1415">
        <v>5838</v>
      </c>
      <c r="J31" s="1415">
        <v>5196</v>
      </c>
      <c r="K31" s="1907">
        <v>5196</v>
      </c>
      <c r="L31" s="863">
        <v>5131</v>
      </c>
    </row>
    <row r="32" spans="1:12" x14ac:dyDescent="0.3">
      <c r="A32" s="280" t="s">
        <v>71</v>
      </c>
      <c r="B32" s="348" t="s">
        <v>72</v>
      </c>
      <c r="C32" s="348" t="s">
        <v>253</v>
      </c>
      <c r="D32" s="559">
        <v>3455</v>
      </c>
      <c r="E32" s="559">
        <v>3482</v>
      </c>
      <c r="F32" s="559">
        <v>3303</v>
      </c>
      <c r="G32" s="995">
        <v>3131</v>
      </c>
      <c r="H32" s="995">
        <v>2810</v>
      </c>
      <c r="I32" s="1415">
        <v>2812</v>
      </c>
      <c r="J32" s="1415">
        <v>2597</v>
      </c>
      <c r="K32" s="1907">
        <v>2479</v>
      </c>
      <c r="L32" s="863">
        <v>2396</v>
      </c>
    </row>
    <row r="33" spans="1:12" x14ac:dyDescent="0.3">
      <c r="A33" s="280" t="s">
        <v>73</v>
      </c>
      <c r="B33" s="348" t="s">
        <v>272</v>
      </c>
      <c r="C33" s="348" t="s">
        <v>254</v>
      </c>
      <c r="D33" s="559">
        <v>64101</v>
      </c>
      <c r="E33" s="559">
        <v>69530</v>
      </c>
      <c r="F33" s="559">
        <v>70119</v>
      </c>
      <c r="G33" s="995">
        <v>68769</v>
      </c>
      <c r="H33" s="995">
        <v>66749</v>
      </c>
      <c r="I33" s="1415">
        <v>66541</v>
      </c>
      <c r="J33" s="1415">
        <v>59704</v>
      </c>
      <c r="K33" s="1907">
        <v>54959</v>
      </c>
      <c r="L33" s="863">
        <v>54501</v>
      </c>
    </row>
    <row r="34" spans="1:12" x14ac:dyDescent="0.3">
      <c r="A34" s="280" t="s">
        <v>75</v>
      </c>
      <c r="B34" s="348" t="s">
        <v>76</v>
      </c>
      <c r="C34" s="348" t="s">
        <v>254</v>
      </c>
      <c r="D34" s="559">
        <v>6542</v>
      </c>
      <c r="E34" s="559">
        <v>6683</v>
      </c>
      <c r="F34" s="559">
        <v>6256</v>
      </c>
      <c r="G34" s="995">
        <v>5771</v>
      </c>
      <c r="H34" s="995">
        <v>5219</v>
      </c>
      <c r="I34" s="1415">
        <v>5043</v>
      </c>
      <c r="J34" s="1415">
        <v>4408</v>
      </c>
      <c r="K34" s="1907">
        <v>4220</v>
      </c>
      <c r="L34" s="863">
        <v>3929</v>
      </c>
    </row>
    <row r="35" spans="1:12" x14ac:dyDescent="0.3">
      <c r="A35" s="280" t="s">
        <v>77</v>
      </c>
      <c r="B35" s="348" t="s">
        <v>78</v>
      </c>
      <c r="C35" s="348" t="s">
        <v>255</v>
      </c>
      <c r="D35" s="559">
        <v>2972</v>
      </c>
      <c r="E35" s="559">
        <v>2953</v>
      </c>
      <c r="F35" s="559">
        <v>2764</v>
      </c>
      <c r="G35" s="995">
        <v>2566</v>
      </c>
      <c r="H35" s="995">
        <v>2428</v>
      </c>
      <c r="I35" s="1415">
        <v>2597</v>
      </c>
      <c r="J35" s="1415">
        <v>2483</v>
      </c>
      <c r="K35" s="1907">
        <v>2210</v>
      </c>
      <c r="L35" s="863">
        <v>2166</v>
      </c>
    </row>
    <row r="36" spans="1:12" x14ac:dyDescent="0.3">
      <c r="A36" s="280" t="s">
        <v>79</v>
      </c>
      <c r="B36" s="348" t="s">
        <v>80</v>
      </c>
      <c r="C36" s="348" t="s">
        <v>253</v>
      </c>
      <c r="D36" s="559">
        <v>2837</v>
      </c>
      <c r="E36" s="559">
        <v>2828</v>
      </c>
      <c r="F36" s="559">
        <v>2707</v>
      </c>
      <c r="G36" s="995">
        <v>2569</v>
      </c>
      <c r="H36" s="995">
        <v>2361</v>
      </c>
      <c r="I36" s="1415">
        <v>2380</v>
      </c>
      <c r="J36" s="1415">
        <v>2213</v>
      </c>
      <c r="K36" s="1907">
        <v>1965</v>
      </c>
      <c r="L36" s="863">
        <v>2001</v>
      </c>
    </row>
    <row r="37" spans="1:12" x14ac:dyDescent="0.3">
      <c r="A37" s="280" t="s">
        <v>83</v>
      </c>
      <c r="B37" s="348" t="s">
        <v>84</v>
      </c>
      <c r="C37" s="348" t="s">
        <v>252</v>
      </c>
      <c r="D37" s="559">
        <v>11500</v>
      </c>
      <c r="E37" s="559">
        <v>11614</v>
      </c>
      <c r="F37" s="559">
        <v>11077</v>
      </c>
      <c r="G37" s="995">
        <v>10429</v>
      </c>
      <c r="H37" s="995">
        <v>9577</v>
      </c>
      <c r="I37" s="1415">
        <v>9376</v>
      </c>
      <c r="J37" s="1415">
        <v>8402</v>
      </c>
      <c r="K37" s="1907">
        <v>8036</v>
      </c>
      <c r="L37" s="863">
        <v>7858</v>
      </c>
    </row>
    <row r="38" spans="1:12" x14ac:dyDescent="0.3">
      <c r="A38" s="280" t="s">
        <v>85</v>
      </c>
      <c r="B38" s="348" t="s">
        <v>86</v>
      </c>
      <c r="C38" s="348" t="s">
        <v>254</v>
      </c>
      <c r="D38" s="559">
        <v>10984</v>
      </c>
      <c r="E38" s="559">
        <v>11248</v>
      </c>
      <c r="F38" s="559">
        <v>10011</v>
      </c>
      <c r="G38" s="995">
        <v>9330</v>
      </c>
      <c r="H38" s="995">
        <v>8533</v>
      </c>
      <c r="I38" s="1415">
        <v>8054</v>
      </c>
      <c r="J38" s="1415">
        <v>7381</v>
      </c>
      <c r="K38" s="1907">
        <v>6713</v>
      </c>
      <c r="L38" s="863">
        <v>6679</v>
      </c>
    </row>
    <row r="39" spans="1:12" x14ac:dyDescent="0.3">
      <c r="A39" s="280" t="s">
        <v>91</v>
      </c>
      <c r="B39" s="348" t="s">
        <v>92</v>
      </c>
      <c r="C39" s="348" t="s">
        <v>255</v>
      </c>
      <c r="D39" s="559">
        <v>3460</v>
      </c>
      <c r="E39" s="559">
        <v>3414</v>
      </c>
      <c r="F39" s="559">
        <v>3430</v>
      </c>
      <c r="G39" s="995">
        <v>3188</v>
      </c>
      <c r="H39" s="995">
        <v>3105</v>
      </c>
      <c r="I39" s="1415">
        <v>3066</v>
      </c>
      <c r="J39" s="1415">
        <v>2801</v>
      </c>
      <c r="K39" s="1907">
        <v>2563</v>
      </c>
      <c r="L39" s="863">
        <v>2527</v>
      </c>
    </row>
    <row r="40" spans="1:12" x14ac:dyDescent="0.3">
      <c r="A40" s="280" t="s">
        <v>93</v>
      </c>
      <c r="B40" s="348" t="s">
        <v>94</v>
      </c>
      <c r="C40" s="348" t="s">
        <v>251</v>
      </c>
      <c r="D40" s="559">
        <v>6435</v>
      </c>
      <c r="E40" s="559">
        <v>6414</v>
      </c>
      <c r="F40" s="559">
        <v>6149</v>
      </c>
      <c r="G40" s="995">
        <v>5865</v>
      </c>
      <c r="H40" s="995">
        <v>5376</v>
      </c>
      <c r="I40" s="1415">
        <v>5113</v>
      </c>
      <c r="J40" s="1415">
        <v>4533</v>
      </c>
      <c r="K40" s="1907">
        <v>4427</v>
      </c>
      <c r="L40" s="863">
        <v>4455</v>
      </c>
    </row>
    <row r="41" spans="1:12" x14ac:dyDescent="0.3">
      <c r="A41" s="280" t="s">
        <v>95</v>
      </c>
      <c r="B41" s="348" t="s">
        <v>96</v>
      </c>
      <c r="C41" s="348" t="s">
        <v>253</v>
      </c>
      <c r="D41" s="559">
        <v>1885</v>
      </c>
      <c r="E41" s="559">
        <v>1925</v>
      </c>
      <c r="F41" s="559">
        <v>1907</v>
      </c>
      <c r="G41" s="995">
        <v>1821</v>
      </c>
      <c r="H41" s="995">
        <v>1645</v>
      </c>
      <c r="I41" s="1415">
        <v>1646</v>
      </c>
      <c r="J41" s="1415">
        <v>1483</v>
      </c>
      <c r="K41" s="1907">
        <v>1371</v>
      </c>
      <c r="L41" s="863">
        <v>1385</v>
      </c>
    </row>
    <row r="42" spans="1:12" x14ac:dyDescent="0.3">
      <c r="A42" s="280" t="s">
        <v>97</v>
      </c>
      <c r="B42" s="348" t="s">
        <v>98</v>
      </c>
      <c r="C42" s="348" t="s">
        <v>255</v>
      </c>
      <c r="D42" s="559">
        <v>3953</v>
      </c>
      <c r="E42" s="559">
        <v>4102</v>
      </c>
      <c r="F42" s="559">
        <v>3909</v>
      </c>
      <c r="G42" s="995">
        <v>3759</v>
      </c>
      <c r="H42" s="995">
        <v>3545</v>
      </c>
      <c r="I42" s="1415">
        <v>3491</v>
      </c>
      <c r="J42" s="1415">
        <v>3120</v>
      </c>
      <c r="K42" s="1907">
        <v>2956</v>
      </c>
      <c r="L42" s="863">
        <v>2892</v>
      </c>
    </row>
    <row r="43" spans="1:12" x14ac:dyDescent="0.3">
      <c r="A43" s="280" t="s">
        <v>99</v>
      </c>
      <c r="B43" s="348" t="s">
        <v>100</v>
      </c>
      <c r="C43" s="348" t="s">
        <v>254</v>
      </c>
      <c r="D43" s="559">
        <v>3083</v>
      </c>
      <c r="E43" s="559">
        <v>3151</v>
      </c>
      <c r="F43" s="559">
        <v>3053</v>
      </c>
      <c r="G43" s="995">
        <v>3026</v>
      </c>
      <c r="H43" s="995">
        <v>2964</v>
      </c>
      <c r="I43" s="1415">
        <v>2931</v>
      </c>
      <c r="J43" s="1415">
        <v>2543</v>
      </c>
      <c r="K43" s="1907">
        <v>2400</v>
      </c>
      <c r="L43" s="863">
        <v>2271</v>
      </c>
    </row>
    <row r="44" spans="1:12" x14ac:dyDescent="0.3">
      <c r="A44" s="280" t="s">
        <v>101</v>
      </c>
      <c r="B44" s="348" t="s">
        <v>263</v>
      </c>
      <c r="C44" s="348" t="s">
        <v>251</v>
      </c>
      <c r="D44" s="559">
        <v>5654</v>
      </c>
      <c r="E44" s="559">
        <v>6198</v>
      </c>
      <c r="F44" s="559">
        <v>5718</v>
      </c>
      <c r="G44" s="995">
        <v>5737</v>
      </c>
      <c r="H44" s="995">
        <v>5363</v>
      </c>
      <c r="I44" s="1415">
        <v>5651</v>
      </c>
      <c r="J44" s="1415">
        <v>4719</v>
      </c>
      <c r="K44" s="1907">
        <v>4512</v>
      </c>
      <c r="L44" s="863">
        <v>4638</v>
      </c>
    </row>
    <row r="45" spans="1:12" x14ac:dyDescent="0.3">
      <c r="A45" s="280" t="s">
        <v>103</v>
      </c>
      <c r="B45" s="348" t="s">
        <v>104</v>
      </c>
      <c r="C45" s="348" t="s">
        <v>252</v>
      </c>
      <c r="D45" s="559">
        <v>9389</v>
      </c>
      <c r="E45" s="559">
        <v>9320</v>
      </c>
      <c r="F45" s="559">
        <v>9092</v>
      </c>
      <c r="G45" s="995">
        <v>8948</v>
      </c>
      <c r="H45" s="995">
        <v>8570</v>
      </c>
      <c r="I45" s="1415">
        <v>8353</v>
      </c>
      <c r="J45" s="1415">
        <v>7826</v>
      </c>
      <c r="K45" s="1907">
        <v>7502</v>
      </c>
      <c r="L45" s="863">
        <v>7589</v>
      </c>
    </row>
    <row r="46" spans="1:12" x14ac:dyDescent="0.3">
      <c r="A46" s="280" t="s">
        <v>107</v>
      </c>
      <c r="B46" s="348" t="s">
        <v>108</v>
      </c>
      <c r="C46" s="348" t="s">
        <v>253</v>
      </c>
      <c r="D46" s="559">
        <v>8727</v>
      </c>
      <c r="E46" s="559">
        <v>8868</v>
      </c>
      <c r="F46" s="559">
        <v>8553</v>
      </c>
      <c r="G46" s="995">
        <v>8089</v>
      </c>
      <c r="H46" s="995">
        <v>7492</v>
      </c>
      <c r="I46" s="1415">
        <v>7533</v>
      </c>
      <c r="J46" s="1415">
        <v>6844</v>
      </c>
      <c r="K46" s="1907">
        <v>6255</v>
      </c>
      <c r="L46" s="863">
        <v>6187</v>
      </c>
    </row>
    <row r="47" spans="1:12" x14ac:dyDescent="0.3">
      <c r="A47" s="280" t="s">
        <v>109</v>
      </c>
      <c r="B47" s="348" t="s">
        <v>110</v>
      </c>
      <c r="C47" s="348" t="s">
        <v>253</v>
      </c>
      <c r="D47" s="559">
        <v>47760</v>
      </c>
      <c r="E47" s="559">
        <v>50282</v>
      </c>
      <c r="F47" s="559">
        <v>48473</v>
      </c>
      <c r="G47" s="995">
        <v>47275</v>
      </c>
      <c r="H47" s="995">
        <v>45663</v>
      </c>
      <c r="I47" s="1415">
        <v>46313</v>
      </c>
      <c r="J47" s="1415">
        <v>42751</v>
      </c>
      <c r="K47" s="1907">
        <v>41251</v>
      </c>
      <c r="L47" s="863">
        <v>41954</v>
      </c>
    </row>
    <row r="48" spans="1:12" x14ac:dyDescent="0.3">
      <c r="A48" s="280" t="s">
        <v>111</v>
      </c>
      <c r="B48" s="348" t="s">
        <v>275</v>
      </c>
      <c r="C48" s="348" t="s">
        <v>252</v>
      </c>
      <c r="D48" s="559">
        <v>22466</v>
      </c>
      <c r="E48" s="559">
        <v>23279</v>
      </c>
      <c r="F48" s="559">
        <v>21580</v>
      </c>
      <c r="G48" s="995">
        <v>20857</v>
      </c>
      <c r="H48" s="995">
        <v>19829</v>
      </c>
      <c r="I48" s="1415">
        <v>20149</v>
      </c>
      <c r="J48" s="1415">
        <v>18024</v>
      </c>
      <c r="K48" s="1907">
        <v>17053</v>
      </c>
      <c r="L48" s="863">
        <v>16896</v>
      </c>
    </row>
    <row r="49" spans="1:12" x14ac:dyDescent="0.3">
      <c r="A49" s="280" t="s">
        <v>113</v>
      </c>
      <c r="B49" s="348" t="s">
        <v>114</v>
      </c>
      <c r="C49" s="348" t="s">
        <v>252</v>
      </c>
      <c r="D49" s="559">
        <v>256</v>
      </c>
      <c r="E49" s="559">
        <v>241</v>
      </c>
      <c r="F49" s="559">
        <v>241</v>
      </c>
      <c r="G49" s="995">
        <v>213</v>
      </c>
      <c r="H49" s="995">
        <v>187</v>
      </c>
      <c r="I49" s="1415">
        <v>236</v>
      </c>
      <c r="J49" s="1415">
        <v>161</v>
      </c>
      <c r="K49" s="1907">
        <v>141</v>
      </c>
      <c r="L49" s="863">
        <v>168</v>
      </c>
    </row>
    <row r="50" spans="1:12" x14ac:dyDescent="0.3">
      <c r="A50" s="280" t="s">
        <v>117</v>
      </c>
      <c r="B50" s="348" t="s">
        <v>257</v>
      </c>
      <c r="C50" s="348" t="s">
        <v>251</v>
      </c>
      <c r="D50" s="559">
        <v>5833</v>
      </c>
      <c r="E50" s="559">
        <v>6005</v>
      </c>
      <c r="F50" s="559">
        <v>5623</v>
      </c>
      <c r="G50" s="995">
        <v>5600</v>
      </c>
      <c r="H50" s="995">
        <v>5161</v>
      </c>
      <c r="I50" s="1415">
        <v>5045</v>
      </c>
      <c r="J50" s="1415">
        <v>4566</v>
      </c>
      <c r="K50" s="1907">
        <v>4257</v>
      </c>
      <c r="L50" s="863">
        <v>4183</v>
      </c>
    </row>
    <row r="51" spans="1:12" x14ac:dyDescent="0.3">
      <c r="A51" s="280" t="s">
        <v>119</v>
      </c>
      <c r="B51" s="348" t="s">
        <v>120</v>
      </c>
      <c r="C51" s="348" t="s">
        <v>251</v>
      </c>
      <c r="D51" s="559">
        <v>6937</v>
      </c>
      <c r="E51" s="559">
        <v>7310</v>
      </c>
      <c r="F51" s="559">
        <v>7074</v>
      </c>
      <c r="G51" s="995">
        <v>6923</v>
      </c>
      <c r="H51" s="995">
        <v>6553</v>
      </c>
      <c r="I51" s="1415">
        <v>6506</v>
      </c>
      <c r="J51" s="1415">
        <v>5767</v>
      </c>
      <c r="K51" s="1907">
        <v>5398</v>
      </c>
      <c r="L51" s="863">
        <v>5425</v>
      </c>
    </row>
    <row r="52" spans="1:12" x14ac:dyDescent="0.3">
      <c r="A52" s="280" t="s">
        <v>121</v>
      </c>
      <c r="B52" s="348" t="s">
        <v>268</v>
      </c>
      <c r="C52" s="348" t="s">
        <v>253</v>
      </c>
      <c r="D52" s="559">
        <v>1643</v>
      </c>
      <c r="E52" s="559">
        <v>1796</v>
      </c>
      <c r="F52" s="559">
        <v>1751</v>
      </c>
      <c r="G52" s="995">
        <v>1684</v>
      </c>
      <c r="H52" s="995">
        <v>1460</v>
      </c>
      <c r="I52" s="1415">
        <v>1509</v>
      </c>
      <c r="J52" s="1415">
        <v>1329</v>
      </c>
      <c r="K52" s="1907">
        <v>1232</v>
      </c>
      <c r="L52" s="863">
        <v>1303</v>
      </c>
    </row>
    <row r="53" spans="1:12" x14ac:dyDescent="0.3">
      <c r="A53" s="280" t="s">
        <v>123</v>
      </c>
      <c r="B53" s="348" t="s">
        <v>124</v>
      </c>
      <c r="C53" s="348" t="s">
        <v>254</v>
      </c>
      <c r="D53" s="559">
        <v>4186</v>
      </c>
      <c r="E53" s="559">
        <v>4410</v>
      </c>
      <c r="F53" s="559">
        <v>4359</v>
      </c>
      <c r="G53" s="995">
        <v>4123</v>
      </c>
      <c r="H53" s="995">
        <v>3713</v>
      </c>
      <c r="I53" s="1415">
        <v>3605</v>
      </c>
      <c r="J53" s="1415">
        <v>3185</v>
      </c>
      <c r="K53" s="1907">
        <v>2912</v>
      </c>
      <c r="L53" s="863">
        <v>2745</v>
      </c>
    </row>
    <row r="54" spans="1:12" x14ac:dyDescent="0.3">
      <c r="A54" s="280" t="s">
        <v>125</v>
      </c>
      <c r="B54" s="348" t="s">
        <v>126</v>
      </c>
      <c r="C54" s="348" t="s">
        <v>253</v>
      </c>
      <c r="D54" s="559">
        <v>2776</v>
      </c>
      <c r="E54" s="559">
        <v>2781</v>
      </c>
      <c r="F54" s="559">
        <v>2602</v>
      </c>
      <c r="G54" s="995">
        <v>2468</v>
      </c>
      <c r="H54" s="995">
        <v>2283</v>
      </c>
      <c r="I54" s="1415">
        <v>2165</v>
      </c>
      <c r="J54" s="1415">
        <v>1886</v>
      </c>
      <c r="K54" s="1907">
        <v>1847</v>
      </c>
      <c r="L54" s="863">
        <v>1830</v>
      </c>
    </row>
    <row r="55" spans="1:12" x14ac:dyDescent="0.3">
      <c r="A55" s="280" t="s">
        <v>127</v>
      </c>
      <c r="B55" s="348" t="s">
        <v>128</v>
      </c>
      <c r="C55" s="348" t="s">
        <v>253</v>
      </c>
      <c r="D55" s="559">
        <v>2403</v>
      </c>
      <c r="E55" s="559">
        <v>2469</v>
      </c>
      <c r="F55" s="559">
        <v>2322</v>
      </c>
      <c r="G55" s="995">
        <v>2213</v>
      </c>
      <c r="H55" s="995">
        <v>2051</v>
      </c>
      <c r="I55" s="1415">
        <v>2024</v>
      </c>
      <c r="J55" s="1415">
        <v>1885</v>
      </c>
      <c r="K55" s="1907">
        <v>1833</v>
      </c>
      <c r="L55" s="863">
        <v>1776</v>
      </c>
    </row>
    <row r="56" spans="1:12" x14ac:dyDescent="0.3">
      <c r="A56" s="280" t="s">
        <v>129</v>
      </c>
      <c r="B56" s="348" t="s">
        <v>130</v>
      </c>
      <c r="C56" s="348" t="s">
        <v>255</v>
      </c>
      <c r="D56" s="559">
        <v>7910</v>
      </c>
      <c r="E56" s="559">
        <v>8182</v>
      </c>
      <c r="F56" s="559">
        <v>8074</v>
      </c>
      <c r="G56" s="995">
        <v>7654</v>
      </c>
      <c r="H56" s="995">
        <v>7464</v>
      </c>
      <c r="I56" s="1415">
        <v>7540</v>
      </c>
      <c r="J56" s="1415">
        <v>6957</v>
      </c>
      <c r="K56" s="1907">
        <v>6903</v>
      </c>
      <c r="L56" s="863">
        <v>6759</v>
      </c>
    </row>
    <row r="57" spans="1:12" x14ac:dyDescent="0.3">
      <c r="A57" s="280" t="s">
        <v>131</v>
      </c>
      <c r="B57" s="348" t="s">
        <v>132</v>
      </c>
      <c r="C57" s="348" t="s">
        <v>254</v>
      </c>
      <c r="D57" s="559">
        <v>13110</v>
      </c>
      <c r="E57" s="559">
        <v>14125</v>
      </c>
      <c r="F57" s="559">
        <v>14289</v>
      </c>
      <c r="G57" s="995">
        <v>14131</v>
      </c>
      <c r="H57" s="995">
        <v>13748</v>
      </c>
      <c r="I57" s="1415">
        <v>14210</v>
      </c>
      <c r="J57" s="1415">
        <v>12845</v>
      </c>
      <c r="K57" s="1907">
        <v>12080</v>
      </c>
      <c r="L57" s="863">
        <v>12893</v>
      </c>
    </row>
    <row r="58" spans="1:12" x14ac:dyDescent="0.3">
      <c r="A58" s="280" t="s">
        <v>133</v>
      </c>
      <c r="B58" s="348" t="s">
        <v>134</v>
      </c>
      <c r="C58" s="348" t="s">
        <v>254</v>
      </c>
      <c r="D58" s="559">
        <v>6332</v>
      </c>
      <c r="E58" s="559">
        <v>6708</v>
      </c>
      <c r="F58" s="559">
        <v>6588</v>
      </c>
      <c r="G58" s="995">
        <v>6292</v>
      </c>
      <c r="H58" s="995">
        <v>5807</v>
      </c>
      <c r="I58" s="1415">
        <v>5663</v>
      </c>
      <c r="J58" s="1415">
        <v>4913</v>
      </c>
      <c r="K58" s="1907">
        <v>4560</v>
      </c>
      <c r="L58" s="863">
        <v>4469</v>
      </c>
    </row>
    <row r="59" spans="1:12" x14ac:dyDescent="0.3">
      <c r="A59" s="280" t="s">
        <v>135</v>
      </c>
      <c r="B59" s="348" t="s">
        <v>136</v>
      </c>
      <c r="C59" s="348" t="s">
        <v>253</v>
      </c>
      <c r="D59" s="559">
        <v>3397</v>
      </c>
      <c r="E59" s="559">
        <v>3377</v>
      </c>
      <c r="F59" s="559">
        <v>3340</v>
      </c>
      <c r="G59" s="995">
        <v>3241</v>
      </c>
      <c r="H59" s="995">
        <v>3004</v>
      </c>
      <c r="I59" s="1415">
        <v>2840</v>
      </c>
      <c r="J59" s="1415">
        <v>2557</v>
      </c>
      <c r="K59" s="1907">
        <v>2575</v>
      </c>
      <c r="L59" s="863">
        <v>2622</v>
      </c>
    </row>
    <row r="60" spans="1:12" x14ac:dyDescent="0.3">
      <c r="A60" s="280" t="s">
        <v>139</v>
      </c>
      <c r="B60" s="348" t="s">
        <v>140</v>
      </c>
      <c r="C60" s="348" t="s">
        <v>254</v>
      </c>
      <c r="D60" s="559">
        <v>2310</v>
      </c>
      <c r="E60" s="559">
        <v>2506</v>
      </c>
      <c r="F60" s="559">
        <v>2380</v>
      </c>
      <c r="G60" s="995">
        <v>2285</v>
      </c>
      <c r="H60" s="995">
        <v>2023</v>
      </c>
      <c r="I60" s="1415">
        <v>1923</v>
      </c>
      <c r="J60" s="1415">
        <v>1632</v>
      </c>
      <c r="K60" s="1907">
        <v>1375</v>
      </c>
      <c r="L60" s="863">
        <v>1353</v>
      </c>
    </row>
    <row r="61" spans="1:12" x14ac:dyDescent="0.3">
      <c r="A61" s="280" t="s">
        <v>145</v>
      </c>
      <c r="B61" s="348" t="s">
        <v>146</v>
      </c>
      <c r="C61" s="348" t="s">
        <v>251</v>
      </c>
      <c r="D61" s="559">
        <v>1421</v>
      </c>
      <c r="E61" s="559">
        <v>1480</v>
      </c>
      <c r="F61" s="559">
        <v>1408</v>
      </c>
      <c r="G61" s="995">
        <v>1339</v>
      </c>
      <c r="H61" s="995">
        <v>1261</v>
      </c>
      <c r="I61" s="1415">
        <v>1178</v>
      </c>
      <c r="J61" s="1415">
        <v>1080</v>
      </c>
      <c r="K61" s="1907">
        <v>1011</v>
      </c>
      <c r="L61" s="863">
        <v>984</v>
      </c>
    </row>
    <row r="62" spans="1:12" x14ac:dyDescent="0.3">
      <c r="A62" s="280" t="s">
        <v>147</v>
      </c>
      <c r="B62" s="348" t="s">
        <v>148</v>
      </c>
      <c r="C62" s="348" t="s">
        <v>252</v>
      </c>
      <c r="D62" s="559">
        <v>7421</v>
      </c>
      <c r="E62" s="559">
        <v>7747</v>
      </c>
      <c r="F62" s="559">
        <v>7464</v>
      </c>
      <c r="G62" s="995">
        <v>7148</v>
      </c>
      <c r="H62" s="995">
        <v>6661</v>
      </c>
      <c r="I62" s="1415">
        <v>6525</v>
      </c>
      <c r="J62" s="1415">
        <v>6124</v>
      </c>
      <c r="K62" s="1907">
        <v>5727</v>
      </c>
      <c r="L62" s="863">
        <v>5494</v>
      </c>
    </row>
    <row r="63" spans="1:12" x14ac:dyDescent="0.3">
      <c r="A63" s="280" t="s">
        <v>149</v>
      </c>
      <c r="B63" s="348" t="s">
        <v>150</v>
      </c>
      <c r="C63" s="348" t="s">
        <v>253</v>
      </c>
      <c r="D63" s="559">
        <v>2256</v>
      </c>
      <c r="E63" s="559">
        <v>2314</v>
      </c>
      <c r="F63" s="559">
        <v>2259</v>
      </c>
      <c r="G63" s="995">
        <v>2204</v>
      </c>
      <c r="H63" s="995">
        <v>2078</v>
      </c>
      <c r="I63" s="1415">
        <v>2165</v>
      </c>
      <c r="J63" s="1415">
        <v>1900</v>
      </c>
      <c r="K63" s="1907">
        <v>1873</v>
      </c>
      <c r="L63" s="863">
        <v>1880</v>
      </c>
    </row>
    <row r="64" spans="1:12" x14ac:dyDescent="0.3">
      <c r="A64" s="280" t="s">
        <v>151</v>
      </c>
      <c r="B64" s="348" t="s">
        <v>152</v>
      </c>
      <c r="C64" s="348" t="s">
        <v>255</v>
      </c>
      <c r="D64" s="559">
        <v>11101</v>
      </c>
      <c r="E64" s="559">
        <v>11471</v>
      </c>
      <c r="F64" s="559">
        <v>10822</v>
      </c>
      <c r="G64" s="995">
        <v>10171</v>
      </c>
      <c r="H64" s="995">
        <v>9412</v>
      </c>
      <c r="I64" s="1415">
        <v>9285</v>
      </c>
      <c r="J64" s="1415">
        <v>8233</v>
      </c>
      <c r="K64" s="1907">
        <v>7821</v>
      </c>
      <c r="L64" s="863">
        <v>7550</v>
      </c>
    </row>
    <row r="65" spans="1:12" x14ac:dyDescent="0.3">
      <c r="A65" s="280" t="s">
        <v>153</v>
      </c>
      <c r="B65" s="348" t="s">
        <v>154</v>
      </c>
      <c r="C65" s="348" t="s">
        <v>252</v>
      </c>
      <c r="D65" s="559">
        <v>3217</v>
      </c>
      <c r="E65" s="559">
        <v>3314</v>
      </c>
      <c r="F65" s="559">
        <v>3207</v>
      </c>
      <c r="G65" s="995">
        <v>2967</v>
      </c>
      <c r="H65" s="995">
        <v>2648</v>
      </c>
      <c r="I65" s="1415">
        <v>2611</v>
      </c>
      <c r="J65" s="1415">
        <v>2265</v>
      </c>
      <c r="K65" s="1907">
        <v>2119</v>
      </c>
      <c r="L65" s="863">
        <v>2115</v>
      </c>
    </row>
    <row r="66" spans="1:12" x14ac:dyDescent="0.3">
      <c r="A66" s="280" t="s">
        <v>155</v>
      </c>
      <c r="B66" s="348" t="s">
        <v>156</v>
      </c>
      <c r="C66" s="348" t="s">
        <v>253</v>
      </c>
      <c r="D66" s="559">
        <v>1891</v>
      </c>
      <c r="E66" s="559">
        <v>1926</v>
      </c>
      <c r="F66" s="559">
        <v>1832</v>
      </c>
      <c r="G66" s="995">
        <v>1929</v>
      </c>
      <c r="H66" s="995">
        <v>1750</v>
      </c>
      <c r="I66" s="1415">
        <v>1754</v>
      </c>
      <c r="J66" s="1415">
        <v>1522</v>
      </c>
      <c r="K66" s="1907">
        <v>1370</v>
      </c>
      <c r="L66" s="863">
        <v>1454</v>
      </c>
    </row>
    <row r="67" spans="1:12" x14ac:dyDescent="0.3">
      <c r="A67" s="280" t="s">
        <v>161</v>
      </c>
      <c r="B67" s="348" t="s">
        <v>162</v>
      </c>
      <c r="C67" s="348" t="s">
        <v>251</v>
      </c>
      <c r="D67" s="559">
        <v>3866</v>
      </c>
      <c r="E67" s="559">
        <v>3943</v>
      </c>
      <c r="F67" s="559">
        <v>3822</v>
      </c>
      <c r="G67" s="995">
        <v>3650</v>
      </c>
      <c r="H67" s="995">
        <v>3359</v>
      </c>
      <c r="I67" s="1415">
        <v>3256</v>
      </c>
      <c r="J67" s="1415">
        <v>2957</v>
      </c>
      <c r="K67" s="1907">
        <v>2826</v>
      </c>
      <c r="L67" s="863">
        <v>2783</v>
      </c>
    </row>
    <row r="68" spans="1:12" x14ac:dyDescent="0.3">
      <c r="A68" s="280" t="s">
        <v>163</v>
      </c>
      <c r="B68" s="348" t="s">
        <v>164</v>
      </c>
      <c r="C68" s="348" t="s">
        <v>253</v>
      </c>
      <c r="D68" s="559">
        <v>2281</v>
      </c>
      <c r="E68" s="559">
        <v>2531</v>
      </c>
      <c r="F68" s="559">
        <v>2501</v>
      </c>
      <c r="G68" s="995">
        <v>2416</v>
      </c>
      <c r="H68" s="995">
        <v>2323</v>
      </c>
      <c r="I68" s="1415">
        <v>2232</v>
      </c>
      <c r="J68" s="1415">
        <v>2049</v>
      </c>
      <c r="K68" s="1907">
        <v>2005</v>
      </c>
      <c r="L68" s="863">
        <v>1971</v>
      </c>
    </row>
    <row r="69" spans="1:12" x14ac:dyDescent="0.3">
      <c r="A69" s="280" t="s">
        <v>167</v>
      </c>
      <c r="B69" s="348" t="s">
        <v>168</v>
      </c>
      <c r="C69" s="348" t="s">
        <v>253</v>
      </c>
      <c r="D69" s="559">
        <v>4807</v>
      </c>
      <c r="E69" s="559">
        <v>4850</v>
      </c>
      <c r="F69" s="559">
        <v>4800</v>
      </c>
      <c r="G69" s="995">
        <v>4534</v>
      </c>
      <c r="H69" s="995">
        <v>4201</v>
      </c>
      <c r="I69" s="1415">
        <v>4107</v>
      </c>
      <c r="J69" s="1415">
        <v>3742</v>
      </c>
      <c r="K69" s="1907">
        <v>3513</v>
      </c>
      <c r="L69" s="863">
        <v>3372</v>
      </c>
    </row>
    <row r="70" spans="1:12" x14ac:dyDescent="0.3">
      <c r="A70" s="280" t="s">
        <v>169</v>
      </c>
      <c r="B70" s="348" t="s">
        <v>170</v>
      </c>
      <c r="C70" s="348" t="s">
        <v>254</v>
      </c>
      <c r="D70" s="559">
        <v>5176</v>
      </c>
      <c r="E70" s="559">
        <v>5290</v>
      </c>
      <c r="F70" s="559">
        <v>5142</v>
      </c>
      <c r="G70" s="995">
        <v>4934</v>
      </c>
      <c r="H70" s="995">
        <v>4547</v>
      </c>
      <c r="I70" s="1415">
        <v>4467</v>
      </c>
      <c r="J70" s="1415">
        <v>4001</v>
      </c>
      <c r="K70" s="1907">
        <v>3914</v>
      </c>
      <c r="L70" s="863">
        <v>4034</v>
      </c>
    </row>
    <row r="71" spans="1:12" x14ac:dyDescent="0.3">
      <c r="A71" s="280" t="s">
        <v>171</v>
      </c>
      <c r="B71" s="348" t="s">
        <v>172</v>
      </c>
      <c r="C71" s="348" t="s">
        <v>254</v>
      </c>
      <c r="D71" s="559">
        <v>5544</v>
      </c>
      <c r="E71" s="559">
        <v>5663</v>
      </c>
      <c r="F71" s="559">
        <v>5454</v>
      </c>
      <c r="G71" s="995">
        <v>5297</v>
      </c>
      <c r="H71" s="995">
        <v>4868</v>
      </c>
      <c r="I71" s="1415">
        <v>4455</v>
      </c>
      <c r="J71" s="1415">
        <v>3916</v>
      </c>
      <c r="K71" s="1907">
        <v>3627</v>
      </c>
      <c r="L71" s="863">
        <v>3463</v>
      </c>
    </row>
    <row r="72" spans="1:12" x14ac:dyDescent="0.3">
      <c r="A72" s="280" t="s">
        <v>173</v>
      </c>
      <c r="B72" s="348" t="s">
        <v>174</v>
      </c>
      <c r="C72" s="348" t="s">
        <v>255</v>
      </c>
      <c r="D72" s="559">
        <v>4970</v>
      </c>
      <c r="E72" s="559">
        <v>4798</v>
      </c>
      <c r="F72" s="559">
        <v>4440</v>
      </c>
      <c r="G72" s="995">
        <v>4225</v>
      </c>
      <c r="H72" s="995">
        <v>4081</v>
      </c>
      <c r="I72" s="1415">
        <v>3947</v>
      </c>
      <c r="J72" s="1415">
        <v>3492</v>
      </c>
      <c r="K72" s="1907">
        <v>3395</v>
      </c>
      <c r="L72" s="863">
        <v>3253</v>
      </c>
    </row>
    <row r="73" spans="1:12" x14ac:dyDescent="0.3">
      <c r="A73" s="280" t="s">
        <v>177</v>
      </c>
      <c r="B73" s="348" t="s">
        <v>178</v>
      </c>
      <c r="C73" s="348" t="s">
        <v>252</v>
      </c>
      <c r="D73" s="559">
        <v>13937</v>
      </c>
      <c r="E73" s="559">
        <v>14301</v>
      </c>
      <c r="F73" s="559">
        <v>14141</v>
      </c>
      <c r="G73" s="995">
        <v>13453</v>
      </c>
      <c r="H73" s="995">
        <v>12370</v>
      </c>
      <c r="I73" s="1415">
        <v>12218</v>
      </c>
      <c r="J73" s="1415">
        <v>11388</v>
      </c>
      <c r="K73" s="1907">
        <v>10758</v>
      </c>
      <c r="L73" s="863">
        <v>10612</v>
      </c>
    </row>
    <row r="74" spans="1:12" x14ac:dyDescent="0.3">
      <c r="A74" s="280" t="s">
        <v>181</v>
      </c>
      <c r="B74" s="348" t="s">
        <v>182</v>
      </c>
      <c r="C74" s="348" t="s">
        <v>253</v>
      </c>
      <c r="D74" s="559">
        <v>2245</v>
      </c>
      <c r="E74" s="559">
        <v>2308</v>
      </c>
      <c r="F74" s="559">
        <v>2204</v>
      </c>
      <c r="G74" s="995">
        <v>2045</v>
      </c>
      <c r="H74" s="995">
        <v>1792</v>
      </c>
      <c r="I74" s="1415">
        <v>1783</v>
      </c>
      <c r="J74" s="1415">
        <v>1631</v>
      </c>
      <c r="K74" s="1907">
        <v>1533</v>
      </c>
      <c r="L74" s="863">
        <v>1641</v>
      </c>
    </row>
    <row r="75" spans="1:12" x14ac:dyDescent="0.3">
      <c r="A75" s="280" t="s">
        <v>183</v>
      </c>
      <c r="B75" s="348" t="s">
        <v>184</v>
      </c>
      <c r="C75" s="348" t="s">
        <v>253</v>
      </c>
      <c r="D75" s="559">
        <v>5181</v>
      </c>
      <c r="E75" s="559">
        <v>5308</v>
      </c>
      <c r="F75" s="559">
        <v>5083</v>
      </c>
      <c r="G75" s="995">
        <v>4845</v>
      </c>
      <c r="H75" s="995">
        <v>4669</v>
      </c>
      <c r="I75" s="1415">
        <v>4625</v>
      </c>
      <c r="J75" s="1415">
        <v>4166</v>
      </c>
      <c r="K75" s="1907">
        <v>3996</v>
      </c>
      <c r="L75" s="863">
        <v>3941</v>
      </c>
    </row>
    <row r="76" spans="1:12" x14ac:dyDescent="0.3">
      <c r="A76" s="280" t="s">
        <v>185</v>
      </c>
      <c r="B76" s="348" t="s">
        <v>186</v>
      </c>
      <c r="C76" s="348" t="s">
        <v>251</v>
      </c>
      <c r="D76" s="559">
        <v>4231</v>
      </c>
      <c r="E76" s="559">
        <v>4585</v>
      </c>
      <c r="F76" s="559">
        <v>4634</v>
      </c>
      <c r="G76" s="995">
        <v>4673</v>
      </c>
      <c r="H76" s="995">
        <v>4535</v>
      </c>
      <c r="I76" s="1415">
        <v>4931</v>
      </c>
      <c r="J76" s="1415">
        <v>4158</v>
      </c>
      <c r="K76" s="1907">
        <v>4316</v>
      </c>
      <c r="L76" s="863">
        <v>4379</v>
      </c>
    </row>
    <row r="77" spans="1:12" x14ac:dyDescent="0.3">
      <c r="A77" s="280" t="s">
        <v>187</v>
      </c>
      <c r="B77" s="348" t="s">
        <v>188</v>
      </c>
      <c r="C77" s="348" t="s">
        <v>254</v>
      </c>
      <c r="D77" s="559">
        <v>41355</v>
      </c>
      <c r="E77" s="559">
        <v>44166</v>
      </c>
      <c r="F77" s="559">
        <v>43374</v>
      </c>
      <c r="G77" s="995">
        <v>42975</v>
      </c>
      <c r="H77" s="995">
        <v>41029</v>
      </c>
      <c r="I77" s="1415">
        <v>40191</v>
      </c>
      <c r="J77" s="1415">
        <v>36229</v>
      </c>
      <c r="K77" s="1907">
        <v>33649</v>
      </c>
      <c r="L77" s="863">
        <v>32595</v>
      </c>
    </row>
    <row r="78" spans="1:12" x14ac:dyDescent="0.3">
      <c r="A78" s="280" t="s">
        <v>189</v>
      </c>
      <c r="B78" s="348" t="s">
        <v>190</v>
      </c>
      <c r="C78" s="348" t="s">
        <v>255</v>
      </c>
      <c r="D78" s="559">
        <v>8166</v>
      </c>
      <c r="E78" s="559">
        <v>8305</v>
      </c>
      <c r="F78" s="559">
        <v>8100</v>
      </c>
      <c r="G78" s="995">
        <v>7630</v>
      </c>
      <c r="H78" s="995">
        <v>7152</v>
      </c>
      <c r="I78" s="1415">
        <v>7380</v>
      </c>
      <c r="J78" s="1415">
        <v>6770</v>
      </c>
      <c r="K78" s="1907">
        <v>6227</v>
      </c>
      <c r="L78" s="863">
        <v>6094</v>
      </c>
    </row>
    <row r="79" spans="1:12" x14ac:dyDescent="0.3">
      <c r="A79" s="280" t="s">
        <v>193</v>
      </c>
      <c r="B79" s="348" t="s">
        <v>194</v>
      </c>
      <c r="C79" s="348" t="s">
        <v>254</v>
      </c>
      <c r="D79" s="559">
        <v>859</v>
      </c>
      <c r="E79" s="559">
        <v>776</v>
      </c>
      <c r="F79" s="559">
        <v>726</v>
      </c>
      <c r="G79" s="995">
        <v>644</v>
      </c>
      <c r="H79" s="995">
        <v>578</v>
      </c>
      <c r="I79" s="1415">
        <v>610</v>
      </c>
      <c r="J79" s="1415">
        <v>561</v>
      </c>
      <c r="K79" s="1907">
        <v>493</v>
      </c>
      <c r="L79" s="863">
        <v>535</v>
      </c>
    </row>
    <row r="80" spans="1:12" x14ac:dyDescent="0.3">
      <c r="A80" s="280" t="s">
        <v>197</v>
      </c>
      <c r="B80" s="348" t="s">
        <v>259</v>
      </c>
      <c r="C80" s="348" t="s">
        <v>253</v>
      </c>
      <c r="D80" s="559">
        <v>2065</v>
      </c>
      <c r="E80" s="559">
        <v>2136</v>
      </c>
      <c r="F80" s="559">
        <v>2129</v>
      </c>
      <c r="G80" s="995">
        <v>2061</v>
      </c>
      <c r="H80" s="995">
        <v>1974</v>
      </c>
      <c r="I80" s="1415">
        <v>2081</v>
      </c>
      <c r="J80" s="1415">
        <v>1829</v>
      </c>
      <c r="K80" s="1907">
        <v>1811</v>
      </c>
      <c r="L80" s="863">
        <v>1703</v>
      </c>
    </row>
    <row r="81" spans="1:12" x14ac:dyDescent="0.3">
      <c r="A81" s="280" t="s">
        <v>201</v>
      </c>
      <c r="B81" s="348" t="s">
        <v>276</v>
      </c>
      <c r="C81" s="348" t="s">
        <v>252</v>
      </c>
      <c r="D81" s="559">
        <v>12255</v>
      </c>
      <c r="E81" s="559">
        <v>12719</v>
      </c>
      <c r="F81" s="559">
        <v>12532</v>
      </c>
      <c r="G81" s="995">
        <v>12267</v>
      </c>
      <c r="H81" s="995">
        <v>11094</v>
      </c>
      <c r="I81" s="1415">
        <v>10891</v>
      </c>
      <c r="J81" s="1415">
        <v>10043</v>
      </c>
      <c r="K81" s="1907">
        <v>9134</v>
      </c>
      <c r="L81" s="863">
        <v>9134</v>
      </c>
    </row>
    <row r="82" spans="1:12" x14ac:dyDescent="0.3">
      <c r="A82" s="280" t="s">
        <v>203</v>
      </c>
      <c r="B82" s="348" t="s">
        <v>269</v>
      </c>
      <c r="C82" s="348" t="s">
        <v>252</v>
      </c>
      <c r="D82" s="559">
        <v>5804</v>
      </c>
      <c r="E82" s="559">
        <v>6338</v>
      </c>
      <c r="F82" s="559">
        <v>6017</v>
      </c>
      <c r="G82" s="995">
        <v>5689</v>
      </c>
      <c r="H82" s="995">
        <v>5452</v>
      </c>
      <c r="I82" s="1415">
        <v>5607</v>
      </c>
      <c r="J82" s="1415">
        <v>4733</v>
      </c>
      <c r="K82" s="1907">
        <v>4624</v>
      </c>
      <c r="L82" s="863">
        <v>4499</v>
      </c>
    </row>
    <row r="83" spans="1:12" x14ac:dyDescent="0.3">
      <c r="A83" s="280" t="s">
        <v>205</v>
      </c>
      <c r="B83" s="348" t="s">
        <v>270</v>
      </c>
      <c r="C83" s="348" t="s">
        <v>254</v>
      </c>
      <c r="D83" s="559">
        <v>17555</v>
      </c>
      <c r="E83" s="559">
        <v>18620</v>
      </c>
      <c r="F83" s="559">
        <v>17367</v>
      </c>
      <c r="G83" s="995">
        <v>16331</v>
      </c>
      <c r="H83" s="995">
        <v>15325</v>
      </c>
      <c r="I83" s="1415">
        <v>15328</v>
      </c>
      <c r="J83" s="1415">
        <v>13129</v>
      </c>
      <c r="K83" s="1907">
        <v>12403</v>
      </c>
      <c r="L83" s="863">
        <v>11723</v>
      </c>
    </row>
    <row r="84" spans="1:12" x14ac:dyDescent="0.3">
      <c r="A84" s="280" t="s">
        <v>207</v>
      </c>
      <c r="B84" s="348" t="s">
        <v>208</v>
      </c>
      <c r="C84" s="348" t="s">
        <v>255</v>
      </c>
      <c r="D84" s="559">
        <v>7801</v>
      </c>
      <c r="E84" s="559">
        <v>8078</v>
      </c>
      <c r="F84" s="559">
        <v>8083</v>
      </c>
      <c r="G84" s="995">
        <v>7805</v>
      </c>
      <c r="H84" s="995">
        <v>7419</v>
      </c>
      <c r="I84" s="1415">
        <v>7303</v>
      </c>
      <c r="J84" s="1415">
        <v>6660</v>
      </c>
      <c r="K84" s="1907">
        <v>6438</v>
      </c>
      <c r="L84" s="863">
        <v>6612</v>
      </c>
    </row>
    <row r="85" spans="1:12" x14ac:dyDescent="0.3">
      <c r="A85" s="280" t="s">
        <v>209</v>
      </c>
      <c r="B85" s="348" t="s">
        <v>210</v>
      </c>
      <c r="C85" s="348" t="s">
        <v>255</v>
      </c>
      <c r="D85" s="559">
        <v>5456</v>
      </c>
      <c r="E85" s="559">
        <v>5645</v>
      </c>
      <c r="F85" s="559">
        <v>5540</v>
      </c>
      <c r="G85" s="995">
        <v>5125</v>
      </c>
      <c r="H85" s="995">
        <v>4922</v>
      </c>
      <c r="I85" s="1415">
        <v>4911</v>
      </c>
      <c r="J85" s="1415">
        <v>4641</v>
      </c>
      <c r="K85" s="1907">
        <v>4310</v>
      </c>
      <c r="L85" s="863">
        <v>4289</v>
      </c>
    </row>
    <row r="86" spans="1:12" x14ac:dyDescent="0.3">
      <c r="A86" s="280" t="s">
        <v>211</v>
      </c>
      <c r="B86" s="348" t="s">
        <v>212</v>
      </c>
      <c r="C86" s="348" t="s">
        <v>254</v>
      </c>
      <c r="D86" s="559">
        <v>7949</v>
      </c>
      <c r="E86" s="559">
        <v>8202</v>
      </c>
      <c r="F86" s="559">
        <v>7851</v>
      </c>
      <c r="G86" s="995">
        <v>7438</v>
      </c>
      <c r="H86" s="995">
        <v>6828</v>
      </c>
      <c r="I86" s="1415">
        <v>6669</v>
      </c>
      <c r="J86" s="1415">
        <v>6094</v>
      </c>
      <c r="K86" s="1907">
        <v>5931</v>
      </c>
      <c r="L86" s="863">
        <v>5969</v>
      </c>
    </row>
    <row r="87" spans="1:12" x14ac:dyDescent="0.3">
      <c r="A87" s="280" t="s">
        <v>213</v>
      </c>
      <c r="B87" s="348" t="s">
        <v>214</v>
      </c>
      <c r="C87" s="348" t="s">
        <v>255</v>
      </c>
      <c r="D87" s="559">
        <v>9001</v>
      </c>
      <c r="E87" s="559">
        <v>9147</v>
      </c>
      <c r="F87" s="559">
        <v>8739</v>
      </c>
      <c r="G87" s="995">
        <v>8434</v>
      </c>
      <c r="H87" s="995">
        <v>8136</v>
      </c>
      <c r="I87" s="1415">
        <v>7854</v>
      </c>
      <c r="J87" s="1415">
        <v>7350</v>
      </c>
      <c r="K87" s="1907">
        <v>7061</v>
      </c>
      <c r="L87" s="863">
        <v>6919</v>
      </c>
    </row>
    <row r="88" spans="1:12" x14ac:dyDescent="0.3">
      <c r="A88" s="280" t="s">
        <v>215</v>
      </c>
      <c r="B88" s="348" t="s">
        <v>216</v>
      </c>
      <c r="C88" s="348" t="s">
        <v>251</v>
      </c>
      <c r="D88" s="559">
        <v>4218</v>
      </c>
      <c r="E88" s="559">
        <v>4321</v>
      </c>
      <c r="F88" s="559">
        <v>4188</v>
      </c>
      <c r="G88" s="995">
        <v>4002</v>
      </c>
      <c r="H88" s="995">
        <v>3789</v>
      </c>
      <c r="I88" s="1415">
        <v>3767</v>
      </c>
      <c r="J88" s="1415">
        <v>3329</v>
      </c>
      <c r="K88" s="1907">
        <v>3118</v>
      </c>
      <c r="L88" s="863">
        <v>3035</v>
      </c>
    </row>
    <row r="89" spans="1:12" x14ac:dyDescent="0.3">
      <c r="A89" s="280" t="s">
        <v>217</v>
      </c>
      <c r="B89" s="348" t="s">
        <v>218</v>
      </c>
      <c r="C89" s="348" t="s">
        <v>254</v>
      </c>
      <c r="D89" s="559">
        <v>17673</v>
      </c>
      <c r="E89" s="559">
        <v>18199</v>
      </c>
      <c r="F89" s="559">
        <v>18017</v>
      </c>
      <c r="G89" s="995">
        <v>17490</v>
      </c>
      <c r="H89" s="995">
        <v>16686</v>
      </c>
      <c r="I89" s="1415">
        <v>16677</v>
      </c>
      <c r="J89" s="1415">
        <v>14985</v>
      </c>
      <c r="K89" s="1907">
        <v>14244</v>
      </c>
      <c r="L89" s="863">
        <v>14361</v>
      </c>
    </row>
    <row r="90" spans="1:12" x14ac:dyDescent="0.3">
      <c r="A90" s="280" t="s">
        <v>219</v>
      </c>
      <c r="B90" s="348" t="s">
        <v>220</v>
      </c>
      <c r="C90" s="348" t="s">
        <v>254</v>
      </c>
      <c r="D90" s="559">
        <v>14072</v>
      </c>
      <c r="E90" s="559">
        <v>14922</v>
      </c>
      <c r="F90" s="559">
        <v>14815</v>
      </c>
      <c r="G90" s="995">
        <v>14394</v>
      </c>
      <c r="H90" s="995">
        <v>13340</v>
      </c>
      <c r="I90" s="1415">
        <v>13360</v>
      </c>
      <c r="J90" s="1415">
        <v>11964</v>
      </c>
      <c r="K90" s="1907">
        <v>12112</v>
      </c>
      <c r="L90" s="863">
        <v>12764</v>
      </c>
    </row>
    <row r="91" spans="1:12" x14ac:dyDescent="0.3">
      <c r="A91" s="280" t="s">
        <v>223</v>
      </c>
      <c r="B91" s="348" t="s">
        <v>224</v>
      </c>
      <c r="C91" s="348" t="s">
        <v>251</v>
      </c>
      <c r="D91" s="559">
        <v>1393</v>
      </c>
      <c r="E91" s="559">
        <v>1565</v>
      </c>
      <c r="F91" s="559">
        <v>1486</v>
      </c>
      <c r="G91" s="995">
        <v>1429</v>
      </c>
      <c r="H91" s="995">
        <v>1328</v>
      </c>
      <c r="I91" s="1415">
        <v>1324</v>
      </c>
      <c r="J91" s="1415">
        <v>1153</v>
      </c>
      <c r="K91" s="1907">
        <v>1128</v>
      </c>
      <c r="L91" s="863">
        <v>1134</v>
      </c>
    </row>
    <row r="92" spans="1:12" x14ac:dyDescent="0.3">
      <c r="A92" s="280" t="s">
        <v>225</v>
      </c>
      <c r="B92" s="348" t="s">
        <v>226</v>
      </c>
      <c r="C92" s="348" t="s">
        <v>251</v>
      </c>
      <c r="D92" s="559">
        <v>2683</v>
      </c>
      <c r="E92" s="559">
        <v>2788</v>
      </c>
      <c r="F92" s="559">
        <v>2769</v>
      </c>
      <c r="G92" s="995">
        <v>2753</v>
      </c>
      <c r="H92" s="995">
        <v>2586</v>
      </c>
      <c r="I92" s="1415">
        <v>2590</v>
      </c>
      <c r="J92" s="1415">
        <v>2303</v>
      </c>
      <c r="K92" s="1907">
        <v>2195</v>
      </c>
      <c r="L92" s="863">
        <v>2246</v>
      </c>
    </row>
    <row r="93" spans="1:12" x14ac:dyDescent="0.3">
      <c r="A93" s="280" t="s">
        <v>227</v>
      </c>
      <c r="B93" s="348" t="s">
        <v>228</v>
      </c>
      <c r="C93" s="348" t="s">
        <v>255</v>
      </c>
      <c r="D93" s="559">
        <v>10464</v>
      </c>
      <c r="E93" s="559">
        <v>11395</v>
      </c>
      <c r="F93" s="559">
        <v>11440</v>
      </c>
      <c r="G93" s="995">
        <v>11411</v>
      </c>
      <c r="H93" s="995">
        <v>10951</v>
      </c>
      <c r="I93" s="1415">
        <v>10959</v>
      </c>
      <c r="J93" s="1415">
        <v>10097</v>
      </c>
      <c r="K93" s="1907">
        <v>9574</v>
      </c>
      <c r="L93" s="863">
        <v>9609</v>
      </c>
    </row>
    <row r="94" spans="1:12" x14ac:dyDescent="0.3">
      <c r="A94" s="280" t="s">
        <v>231</v>
      </c>
      <c r="B94" s="348" t="s">
        <v>232</v>
      </c>
      <c r="C94" s="348" t="s">
        <v>254</v>
      </c>
      <c r="D94" s="559">
        <v>7230</v>
      </c>
      <c r="E94" s="559">
        <v>7566</v>
      </c>
      <c r="F94" s="559">
        <v>7184</v>
      </c>
      <c r="G94" s="995">
        <v>6824</v>
      </c>
      <c r="H94" s="995">
        <v>6201</v>
      </c>
      <c r="I94" s="1415">
        <v>5949</v>
      </c>
      <c r="J94" s="1415">
        <v>5588</v>
      </c>
      <c r="K94" s="1907">
        <v>5293</v>
      </c>
      <c r="L94" s="863">
        <v>5105</v>
      </c>
    </row>
    <row r="95" spans="1:12" x14ac:dyDescent="0.3">
      <c r="A95" s="280" t="s">
        <v>233</v>
      </c>
      <c r="B95" s="348" t="s">
        <v>234</v>
      </c>
      <c r="C95" s="348" t="s">
        <v>255</v>
      </c>
      <c r="D95" s="559">
        <v>10722</v>
      </c>
      <c r="E95" s="559">
        <v>11031</v>
      </c>
      <c r="F95" s="559">
        <v>10840</v>
      </c>
      <c r="G95" s="995">
        <v>10608</v>
      </c>
      <c r="H95" s="995">
        <v>10070</v>
      </c>
      <c r="I95" s="1415">
        <v>10087</v>
      </c>
      <c r="J95" s="1415">
        <v>9222</v>
      </c>
      <c r="K95" s="1907">
        <v>8644</v>
      </c>
      <c r="L95" s="863">
        <v>8291</v>
      </c>
    </row>
    <row r="96" spans="1:12" x14ac:dyDescent="0.3">
      <c r="A96" s="280" t="s">
        <v>235</v>
      </c>
      <c r="B96" s="348" t="s">
        <v>236</v>
      </c>
      <c r="C96" s="348" t="s">
        <v>253</v>
      </c>
      <c r="D96" s="559">
        <v>4518</v>
      </c>
      <c r="E96" s="559">
        <v>4731</v>
      </c>
      <c r="F96" s="559">
        <v>4508</v>
      </c>
      <c r="G96" s="995">
        <v>4521</v>
      </c>
      <c r="H96" s="995">
        <v>4393</v>
      </c>
      <c r="I96" s="1415">
        <v>4314</v>
      </c>
      <c r="J96" s="1415">
        <v>3936</v>
      </c>
      <c r="K96" s="1907">
        <v>3835</v>
      </c>
      <c r="L96" s="863">
        <v>3858</v>
      </c>
    </row>
    <row r="97" spans="1:12" x14ac:dyDescent="0.3">
      <c r="A97" s="280" t="s">
        <v>241</v>
      </c>
      <c r="B97" s="348" t="s">
        <v>242</v>
      </c>
      <c r="C97" s="348" t="s">
        <v>255</v>
      </c>
      <c r="D97" s="559">
        <v>11774</v>
      </c>
      <c r="E97" s="559">
        <v>12270</v>
      </c>
      <c r="F97" s="559">
        <v>12222</v>
      </c>
      <c r="G97" s="995">
        <v>11233</v>
      </c>
      <c r="H97" s="995">
        <v>10828</v>
      </c>
      <c r="I97" s="1415">
        <v>10872</v>
      </c>
      <c r="J97" s="1415">
        <v>9894</v>
      </c>
      <c r="K97" s="1907">
        <v>9431</v>
      </c>
      <c r="L97" s="863">
        <v>9297</v>
      </c>
    </row>
    <row r="98" spans="1:12" x14ac:dyDescent="0.3">
      <c r="A98" s="280" t="s">
        <v>243</v>
      </c>
      <c r="B98" s="348" t="s">
        <v>244</v>
      </c>
      <c r="C98" s="348" t="s">
        <v>255</v>
      </c>
      <c r="D98" s="559">
        <v>6549</v>
      </c>
      <c r="E98" s="559">
        <v>6489</v>
      </c>
      <c r="F98" s="559">
        <v>6233</v>
      </c>
      <c r="G98" s="995">
        <v>5948</v>
      </c>
      <c r="H98" s="995">
        <v>5570</v>
      </c>
      <c r="I98" s="1415">
        <v>5475</v>
      </c>
      <c r="J98" s="1415">
        <v>5276</v>
      </c>
      <c r="K98" s="1907">
        <v>5025</v>
      </c>
      <c r="L98" s="863">
        <v>5165</v>
      </c>
    </row>
    <row r="99" spans="1:12" x14ac:dyDescent="0.3">
      <c r="A99" s="280" t="s">
        <v>245</v>
      </c>
      <c r="B99" s="348" t="s">
        <v>246</v>
      </c>
      <c r="C99" s="348" t="s">
        <v>251</v>
      </c>
      <c r="D99" s="559">
        <v>5169</v>
      </c>
      <c r="E99" s="559">
        <v>5366</v>
      </c>
      <c r="F99" s="559">
        <v>5355</v>
      </c>
      <c r="G99" s="995">
        <v>5182</v>
      </c>
      <c r="H99" s="995">
        <v>4832</v>
      </c>
      <c r="I99" s="1415">
        <v>4953</v>
      </c>
      <c r="J99" s="1415">
        <v>4244</v>
      </c>
      <c r="K99" s="1907">
        <v>3923</v>
      </c>
      <c r="L99" s="863">
        <v>3959</v>
      </c>
    </row>
    <row r="100" spans="1:12" x14ac:dyDescent="0.3">
      <c r="A100" s="280" t="s">
        <v>13</v>
      </c>
      <c r="B100" s="348" t="s">
        <v>14</v>
      </c>
      <c r="C100" s="348" t="s">
        <v>254</v>
      </c>
      <c r="D100" s="559">
        <v>12473</v>
      </c>
      <c r="E100" s="559">
        <v>12976</v>
      </c>
      <c r="F100" s="559">
        <v>12605</v>
      </c>
      <c r="G100" s="995">
        <v>12820</v>
      </c>
      <c r="H100" s="995">
        <v>12906</v>
      </c>
      <c r="I100" s="1415">
        <v>13756</v>
      </c>
      <c r="J100" s="1415">
        <v>12997</v>
      </c>
      <c r="K100" s="1907">
        <v>12116</v>
      </c>
      <c r="L100" s="863">
        <v>12052</v>
      </c>
    </row>
    <row r="101" spans="1:12" x14ac:dyDescent="0.3">
      <c r="A101" s="280" t="s">
        <v>33</v>
      </c>
      <c r="B101" s="348" t="s">
        <v>34</v>
      </c>
      <c r="C101" s="348" t="s">
        <v>255</v>
      </c>
      <c r="D101" s="559">
        <v>6630</v>
      </c>
      <c r="E101" s="559">
        <v>6946</v>
      </c>
      <c r="F101" s="559">
        <v>6616</v>
      </c>
      <c r="G101" s="995">
        <v>6310</v>
      </c>
      <c r="H101" s="995">
        <v>5914</v>
      </c>
      <c r="I101" s="1415">
        <v>5827</v>
      </c>
      <c r="J101" s="1415">
        <v>5559</v>
      </c>
      <c r="K101" s="1907">
        <v>5543</v>
      </c>
      <c r="L101" s="863">
        <v>5688</v>
      </c>
    </row>
    <row r="102" spans="1:12" x14ac:dyDescent="0.3">
      <c r="A102" s="280" t="s">
        <v>51</v>
      </c>
      <c r="B102" s="348" t="s">
        <v>52</v>
      </c>
      <c r="C102" s="348" t="s">
        <v>252</v>
      </c>
      <c r="D102" s="559">
        <v>8248</v>
      </c>
      <c r="E102" s="559">
        <v>8283</v>
      </c>
      <c r="F102" s="559">
        <v>7591</v>
      </c>
      <c r="G102" s="995">
        <v>7279</v>
      </c>
      <c r="H102" s="995">
        <v>6522</v>
      </c>
      <c r="I102" s="1415">
        <v>6389</v>
      </c>
      <c r="J102" s="1415">
        <v>5685</v>
      </c>
      <c r="K102" s="1907">
        <v>5464</v>
      </c>
      <c r="L102" s="863">
        <v>5589</v>
      </c>
    </row>
    <row r="103" spans="1:12" x14ac:dyDescent="0.3">
      <c r="A103" s="280" t="s">
        <v>53</v>
      </c>
      <c r="B103" s="348" t="s">
        <v>54</v>
      </c>
      <c r="C103" s="348" t="s">
        <v>251</v>
      </c>
      <c r="D103" s="559">
        <v>33539</v>
      </c>
      <c r="E103" s="559">
        <v>35409</v>
      </c>
      <c r="F103" s="559">
        <v>34796</v>
      </c>
      <c r="G103" s="995">
        <v>33850</v>
      </c>
      <c r="H103" s="995">
        <v>31860</v>
      </c>
      <c r="I103" s="1415">
        <v>31123</v>
      </c>
      <c r="J103" s="1415">
        <v>27317</v>
      </c>
      <c r="K103" s="1907">
        <v>26650</v>
      </c>
      <c r="L103" s="863">
        <v>26526</v>
      </c>
    </row>
    <row r="104" spans="1:12" x14ac:dyDescent="0.3">
      <c r="A104" s="280" t="s">
        <v>65</v>
      </c>
      <c r="B104" s="348" t="s">
        <v>66</v>
      </c>
      <c r="C104" s="348" t="s">
        <v>252</v>
      </c>
      <c r="D104" s="559">
        <v>17789</v>
      </c>
      <c r="E104" s="559">
        <v>18071</v>
      </c>
      <c r="F104" s="559">
        <v>17594</v>
      </c>
      <c r="G104" s="995">
        <v>17210</v>
      </c>
      <c r="H104" s="995">
        <v>16295</v>
      </c>
      <c r="I104" s="1415">
        <v>15991</v>
      </c>
      <c r="J104" s="1415">
        <v>15129</v>
      </c>
      <c r="K104" s="1907">
        <v>14888</v>
      </c>
      <c r="L104" s="863">
        <v>15162</v>
      </c>
    </row>
    <row r="105" spans="1:12" x14ac:dyDescent="0.3">
      <c r="A105" s="280" t="s">
        <v>81</v>
      </c>
      <c r="B105" s="348" t="s">
        <v>82</v>
      </c>
      <c r="C105" s="348" t="s">
        <v>251</v>
      </c>
      <c r="D105" s="559">
        <v>3629</v>
      </c>
      <c r="E105" s="559">
        <v>3736</v>
      </c>
      <c r="F105" s="559">
        <v>3504</v>
      </c>
      <c r="G105" s="995">
        <v>3469</v>
      </c>
      <c r="H105" s="995">
        <v>3297</v>
      </c>
      <c r="I105" s="1415">
        <v>3409</v>
      </c>
      <c r="J105" s="1415">
        <v>3139</v>
      </c>
      <c r="K105" s="1907">
        <v>2983</v>
      </c>
      <c r="L105" s="863">
        <v>3024</v>
      </c>
    </row>
    <row r="106" spans="1:12" x14ac:dyDescent="0.3">
      <c r="A106" s="280" t="s">
        <v>87</v>
      </c>
      <c r="B106" s="348" t="s">
        <v>88</v>
      </c>
      <c r="C106" s="348" t="s">
        <v>254</v>
      </c>
      <c r="D106" s="559">
        <v>7012</v>
      </c>
      <c r="E106" s="559">
        <v>7111</v>
      </c>
      <c r="F106" s="559">
        <v>6831</v>
      </c>
      <c r="G106" s="995">
        <v>6571</v>
      </c>
      <c r="H106" s="995">
        <v>6013</v>
      </c>
      <c r="I106" s="1415">
        <v>6253</v>
      </c>
      <c r="J106" s="1415">
        <v>5807</v>
      </c>
      <c r="K106" s="1907">
        <v>5721</v>
      </c>
      <c r="L106" s="863">
        <v>5959</v>
      </c>
    </row>
    <row r="107" spans="1:12" x14ac:dyDescent="0.3">
      <c r="A107" s="280" t="s">
        <v>89</v>
      </c>
      <c r="B107" s="348" t="s">
        <v>90</v>
      </c>
      <c r="C107" s="348" t="s">
        <v>255</v>
      </c>
      <c r="D107" s="559">
        <v>2643</v>
      </c>
      <c r="E107" s="559">
        <v>2684</v>
      </c>
      <c r="F107" s="559">
        <v>2707</v>
      </c>
      <c r="G107" s="995">
        <v>2530</v>
      </c>
      <c r="H107" s="995">
        <v>2483</v>
      </c>
      <c r="I107" s="1415">
        <v>2560</v>
      </c>
      <c r="J107" s="1415">
        <v>2242</v>
      </c>
      <c r="K107" s="1907">
        <v>2184</v>
      </c>
      <c r="L107" s="863">
        <v>2044</v>
      </c>
    </row>
    <row r="108" spans="1:12" x14ac:dyDescent="0.3">
      <c r="A108" s="280" t="s">
        <v>105</v>
      </c>
      <c r="B108" s="348" t="s">
        <v>106</v>
      </c>
      <c r="C108" s="348" t="s">
        <v>251</v>
      </c>
      <c r="D108" s="559">
        <v>31871</v>
      </c>
      <c r="E108" s="559">
        <v>33549</v>
      </c>
      <c r="F108" s="559">
        <v>32859</v>
      </c>
      <c r="G108" s="995">
        <v>31412</v>
      </c>
      <c r="H108" s="995">
        <v>29509</v>
      </c>
      <c r="I108" s="1415">
        <v>29820</v>
      </c>
      <c r="J108" s="1415">
        <v>27215</v>
      </c>
      <c r="K108" s="1907">
        <v>26370</v>
      </c>
      <c r="L108" s="863">
        <v>26683</v>
      </c>
    </row>
    <row r="109" spans="1:12" x14ac:dyDescent="0.3">
      <c r="A109" s="280" t="s">
        <v>115</v>
      </c>
      <c r="B109" s="348" t="s">
        <v>116</v>
      </c>
      <c r="C109" s="348" t="s">
        <v>253</v>
      </c>
      <c r="D109" s="559">
        <v>9530</v>
      </c>
      <c r="E109" s="559">
        <v>9821</v>
      </c>
      <c r="F109" s="559">
        <v>9748</v>
      </c>
      <c r="G109" s="995">
        <v>9733</v>
      </c>
      <c r="H109" s="995">
        <v>9579</v>
      </c>
      <c r="I109" s="1415">
        <v>9776</v>
      </c>
      <c r="J109" s="1415">
        <v>9061</v>
      </c>
      <c r="K109" s="1907">
        <v>8889</v>
      </c>
      <c r="L109" s="863">
        <v>8693</v>
      </c>
    </row>
    <row r="110" spans="1:12" x14ac:dyDescent="0.3">
      <c r="A110" s="280" t="s">
        <v>137</v>
      </c>
      <c r="B110" s="348" t="s">
        <v>138</v>
      </c>
      <c r="C110" s="348" t="s">
        <v>252</v>
      </c>
      <c r="D110" s="559">
        <v>18533</v>
      </c>
      <c r="E110" s="559">
        <v>19294</v>
      </c>
      <c r="F110" s="559">
        <v>18924</v>
      </c>
      <c r="G110" s="995">
        <v>18024</v>
      </c>
      <c r="H110" s="995">
        <v>16438</v>
      </c>
      <c r="I110" s="1415">
        <v>16151</v>
      </c>
      <c r="J110" s="1415">
        <v>15066</v>
      </c>
      <c r="K110" s="1907">
        <v>14392</v>
      </c>
      <c r="L110" s="863">
        <v>14625</v>
      </c>
    </row>
    <row r="111" spans="1:12" x14ac:dyDescent="0.3">
      <c r="A111" s="280" t="s">
        <v>141</v>
      </c>
      <c r="B111" s="348" t="s">
        <v>142</v>
      </c>
      <c r="C111" s="348" t="s">
        <v>254</v>
      </c>
      <c r="D111" s="559">
        <v>6198</v>
      </c>
      <c r="E111" s="559">
        <v>6541</v>
      </c>
      <c r="F111" s="559">
        <v>6421</v>
      </c>
      <c r="G111" s="995">
        <v>6310</v>
      </c>
      <c r="H111" s="995">
        <v>5788</v>
      </c>
      <c r="I111" s="1415">
        <v>5847</v>
      </c>
      <c r="J111" s="1415">
        <v>4964</v>
      </c>
      <c r="K111" s="1907">
        <v>4359</v>
      </c>
      <c r="L111" s="863">
        <v>4126</v>
      </c>
    </row>
    <row r="112" spans="1:12" x14ac:dyDescent="0.3">
      <c r="A112" s="280" t="s">
        <v>143</v>
      </c>
      <c r="B112" s="348" t="s">
        <v>144</v>
      </c>
      <c r="C112" s="348" t="s">
        <v>254</v>
      </c>
      <c r="D112" s="559">
        <v>1907</v>
      </c>
      <c r="E112" s="559">
        <v>1969</v>
      </c>
      <c r="F112" s="559">
        <v>1874</v>
      </c>
      <c r="G112" s="995">
        <v>1887</v>
      </c>
      <c r="H112" s="995">
        <v>1830</v>
      </c>
      <c r="I112" s="1415">
        <v>1910</v>
      </c>
      <c r="J112" s="1415">
        <v>1513</v>
      </c>
      <c r="K112" s="1907">
        <v>1354</v>
      </c>
      <c r="L112" s="863">
        <v>1319</v>
      </c>
    </row>
    <row r="113" spans="1:12" x14ac:dyDescent="0.3">
      <c r="A113" s="280" t="s">
        <v>157</v>
      </c>
      <c r="B113" s="348" t="s">
        <v>158</v>
      </c>
      <c r="C113" s="348" t="s">
        <v>251</v>
      </c>
      <c r="D113" s="559">
        <v>49459</v>
      </c>
      <c r="E113" s="559">
        <v>51582</v>
      </c>
      <c r="F113" s="559">
        <v>50423</v>
      </c>
      <c r="G113" s="995">
        <v>48996</v>
      </c>
      <c r="H113" s="995">
        <v>46807</v>
      </c>
      <c r="I113" s="1415">
        <v>46064</v>
      </c>
      <c r="J113" s="1415">
        <v>42059</v>
      </c>
      <c r="K113" s="1907">
        <v>40863</v>
      </c>
      <c r="L113" s="863">
        <v>40868</v>
      </c>
    </row>
    <row r="114" spans="1:12" x14ac:dyDescent="0.3">
      <c r="A114" s="280" t="s">
        <v>159</v>
      </c>
      <c r="B114" s="348" t="s">
        <v>160</v>
      </c>
      <c r="C114" s="348" t="s">
        <v>251</v>
      </c>
      <c r="D114" s="559">
        <v>66743</v>
      </c>
      <c r="E114" s="559">
        <v>69189</v>
      </c>
      <c r="F114" s="559">
        <v>67204</v>
      </c>
      <c r="G114" s="995">
        <v>64028</v>
      </c>
      <c r="H114" s="995">
        <v>59598</v>
      </c>
      <c r="I114" s="1415">
        <v>57875</v>
      </c>
      <c r="J114" s="1415">
        <v>50666</v>
      </c>
      <c r="K114" s="1907">
        <v>48937</v>
      </c>
      <c r="L114" s="863">
        <v>48739</v>
      </c>
    </row>
    <row r="115" spans="1:12" x14ac:dyDescent="0.3">
      <c r="A115" s="280" t="s">
        <v>165</v>
      </c>
      <c r="B115" s="348" t="s">
        <v>166</v>
      </c>
      <c r="C115" s="348" t="s">
        <v>255</v>
      </c>
      <c r="D115" s="559">
        <v>1551</v>
      </c>
      <c r="E115" s="559">
        <v>1556</v>
      </c>
      <c r="F115" s="559">
        <v>1493</v>
      </c>
      <c r="G115" s="995">
        <v>1429</v>
      </c>
      <c r="H115" s="995">
        <v>1493</v>
      </c>
      <c r="I115" s="1415">
        <v>1458</v>
      </c>
      <c r="J115" s="1415">
        <v>1264</v>
      </c>
      <c r="K115" s="1907">
        <v>1233</v>
      </c>
      <c r="L115" s="863">
        <v>1245</v>
      </c>
    </row>
    <row r="116" spans="1:12" x14ac:dyDescent="0.3">
      <c r="A116" s="280" t="s">
        <v>175</v>
      </c>
      <c r="B116" s="348" t="s">
        <v>176</v>
      </c>
      <c r="C116" s="348" t="s">
        <v>253</v>
      </c>
      <c r="D116" s="559">
        <v>14910</v>
      </c>
      <c r="E116" s="559">
        <v>15295</v>
      </c>
      <c r="F116" s="559">
        <v>15021</v>
      </c>
      <c r="G116" s="995">
        <v>14682</v>
      </c>
      <c r="H116" s="995">
        <v>13926</v>
      </c>
      <c r="I116" s="1415">
        <v>13847</v>
      </c>
      <c r="J116" s="1415">
        <v>12807</v>
      </c>
      <c r="K116" s="1907">
        <v>12770</v>
      </c>
      <c r="L116" s="863">
        <v>13030</v>
      </c>
    </row>
    <row r="117" spans="1:12" x14ac:dyDescent="0.3">
      <c r="A117" s="280" t="s">
        <v>179</v>
      </c>
      <c r="B117" s="348" t="s">
        <v>180</v>
      </c>
      <c r="C117" s="348" t="s">
        <v>251</v>
      </c>
      <c r="D117" s="559">
        <v>31747</v>
      </c>
      <c r="E117" s="559">
        <v>33374</v>
      </c>
      <c r="F117" s="559">
        <v>32193</v>
      </c>
      <c r="G117" s="995">
        <v>31117</v>
      </c>
      <c r="H117" s="995">
        <v>29675</v>
      </c>
      <c r="I117" s="1415">
        <v>30093</v>
      </c>
      <c r="J117" s="1415">
        <v>27226</v>
      </c>
      <c r="K117" s="1907">
        <v>26952</v>
      </c>
      <c r="L117" s="863">
        <v>27591</v>
      </c>
    </row>
    <row r="118" spans="1:12" x14ac:dyDescent="0.3">
      <c r="A118" s="280" t="s">
        <v>191</v>
      </c>
      <c r="B118" s="348" t="s">
        <v>192</v>
      </c>
      <c r="C118" s="348" t="s">
        <v>255</v>
      </c>
      <c r="D118" s="559">
        <v>2611</v>
      </c>
      <c r="E118" s="559">
        <v>2688</v>
      </c>
      <c r="F118" s="559">
        <v>2667</v>
      </c>
      <c r="G118" s="995">
        <v>2547</v>
      </c>
      <c r="H118" s="995">
        <v>2301</v>
      </c>
      <c r="I118" s="1415">
        <v>2335</v>
      </c>
      <c r="J118" s="1415">
        <v>2087</v>
      </c>
      <c r="K118" s="1907">
        <v>1998</v>
      </c>
      <c r="L118" s="863">
        <v>2009</v>
      </c>
    </row>
    <row r="119" spans="1:12" x14ac:dyDescent="0.3">
      <c r="A119" s="280" t="s">
        <v>195</v>
      </c>
      <c r="B119" s="348" t="s">
        <v>196</v>
      </c>
      <c r="C119" s="348" t="s">
        <v>253</v>
      </c>
      <c r="D119" s="559">
        <v>69910</v>
      </c>
      <c r="E119" s="559">
        <v>72491</v>
      </c>
      <c r="F119" s="559">
        <v>69630</v>
      </c>
      <c r="G119" s="995">
        <v>66399</v>
      </c>
      <c r="H119" s="995">
        <v>61552</v>
      </c>
      <c r="I119" s="1415">
        <v>61028</v>
      </c>
      <c r="J119" s="1415">
        <v>53515</v>
      </c>
      <c r="K119" s="1907">
        <v>51315</v>
      </c>
      <c r="L119" s="863">
        <v>50787</v>
      </c>
    </row>
    <row r="120" spans="1:12" x14ac:dyDescent="0.3">
      <c r="A120" s="280" t="s">
        <v>199</v>
      </c>
      <c r="B120" s="348" t="s">
        <v>200</v>
      </c>
      <c r="C120" s="348" t="s">
        <v>252</v>
      </c>
      <c r="D120" s="559">
        <v>32657</v>
      </c>
      <c r="E120" s="559">
        <v>34665</v>
      </c>
      <c r="F120" s="559">
        <v>33761</v>
      </c>
      <c r="G120" s="995">
        <v>32660</v>
      </c>
      <c r="H120" s="995">
        <v>29521</v>
      </c>
      <c r="I120" s="1415">
        <v>29589</v>
      </c>
      <c r="J120" s="1415">
        <v>27780</v>
      </c>
      <c r="K120" s="1907">
        <v>27030</v>
      </c>
      <c r="L120" s="863">
        <v>26794</v>
      </c>
    </row>
    <row r="121" spans="1:12" x14ac:dyDescent="0.3">
      <c r="A121" s="280" t="s">
        <v>221</v>
      </c>
      <c r="B121" s="348" t="s">
        <v>222</v>
      </c>
      <c r="C121" s="348" t="s">
        <v>251</v>
      </c>
      <c r="D121" s="559">
        <v>17398</v>
      </c>
      <c r="E121" s="559">
        <v>18229</v>
      </c>
      <c r="F121" s="559">
        <v>17980</v>
      </c>
      <c r="G121" s="995">
        <v>17450</v>
      </c>
      <c r="H121" s="995">
        <v>16517</v>
      </c>
      <c r="I121" s="1415">
        <v>16389</v>
      </c>
      <c r="J121" s="1415">
        <v>14997</v>
      </c>
      <c r="K121" s="1907">
        <v>14411</v>
      </c>
      <c r="L121" s="863">
        <v>14218</v>
      </c>
    </row>
    <row r="122" spans="1:12" x14ac:dyDescent="0.3">
      <c r="A122" s="280" t="s">
        <v>229</v>
      </c>
      <c r="B122" s="348" t="s">
        <v>230</v>
      </c>
      <c r="C122" s="348" t="s">
        <v>251</v>
      </c>
      <c r="D122" s="559">
        <v>51503</v>
      </c>
      <c r="E122" s="559">
        <v>53377</v>
      </c>
      <c r="F122" s="559">
        <v>53038</v>
      </c>
      <c r="G122" s="995">
        <v>52126</v>
      </c>
      <c r="H122" s="995">
        <v>48191</v>
      </c>
      <c r="I122" s="1415">
        <v>46069</v>
      </c>
      <c r="J122" s="1415">
        <v>40977</v>
      </c>
      <c r="K122" s="1907">
        <v>38621</v>
      </c>
      <c r="L122" s="863">
        <v>38458</v>
      </c>
    </row>
    <row r="123" spans="1:12" x14ac:dyDescent="0.3">
      <c r="A123" s="280" t="s">
        <v>237</v>
      </c>
      <c r="B123" s="348" t="s">
        <v>238</v>
      </c>
      <c r="C123" s="348" t="s">
        <v>251</v>
      </c>
      <c r="D123" s="559">
        <v>1812</v>
      </c>
      <c r="E123" s="559">
        <v>1941</v>
      </c>
      <c r="F123" s="559">
        <v>1954</v>
      </c>
      <c r="G123" s="995">
        <v>1950</v>
      </c>
      <c r="H123" s="995">
        <v>1827</v>
      </c>
      <c r="I123" s="1415">
        <v>1944</v>
      </c>
      <c r="J123" s="1415">
        <v>1742</v>
      </c>
      <c r="K123" s="1907">
        <v>1746</v>
      </c>
      <c r="L123" s="863">
        <v>1711</v>
      </c>
    </row>
    <row r="124" spans="1:12" x14ac:dyDescent="0.3">
      <c r="A124" s="281" t="s">
        <v>239</v>
      </c>
      <c r="B124" s="282" t="s">
        <v>240</v>
      </c>
      <c r="C124" s="282" t="s">
        <v>254</v>
      </c>
      <c r="D124" s="560">
        <v>6776</v>
      </c>
      <c r="E124" s="560">
        <v>7009</v>
      </c>
      <c r="F124" s="560">
        <v>6635</v>
      </c>
      <c r="G124" s="996">
        <v>6212</v>
      </c>
      <c r="H124" s="996">
        <v>5685</v>
      </c>
      <c r="I124" s="1416">
        <v>5715</v>
      </c>
      <c r="J124" s="1560">
        <v>5046</v>
      </c>
      <c r="K124" s="996">
        <v>4766</v>
      </c>
      <c r="L124" s="863">
        <v>4649</v>
      </c>
    </row>
    <row r="126" spans="1:12" ht="60.75" customHeight="1" x14ac:dyDescent="0.3">
      <c r="A126" s="2540" t="s">
        <v>1029</v>
      </c>
      <c r="B126" s="2540"/>
      <c r="C126" s="2540"/>
      <c r="D126" s="2540"/>
      <c r="E126" s="2540"/>
      <c r="F126" s="2540"/>
      <c r="G126" s="2540"/>
      <c r="H126" s="2540"/>
      <c r="I126" s="1397"/>
      <c r="J126" s="1567"/>
      <c r="K126" s="1938"/>
      <c r="L126" s="2082"/>
    </row>
    <row r="128" spans="1:12" s="193" customFormat="1" x14ac:dyDescent="0.3">
      <c r="A128" s="193" t="s">
        <v>247</v>
      </c>
    </row>
    <row r="129" spans="1:3" s="193" customFormat="1" x14ac:dyDescent="0.3">
      <c r="A129" s="194" t="s">
        <v>248</v>
      </c>
      <c r="B129" s="195" t="s">
        <v>249</v>
      </c>
      <c r="C129" s="195"/>
    </row>
  </sheetData>
  <sortState ref="A5:P124">
    <sortCondition ref="A5:A124"/>
  </sortState>
  <mergeCells count="1">
    <mergeCell ref="A126:H126"/>
  </mergeCells>
  <hyperlinks>
    <hyperlink ref="B129"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29"/>
  <sheetViews>
    <sheetView workbookViewId="0">
      <pane xSplit="3" ySplit="4" topLeftCell="D5" activePane="bottomRight" state="frozen"/>
      <selection pane="topRight" activeCell="D1" sqref="D1"/>
      <selection pane="bottomLeft" activeCell="A5" sqref="A5"/>
      <selection pane="bottomRight" activeCell="O21" sqref="O21"/>
    </sheetView>
  </sheetViews>
  <sheetFormatPr defaultColWidth="9" defaultRowHeight="15.6" x14ac:dyDescent="0.3"/>
  <cols>
    <col min="1" max="1" width="5.796875" style="275" customWidth="1"/>
    <col min="2" max="2" width="30.19921875" style="275" customWidth="1"/>
    <col min="3" max="3" width="12.296875" style="275" customWidth="1"/>
    <col min="4" max="12" width="10.796875" style="275" customWidth="1"/>
    <col min="13" max="13" width="2.5" style="275" customWidth="1"/>
    <col min="14" max="16384" width="9" style="275"/>
  </cols>
  <sheetData>
    <row r="1" spans="1:12" x14ac:dyDescent="0.3">
      <c r="A1" s="95" t="s">
        <v>858</v>
      </c>
    </row>
    <row r="3" spans="1:12" x14ac:dyDescent="0.3">
      <c r="A3" s="351" t="s">
        <v>4</v>
      </c>
      <c r="B3" s="322" t="s">
        <v>5</v>
      </c>
      <c r="C3" s="322" t="s">
        <v>250</v>
      </c>
      <c r="D3" s="276">
        <v>2012</v>
      </c>
      <c r="E3" s="276">
        <v>2013</v>
      </c>
      <c r="F3" s="1535">
        <v>2014</v>
      </c>
      <c r="G3" s="1535">
        <v>2015</v>
      </c>
      <c r="H3" s="1535">
        <v>2016</v>
      </c>
      <c r="I3" s="1535">
        <v>2017</v>
      </c>
      <c r="J3" s="1535">
        <v>2018</v>
      </c>
      <c r="K3" s="1941">
        <v>2019</v>
      </c>
      <c r="L3" s="2107">
        <v>2020</v>
      </c>
    </row>
    <row r="4" spans="1:12" x14ac:dyDescent="0.3">
      <c r="A4" s="1576">
        <v>999</v>
      </c>
      <c r="B4" s="1577" t="s">
        <v>529</v>
      </c>
      <c r="C4" s="1577"/>
      <c r="D4" s="1578">
        <v>146656</v>
      </c>
      <c r="E4" s="1578">
        <v>136631</v>
      </c>
      <c r="F4" s="1578">
        <v>123267</v>
      </c>
      <c r="G4" s="1578">
        <v>102855</v>
      </c>
      <c r="H4" s="1578">
        <v>91238</v>
      </c>
      <c r="I4" s="1578">
        <v>87478</v>
      </c>
      <c r="J4" s="1578">
        <v>82069</v>
      </c>
      <c r="K4" s="1578">
        <v>75439</v>
      </c>
      <c r="L4" s="2108">
        <v>66047</v>
      </c>
    </row>
    <row r="5" spans="1:12" x14ac:dyDescent="0.3">
      <c r="A5" s="1575" t="s">
        <v>9</v>
      </c>
      <c r="B5" s="1549" t="s">
        <v>10</v>
      </c>
      <c r="C5" s="1549" t="s">
        <v>251</v>
      </c>
      <c r="D5" s="1536">
        <v>859</v>
      </c>
      <c r="E5" s="1536">
        <v>835</v>
      </c>
      <c r="F5" s="1536">
        <v>728</v>
      </c>
      <c r="G5" s="1536">
        <v>640</v>
      </c>
      <c r="H5" s="1536">
        <v>581</v>
      </c>
      <c r="I5" s="1536">
        <v>520</v>
      </c>
      <c r="J5" s="1536">
        <v>382</v>
      </c>
      <c r="K5" s="1942">
        <v>374</v>
      </c>
      <c r="L5" s="1942">
        <v>314</v>
      </c>
    </row>
    <row r="6" spans="1:12" x14ac:dyDescent="0.3">
      <c r="A6" s="347" t="s">
        <v>11</v>
      </c>
      <c r="B6" s="348" t="s">
        <v>12</v>
      </c>
      <c r="C6" s="348" t="s">
        <v>252</v>
      </c>
      <c r="D6" s="286">
        <v>599</v>
      </c>
      <c r="E6" s="286">
        <v>661</v>
      </c>
      <c r="F6" s="286">
        <v>674</v>
      </c>
      <c r="G6" s="997">
        <v>618</v>
      </c>
      <c r="H6" s="997">
        <v>597</v>
      </c>
      <c r="I6" s="1536">
        <v>610</v>
      </c>
      <c r="J6" s="1536">
        <v>548</v>
      </c>
      <c r="K6" s="1942">
        <v>528</v>
      </c>
      <c r="L6" s="1942">
        <v>553</v>
      </c>
    </row>
    <row r="7" spans="1:12" x14ac:dyDescent="0.3">
      <c r="A7" s="347" t="s">
        <v>15</v>
      </c>
      <c r="B7" s="348" t="s">
        <v>273</v>
      </c>
      <c r="C7" s="348" t="s">
        <v>252</v>
      </c>
      <c r="D7" s="286">
        <v>414</v>
      </c>
      <c r="E7" s="286">
        <v>376</v>
      </c>
      <c r="F7" s="286">
        <v>367</v>
      </c>
      <c r="G7" s="997">
        <v>331</v>
      </c>
      <c r="H7" s="997">
        <v>330</v>
      </c>
      <c r="I7" s="1536">
        <v>316</v>
      </c>
      <c r="J7" s="1536">
        <v>241</v>
      </c>
      <c r="K7" s="1942">
        <v>227</v>
      </c>
      <c r="L7" s="1942">
        <v>160</v>
      </c>
    </row>
    <row r="8" spans="1:12" x14ac:dyDescent="0.3">
      <c r="A8" s="347" t="s">
        <v>17</v>
      </c>
      <c r="B8" s="348" t="s">
        <v>18</v>
      </c>
      <c r="C8" s="348" t="s">
        <v>253</v>
      </c>
      <c r="D8" s="286">
        <v>329</v>
      </c>
      <c r="E8" s="286">
        <v>289</v>
      </c>
      <c r="F8" s="286">
        <v>216</v>
      </c>
      <c r="G8" s="997">
        <v>169</v>
      </c>
      <c r="H8" s="997">
        <v>100</v>
      </c>
      <c r="I8" s="1536">
        <v>97</v>
      </c>
      <c r="J8" s="1536">
        <v>111</v>
      </c>
      <c r="K8" s="1942">
        <v>104</v>
      </c>
      <c r="L8" s="1942">
        <v>79</v>
      </c>
    </row>
    <row r="9" spans="1:12" x14ac:dyDescent="0.3">
      <c r="A9" s="347" t="s">
        <v>19</v>
      </c>
      <c r="B9" s="348" t="s">
        <v>20</v>
      </c>
      <c r="C9" s="348" t="s">
        <v>252</v>
      </c>
      <c r="D9" s="286">
        <v>434</v>
      </c>
      <c r="E9" s="286">
        <v>429</v>
      </c>
      <c r="F9" s="286">
        <v>357</v>
      </c>
      <c r="G9" s="997">
        <v>346</v>
      </c>
      <c r="H9" s="997">
        <v>327</v>
      </c>
      <c r="I9" s="1536">
        <v>332</v>
      </c>
      <c r="J9" s="1536">
        <v>303</v>
      </c>
      <c r="K9" s="1942">
        <v>239</v>
      </c>
      <c r="L9" s="1942">
        <v>225</v>
      </c>
    </row>
    <row r="10" spans="1:12" x14ac:dyDescent="0.3">
      <c r="A10" s="347" t="s">
        <v>21</v>
      </c>
      <c r="B10" s="348" t="s">
        <v>22</v>
      </c>
      <c r="C10" s="348" t="s">
        <v>252</v>
      </c>
      <c r="D10" s="286">
        <v>401</v>
      </c>
      <c r="E10" s="286">
        <v>439</v>
      </c>
      <c r="F10" s="286">
        <v>417</v>
      </c>
      <c r="G10" s="997">
        <v>330</v>
      </c>
      <c r="H10" s="997">
        <v>266</v>
      </c>
      <c r="I10" s="1536">
        <v>221</v>
      </c>
      <c r="J10" s="1536">
        <v>201</v>
      </c>
      <c r="K10" s="1942">
        <v>174</v>
      </c>
      <c r="L10" s="1942">
        <v>132</v>
      </c>
    </row>
    <row r="11" spans="1:12" x14ac:dyDescent="0.3">
      <c r="A11" s="347" t="s">
        <v>23</v>
      </c>
      <c r="B11" s="348" t="s">
        <v>24</v>
      </c>
      <c r="C11" s="348" t="s">
        <v>254</v>
      </c>
      <c r="D11" s="286">
        <v>1132</v>
      </c>
      <c r="E11" s="286">
        <v>971</v>
      </c>
      <c r="F11" s="286">
        <v>871</v>
      </c>
      <c r="G11" s="997">
        <v>813</v>
      </c>
      <c r="H11" s="997">
        <v>743</v>
      </c>
      <c r="I11" s="1536">
        <v>655</v>
      </c>
      <c r="J11" s="1536">
        <v>654</v>
      </c>
      <c r="K11" s="1942">
        <v>525</v>
      </c>
      <c r="L11" s="1942">
        <v>436</v>
      </c>
    </row>
    <row r="12" spans="1:12" x14ac:dyDescent="0.3">
      <c r="A12" s="347" t="s">
        <v>25</v>
      </c>
      <c r="B12" s="348" t="s">
        <v>444</v>
      </c>
      <c r="C12" s="348" t="s">
        <v>252</v>
      </c>
      <c r="D12" s="286">
        <v>2514</v>
      </c>
      <c r="E12" s="286">
        <v>2362</v>
      </c>
      <c r="F12" s="286">
        <v>2013</v>
      </c>
      <c r="G12" s="997">
        <v>1568</v>
      </c>
      <c r="H12" s="997">
        <v>1479</v>
      </c>
      <c r="I12" s="1536">
        <v>1563</v>
      </c>
      <c r="J12" s="1536">
        <v>1659</v>
      </c>
      <c r="K12" s="1942">
        <v>1588</v>
      </c>
      <c r="L12" s="1942">
        <v>1343</v>
      </c>
    </row>
    <row r="13" spans="1:12" x14ac:dyDescent="0.3">
      <c r="A13" s="347" t="s">
        <v>26</v>
      </c>
      <c r="B13" s="348" t="s">
        <v>27</v>
      </c>
      <c r="C13" s="348" t="s">
        <v>252</v>
      </c>
      <c r="D13" s="286">
        <v>40</v>
      </c>
      <c r="E13" s="286">
        <v>18</v>
      </c>
      <c r="F13" s="286">
        <v>16</v>
      </c>
      <c r="G13" s="997">
        <v>12</v>
      </c>
      <c r="H13" s="997">
        <v>10</v>
      </c>
      <c r="I13" s="1536">
        <v>17</v>
      </c>
      <c r="J13" s="1536">
        <v>24</v>
      </c>
      <c r="K13" s="1942">
        <v>30</v>
      </c>
      <c r="L13" s="1942">
        <v>20</v>
      </c>
    </row>
    <row r="14" spans="1:12" x14ac:dyDescent="0.3">
      <c r="A14" s="347" t="s">
        <v>28</v>
      </c>
      <c r="B14" s="348" t="s">
        <v>568</v>
      </c>
      <c r="C14" s="348" t="s">
        <v>252</v>
      </c>
      <c r="D14" s="286">
        <v>973</v>
      </c>
      <c r="E14" s="286">
        <v>857</v>
      </c>
      <c r="F14" s="286">
        <v>915</v>
      </c>
      <c r="G14" s="997">
        <v>730</v>
      </c>
      <c r="H14" s="997">
        <v>652</v>
      </c>
      <c r="I14" s="1536">
        <v>531</v>
      </c>
      <c r="J14" s="1536">
        <v>463</v>
      </c>
      <c r="K14" s="1942">
        <v>470</v>
      </c>
      <c r="L14" s="1942">
        <v>449</v>
      </c>
    </row>
    <row r="15" spans="1:12" x14ac:dyDescent="0.3">
      <c r="A15" s="347" t="s">
        <v>29</v>
      </c>
      <c r="B15" s="348" t="s">
        <v>30</v>
      </c>
      <c r="C15" s="348" t="s">
        <v>255</v>
      </c>
      <c r="D15" s="286">
        <v>73</v>
      </c>
      <c r="E15" s="286">
        <v>76</v>
      </c>
      <c r="F15" s="286">
        <v>66</v>
      </c>
      <c r="G15" s="997">
        <v>61</v>
      </c>
      <c r="H15" s="997">
        <v>65</v>
      </c>
      <c r="I15" s="1536">
        <v>69</v>
      </c>
      <c r="J15" s="1536">
        <v>56</v>
      </c>
      <c r="K15" s="1942">
        <v>48</v>
      </c>
      <c r="L15" s="1942">
        <v>30</v>
      </c>
    </row>
    <row r="16" spans="1:12" x14ac:dyDescent="0.3">
      <c r="A16" s="347" t="s">
        <v>31</v>
      </c>
      <c r="B16" s="348" t="s">
        <v>32</v>
      </c>
      <c r="C16" s="348" t="s">
        <v>252</v>
      </c>
      <c r="D16" s="286">
        <v>188</v>
      </c>
      <c r="E16" s="286">
        <v>170</v>
      </c>
      <c r="F16" s="286">
        <v>147</v>
      </c>
      <c r="G16" s="997">
        <v>126</v>
      </c>
      <c r="H16" s="997">
        <v>147</v>
      </c>
      <c r="I16" s="1536">
        <v>141</v>
      </c>
      <c r="J16" s="1536">
        <v>155</v>
      </c>
      <c r="K16" s="1942">
        <v>126</v>
      </c>
      <c r="L16" s="1942">
        <v>111</v>
      </c>
    </row>
    <row r="17" spans="1:12" x14ac:dyDescent="0.3">
      <c r="A17" s="347" t="s">
        <v>35</v>
      </c>
      <c r="B17" s="348" t="s">
        <v>36</v>
      </c>
      <c r="C17" s="348" t="s">
        <v>251</v>
      </c>
      <c r="D17" s="286">
        <v>490</v>
      </c>
      <c r="E17" s="286">
        <v>432</v>
      </c>
      <c r="F17" s="286">
        <v>404</v>
      </c>
      <c r="G17" s="997">
        <v>360</v>
      </c>
      <c r="H17" s="997">
        <v>295</v>
      </c>
      <c r="I17" s="1536">
        <v>286</v>
      </c>
      <c r="J17" s="1536">
        <v>260</v>
      </c>
      <c r="K17" s="1942">
        <v>261</v>
      </c>
      <c r="L17" s="1942">
        <v>190</v>
      </c>
    </row>
    <row r="18" spans="1:12" x14ac:dyDescent="0.3">
      <c r="A18" s="347" t="s">
        <v>37</v>
      </c>
      <c r="B18" s="348" t="s">
        <v>38</v>
      </c>
      <c r="C18" s="348" t="s">
        <v>255</v>
      </c>
      <c r="D18" s="286">
        <v>413</v>
      </c>
      <c r="E18" s="286">
        <v>533</v>
      </c>
      <c r="F18" s="286">
        <v>498</v>
      </c>
      <c r="G18" s="997">
        <v>480</v>
      </c>
      <c r="H18" s="997">
        <v>391</v>
      </c>
      <c r="I18" s="1536">
        <v>352</v>
      </c>
      <c r="J18" s="1536">
        <v>324</v>
      </c>
      <c r="K18" s="1942">
        <v>327</v>
      </c>
      <c r="L18" s="1942">
        <v>264</v>
      </c>
    </row>
    <row r="19" spans="1:12" x14ac:dyDescent="0.3">
      <c r="A19" s="347" t="s">
        <v>39</v>
      </c>
      <c r="B19" s="348" t="s">
        <v>40</v>
      </c>
      <c r="C19" s="348" t="s">
        <v>253</v>
      </c>
      <c r="D19" s="286">
        <v>342</v>
      </c>
      <c r="E19" s="286">
        <v>319</v>
      </c>
      <c r="F19" s="286">
        <v>277</v>
      </c>
      <c r="G19" s="997">
        <v>245</v>
      </c>
      <c r="H19" s="997">
        <v>237</v>
      </c>
      <c r="I19" s="1536">
        <v>209</v>
      </c>
      <c r="J19" s="1536">
        <v>192</v>
      </c>
      <c r="K19" s="1942">
        <v>199</v>
      </c>
      <c r="L19" s="1942">
        <v>122</v>
      </c>
    </row>
    <row r="20" spans="1:12" x14ac:dyDescent="0.3">
      <c r="A20" s="347" t="s">
        <v>41</v>
      </c>
      <c r="B20" s="348" t="s">
        <v>42</v>
      </c>
      <c r="C20" s="348" t="s">
        <v>252</v>
      </c>
      <c r="D20" s="286">
        <v>1348</v>
      </c>
      <c r="E20" s="286">
        <v>1146</v>
      </c>
      <c r="F20" s="286">
        <v>1012</v>
      </c>
      <c r="G20" s="997">
        <v>884</v>
      </c>
      <c r="H20" s="997">
        <v>831</v>
      </c>
      <c r="I20" s="1536">
        <v>716</v>
      </c>
      <c r="J20" s="1536">
        <v>652</v>
      </c>
      <c r="K20" s="1942">
        <v>564</v>
      </c>
      <c r="L20" s="1942">
        <v>546</v>
      </c>
    </row>
    <row r="21" spans="1:12" x14ac:dyDescent="0.3">
      <c r="A21" s="347" t="s">
        <v>43</v>
      </c>
      <c r="B21" s="348" t="s">
        <v>44</v>
      </c>
      <c r="C21" s="348" t="s">
        <v>253</v>
      </c>
      <c r="D21" s="286">
        <v>901</v>
      </c>
      <c r="E21" s="286">
        <v>830</v>
      </c>
      <c r="F21" s="286">
        <v>725</v>
      </c>
      <c r="G21" s="997">
        <v>616</v>
      </c>
      <c r="H21" s="997">
        <v>485</v>
      </c>
      <c r="I21" s="1536">
        <v>500</v>
      </c>
      <c r="J21" s="1536">
        <v>412</v>
      </c>
      <c r="K21" s="1942">
        <v>328</v>
      </c>
      <c r="L21" s="1942">
        <v>301</v>
      </c>
    </row>
    <row r="22" spans="1:12" x14ac:dyDescent="0.3">
      <c r="A22" s="347" t="s">
        <v>45</v>
      </c>
      <c r="B22" s="348" t="s">
        <v>46</v>
      </c>
      <c r="C22" s="348" t="s">
        <v>255</v>
      </c>
      <c r="D22" s="286">
        <v>544</v>
      </c>
      <c r="E22" s="286">
        <v>442</v>
      </c>
      <c r="F22" s="286">
        <v>399</v>
      </c>
      <c r="G22" s="997">
        <v>355</v>
      </c>
      <c r="H22" s="997">
        <v>298</v>
      </c>
      <c r="I22" s="1536">
        <v>381</v>
      </c>
      <c r="J22" s="1536">
        <v>361</v>
      </c>
      <c r="K22" s="1942">
        <v>335</v>
      </c>
      <c r="L22" s="1942">
        <v>297</v>
      </c>
    </row>
    <row r="23" spans="1:12" x14ac:dyDescent="0.3">
      <c r="A23" s="347" t="s">
        <v>47</v>
      </c>
      <c r="B23" s="348" t="s">
        <v>256</v>
      </c>
      <c r="C23" s="348" t="s">
        <v>253</v>
      </c>
      <c r="D23" s="286">
        <v>101</v>
      </c>
      <c r="E23" s="286">
        <v>75</v>
      </c>
      <c r="F23" s="286">
        <v>55</v>
      </c>
      <c r="G23" s="997">
        <v>63</v>
      </c>
      <c r="H23" s="997">
        <v>62</v>
      </c>
      <c r="I23" s="1536">
        <v>36</v>
      </c>
      <c r="J23" s="1536">
        <v>40</v>
      </c>
      <c r="K23" s="1942">
        <v>42</v>
      </c>
      <c r="L23" s="1942">
        <v>31</v>
      </c>
    </row>
    <row r="24" spans="1:12" x14ac:dyDescent="0.3">
      <c r="A24" s="347" t="s">
        <v>49</v>
      </c>
      <c r="B24" s="348" t="s">
        <v>50</v>
      </c>
      <c r="C24" s="348" t="s">
        <v>252</v>
      </c>
      <c r="D24" s="286">
        <v>408</v>
      </c>
      <c r="E24" s="286">
        <v>392</v>
      </c>
      <c r="F24" s="286">
        <v>344</v>
      </c>
      <c r="G24" s="997">
        <v>269</v>
      </c>
      <c r="H24" s="997">
        <v>215</v>
      </c>
      <c r="I24" s="1536">
        <v>227</v>
      </c>
      <c r="J24" s="1536">
        <v>207</v>
      </c>
      <c r="K24" s="1942">
        <v>190</v>
      </c>
      <c r="L24" s="1942">
        <v>166</v>
      </c>
    </row>
    <row r="25" spans="1:12" x14ac:dyDescent="0.3">
      <c r="A25" s="347" t="s">
        <v>55</v>
      </c>
      <c r="B25" s="348" t="s">
        <v>271</v>
      </c>
      <c r="C25" s="348" t="s">
        <v>253</v>
      </c>
      <c r="D25" s="286">
        <v>4673</v>
      </c>
      <c r="E25" s="286">
        <v>4239</v>
      </c>
      <c r="F25" s="286">
        <v>3628</v>
      </c>
      <c r="G25" s="997">
        <v>2967</v>
      </c>
      <c r="H25" s="997">
        <v>2491</v>
      </c>
      <c r="I25" s="1536">
        <v>2664</v>
      </c>
      <c r="J25" s="1536">
        <v>2463</v>
      </c>
      <c r="K25" s="1942">
        <v>2343</v>
      </c>
      <c r="L25" s="1942">
        <v>1967</v>
      </c>
    </row>
    <row r="26" spans="1:12" x14ac:dyDescent="0.3">
      <c r="A26" s="347" t="s">
        <v>57</v>
      </c>
      <c r="B26" s="348" t="s">
        <v>58</v>
      </c>
      <c r="C26" s="348" t="s">
        <v>254</v>
      </c>
      <c r="D26" s="286">
        <v>99</v>
      </c>
      <c r="E26" s="286">
        <v>82</v>
      </c>
      <c r="F26" s="286">
        <v>60</v>
      </c>
      <c r="G26" s="997">
        <v>42</v>
      </c>
      <c r="H26" s="997">
        <v>30</v>
      </c>
      <c r="I26" s="1536">
        <v>31</v>
      </c>
      <c r="J26" s="1536">
        <v>39</v>
      </c>
      <c r="K26" s="1942">
        <v>46</v>
      </c>
      <c r="L26" s="1942">
        <v>37</v>
      </c>
    </row>
    <row r="27" spans="1:12" x14ac:dyDescent="0.3">
      <c r="A27" s="347" t="s">
        <v>59</v>
      </c>
      <c r="B27" s="348" t="s">
        <v>60</v>
      </c>
      <c r="C27" s="348" t="s">
        <v>252</v>
      </c>
      <c r="D27" s="286">
        <v>63</v>
      </c>
      <c r="E27" s="286">
        <v>47</v>
      </c>
      <c r="F27" s="286">
        <v>51</v>
      </c>
      <c r="G27" s="997">
        <v>53</v>
      </c>
      <c r="H27" s="997">
        <v>49</v>
      </c>
      <c r="I27" s="1536">
        <v>60</v>
      </c>
      <c r="J27" s="1536">
        <v>50</v>
      </c>
      <c r="K27" s="1942">
        <v>38</v>
      </c>
      <c r="L27" s="1942">
        <v>43</v>
      </c>
    </row>
    <row r="28" spans="1:12" x14ac:dyDescent="0.3">
      <c r="A28" s="347" t="s">
        <v>61</v>
      </c>
      <c r="B28" s="348" t="s">
        <v>62</v>
      </c>
      <c r="C28" s="348" t="s">
        <v>254</v>
      </c>
      <c r="D28" s="286">
        <v>750</v>
      </c>
      <c r="E28" s="286">
        <v>723</v>
      </c>
      <c r="F28" s="286">
        <v>625</v>
      </c>
      <c r="G28" s="997">
        <v>532</v>
      </c>
      <c r="H28" s="997">
        <v>520</v>
      </c>
      <c r="I28" s="1536">
        <v>502</v>
      </c>
      <c r="J28" s="1536">
        <v>461</v>
      </c>
      <c r="K28" s="1942">
        <v>464</v>
      </c>
      <c r="L28" s="1942">
        <v>386</v>
      </c>
    </row>
    <row r="29" spans="1:12" x14ac:dyDescent="0.3">
      <c r="A29" s="347" t="s">
        <v>63</v>
      </c>
      <c r="B29" s="348" t="s">
        <v>64</v>
      </c>
      <c r="C29" s="348" t="s">
        <v>253</v>
      </c>
      <c r="D29" s="286">
        <v>283</v>
      </c>
      <c r="E29" s="286">
        <v>325</v>
      </c>
      <c r="F29" s="286">
        <v>261</v>
      </c>
      <c r="G29" s="997">
        <v>225</v>
      </c>
      <c r="H29" s="997">
        <v>188</v>
      </c>
      <c r="I29" s="1536">
        <v>156</v>
      </c>
      <c r="J29" s="1536">
        <v>157</v>
      </c>
      <c r="K29" s="1942">
        <v>196</v>
      </c>
      <c r="L29" s="1942">
        <v>145</v>
      </c>
    </row>
    <row r="30" spans="1:12" x14ac:dyDescent="0.3">
      <c r="A30" s="347" t="s">
        <v>67</v>
      </c>
      <c r="B30" s="348" t="s">
        <v>68</v>
      </c>
      <c r="C30" s="348" t="s">
        <v>255</v>
      </c>
      <c r="D30" s="286">
        <v>336</v>
      </c>
      <c r="E30" s="286">
        <v>262</v>
      </c>
      <c r="F30" s="286">
        <v>283</v>
      </c>
      <c r="G30" s="997">
        <v>216</v>
      </c>
      <c r="H30" s="997">
        <v>186</v>
      </c>
      <c r="I30" s="1536">
        <v>226</v>
      </c>
      <c r="J30" s="1536">
        <v>187</v>
      </c>
      <c r="K30" s="1942">
        <v>155</v>
      </c>
      <c r="L30" s="1942">
        <v>138</v>
      </c>
    </row>
    <row r="31" spans="1:12" x14ac:dyDescent="0.3">
      <c r="A31" s="347" t="s">
        <v>69</v>
      </c>
      <c r="B31" s="348" t="s">
        <v>70</v>
      </c>
      <c r="C31" s="348" t="s">
        <v>251</v>
      </c>
      <c r="D31" s="286">
        <v>580</v>
      </c>
      <c r="E31" s="286">
        <v>569</v>
      </c>
      <c r="F31" s="286">
        <v>512</v>
      </c>
      <c r="G31" s="997">
        <v>424</v>
      </c>
      <c r="H31" s="997">
        <v>374</v>
      </c>
      <c r="I31" s="1536">
        <v>334</v>
      </c>
      <c r="J31" s="1536">
        <v>257</v>
      </c>
      <c r="K31" s="1942">
        <v>201</v>
      </c>
      <c r="L31" s="1942">
        <v>168</v>
      </c>
    </row>
    <row r="32" spans="1:12" x14ac:dyDescent="0.3">
      <c r="A32" s="347" t="s">
        <v>71</v>
      </c>
      <c r="B32" s="348" t="s">
        <v>72</v>
      </c>
      <c r="C32" s="348" t="s">
        <v>253</v>
      </c>
      <c r="D32" s="286">
        <v>332</v>
      </c>
      <c r="E32" s="286">
        <v>275</v>
      </c>
      <c r="F32" s="286">
        <v>261</v>
      </c>
      <c r="G32" s="997">
        <v>241</v>
      </c>
      <c r="H32" s="997">
        <v>210</v>
      </c>
      <c r="I32" s="1536">
        <v>236</v>
      </c>
      <c r="J32" s="1536">
        <v>238</v>
      </c>
      <c r="K32" s="1942">
        <v>246</v>
      </c>
      <c r="L32" s="1942">
        <v>185</v>
      </c>
    </row>
    <row r="33" spans="1:12" x14ac:dyDescent="0.3">
      <c r="A33" s="347" t="s">
        <v>73</v>
      </c>
      <c r="B33" s="348" t="s">
        <v>272</v>
      </c>
      <c r="C33" s="348" t="s">
        <v>254</v>
      </c>
      <c r="D33" s="286">
        <v>6729</v>
      </c>
      <c r="E33" s="286">
        <v>6489</v>
      </c>
      <c r="F33" s="286">
        <v>5781</v>
      </c>
      <c r="G33" s="997">
        <v>5097</v>
      </c>
      <c r="H33" s="997">
        <v>4574</v>
      </c>
      <c r="I33" s="1536">
        <v>4628</v>
      </c>
      <c r="J33" s="1536">
        <v>4448</v>
      </c>
      <c r="K33" s="1942">
        <v>3889</v>
      </c>
      <c r="L33" s="1942">
        <v>3587</v>
      </c>
    </row>
    <row r="34" spans="1:12" x14ac:dyDescent="0.3">
      <c r="A34" s="347" t="s">
        <v>75</v>
      </c>
      <c r="B34" s="348" t="s">
        <v>76</v>
      </c>
      <c r="C34" s="348" t="s">
        <v>254</v>
      </c>
      <c r="D34" s="286">
        <v>523</v>
      </c>
      <c r="E34" s="286">
        <v>433</v>
      </c>
      <c r="F34" s="286">
        <v>380</v>
      </c>
      <c r="G34" s="997">
        <v>340</v>
      </c>
      <c r="H34" s="997">
        <v>326</v>
      </c>
      <c r="I34" s="1536">
        <v>349</v>
      </c>
      <c r="J34" s="1536">
        <v>337</v>
      </c>
      <c r="K34" s="1942">
        <v>288</v>
      </c>
      <c r="L34" s="1942">
        <v>258</v>
      </c>
    </row>
    <row r="35" spans="1:12" x14ac:dyDescent="0.3">
      <c r="A35" s="347" t="s">
        <v>77</v>
      </c>
      <c r="B35" s="348" t="s">
        <v>78</v>
      </c>
      <c r="C35" s="348" t="s">
        <v>255</v>
      </c>
      <c r="D35" s="286">
        <v>268</v>
      </c>
      <c r="E35" s="286">
        <v>256</v>
      </c>
      <c r="F35" s="286">
        <v>194</v>
      </c>
      <c r="G35" s="997">
        <v>139</v>
      </c>
      <c r="H35" s="997">
        <v>156</v>
      </c>
      <c r="I35" s="1536">
        <v>198</v>
      </c>
      <c r="J35" s="1536">
        <v>172</v>
      </c>
      <c r="K35" s="1942">
        <v>161</v>
      </c>
      <c r="L35" s="1942">
        <v>123</v>
      </c>
    </row>
    <row r="36" spans="1:12" x14ac:dyDescent="0.3">
      <c r="A36" s="347" t="s">
        <v>79</v>
      </c>
      <c r="B36" s="348" t="s">
        <v>80</v>
      </c>
      <c r="C36" s="348" t="s">
        <v>253</v>
      </c>
      <c r="D36" s="286">
        <v>265</v>
      </c>
      <c r="E36" s="286">
        <v>229</v>
      </c>
      <c r="F36" s="286">
        <v>182</v>
      </c>
      <c r="G36" s="997">
        <v>191</v>
      </c>
      <c r="H36" s="997">
        <v>156</v>
      </c>
      <c r="I36" s="1536">
        <v>156</v>
      </c>
      <c r="J36" s="1536">
        <v>125</v>
      </c>
      <c r="K36" s="1942">
        <v>89</v>
      </c>
      <c r="L36" s="1942">
        <v>93</v>
      </c>
    </row>
    <row r="37" spans="1:12" x14ac:dyDescent="0.3">
      <c r="A37" s="347" t="s">
        <v>83</v>
      </c>
      <c r="B37" s="348" t="s">
        <v>84</v>
      </c>
      <c r="C37" s="348" t="s">
        <v>252</v>
      </c>
      <c r="D37" s="286">
        <v>1077</v>
      </c>
      <c r="E37" s="286">
        <v>936</v>
      </c>
      <c r="F37" s="286">
        <v>813</v>
      </c>
      <c r="G37" s="997">
        <v>700</v>
      </c>
      <c r="H37" s="997">
        <v>643</v>
      </c>
      <c r="I37" s="1536">
        <v>598</v>
      </c>
      <c r="J37" s="1536">
        <v>527</v>
      </c>
      <c r="K37" s="1942">
        <v>546</v>
      </c>
      <c r="L37" s="1942">
        <v>439</v>
      </c>
    </row>
    <row r="38" spans="1:12" x14ac:dyDescent="0.3">
      <c r="A38" s="347" t="s">
        <v>85</v>
      </c>
      <c r="B38" s="348" t="s">
        <v>86</v>
      </c>
      <c r="C38" s="348" t="s">
        <v>254</v>
      </c>
      <c r="D38" s="286">
        <v>840</v>
      </c>
      <c r="E38" s="286">
        <v>733</v>
      </c>
      <c r="F38" s="286">
        <v>506</v>
      </c>
      <c r="G38" s="997">
        <v>318</v>
      </c>
      <c r="H38" s="997">
        <v>310</v>
      </c>
      <c r="I38" s="1536">
        <v>365</v>
      </c>
      <c r="J38" s="1536">
        <v>364</v>
      </c>
      <c r="K38" s="1942">
        <v>346</v>
      </c>
      <c r="L38" s="1942">
        <v>388</v>
      </c>
    </row>
    <row r="39" spans="1:12" x14ac:dyDescent="0.3">
      <c r="A39" s="347" t="s">
        <v>91</v>
      </c>
      <c r="B39" s="348" t="s">
        <v>92</v>
      </c>
      <c r="C39" s="348" t="s">
        <v>255</v>
      </c>
      <c r="D39" s="286">
        <v>232</v>
      </c>
      <c r="E39" s="286">
        <v>258</v>
      </c>
      <c r="F39" s="286">
        <v>182</v>
      </c>
      <c r="G39" s="997">
        <v>139</v>
      </c>
      <c r="H39" s="997">
        <v>170</v>
      </c>
      <c r="I39" s="1536">
        <v>158</v>
      </c>
      <c r="J39" s="1536">
        <v>178</v>
      </c>
      <c r="K39" s="1942">
        <v>191</v>
      </c>
      <c r="L39" s="1942">
        <v>180</v>
      </c>
    </row>
    <row r="40" spans="1:12" x14ac:dyDescent="0.3">
      <c r="A40" s="347" t="s">
        <v>93</v>
      </c>
      <c r="B40" s="348" t="s">
        <v>94</v>
      </c>
      <c r="C40" s="348" t="s">
        <v>251</v>
      </c>
      <c r="D40" s="286">
        <v>453</v>
      </c>
      <c r="E40" s="286">
        <v>410</v>
      </c>
      <c r="F40" s="286">
        <v>463</v>
      </c>
      <c r="G40" s="997">
        <v>469</v>
      </c>
      <c r="H40" s="997">
        <v>378</v>
      </c>
      <c r="I40" s="1536">
        <v>315</v>
      </c>
      <c r="J40" s="1536">
        <v>301</v>
      </c>
      <c r="K40" s="1942">
        <v>287</v>
      </c>
      <c r="L40" s="1942">
        <v>304</v>
      </c>
    </row>
    <row r="41" spans="1:12" x14ac:dyDescent="0.3">
      <c r="A41" s="347" t="s">
        <v>95</v>
      </c>
      <c r="B41" s="348" t="s">
        <v>96</v>
      </c>
      <c r="C41" s="348" t="s">
        <v>253</v>
      </c>
      <c r="D41" s="286">
        <v>189</v>
      </c>
      <c r="E41" s="286">
        <v>149</v>
      </c>
      <c r="F41" s="286">
        <v>104</v>
      </c>
      <c r="G41" s="997">
        <v>107</v>
      </c>
      <c r="H41" s="997">
        <v>97</v>
      </c>
      <c r="I41" s="1536">
        <v>90</v>
      </c>
      <c r="J41" s="1536">
        <v>59</v>
      </c>
      <c r="K41" s="1942">
        <v>62</v>
      </c>
      <c r="L41" s="1942">
        <v>41</v>
      </c>
    </row>
    <row r="42" spans="1:12" x14ac:dyDescent="0.3">
      <c r="A42" s="347" t="s">
        <v>97</v>
      </c>
      <c r="B42" s="348" t="s">
        <v>98</v>
      </c>
      <c r="C42" s="348" t="s">
        <v>255</v>
      </c>
      <c r="D42" s="286">
        <v>223</v>
      </c>
      <c r="E42" s="286">
        <v>202</v>
      </c>
      <c r="F42" s="286">
        <v>185</v>
      </c>
      <c r="G42" s="997">
        <v>151</v>
      </c>
      <c r="H42" s="997">
        <v>106</v>
      </c>
      <c r="I42" s="1536">
        <v>85</v>
      </c>
      <c r="J42" s="1536">
        <v>105</v>
      </c>
      <c r="K42" s="1942">
        <v>133</v>
      </c>
      <c r="L42" s="1942">
        <v>90</v>
      </c>
    </row>
    <row r="43" spans="1:12" x14ac:dyDescent="0.3">
      <c r="A43" s="347" t="s">
        <v>99</v>
      </c>
      <c r="B43" s="348" t="s">
        <v>100</v>
      </c>
      <c r="C43" s="348" t="s">
        <v>254</v>
      </c>
      <c r="D43" s="286">
        <v>251</v>
      </c>
      <c r="E43" s="286">
        <v>189</v>
      </c>
      <c r="F43" s="286">
        <v>167</v>
      </c>
      <c r="G43" s="997">
        <v>218</v>
      </c>
      <c r="H43" s="997">
        <v>233</v>
      </c>
      <c r="I43" s="1536">
        <v>206</v>
      </c>
      <c r="J43" s="1536">
        <v>215</v>
      </c>
      <c r="K43" s="1942">
        <v>167</v>
      </c>
      <c r="L43" s="1942">
        <v>142</v>
      </c>
    </row>
    <row r="44" spans="1:12" x14ac:dyDescent="0.3">
      <c r="A44" s="347" t="s">
        <v>101</v>
      </c>
      <c r="B44" s="348" t="s">
        <v>263</v>
      </c>
      <c r="C44" s="348" t="s">
        <v>251</v>
      </c>
      <c r="D44" s="286">
        <v>649</v>
      </c>
      <c r="E44" s="286">
        <v>645</v>
      </c>
      <c r="F44" s="286">
        <v>664</v>
      </c>
      <c r="G44" s="997">
        <v>559</v>
      </c>
      <c r="H44" s="997">
        <v>445</v>
      </c>
      <c r="I44" s="1536">
        <v>454</v>
      </c>
      <c r="J44" s="1536">
        <v>388</v>
      </c>
      <c r="K44" s="1942">
        <v>399</v>
      </c>
      <c r="L44" s="1942">
        <v>355</v>
      </c>
    </row>
    <row r="45" spans="1:12" x14ac:dyDescent="0.3">
      <c r="A45" s="347" t="s">
        <v>103</v>
      </c>
      <c r="B45" s="348" t="s">
        <v>104</v>
      </c>
      <c r="C45" s="348" t="s">
        <v>252</v>
      </c>
      <c r="D45" s="286">
        <v>862</v>
      </c>
      <c r="E45" s="286">
        <v>786</v>
      </c>
      <c r="F45" s="286">
        <v>729</v>
      </c>
      <c r="G45" s="997">
        <v>664</v>
      </c>
      <c r="H45" s="997">
        <v>605</v>
      </c>
      <c r="I45" s="1536">
        <v>533</v>
      </c>
      <c r="J45" s="1536">
        <v>429</v>
      </c>
      <c r="K45" s="1942">
        <v>390</v>
      </c>
      <c r="L45" s="1942">
        <v>367</v>
      </c>
    </row>
    <row r="46" spans="1:12" x14ac:dyDescent="0.3">
      <c r="A46" s="347" t="s">
        <v>107</v>
      </c>
      <c r="B46" s="348" t="s">
        <v>108</v>
      </c>
      <c r="C46" s="348" t="s">
        <v>253</v>
      </c>
      <c r="D46" s="286">
        <v>710</v>
      </c>
      <c r="E46" s="286">
        <v>613</v>
      </c>
      <c r="F46" s="286">
        <v>621</v>
      </c>
      <c r="G46" s="997">
        <v>502</v>
      </c>
      <c r="H46" s="997">
        <v>407</v>
      </c>
      <c r="I46" s="1536">
        <v>470</v>
      </c>
      <c r="J46" s="1536">
        <v>424</v>
      </c>
      <c r="K46" s="1942">
        <v>438</v>
      </c>
      <c r="L46" s="1942">
        <v>374</v>
      </c>
    </row>
    <row r="47" spans="1:12" x14ac:dyDescent="0.3">
      <c r="A47" s="347" t="s">
        <v>109</v>
      </c>
      <c r="B47" s="348" t="s">
        <v>110</v>
      </c>
      <c r="C47" s="348" t="s">
        <v>253</v>
      </c>
      <c r="D47" s="286">
        <v>6538</v>
      </c>
      <c r="E47" s="286">
        <v>5656</v>
      </c>
      <c r="F47" s="286">
        <v>4967</v>
      </c>
      <c r="G47" s="997">
        <v>4537</v>
      </c>
      <c r="H47" s="997">
        <v>3940</v>
      </c>
      <c r="I47" s="1536">
        <v>4245</v>
      </c>
      <c r="J47" s="1536">
        <v>4069</v>
      </c>
      <c r="K47" s="1942">
        <v>3695</v>
      </c>
      <c r="L47" s="1942">
        <v>2992</v>
      </c>
    </row>
    <row r="48" spans="1:12" x14ac:dyDescent="0.3">
      <c r="A48" s="347" t="s">
        <v>111</v>
      </c>
      <c r="B48" s="348" t="s">
        <v>275</v>
      </c>
      <c r="C48" s="348" t="s">
        <v>252</v>
      </c>
      <c r="D48" s="286">
        <v>2121</v>
      </c>
      <c r="E48" s="286">
        <v>1842</v>
      </c>
      <c r="F48" s="286">
        <v>1651</v>
      </c>
      <c r="G48" s="997">
        <v>1571</v>
      </c>
      <c r="H48" s="997">
        <v>1431</v>
      </c>
      <c r="I48" s="1536">
        <v>1374</v>
      </c>
      <c r="J48" s="1536">
        <v>1140</v>
      </c>
      <c r="K48" s="1942">
        <v>1012</v>
      </c>
      <c r="L48" s="1942">
        <v>899</v>
      </c>
    </row>
    <row r="49" spans="1:12" x14ac:dyDescent="0.3">
      <c r="A49" s="347" t="s">
        <v>113</v>
      </c>
      <c r="B49" s="348" t="s">
        <v>114</v>
      </c>
      <c r="C49" s="348" t="s">
        <v>252</v>
      </c>
      <c r="D49" s="286">
        <v>8</v>
      </c>
      <c r="E49" s="286">
        <v>9</v>
      </c>
      <c r="F49" s="286">
        <v>7</v>
      </c>
      <c r="G49" s="997">
        <v>10</v>
      </c>
      <c r="H49" s="997">
        <v>11</v>
      </c>
      <c r="I49" s="1536">
        <v>6</v>
      </c>
      <c r="J49" s="1536">
        <v>12</v>
      </c>
      <c r="K49" s="1942">
        <v>4</v>
      </c>
      <c r="L49" s="1942">
        <v>2</v>
      </c>
    </row>
    <row r="50" spans="1:12" x14ac:dyDescent="0.3">
      <c r="A50" s="347" t="s">
        <v>117</v>
      </c>
      <c r="B50" s="348" t="s">
        <v>257</v>
      </c>
      <c r="C50" s="348" t="s">
        <v>251</v>
      </c>
      <c r="D50" s="286">
        <v>556</v>
      </c>
      <c r="E50" s="286">
        <v>501</v>
      </c>
      <c r="F50" s="286">
        <v>437</v>
      </c>
      <c r="G50" s="997">
        <v>385</v>
      </c>
      <c r="H50" s="997">
        <v>374</v>
      </c>
      <c r="I50" s="1536">
        <v>347</v>
      </c>
      <c r="J50" s="1536">
        <v>277</v>
      </c>
      <c r="K50" s="1942">
        <v>267</v>
      </c>
      <c r="L50" s="1942">
        <v>215</v>
      </c>
    </row>
    <row r="51" spans="1:12" x14ac:dyDescent="0.3">
      <c r="A51" s="347" t="s">
        <v>119</v>
      </c>
      <c r="B51" s="348" t="s">
        <v>120</v>
      </c>
      <c r="C51" s="348" t="s">
        <v>251</v>
      </c>
      <c r="D51" s="286">
        <v>712</v>
      </c>
      <c r="E51" s="286">
        <v>755</v>
      </c>
      <c r="F51" s="286">
        <v>649</v>
      </c>
      <c r="G51" s="997">
        <v>617</v>
      </c>
      <c r="H51" s="997">
        <v>619</v>
      </c>
      <c r="I51" s="1536">
        <v>528</v>
      </c>
      <c r="J51" s="1536">
        <v>540</v>
      </c>
      <c r="K51" s="1942">
        <v>429</v>
      </c>
      <c r="L51" s="1942">
        <v>415</v>
      </c>
    </row>
    <row r="52" spans="1:12" x14ac:dyDescent="0.3">
      <c r="A52" s="347" t="s">
        <v>121</v>
      </c>
      <c r="B52" s="348" t="s">
        <v>268</v>
      </c>
      <c r="C52" s="348" t="s">
        <v>253</v>
      </c>
      <c r="D52" s="286">
        <v>116</v>
      </c>
      <c r="E52" s="286">
        <v>109</v>
      </c>
      <c r="F52" s="286">
        <v>115</v>
      </c>
      <c r="G52" s="997">
        <v>147</v>
      </c>
      <c r="H52" s="997">
        <v>98</v>
      </c>
      <c r="I52" s="1536">
        <v>125</v>
      </c>
      <c r="J52" s="1536">
        <v>112</v>
      </c>
      <c r="K52" s="1942">
        <v>95</v>
      </c>
      <c r="L52" s="1942">
        <v>85</v>
      </c>
    </row>
    <row r="53" spans="1:12" x14ac:dyDescent="0.3">
      <c r="A53" s="347" t="s">
        <v>123</v>
      </c>
      <c r="B53" s="348" t="s">
        <v>124</v>
      </c>
      <c r="C53" s="348" t="s">
        <v>254</v>
      </c>
      <c r="D53" s="286">
        <v>286</v>
      </c>
      <c r="E53" s="286">
        <v>291</v>
      </c>
      <c r="F53" s="286">
        <v>291</v>
      </c>
      <c r="G53" s="997">
        <v>222</v>
      </c>
      <c r="H53" s="997">
        <v>232</v>
      </c>
      <c r="I53" s="1536">
        <v>239</v>
      </c>
      <c r="J53" s="1536">
        <v>187</v>
      </c>
      <c r="K53" s="1942">
        <v>170</v>
      </c>
      <c r="L53" s="1942">
        <v>128</v>
      </c>
    </row>
    <row r="54" spans="1:12" x14ac:dyDescent="0.3">
      <c r="A54" s="347" t="s">
        <v>125</v>
      </c>
      <c r="B54" s="348" t="s">
        <v>126</v>
      </c>
      <c r="C54" s="348" t="s">
        <v>253</v>
      </c>
      <c r="D54" s="286">
        <v>209</v>
      </c>
      <c r="E54" s="286">
        <v>194</v>
      </c>
      <c r="F54" s="286">
        <v>174</v>
      </c>
      <c r="G54" s="997">
        <v>139</v>
      </c>
      <c r="H54" s="997">
        <v>105</v>
      </c>
      <c r="I54" s="1536">
        <v>104</v>
      </c>
      <c r="J54" s="1536">
        <v>110</v>
      </c>
      <c r="K54" s="1942">
        <v>95</v>
      </c>
      <c r="L54" s="1942">
        <v>88</v>
      </c>
    </row>
    <row r="55" spans="1:12" x14ac:dyDescent="0.3">
      <c r="A55" s="347" t="s">
        <v>127</v>
      </c>
      <c r="B55" s="348" t="s">
        <v>128</v>
      </c>
      <c r="C55" s="348" t="s">
        <v>253</v>
      </c>
      <c r="D55" s="286">
        <v>211</v>
      </c>
      <c r="E55" s="286">
        <v>145</v>
      </c>
      <c r="F55" s="286">
        <v>143</v>
      </c>
      <c r="G55" s="997">
        <v>126</v>
      </c>
      <c r="H55" s="997">
        <v>130</v>
      </c>
      <c r="I55" s="1536">
        <v>129</v>
      </c>
      <c r="J55" s="1536">
        <v>130</v>
      </c>
      <c r="K55" s="1942">
        <v>142</v>
      </c>
      <c r="L55" s="1942">
        <v>115</v>
      </c>
    </row>
    <row r="56" spans="1:12" x14ac:dyDescent="0.3">
      <c r="A56" s="347" t="s">
        <v>129</v>
      </c>
      <c r="B56" s="348" t="s">
        <v>130</v>
      </c>
      <c r="C56" s="348" t="s">
        <v>255</v>
      </c>
      <c r="D56" s="286">
        <v>1109</v>
      </c>
      <c r="E56" s="286">
        <v>1095</v>
      </c>
      <c r="F56" s="286">
        <v>1009</v>
      </c>
      <c r="G56" s="997">
        <v>906</v>
      </c>
      <c r="H56" s="997">
        <v>846</v>
      </c>
      <c r="I56" s="1536">
        <v>852</v>
      </c>
      <c r="J56" s="1536">
        <v>788</v>
      </c>
      <c r="K56" s="1942">
        <v>701</v>
      </c>
      <c r="L56" s="1942">
        <v>659</v>
      </c>
    </row>
    <row r="57" spans="1:12" x14ac:dyDescent="0.3">
      <c r="A57" s="347" t="s">
        <v>131</v>
      </c>
      <c r="B57" s="348" t="s">
        <v>132</v>
      </c>
      <c r="C57" s="348" t="s">
        <v>254</v>
      </c>
      <c r="D57" s="286">
        <v>1298</v>
      </c>
      <c r="E57" s="286">
        <v>1226</v>
      </c>
      <c r="F57" s="286">
        <v>1117</v>
      </c>
      <c r="G57" s="997">
        <v>1137</v>
      </c>
      <c r="H57" s="997">
        <v>1034</v>
      </c>
      <c r="I57" s="1536">
        <v>1035</v>
      </c>
      <c r="J57" s="1536">
        <v>957</v>
      </c>
      <c r="K57" s="1942">
        <v>898</v>
      </c>
      <c r="L57" s="1942">
        <v>864</v>
      </c>
    </row>
    <row r="58" spans="1:12" x14ac:dyDescent="0.3">
      <c r="A58" s="347" t="s">
        <v>133</v>
      </c>
      <c r="B58" s="348" t="s">
        <v>134</v>
      </c>
      <c r="C58" s="348" t="s">
        <v>254</v>
      </c>
      <c r="D58" s="286">
        <v>478</v>
      </c>
      <c r="E58" s="286">
        <v>518</v>
      </c>
      <c r="F58" s="286">
        <v>466</v>
      </c>
      <c r="G58" s="997">
        <v>384</v>
      </c>
      <c r="H58" s="997">
        <v>325</v>
      </c>
      <c r="I58" s="1536">
        <v>296</v>
      </c>
      <c r="J58" s="1536">
        <v>299</v>
      </c>
      <c r="K58" s="1942">
        <v>300</v>
      </c>
      <c r="L58" s="1942">
        <v>222</v>
      </c>
    </row>
    <row r="59" spans="1:12" x14ac:dyDescent="0.3">
      <c r="A59" s="347" t="s">
        <v>135</v>
      </c>
      <c r="B59" s="348" t="s">
        <v>136</v>
      </c>
      <c r="C59" s="348" t="s">
        <v>253</v>
      </c>
      <c r="D59" s="286">
        <v>331</v>
      </c>
      <c r="E59" s="286">
        <v>248</v>
      </c>
      <c r="F59" s="286">
        <v>242</v>
      </c>
      <c r="G59" s="997">
        <v>167</v>
      </c>
      <c r="H59" s="997">
        <v>135</v>
      </c>
      <c r="I59" s="1536">
        <v>170</v>
      </c>
      <c r="J59" s="1536">
        <v>164</v>
      </c>
      <c r="K59" s="1942">
        <v>205</v>
      </c>
      <c r="L59" s="1942">
        <v>193</v>
      </c>
    </row>
    <row r="60" spans="1:12" x14ac:dyDescent="0.3">
      <c r="A60" s="347" t="s">
        <v>139</v>
      </c>
      <c r="B60" s="348" t="s">
        <v>140</v>
      </c>
      <c r="C60" s="348" t="s">
        <v>254</v>
      </c>
      <c r="D60" s="286">
        <v>115</v>
      </c>
      <c r="E60" s="286">
        <v>104</v>
      </c>
      <c r="F60" s="286">
        <v>103</v>
      </c>
      <c r="G60" s="997">
        <v>110</v>
      </c>
      <c r="H60" s="997">
        <v>87</v>
      </c>
      <c r="I60" s="1536">
        <v>75</v>
      </c>
      <c r="J60" s="1536">
        <v>80</v>
      </c>
      <c r="K60" s="1942">
        <v>78</v>
      </c>
      <c r="L60" s="1942">
        <v>60</v>
      </c>
    </row>
    <row r="61" spans="1:12" x14ac:dyDescent="0.3">
      <c r="A61" s="347" t="s">
        <v>145</v>
      </c>
      <c r="B61" s="348" t="s">
        <v>146</v>
      </c>
      <c r="C61" s="348" t="s">
        <v>251</v>
      </c>
      <c r="D61" s="286">
        <v>104</v>
      </c>
      <c r="E61" s="286">
        <v>116</v>
      </c>
      <c r="F61" s="286">
        <v>84</v>
      </c>
      <c r="G61" s="997">
        <v>75</v>
      </c>
      <c r="H61" s="997">
        <v>68</v>
      </c>
      <c r="I61" s="1536">
        <v>96</v>
      </c>
      <c r="J61" s="1536">
        <v>71</v>
      </c>
      <c r="K61" s="1942">
        <v>64</v>
      </c>
      <c r="L61" s="1942">
        <v>61</v>
      </c>
    </row>
    <row r="62" spans="1:12" x14ac:dyDescent="0.3">
      <c r="A62" s="347" t="s">
        <v>147</v>
      </c>
      <c r="B62" s="348" t="s">
        <v>148</v>
      </c>
      <c r="C62" s="348" t="s">
        <v>252</v>
      </c>
      <c r="D62" s="286">
        <v>629</v>
      </c>
      <c r="E62" s="286">
        <v>618</v>
      </c>
      <c r="F62" s="286">
        <v>610</v>
      </c>
      <c r="G62" s="997">
        <v>484</v>
      </c>
      <c r="H62" s="997">
        <v>391</v>
      </c>
      <c r="I62" s="1536">
        <v>401</v>
      </c>
      <c r="J62" s="1536">
        <v>384</v>
      </c>
      <c r="K62" s="1942">
        <v>361</v>
      </c>
      <c r="L62" s="1942">
        <v>317</v>
      </c>
    </row>
    <row r="63" spans="1:12" x14ac:dyDescent="0.3">
      <c r="A63" s="347" t="s">
        <v>149</v>
      </c>
      <c r="B63" s="348" t="s">
        <v>150</v>
      </c>
      <c r="C63" s="348" t="s">
        <v>253</v>
      </c>
      <c r="D63" s="286">
        <v>203</v>
      </c>
      <c r="E63" s="286">
        <v>249</v>
      </c>
      <c r="F63" s="286">
        <v>292</v>
      </c>
      <c r="G63" s="997">
        <v>207</v>
      </c>
      <c r="H63" s="997">
        <v>194</v>
      </c>
      <c r="I63" s="1536">
        <v>224</v>
      </c>
      <c r="J63" s="1536">
        <v>161</v>
      </c>
      <c r="K63" s="1942">
        <v>150</v>
      </c>
      <c r="L63" s="1942">
        <v>174</v>
      </c>
    </row>
    <row r="64" spans="1:12" x14ac:dyDescent="0.3">
      <c r="A64" s="347" t="s">
        <v>151</v>
      </c>
      <c r="B64" s="348" t="s">
        <v>152</v>
      </c>
      <c r="C64" s="348" t="s">
        <v>255</v>
      </c>
      <c r="D64" s="286">
        <v>1434</v>
      </c>
      <c r="E64" s="286">
        <v>1210</v>
      </c>
      <c r="F64" s="286">
        <v>1124</v>
      </c>
      <c r="G64" s="997">
        <v>920</v>
      </c>
      <c r="H64" s="997">
        <v>866</v>
      </c>
      <c r="I64" s="1536">
        <v>929</v>
      </c>
      <c r="J64" s="1536">
        <v>848</v>
      </c>
      <c r="K64" s="1942">
        <v>853</v>
      </c>
      <c r="L64" s="1942">
        <v>668</v>
      </c>
    </row>
    <row r="65" spans="1:12" x14ac:dyDescent="0.3">
      <c r="A65" s="347" t="s">
        <v>153</v>
      </c>
      <c r="B65" s="348" t="s">
        <v>154</v>
      </c>
      <c r="C65" s="348" t="s">
        <v>252</v>
      </c>
      <c r="D65" s="286">
        <v>201</v>
      </c>
      <c r="E65" s="286">
        <v>173</v>
      </c>
      <c r="F65" s="286">
        <v>151</v>
      </c>
      <c r="G65" s="997">
        <v>164</v>
      </c>
      <c r="H65" s="997">
        <v>185</v>
      </c>
      <c r="I65" s="1536">
        <v>192</v>
      </c>
      <c r="J65" s="1536">
        <v>144</v>
      </c>
      <c r="K65" s="1942">
        <v>120</v>
      </c>
      <c r="L65" s="1942">
        <v>101</v>
      </c>
    </row>
    <row r="66" spans="1:12" x14ac:dyDescent="0.3">
      <c r="A66" s="347" t="s">
        <v>155</v>
      </c>
      <c r="B66" s="348" t="s">
        <v>156</v>
      </c>
      <c r="C66" s="348" t="s">
        <v>253</v>
      </c>
      <c r="D66" s="286">
        <v>223</v>
      </c>
      <c r="E66" s="286">
        <v>179</v>
      </c>
      <c r="F66" s="286">
        <v>178</v>
      </c>
      <c r="G66" s="997">
        <v>165</v>
      </c>
      <c r="H66" s="997">
        <v>167</v>
      </c>
      <c r="I66" s="1536">
        <v>125</v>
      </c>
      <c r="J66" s="1536">
        <v>91</v>
      </c>
      <c r="K66" s="1942">
        <v>74</v>
      </c>
      <c r="L66" s="1942">
        <v>129</v>
      </c>
    </row>
    <row r="67" spans="1:12" x14ac:dyDescent="0.3">
      <c r="A67" s="347" t="s">
        <v>161</v>
      </c>
      <c r="B67" s="348" t="s">
        <v>162</v>
      </c>
      <c r="C67" s="348" t="s">
        <v>251</v>
      </c>
      <c r="D67" s="286">
        <v>450</v>
      </c>
      <c r="E67" s="286">
        <v>395</v>
      </c>
      <c r="F67" s="286">
        <v>347</v>
      </c>
      <c r="G67" s="997">
        <v>309</v>
      </c>
      <c r="H67" s="997">
        <v>229</v>
      </c>
      <c r="I67" s="1536">
        <v>228</v>
      </c>
      <c r="J67" s="1536">
        <v>198</v>
      </c>
      <c r="K67" s="1942">
        <v>154</v>
      </c>
      <c r="L67" s="1942">
        <v>110</v>
      </c>
    </row>
    <row r="68" spans="1:12" x14ac:dyDescent="0.3">
      <c r="A68" s="347" t="s">
        <v>163</v>
      </c>
      <c r="B68" s="348" t="s">
        <v>164</v>
      </c>
      <c r="C68" s="348" t="s">
        <v>253</v>
      </c>
      <c r="D68" s="286">
        <v>98</v>
      </c>
      <c r="E68" s="286">
        <v>111</v>
      </c>
      <c r="F68" s="286">
        <v>114</v>
      </c>
      <c r="G68" s="997">
        <v>114</v>
      </c>
      <c r="H68" s="997">
        <v>103</v>
      </c>
      <c r="I68" s="1536">
        <v>109</v>
      </c>
      <c r="J68" s="1536">
        <v>121</v>
      </c>
      <c r="K68" s="1942">
        <v>134</v>
      </c>
      <c r="L68" s="1942">
        <v>130</v>
      </c>
    </row>
    <row r="69" spans="1:12" x14ac:dyDescent="0.3">
      <c r="A69" s="347" t="s">
        <v>167</v>
      </c>
      <c r="B69" s="348" t="s">
        <v>168</v>
      </c>
      <c r="C69" s="348" t="s">
        <v>253</v>
      </c>
      <c r="D69" s="286">
        <v>617</v>
      </c>
      <c r="E69" s="286">
        <v>601</v>
      </c>
      <c r="F69" s="286">
        <v>554</v>
      </c>
      <c r="G69" s="997">
        <v>432</v>
      </c>
      <c r="H69" s="997">
        <v>318</v>
      </c>
      <c r="I69" s="1536">
        <v>262</v>
      </c>
      <c r="J69" s="1536">
        <v>281</v>
      </c>
      <c r="K69" s="1942">
        <v>319</v>
      </c>
      <c r="L69" s="1942">
        <v>272</v>
      </c>
    </row>
    <row r="70" spans="1:12" x14ac:dyDescent="0.3">
      <c r="A70" s="347" t="s">
        <v>169</v>
      </c>
      <c r="B70" s="348" t="s">
        <v>170</v>
      </c>
      <c r="C70" s="348" t="s">
        <v>254</v>
      </c>
      <c r="D70" s="286">
        <v>360</v>
      </c>
      <c r="E70" s="286">
        <v>324</v>
      </c>
      <c r="F70" s="286">
        <v>354</v>
      </c>
      <c r="G70" s="997">
        <v>374</v>
      </c>
      <c r="H70" s="997">
        <v>365</v>
      </c>
      <c r="I70" s="1536">
        <v>359</v>
      </c>
      <c r="J70" s="1536">
        <v>249</v>
      </c>
      <c r="K70" s="1942">
        <v>205</v>
      </c>
      <c r="L70" s="1942">
        <v>200</v>
      </c>
    </row>
    <row r="71" spans="1:12" x14ac:dyDescent="0.3">
      <c r="A71" s="347" t="s">
        <v>171</v>
      </c>
      <c r="B71" s="348" t="s">
        <v>172</v>
      </c>
      <c r="C71" s="348" t="s">
        <v>254</v>
      </c>
      <c r="D71" s="286">
        <v>357</v>
      </c>
      <c r="E71" s="286">
        <v>314</v>
      </c>
      <c r="F71" s="286">
        <v>266</v>
      </c>
      <c r="G71" s="997">
        <v>187</v>
      </c>
      <c r="H71" s="997">
        <v>177</v>
      </c>
      <c r="I71" s="1536">
        <v>171</v>
      </c>
      <c r="J71" s="1536">
        <v>135</v>
      </c>
      <c r="K71" s="1942">
        <v>107</v>
      </c>
      <c r="L71" s="1942">
        <v>104</v>
      </c>
    </row>
    <row r="72" spans="1:12" x14ac:dyDescent="0.3">
      <c r="A72" s="347" t="s">
        <v>173</v>
      </c>
      <c r="B72" s="348" t="s">
        <v>174</v>
      </c>
      <c r="C72" s="348" t="s">
        <v>255</v>
      </c>
      <c r="D72" s="286">
        <v>547</v>
      </c>
      <c r="E72" s="286">
        <v>424</v>
      </c>
      <c r="F72" s="286">
        <v>405</v>
      </c>
      <c r="G72" s="997">
        <v>361</v>
      </c>
      <c r="H72" s="997">
        <v>322</v>
      </c>
      <c r="I72" s="1536">
        <v>306</v>
      </c>
      <c r="J72" s="1536">
        <v>310</v>
      </c>
      <c r="K72" s="1942">
        <v>239</v>
      </c>
      <c r="L72" s="1942">
        <v>242</v>
      </c>
    </row>
    <row r="73" spans="1:12" x14ac:dyDescent="0.3">
      <c r="A73" s="347" t="s">
        <v>177</v>
      </c>
      <c r="B73" s="348" t="s">
        <v>178</v>
      </c>
      <c r="C73" s="348" t="s">
        <v>252</v>
      </c>
      <c r="D73" s="286">
        <v>1004</v>
      </c>
      <c r="E73" s="286">
        <v>897</v>
      </c>
      <c r="F73" s="286">
        <v>878</v>
      </c>
      <c r="G73" s="997">
        <v>720</v>
      </c>
      <c r="H73" s="997">
        <v>696</v>
      </c>
      <c r="I73" s="1536">
        <v>601</v>
      </c>
      <c r="J73" s="1536">
        <v>519</v>
      </c>
      <c r="K73" s="1942">
        <v>511</v>
      </c>
      <c r="L73" s="1942">
        <v>472</v>
      </c>
    </row>
    <row r="74" spans="1:12" x14ac:dyDescent="0.3">
      <c r="A74" s="347" t="s">
        <v>181</v>
      </c>
      <c r="B74" s="348" t="s">
        <v>182</v>
      </c>
      <c r="C74" s="348" t="s">
        <v>253</v>
      </c>
      <c r="D74" s="286">
        <v>203</v>
      </c>
      <c r="E74" s="286">
        <v>214</v>
      </c>
      <c r="F74" s="286">
        <v>166</v>
      </c>
      <c r="G74" s="997">
        <v>147</v>
      </c>
      <c r="H74" s="997">
        <v>138</v>
      </c>
      <c r="I74" s="1536">
        <v>119</v>
      </c>
      <c r="J74" s="1536">
        <v>110</v>
      </c>
      <c r="K74" s="1942">
        <v>98</v>
      </c>
      <c r="L74" s="1942">
        <v>78</v>
      </c>
    </row>
    <row r="75" spans="1:12" x14ac:dyDescent="0.3">
      <c r="A75" s="347" t="s">
        <v>183</v>
      </c>
      <c r="B75" s="348" t="s">
        <v>184</v>
      </c>
      <c r="C75" s="348" t="s">
        <v>253</v>
      </c>
      <c r="D75" s="286">
        <v>552</v>
      </c>
      <c r="E75" s="286">
        <v>597</v>
      </c>
      <c r="F75" s="286">
        <v>529</v>
      </c>
      <c r="G75" s="997">
        <v>457</v>
      </c>
      <c r="H75" s="997">
        <v>386</v>
      </c>
      <c r="I75" s="1536">
        <v>377</v>
      </c>
      <c r="J75" s="1536">
        <v>334</v>
      </c>
      <c r="K75" s="1942">
        <v>298</v>
      </c>
      <c r="L75" s="1942">
        <v>258</v>
      </c>
    </row>
    <row r="76" spans="1:12" x14ac:dyDescent="0.3">
      <c r="A76" s="347" t="s">
        <v>185</v>
      </c>
      <c r="B76" s="348" t="s">
        <v>186</v>
      </c>
      <c r="C76" s="348" t="s">
        <v>251</v>
      </c>
      <c r="D76" s="286">
        <v>391</v>
      </c>
      <c r="E76" s="286">
        <v>386</v>
      </c>
      <c r="F76" s="286">
        <v>385</v>
      </c>
      <c r="G76" s="997">
        <v>445</v>
      </c>
      <c r="H76" s="997">
        <v>371</v>
      </c>
      <c r="I76" s="1536">
        <v>284</v>
      </c>
      <c r="J76" s="1536">
        <v>277</v>
      </c>
      <c r="K76" s="1942">
        <v>303</v>
      </c>
      <c r="L76" s="1942">
        <v>217</v>
      </c>
    </row>
    <row r="77" spans="1:12" x14ac:dyDescent="0.3">
      <c r="A77" s="347" t="s">
        <v>187</v>
      </c>
      <c r="B77" s="348" t="s">
        <v>188</v>
      </c>
      <c r="C77" s="348" t="s">
        <v>254</v>
      </c>
      <c r="D77" s="286">
        <v>5758</v>
      </c>
      <c r="E77" s="286">
        <v>5102</v>
      </c>
      <c r="F77" s="286">
        <v>4599</v>
      </c>
      <c r="G77" s="997">
        <v>4146</v>
      </c>
      <c r="H77" s="997">
        <v>3693</v>
      </c>
      <c r="I77" s="1536">
        <v>3663</v>
      </c>
      <c r="J77" s="1536">
        <v>3411</v>
      </c>
      <c r="K77" s="1942">
        <v>3009</v>
      </c>
      <c r="L77" s="1942">
        <v>2668</v>
      </c>
    </row>
    <row r="78" spans="1:12" x14ac:dyDescent="0.3">
      <c r="A78" s="347" t="s">
        <v>189</v>
      </c>
      <c r="B78" s="348" t="s">
        <v>190</v>
      </c>
      <c r="C78" s="348" t="s">
        <v>255</v>
      </c>
      <c r="D78" s="286">
        <v>794</v>
      </c>
      <c r="E78" s="286">
        <v>660</v>
      </c>
      <c r="F78" s="286">
        <v>660</v>
      </c>
      <c r="G78" s="997">
        <v>534</v>
      </c>
      <c r="H78" s="997">
        <v>439</v>
      </c>
      <c r="I78" s="1536">
        <v>405</v>
      </c>
      <c r="J78" s="1536">
        <v>448</v>
      </c>
      <c r="K78" s="1942">
        <v>378</v>
      </c>
      <c r="L78" s="1942">
        <v>320</v>
      </c>
    </row>
    <row r="79" spans="1:12" x14ac:dyDescent="0.3">
      <c r="A79" s="347" t="s">
        <v>193</v>
      </c>
      <c r="B79" s="348" t="s">
        <v>194</v>
      </c>
      <c r="C79" s="348" t="s">
        <v>254</v>
      </c>
      <c r="D79" s="286">
        <v>43</v>
      </c>
      <c r="E79" s="286">
        <v>56</v>
      </c>
      <c r="F79" s="286">
        <v>40</v>
      </c>
      <c r="G79" s="997">
        <v>43</v>
      </c>
      <c r="H79" s="997">
        <v>34</v>
      </c>
      <c r="I79" s="1536">
        <v>23</v>
      </c>
      <c r="J79" s="1536">
        <v>14</v>
      </c>
      <c r="K79" s="1942">
        <v>9</v>
      </c>
      <c r="L79" s="1942">
        <v>15</v>
      </c>
    </row>
    <row r="80" spans="1:12" x14ac:dyDescent="0.3">
      <c r="A80" s="347" t="s">
        <v>197</v>
      </c>
      <c r="B80" s="348" t="s">
        <v>259</v>
      </c>
      <c r="C80" s="348" t="s">
        <v>253</v>
      </c>
      <c r="D80" s="286">
        <v>151</v>
      </c>
      <c r="E80" s="286">
        <v>149</v>
      </c>
      <c r="F80" s="286">
        <v>177</v>
      </c>
      <c r="G80" s="997">
        <v>160</v>
      </c>
      <c r="H80" s="997">
        <v>145</v>
      </c>
      <c r="I80" s="1536">
        <v>137</v>
      </c>
      <c r="J80" s="1536">
        <v>134</v>
      </c>
      <c r="K80" s="1942">
        <v>102</v>
      </c>
      <c r="L80" s="1942">
        <v>71</v>
      </c>
    </row>
    <row r="81" spans="1:12" x14ac:dyDescent="0.3">
      <c r="A81" s="347" t="s">
        <v>201</v>
      </c>
      <c r="B81" s="348" t="s">
        <v>276</v>
      </c>
      <c r="C81" s="348" t="s">
        <v>252</v>
      </c>
      <c r="D81" s="286">
        <v>1271</v>
      </c>
      <c r="E81" s="286">
        <v>1159</v>
      </c>
      <c r="F81" s="286">
        <v>1078</v>
      </c>
      <c r="G81" s="997">
        <v>922</v>
      </c>
      <c r="H81" s="997">
        <v>817</v>
      </c>
      <c r="I81" s="1536">
        <v>838</v>
      </c>
      <c r="J81" s="1536">
        <v>820</v>
      </c>
      <c r="K81" s="1942">
        <v>777</v>
      </c>
      <c r="L81" s="1942">
        <v>652</v>
      </c>
    </row>
    <row r="82" spans="1:12" x14ac:dyDescent="0.3">
      <c r="A82" s="347" t="s">
        <v>203</v>
      </c>
      <c r="B82" s="348" t="s">
        <v>269</v>
      </c>
      <c r="C82" s="348" t="s">
        <v>252</v>
      </c>
      <c r="D82" s="286">
        <v>347</v>
      </c>
      <c r="E82" s="286">
        <v>291</v>
      </c>
      <c r="F82" s="286">
        <v>324</v>
      </c>
      <c r="G82" s="997">
        <v>251</v>
      </c>
      <c r="H82" s="997">
        <v>225</v>
      </c>
      <c r="I82" s="1536">
        <v>267</v>
      </c>
      <c r="J82" s="1536">
        <v>274</v>
      </c>
      <c r="K82" s="1942">
        <v>359</v>
      </c>
      <c r="L82" s="1942">
        <v>260</v>
      </c>
    </row>
    <row r="83" spans="1:12" x14ac:dyDescent="0.3">
      <c r="A83" s="347" t="s">
        <v>205</v>
      </c>
      <c r="B83" s="348" t="s">
        <v>270</v>
      </c>
      <c r="C83" s="348" t="s">
        <v>254</v>
      </c>
      <c r="D83" s="286">
        <v>1595</v>
      </c>
      <c r="E83" s="286">
        <v>1513</v>
      </c>
      <c r="F83" s="286">
        <v>1325</v>
      </c>
      <c r="G83" s="997">
        <v>1141</v>
      </c>
      <c r="H83" s="997">
        <v>1103</v>
      </c>
      <c r="I83" s="1536">
        <v>1270</v>
      </c>
      <c r="J83" s="1536">
        <v>1254</v>
      </c>
      <c r="K83" s="1942">
        <v>1263</v>
      </c>
      <c r="L83" s="1942">
        <v>962</v>
      </c>
    </row>
    <row r="84" spans="1:12" x14ac:dyDescent="0.3">
      <c r="A84" s="347" t="s">
        <v>207</v>
      </c>
      <c r="B84" s="348" t="s">
        <v>208</v>
      </c>
      <c r="C84" s="348" t="s">
        <v>255</v>
      </c>
      <c r="D84" s="286">
        <v>876</v>
      </c>
      <c r="E84" s="286">
        <v>852</v>
      </c>
      <c r="F84" s="286">
        <v>829</v>
      </c>
      <c r="G84" s="997">
        <v>673</v>
      </c>
      <c r="H84" s="997">
        <v>571</v>
      </c>
      <c r="I84" s="1536">
        <v>524</v>
      </c>
      <c r="J84" s="1536">
        <v>432</v>
      </c>
      <c r="K84" s="1942">
        <v>389</v>
      </c>
      <c r="L84" s="1942">
        <v>323</v>
      </c>
    </row>
    <row r="85" spans="1:12" x14ac:dyDescent="0.3">
      <c r="A85" s="347" t="s">
        <v>209</v>
      </c>
      <c r="B85" s="348" t="s">
        <v>210</v>
      </c>
      <c r="C85" s="348" t="s">
        <v>255</v>
      </c>
      <c r="D85" s="286">
        <v>732</v>
      </c>
      <c r="E85" s="286">
        <v>653</v>
      </c>
      <c r="F85" s="286">
        <v>599</v>
      </c>
      <c r="G85" s="997">
        <v>569</v>
      </c>
      <c r="H85" s="997">
        <v>463</v>
      </c>
      <c r="I85" s="1536">
        <v>431</v>
      </c>
      <c r="J85" s="1536">
        <v>393</v>
      </c>
      <c r="K85" s="1942">
        <v>346</v>
      </c>
      <c r="L85" s="1942">
        <v>349</v>
      </c>
    </row>
    <row r="86" spans="1:12" x14ac:dyDescent="0.3">
      <c r="A86" s="347" t="s">
        <v>211</v>
      </c>
      <c r="B86" s="348" t="s">
        <v>212</v>
      </c>
      <c r="C86" s="348" t="s">
        <v>254</v>
      </c>
      <c r="D86" s="286">
        <v>319</v>
      </c>
      <c r="E86" s="286">
        <v>248</v>
      </c>
      <c r="F86" s="286">
        <v>235</v>
      </c>
      <c r="G86" s="997">
        <v>265</v>
      </c>
      <c r="H86" s="997">
        <v>226</v>
      </c>
      <c r="I86" s="1536">
        <v>279</v>
      </c>
      <c r="J86" s="1536">
        <v>410</v>
      </c>
      <c r="K86" s="1942">
        <v>481</v>
      </c>
      <c r="L86" s="1942">
        <v>430</v>
      </c>
    </row>
    <row r="87" spans="1:12" x14ac:dyDescent="0.3">
      <c r="A87" s="347" t="s">
        <v>213</v>
      </c>
      <c r="B87" s="348" t="s">
        <v>214</v>
      </c>
      <c r="C87" s="348" t="s">
        <v>255</v>
      </c>
      <c r="D87" s="286">
        <v>907</v>
      </c>
      <c r="E87" s="286">
        <v>850</v>
      </c>
      <c r="F87" s="286">
        <v>791</v>
      </c>
      <c r="G87" s="997">
        <v>713</v>
      </c>
      <c r="H87" s="997">
        <v>593</v>
      </c>
      <c r="I87" s="1536">
        <v>601</v>
      </c>
      <c r="J87" s="1536">
        <v>535</v>
      </c>
      <c r="K87" s="1942">
        <v>562</v>
      </c>
      <c r="L87" s="1942">
        <v>476</v>
      </c>
    </row>
    <row r="88" spans="1:12" x14ac:dyDescent="0.3">
      <c r="A88" s="347" t="s">
        <v>215</v>
      </c>
      <c r="B88" s="348" t="s">
        <v>216</v>
      </c>
      <c r="C88" s="348" t="s">
        <v>251</v>
      </c>
      <c r="D88" s="286">
        <v>525</v>
      </c>
      <c r="E88" s="286">
        <v>406</v>
      </c>
      <c r="F88" s="286">
        <v>351</v>
      </c>
      <c r="G88" s="997">
        <v>293</v>
      </c>
      <c r="H88" s="997">
        <v>281</v>
      </c>
      <c r="I88" s="1536">
        <v>321</v>
      </c>
      <c r="J88" s="1536">
        <v>255</v>
      </c>
      <c r="K88" s="1942">
        <v>251</v>
      </c>
      <c r="L88" s="1942">
        <v>242</v>
      </c>
    </row>
    <row r="89" spans="1:12" x14ac:dyDescent="0.3">
      <c r="A89" s="347" t="s">
        <v>217</v>
      </c>
      <c r="B89" s="348" t="s">
        <v>218</v>
      </c>
      <c r="C89" s="348" t="s">
        <v>254</v>
      </c>
      <c r="D89" s="286">
        <v>2049</v>
      </c>
      <c r="E89" s="286">
        <v>1860</v>
      </c>
      <c r="F89" s="286">
        <v>1743</v>
      </c>
      <c r="G89" s="997">
        <v>1654</v>
      </c>
      <c r="H89" s="997">
        <v>1537</v>
      </c>
      <c r="I89" s="1536">
        <v>1524</v>
      </c>
      <c r="J89" s="1536">
        <v>1539</v>
      </c>
      <c r="K89" s="1942">
        <v>1547</v>
      </c>
      <c r="L89" s="1942">
        <v>1240</v>
      </c>
    </row>
    <row r="90" spans="1:12" x14ac:dyDescent="0.3">
      <c r="A90" s="347" t="s">
        <v>219</v>
      </c>
      <c r="B90" s="348" t="s">
        <v>220</v>
      </c>
      <c r="C90" s="348" t="s">
        <v>254</v>
      </c>
      <c r="D90" s="286">
        <v>1506</v>
      </c>
      <c r="E90" s="286">
        <v>1400</v>
      </c>
      <c r="F90" s="286">
        <v>1235</v>
      </c>
      <c r="G90" s="997">
        <v>1190</v>
      </c>
      <c r="H90" s="997">
        <v>1098</v>
      </c>
      <c r="I90" s="1536">
        <v>1220</v>
      </c>
      <c r="J90" s="1536">
        <v>1312</v>
      </c>
      <c r="K90" s="1942">
        <v>1340</v>
      </c>
      <c r="L90" s="1942">
        <v>1166</v>
      </c>
    </row>
    <row r="91" spans="1:12" x14ac:dyDescent="0.3">
      <c r="A91" s="347" t="s">
        <v>223</v>
      </c>
      <c r="B91" s="348" t="s">
        <v>224</v>
      </c>
      <c r="C91" s="348" t="s">
        <v>251</v>
      </c>
      <c r="D91" s="286">
        <v>211</v>
      </c>
      <c r="E91" s="286">
        <v>197</v>
      </c>
      <c r="F91" s="286">
        <v>166</v>
      </c>
      <c r="G91" s="997">
        <v>140</v>
      </c>
      <c r="H91" s="997">
        <v>117</v>
      </c>
      <c r="I91" s="1536">
        <v>94</v>
      </c>
      <c r="J91" s="1536">
        <v>75</v>
      </c>
      <c r="K91" s="1942">
        <v>84</v>
      </c>
      <c r="L91" s="1942">
        <v>53</v>
      </c>
    </row>
    <row r="92" spans="1:12" x14ac:dyDescent="0.3">
      <c r="A92" s="347" t="s">
        <v>225</v>
      </c>
      <c r="B92" s="348" t="s">
        <v>226</v>
      </c>
      <c r="C92" s="348" t="s">
        <v>251</v>
      </c>
      <c r="D92" s="286">
        <v>346</v>
      </c>
      <c r="E92" s="286">
        <v>300</v>
      </c>
      <c r="F92" s="286">
        <v>326</v>
      </c>
      <c r="G92" s="997">
        <v>295</v>
      </c>
      <c r="H92" s="997">
        <v>270</v>
      </c>
      <c r="I92" s="1536">
        <v>250</v>
      </c>
      <c r="J92" s="1536">
        <v>248</v>
      </c>
      <c r="K92" s="1942">
        <v>238</v>
      </c>
      <c r="L92" s="1942">
        <v>212</v>
      </c>
    </row>
    <row r="93" spans="1:12" x14ac:dyDescent="0.3">
      <c r="A93" s="347" t="s">
        <v>227</v>
      </c>
      <c r="B93" s="348" t="s">
        <v>228</v>
      </c>
      <c r="C93" s="348" t="s">
        <v>255</v>
      </c>
      <c r="D93" s="286">
        <v>1124</v>
      </c>
      <c r="E93" s="286">
        <v>1023</v>
      </c>
      <c r="F93" s="286">
        <v>963</v>
      </c>
      <c r="G93" s="997">
        <v>816</v>
      </c>
      <c r="H93" s="997">
        <v>706</v>
      </c>
      <c r="I93" s="1536">
        <v>675</v>
      </c>
      <c r="J93" s="1536">
        <v>585</v>
      </c>
      <c r="K93" s="1942">
        <v>547</v>
      </c>
      <c r="L93" s="1942">
        <v>466</v>
      </c>
    </row>
    <row r="94" spans="1:12" x14ac:dyDescent="0.3">
      <c r="A94" s="347" t="s">
        <v>231</v>
      </c>
      <c r="B94" s="348" t="s">
        <v>232</v>
      </c>
      <c r="C94" s="348" t="s">
        <v>254</v>
      </c>
      <c r="D94" s="286">
        <v>590</v>
      </c>
      <c r="E94" s="286">
        <v>554</v>
      </c>
      <c r="F94" s="286">
        <v>531</v>
      </c>
      <c r="G94" s="997">
        <v>456</v>
      </c>
      <c r="H94" s="997">
        <v>440</v>
      </c>
      <c r="I94" s="1536">
        <v>374</v>
      </c>
      <c r="J94" s="1536">
        <v>398</v>
      </c>
      <c r="K94" s="1942">
        <v>431</v>
      </c>
      <c r="L94" s="1942">
        <v>370</v>
      </c>
    </row>
    <row r="95" spans="1:12" x14ac:dyDescent="0.3">
      <c r="A95" s="347" t="s">
        <v>233</v>
      </c>
      <c r="B95" s="348" t="s">
        <v>234</v>
      </c>
      <c r="C95" s="348" t="s">
        <v>255</v>
      </c>
      <c r="D95" s="286">
        <v>839</v>
      </c>
      <c r="E95" s="286">
        <v>795</v>
      </c>
      <c r="F95" s="286">
        <v>790</v>
      </c>
      <c r="G95" s="997">
        <v>712</v>
      </c>
      <c r="H95" s="997">
        <v>693</v>
      </c>
      <c r="I95" s="1536">
        <v>623</v>
      </c>
      <c r="J95" s="1536">
        <v>591</v>
      </c>
      <c r="K95" s="1942">
        <v>615</v>
      </c>
      <c r="L95" s="1942">
        <v>584</v>
      </c>
    </row>
    <row r="96" spans="1:12" x14ac:dyDescent="0.3">
      <c r="A96" s="347" t="s">
        <v>235</v>
      </c>
      <c r="B96" s="348" t="s">
        <v>236</v>
      </c>
      <c r="C96" s="348" t="s">
        <v>253</v>
      </c>
      <c r="D96" s="286">
        <v>342</v>
      </c>
      <c r="E96" s="286">
        <v>318</v>
      </c>
      <c r="F96" s="286">
        <v>258</v>
      </c>
      <c r="G96" s="997">
        <v>306</v>
      </c>
      <c r="H96" s="997">
        <v>305</v>
      </c>
      <c r="I96" s="1536">
        <v>336</v>
      </c>
      <c r="J96" s="1536">
        <v>310</v>
      </c>
      <c r="K96" s="1942">
        <v>264</v>
      </c>
      <c r="L96" s="1942">
        <v>276</v>
      </c>
    </row>
    <row r="97" spans="1:12" x14ac:dyDescent="0.3">
      <c r="A97" s="347" t="s">
        <v>241</v>
      </c>
      <c r="B97" s="348" t="s">
        <v>242</v>
      </c>
      <c r="C97" s="348" t="s">
        <v>255</v>
      </c>
      <c r="D97" s="286">
        <v>1614</v>
      </c>
      <c r="E97" s="286">
        <v>1537</v>
      </c>
      <c r="F97" s="286">
        <v>1411</v>
      </c>
      <c r="G97" s="997">
        <v>1129</v>
      </c>
      <c r="H97" s="997">
        <v>1071</v>
      </c>
      <c r="I97" s="1536">
        <v>1129</v>
      </c>
      <c r="J97" s="1536">
        <v>1011</v>
      </c>
      <c r="K97" s="1942">
        <v>939</v>
      </c>
      <c r="L97" s="1942">
        <v>796</v>
      </c>
    </row>
    <row r="98" spans="1:12" x14ac:dyDescent="0.3">
      <c r="A98" s="347" t="s">
        <v>243</v>
      </c>
      <c r="B98" s="348" t="s">
        <v>244</v>
      </c>
      <c r="C98" s="348" t="s">
        <v>255</v>
      </c>
      <c r="D98" s="286">
        <v>582</v>
      </c>
      <c r="E98" s="286">
        <v>438</v>
      </c>
      <c r="F98" s="286">
        <v>420</v>
      </c>
      <c r="G98" s="997">
        <v>414</v>
      </c>
      <c r="H98" s="997">
        <v>312</v>
      </c>
      <c r="I98" s="1536">
        <v>353</v>
      </c>
      <c r="J98" s="1536">
        <v>302</v>
      </c>
      <c r="K98" s="1942">
        <v>349</v>
      </c>
      <c r="L98" s="1942">
        <v>318</v>
      </c>
    </row>
    <row r="99" spans="1:12" x14ac:dyDescent="0.3">
      <c r="A99" s="347" t="s">
        <v>245</v>
      </c>
      <c r="B99" s="348" t="s">
        <v>246</v>
      </c>
      <c r="C99" s="348" t="s">
        <v>251</v>
      </c>
      <c r="D99" s="286">
        <v>625</v>
      </c>
      <c r="E99" s="286">
        <v>589</v>
      </c>
      <c r="F99" s="286">
        <v>544</v>
      </c>
      <c r="G99" s="997">
        <v>514</v>
      </c>
      <c r="H99" s="997">
        <v>513</v>
      </c>
      <c r="I99" s="1536">
        <v>440</v>
      </c>
      <c r="J99" s="1536">
        <v>443</v>
      </c>
      <c r="K99" s="1942">
        <v>400</v>
      </c>
      <c r="L99" s="1942">
        <v>289</v>
      </c>
    </row>
    <row r="100" spans="1:12" x14ac:dyDescent="0.3">
      <c r="A100" s="347" t="s">
        <v>13</v>
      </c>
      <c r="B100" s="348" t="s">
        <v>14</v>
      </c>
      <c r="C100" s="348" t="s">
        <v>254</v>
      </c>
      <c r="D100" s="286">
        <v>1741</v>
      </c>
      <c r="E100" s="286">
        <v>1640</v>
      </c>
      <c r="F100" s="286">
        <v>1618</v>
      </c>
      <c r="G100" s="997">
        <v>1802</v>
      </c>
      <c r="H100" s="997">
        <v>1816</v>
      </c>
      <c r="I100" s="1536">
        <v>2126</v>
      </c>
      <c r="J100" s="1536">
        <v>2258</v>
      </c>
      <c r="K100" s="1942">
        <v>1930</v>
      </c>
      <c r="L100" s="1942">
        <v>1706</v>
      </c>
    </row>
    <row r="101" spans="1:12" x14ac:dyDescent="0.3">
      <c r="A101" s="347" t="s">
        <v>33</v>
      </c>
      <c r="B101" s="348" t="s">
        <v>34</v>
      </c>
      <c r="C101" s="348" t="s">
        <v>255</v>
      </c>
      <c r="D101" s="286">
        <v>1267</v>
      </c>
      <c r="E101" s="286">
        <v>1176</v>
      </c>
      <c r="F101" s="286">
        <v>965</v>
      </c>
      <c r="G101" s="997">
        <v>830</v>
      </c>
      <c r="H101" s="997">
        <v>724</v>
      </c>
      <c r="I101" s="1536">
        <v>686</v>
      </c>
      <c r="J101" s="1536">
        <v>627</v>
      </c>
      <c r="K101" s="1942">
        <v>607</v>
      </c>
      <c r="L101" s="1942">
        <v>612</v>
      </c>
    </row>
    <row r="102" spans="1:12" x14ac:dyDescent="0.3">
      <c r="A102" s="347" t="s">
        <v>51</v>
      </c>
      <c r="B102" s="348" t="s">
        <v>52</v>
      </c>
      <c r="C102" s="348" t="s">
        <v>252</v>
      </c>
      <c r="D102" s="286">
        <v>1352</v>
      </c>
      <c r="E102" s="286">
        <v>1232</v>
      </c>
      <c r="F102" s="286">
        <v>1072</v>
      </c>
      <c r="G102" s="997">
        <v>1019</v>
      </c>
      <c r="H102" s="997">
        <v>976</v>
      </c>
      <c r="I102" s="1536">
        <v>932</v>
      </c>
      <c r="J102" s="1536">
        <v>862</v>
      </c>
      <c r="K102" s="1942">
        <v>867</v>
      </c>
      <c r="L102" s="1942">
        <v>830</v>
      </c>
    </row>
    <row r="103" spans="1:12" x14ac:dyDescent="0.3">
      <c r="A103" s="347" t="s">
        <v>53</v>
      </c>
      <c r="B103" s="348" t="s">
        <v>54</v>
      </c>
      <c r="C103" s="348" t="s">
        <v>251</v>
      </c>
      <c r="D103" s="286">
        <v>4538</v>
      </c>
      <c r="E103" s="286">
        <v>4132</v>
      </c>
      <c r="F103" s="286">
        <v>3809</v>
      </c>
      <c r="G103" s="997">
        <v>3442</v>
      </c>
      <c r="H103" s="997">
        <v>2996</v>
      </c>
      <c r="I103" s="1536">
        <v>2641</v>
      </c>
      <c r="J103" s="1536">
        <v>2404</v>
      </c>
      <c r="K103" s="1942">
        <v>2156</v>
      </c>
      <c r="L103" s="1942">
        <v>1856</v>
      </c>
    </row>
    <row r="104" spans="1:12" x14ac:dyDescent="0.3">
      <c r="A104" s="347" t="s">
        <v>65</v>
      </c>
      <c r="B104" s="348" t="s">
        <v>66</v>
      </c>
      <c r="C104" s="348" t="s">
        <v>252</v>
      </c>
      <c r="D104" s="286">
        <v>1941</v>
      </c>
      <c r="E104" s="286">
        <v>1870</v>
      </c>
      <c r="F104" s="286">
        <v>1731</v>
      </c>
      <c r="G104" s="997">
        <v>1648</v>
      </c>
      <c r="H104" s="997">
        <v>1336</v>
      </c>
      <c r="I104" s="1536">
        <v>1156</v>
      </c>
      <c r="J104" s="1536">
        <v>1094</v>
      </c>
      <c r="K104" s="1942">
        <v>1134</v>
      </c>
      <c r="L104" s="1942">
        <v>924</v>
      </c>
    </row>
    <row r="105" spans="1:12" x14ac:dyDescent="0.3">
      <c r="A105" s="347" t="s">
        <v>81</v>
      </c>
      <c r="B105" s="348" t="s">
        <v>82</v>
      </c>
      <c r="C105" s="348" t="s">
        <v>251</v>
      </c>
      <c r="D105" s="286">
        <v>583</v>
      </c>
      <c r="E105" s="286">
        <v>491</v>
      </c>
      <c r="F105" s="286">
        <v>385</v>
      </c>
      <c r="G105" s="997">
        <v>327</v>
      </c>
      <c r="H105" s="997">
        <v>259</v>
      </c>
      <c r="I105" s="1536">
        <v>250</v>
      </c>
      <c r="J105" s="1536">
        <v>232</v>
      </c>
      <c r="K105" s="1942">
        <v>210</v>
      </c>
      <c r="L105" s="1942">
        <v>230</v>
      </c>
    </row>
    <row r="106" spans="1:12" x14ac:dyDescent="0.3">
      <c r="A106" s="347" t="s">
        <v>87</v>
      </c>
      <c r="B106" s="348" t="s">
        <v>88</v>
      </c>
      <c r="C106" s="348" t="s">
        <v>254</v>
      </c>
      <c r="D106" s="286">
        <v>973</v>
      </c>
      <c r="E106" s="286">
        <v>857</v>
      </c>
      <c r="F106" s="286">
        <v>814</v>
      </c>
      <c r="G106" s="997">
        <v>775</v>
      </c>
      <c r="H106" s="997">
        <v>688</v>
      </c>
      <c r="I106" s="1536">
        <v>753</v>
      </c>
      <c r="J106" s="1536">
        <v>778</v>
      </c>
      <c r="K106" s="1942">
        <v>762</v>
      </c>
      <c r="L106" s="1942">
        <v>700</v>
      </c>
    </row>
    <row r="107" spans="1:12" x14ac:dyDescent="0.3">
      <c r="A107" s="347" t="s">
        <v>89</v>
      </c>
      <c r="B107" s="348" t="s">
        <v>90</v>
      </c>
      <c r="C107" s="348" t="s">
        <v>255</v>
      </c>
      <c r="D107" s="286">
        <v>332</v>
      </c>
      <c r="E107" s="286">
        <v>262</v>
      </c>
      <c r="F107" s="286">
        <v>212</v>
      </c>
      <c r="G107" s="997">
        <v>161</v>
      </c>
      <c r="H107" s="997">
        <v>154</v>
      </c>
      <c r="I107" s="1536">
        <v>147</v>
      </c>
      <c r="J107" s="1536">
        <v>107</v>
      </c>
      <c r="K107" s="1942">
        <v>87</v>
      </c>
      <c r="L107" s="1942">
        <v>73</v>
      </c>
    </row>
    <row r="108" spans="1:12" x14ac:dyDescent="0.3">
      <c r="A108" s="347" t="s">
        <v>105</v>
      </c>
      <c r="B108" s="348" t="s">
        <v>106</v>
      </c>
      <c r="C108" s="348" t="s">
        <v>251</v>
      </c>
      <c r="D108" s="286">
        <v>5485</v>
      </c>
      <c r="E108" s="286">
        <v>5098</v>
      </c>
      <c r="F108" s="286">
        <v>4671</v>
      </c>
      <c r="G108" s="997">
        <v>4079</v>
      </c>
      <c r="H108" s="997">
        <v>3800</v>
      </c>
      <c r="I108" s="1536">
        <v>3496</v>
      </c>
      <c r="J108" s="1536">
        <v>3256</v>
      </c>
      <c r="K108" s="1942">
        <v>2907</v>
      </c>
      <c r="L108" s="1942">
        <v>2403</v>
      </c>
    </row>
    <row r="109" spans="1:12" x14ac:dyDescent="0.3">
      <c r="A109" s="347" t="s">
        <v>115</v>
      </c>
      <c r="B109" s="348" t="s">
        <v>116</v>
      </c>
      <c r="C109" s="348" t="s">
        <v>253</v>
      </c>
      <c r="D109" s="286">
        <v>1318</v>
      </c>
      <c r="E109" s="286">
        <v>1255</v>
      </c>
      <c r="F109" s="286">
        <v>1220</v>
      </c>
      <c r="G109" s="997">
        <v>1178</v>
      </c>
      <c r="H109" s="997">
        <v>1001</v>
      </c>
      <c r="I109" s="1536">
        <v>1093</v>
      </c>
      <c r="J109" s="1536">
        <v>958</v>
      </c>
      <c r="K109" s="1942">
        <v>916</v>
      </c>
      <c r="L109" s="1942">
        <v>745</v>
      </c>
    </row>
    <row r="110" spans="1:12" x14ac:dyDescent="0.3">
      <c r="A110" s="347" t="s">
        <v>137</v>
      </c>
      <c r="B110" s="348" t="s">
        <v>138</v>
      </c>
      <c r="C110" s="348" t="s">
        <v>252</v>
      </c>
      <c r="D110" s="286">
        <v>2448</v>
      </c>
      <c r="E110" s="286">
        <v>2208</v>
      </c>
      <c r="F110" s="286">
        <v>2036</v>
      </c>
      <c r="G110" s="997">
        <v>1818</v>
      </c>
      <c r="H110" s="997">
        <v>1585</v>
      </c>
      <c r="I110" s="1536">
        <v>1396</v>
      </c>
      <c r="J110" s="1536">
        <v>1212</v>
      </c>
      <c r="K110" s="1942">
        <v>1056</v>
      </c>
      <c r="L110" s="1942">
        <v>1094</v>
      </c>
    </row>
    <row r="111" spans="1:12" x14ac:dyDescent="0.3">
      <c r="A111" s="347" t="s">
        <v>141</v>
      </c>
      <c r="B111" s="348" t="s">
        <v>142</v>
      </c>
      <c r="C111" s="348" t="s">
        <v>254</v>
      </c>
      <c r="D111" s="286">
        <v>884</v>
      </c>
      <c r="E111" s="286">
        <v>690</v>
      </c>
      <c r="F111" s="286">
        <v>694</v>
      </c>
      <c r="G111" s="997">
        <v>611</v>
      </c>
      <c r="H111" s="997">
        <v>439</v>
      </c>
      <c r="I111" s="1536">
        <v>369</v>
      </c>
      <c r="J111" s="1536">
        <v>388</v>
      </c>
      <c r="K111" s="1942">
        <v>334</v>
      </c>
      <c r="L111" s="1942">
        <v>284</v>
      </c>
    </row>
    <row r="112" spans="1:12" x14ac:dyDescent="0.3">
      <c r="A112" s="347" t="s">
        <v>143</v>
      </c>
      <c r="B112" s="348" t="s">
        <v>144</v>
      </c>
      <c r="C112" s="348" t="s">
        <v>254</v>
      </c>
      <c r="D112" s="286">
        <v>211</v>
      </c>
      <c r="E112" s="286">
        <v>192</v>
      </c>
      <c r="F112" s="286">
        <v>168</v>
      </c>
      <c r="G112" s="997">
        <v>131</v>
      </c>
      <c r="H112" s="997">
        <v>101</v>
      </c>
      <c r="I112" s="1536">
        <v>143</v>
      </c>
      <c r="J112" s="1536">
        <v>91</v>
      </c>
      <c r="K112" s="1942">
        <v>66</v>
      </c>
      <c r="L112" s="1942">
        <v>79</v>
      </c>
    </row>
    <row r="113" spans="1:12" x14ac:dyDescent="0.3">
      <c r="A113" s="347" t="s">
        <v>157</v>
      </c>
      <c r="B113" s="348" t="s">
        <v>158</v>
      </c>
      <c r="C113" s="348" t="s">
        <v>251</v>
      </c>
      <c r="D113" s="286">
        <v>7873</v>
      </c>
      <c r="E113" s="286">
        <v>7299</v>
      </c>
      <c r="F113" s="286">
        <v>6520</v>
      </c>
      <c r="G113" s="997">
        <v>5948</v>
      </c>
      <c r="H113" s="997">
        <v>5730</v>
      </c>
      <c r="I113" s="1536">
        <v>5756</v>
      </c>
      <c r="J113" s="1536">
        <v>5465</v>
      </c>
      <c r="K113" s="1942">
        <v>4830</v>
      </c>
      <c r="L113" s="1942">
        <v>4071</v>
      </c>
    </row>
    <row r="114" spans="1:12" x14ac:dyDescent="0.3">
      <c r="A114" s="347" t="s">
        <v>159</v>
      </c>
      <c r="B114" s="348" t="s">
        <v>160</v>
      </c>
      <c r="C114" s="348" t="s">
        <v>251</v>
      </c>
      <c r="D114" s="286">
        <v>9531</v>
      </c>
      <c r="E114" s="286">
        <v>8527</v>
      </c>
      <c r="F114" s="286">
        <v>7856</v>
      </c>
      <c r="G114" s="997">
        <v>6642</v>
      </c>
      <c r="H114" s="997">
        <v>5728</v>
      </c>
      <c r="I114" s="1536">
        <v>5206</v>
      </c>
      <c r="J114" s="1536">
        <v>4557</v>
      </c>
      <c r="K114" s="1942">
        <v>4154</v>
      </c>
      <c r="L114" s="1942">
        <v>3606</v>
      </c>
    </row>
    <row r="115" spans="1:12" x14ac:dyDescent="0.3">
      <c r="A115" s="347" t="s">
        <v>165</v>
      </c>
      <c r="B115" s="348" t="s">
        <v>166</v>
      </c>
      <c r="C115" s="348" t="s">
        <v>255</v>
      </c>
      <c r="D115" s="286">
        <v>214</v>
      </c>
      <c r="E115" s="286">
        <v>197</v>
      </c>
      <c r="F115" s="286">
        <v>197</v>
      </c>
      <c r="G115" s="997">
        <v>193</v>
      </c>
      <c r="H115" s="997">
        <v>173</v>
      </c>
      <c r="I115" s="1536">
        <v>159</v>
      </c>
      <c r="J115" s="1536">
        <v>127</v>
      </c>
      <c r="K115" s="1942">
        <v>133</v>
      </c>
      <c r="L115" s="1942">
        <v>118</v>
      </c>
    </row>
    <row r="116" spans="1:12" x14ac:dyDescent="0.3">
      <c r="A116" s="347" t="s">
        <v>175</v>
      </c>
      <c r="B116" s="348" t="s">
        <v>176</v>
      </c>
      <c r="C116" s="348" t="s">
        <v>253</v>
      </c>
      <c r="D116" s="286">
        <v>2165</v>
      </c>
      <c r="E116" s="286">
        <v>1968</v>
      </c>
      <c r="F116" s="286">
        <v>1884</v>
      </c>
      <c r="G116" s="997">
        <v>1872</v>
      </c>
      <c r="H116" s="997">
        <v>1634</v>
      </c>
      <c r="I116" s="1536">
        <v>1443</v>
      </c>
      <c r="J116" s="1536">
        <v>1295</v>
      </c>
      <c r="K116" s="1942">
        <v>1238</v>
      </c>
      <c r="L116" s="1942">
        <v>973</v>
      </c>
    </row>
    <row r="117" spans="1:12" x14ac:dyDescent="0.3">
      <c r="A117" s="347" t="s">
        <v>179</v>
      </c>
      <c r="B117" s="348" t="s">
        <v>180</v>
      </c>
      <c r="C117" s="348" t="s">
        <v>251</v>
      </c>
      <c r="D117" s="286">
        <v>4725</v>
      </c>
      <c r="E117" s="286">
        <v>4360</v>
      </c>
      <c r="F117" s="286">
        <v>3998</v>
      </c>
      <c r="G117" s="997">
        <v>3690</v>
      </c>
      <c r="H117" s="997">
        <v>3237</v>
      </c>
      <c r="I117" s="1536">
        <v>3034</v>
      </c>
      <c r="J117" s="1536">
        <v>2551</v>
      </c>
      <c r="K117" s="1942">
        <v>2541</v>
      </c>
      <c r="L117" s="1942">
        <v>2302</v>
      </c>
    </row>
    <row r="118" spans="1:12" x14ac:dyDescent="0.3">
      <c r="A118" s="347" t="s">
        <v>191</v>
      </c>
      <c r="B118" s="348" t="s">
        <v>192</v>
      </c>
      <c r="C118" s="348" t="s">
        <v>255</v>
      </c>
      <c r="D118" s="286">
        <v>351</v>
      </c>
      <c r="E118" s="286">
        <v>322</v>
      </c>
      <c r="F118" s="286">
        <v>346</v>
      </c>
      <c r="G118" s="997">
        <v>266</v>
      </c>
      <c r="H118" s="997">
        <v>215</v>
      </c>
      <c r="I118" s="1536">
        <v>240</v>
      </c>
      <c r="J118" s="1536">
        <v>223</v>
      </c>
      <c r="K118" s="1942">
        <v>166</v>
      </c>
      <c r="L118" s="1942">
        <v>127</v>
      </c>
    </row>
    <row r="119" spans="1:12" x14ac:dyDescent="0.3">
      <c r="A119" s="347" t="s">
        <v>195</v>
      </c>
      <c r="B119" s="348" t="s">
        <v>196</v>
      </c>
      <c r="C119" s="348" t="s">
        <v>253</v>
      </c>
      <c r="D119" s="286">
        <v>10755</v>
      </c>
      <c r="E119" s="286">
        <v>9624</v>
      </c>
      <c r="F119" s="286">
        <v>8595</v>
      </c>
      <c r="G119" s="997">
        <v>7716</v>
      </c>
      <c r="H119" s="997">
        <v>6690</v>
      </c>
      <c r="I119" s="1536">
        <v>6578</v>
      </c>
      <c r="J119" s="1536">
        <v>5701</v>
      </c>
      <c r="K119" s="1942">
        <v>4891</v>
      </c>
      <c r="L119" s="1942">
        <v>4104</v>
      </c>
    </row>
    <row r="120" spans="1:12" x14ac:dyDescent="0.3">
      <c r="A120" s="347" t="s">
        <v>199</v>
      </c>
      <c r="B120" s="348" t="s">
        <v>200</v>
      </c>
      <c r="C120" s="348" t="s">
        <v>252</v>
      </c>
      <c r="D120" s="286">
        <v>5119</v>
      </c>
      <c r="E120" s="286">
        <v>4576</v>
      </c>
      <c r="F120" s="286">
        <v>4170</v>
      </c>
      <c r="G120" s="997">
        <v>3697</v>
      </c>
      <c r="H120" s="997">
        <v>3339</v>
      </c>
      <c r="I120" s="1536">
        <v>3246</v>
      </c>
      <c r="J120" s="1536">
        <v>2819</v>
      </c>
      <c r="K120" s="1942">
        <v>2410</v>
      </c>
      <c r="L120" s="1942">
        <v>2098</v>
      </c>
    </row>
    <row r="121" spans="1:12" x14ac:dyDescent="0.3">
      <c r="A121" s="347" t="s">
        <v>221</v>
      </c>
      <c r="B121" s="348" t="s">
        <v>222</v>
      </c>
      <c r="C121" s="348" t="s">
        <v>251</v>
      </c>
      <c r="D121" s="286">
        <v>1611</v>
      </c>
      <c r="E121" s="286">
        <v>1613</v>
      </c>
      <c r="F121" s="286">
        <v>1559</v>
      </c>
      <c r="G121" s="997">
        <v>1387</v>
      </c>
      <c r="H121" s="997">
        <v>1349</v>
      </c>
      <c r="I121" s="1536">
        <v>1376</v>
      </c>
      <c r="J121" s="1536">
        <v>1161</v>
      </c>
      <c r="K121" s="1942">
        <v>1126</v>
      </c>
      <c r="L121" s="1942">
        <v>976</v>
      </c>
    </row>
    <row r="122" spans="1:12" x14ac:dyDescent="0.3">
      <c r="A122" s="347" t="s">
        <v>229</v>
      </c>
      <c r="B122" s="348" t="s">
        <v>230</v>
      </c>
      <c r="C122" s="348" t="s">
        <v>251</v>
      </c>
      <c r="D122" s="286">
        <v>4864</v>
      </c>
      <c r="E122" s="286">
        <v>4369</v>
      </c>
      <c r="F122" s="286">
        <v>3939</v>
      </c>
      <c r="G122" s="997">
        <v>3303</v>
      </c>
      <c r="H122" s="997">
        <v>2593</v>
      </c>
      <c r="I122" s="1536">
        <v>2446</v>
      </c>
      <c r="J122" s="1536">
        <v>2178</v>
      </c>
      <c r="K122" s="1942">
        <v>1884</v>
      </c>
      <c r="L122" s="1942">
        <v>1681</v>
      </c>
    </row>
    <row r="123" spans="1:12" x14ac:dyDescent="0.3">
      <c r="A123" s="347" t="s">
        <v>237</v>
      </c>
      <c r="B123" s="348" t="s">
        <v>238</v>
      </c>
      <c r="C123" s="348" t="s">
        <v>251</v>
      </c>
      <c r="D123" s="286">
        <v>223</v>
      </c>
      <c r="E123" s="286">
        <v>208</v>
      </c>
      <c r="F123" s="286">
        <v>192</v>
      </c>
      <c r="G123" s="997">
        <v>171</v>
      </c>
      <c r="H123" s="997">
        <v>133</v>
      </c>
      <c r="I123" s="1536">
        <v>133</v>
      </c>
      <c r="J123" s="1536">
        <v>166</v>
      </c>
      <c r="K123" s="1942">
        <v>134</v>
      </c>
      <c r="L123" s="1942">
        <v>103</v>
      </c>
    </row>
    <row r="124" spans="1:12" x14ac:dyDescent="0.3">
      <c r="A124" s="287" t="s">
        <v>239</v>
      </c>
      <c r="B124" s="282" t="s">
        <v>240</v>
      </c>
      <c r="C124" s="282" t="s">
        <v>254</v>
      </c>
      <c r="D124" s="288">
        <v>685</v>
      </c>
      <c r="E124" s="288">
        <v>603</v>
      </c>
      <c r="F124" s="288">
        <v>454</v>
      </c>
      <c r="G124" s="998">
        <v>380</v>
      </c>
      <c r="H124" s="998">
        <v>384</v>
      </c>
      <c r="I124" s="1537">
        <v>366</v>
      </c>
      <c r="J124" s="1537">
        <v>362</v>
      </c>
      <c r="K124" s="998">
        <v>358</v>
      </c>
      <c r="L124" s="2109">
        <v>307</v>
      </c>
    </row>
    <row r="126" spans="1:12" ht="63.75" customHeight="1" x14ac:dyDescent="0.3">
      <c r="A126" s="2540" t="s">
        <v>938</v>
      </c>
      <c r="B126" s="2540"/>
      <c r="C126" s="2540"/>
      <c r="D126" s="2540"/>
      <c r="E126" s="2540"/>
      <c r="F126" s="2540"/>
      <c r="G126" s="2540"/>
      <c r="H126" s="2540"/>
      <c r="I126" s="1480"/>
      <c r="J126" s="1567"/>
      <c r="K126" s="1938"/>
      <c r="L126" s="2082"/>
    </row>
    <row r="128" spans="1:12" s="193" customFormat="1" x14ac:dyDescent="0.3">
      <c r="A128" s="193" t="s">
        <v>247</v>
      </c>
    </row>
    <row r="129" spans="1:3" s="193" customFormat="1" x14ac:dyDescent="0.3">
      <c r="A129" s="194" t="s">
        <v>248</v>
      </c>
      <c r="B129" s="195" t="s">
        <v>249</v>
      </c>
      <c r="C129" s="195"/>
    </row>
  </sheetData>
  <sortState ref="A5:M124">
    <sortCondition ref="A5:A124"/>
  </sortState>
  <mergeCells count="1">
    <mergeCell ref="A126:H126"/>
  </mergeCells>
  <hyperlinks>
    <hyperlink ref="B129"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1"/>
  <sheetViews>
    <sheetView workbookViewId="0">
      <pane xSplit="3" ySplit="4" topLeftCell="D116" activePane="bottomRight" state="frozen"/>
      <selection pane="topRight" activeCell="D1" sqref="D1"/>
      <selection pane="bottomLeft" activeCell="A5" sqref="A5"/>
      <selection pane="bottomRight" activeCell="K4" sqref="K4"/>
    </sheetView>
  </sheetViews>
  <sheetFormatPr defaultColWidth="9" defaultRowHeight="15.6" x14ac:dyDescent="0.3"/>
  <cols>
    <col min="1" max="1" width="5.796875" style="275" customWidth="1"/>
    <col min="2" max="2" width="29.5" style="275" customWidth="1"/>
    <col min="3" max="3" width="16.19921875" style="275" customWidth="1"/>
    <col min="4" max="12" width="11.296875" style="275" customWidth="1"/>
    <col min="13" max="13" width="3.796875" style="275" customWidth="1"/>
    <col min="14" max="16384" width="9" style="275"/>
  </cols>
  <sheetData>
    <row r="1" spans="1:12" x14ac:dyDescent="0.3">
      <c r="A1" s="95" t="s">
        <v>856</v>
      </c>
    </row>
    <row r="3" spans="1:12" x14ac:dyDescent="0.3">
      <c r="A3" s="351" t="s">
        <v>4</v>
      </c>
      <c r="B3" s="322" t="s">
        <v>5</v>
      </c>
      <c r="C3" s="322" t="s">
        <v>250</v>
      </c>
      <c r="D3" s="352">
        <v>2012</v>
      </c>
      <c r="E3" s="352">
        <v>2013</v>
      </c>
      <c r="F3" s="352">
        <v>2014</v>
      </c>
      <c r="G3" s="864">
        <v>2015</v>
      </c>
      <c r="H3" s="864">
        <v>2016</v>
      </c>
      <c r="I3" s="1414">
        <v>2017</v>
      </c>
      <c r="J3" s="1414">
        <v>2018</v>
      </c>
      <c r="K3" s="1940">
        <v>2019</v>
      </c>
      <c r="L3" s="1940">
        <v>2020</v>
      </c>
    </row>
    <row r="4" spans="1:12" x14ac:dyDescent="0.3">
      <c r="A4" s="1576">
        <v>999</v>
      </c>
      <c r="B4" s="1577" t="s">
        <v>529</v>
      </c>
      <c r="C4" s="1577"/>
      <c r="D4" s="1578">
        <v>1162309</v>
      </c>
      <c r="E4" s="1578">
        <v>1208643</v>
      </c>
      <c r="F4" s="1578">
        <v>1243684</v>
      </c>
      <c r="G4" s="1578">
        <v>1316693</v>
      </c>
      <c r="H4" s="1578">
        <v>1332753</v>
      </c>
      <c r="I4" s="1578">
        <v>1407250</v>
      </c>
      <c r="J4" s="1578">
        <v>1410979</v>
      </c>
      <c r="K4" s="1578">
        <v>1608957</v>
      </c>
      <c r="L4" s="2108">
        <v>1800133</v>
      </c>
    </row>
    <row r="5" spans="1:12" s="350" customFormat="1" x14ac:dyDescent="0.3">
      <c r="A5" s="347" t="s">
        <v>9</v>
      </c>
      <c r="B5" s="348" t="s">
        <v>10</v>
      </c>
      <c r="C5" s="348" t="s">
        <v>251</v>
      </c>
      <c r="D5" s="561">
        <v>7700</v>
      </c>
      <c r="E5" s="561">
        <v>8722</v>
      </c>
      <c r="F5" s="561">
        <v>8891</v>
      </c>
      <c r="G5" s="865">
        <v>9155</v>
      </c>
      <c r="H5" s="929">
        <v>9712</v>
      </c>
      <c r="I5" s="1538">
        <v>9581</v>
      </c>
      <c r="J5" s="1538">
        <v>9533</v>
      </c>
      <c r="K5" s="1943">
        <v>10729</v>
      </c>
      <c r="L5" s="1943">
        <v>11409</v>
      </c>
    </row>
    <row r="6" spans="1:12" s="350" customFormat="1" x14ac:dyDescent="0.3">
      <c r="A6" s="347" t="s">
        <v>11</v>
      </c>
      <c r="B6" s="348" t="s">
        <v>12</v>
      </c>
      <c r="C6" s="348" t="s">
        <v>252</v>
      </c>
      <c r="D6" s="561">
        <v>8499</v>
      </c>
      <c r="E6" s="561">
        <v>10028</v>
      </c>
      <c r="F6" s="561">
        <v>10348</v>
      </c>
      <c r="G6" s="865">
        <v>11091</v>
      </c>
      <c r="H6" s="929">
        <v>11277</v>
      </c>
      <c r="I6" s="1538">
        <v>11652</v>
      </c>
      <c r="J6" s="1538">
        <v>11441</v>
      </c>
      <c r="K6" s="1943">
        <v>13431</v>
      </c>
      <c r="L6" s="1943">
        <v>15400</v>
      </c>
    </row>
    <row r="7" spans="1:12" s="350" customFormat="1" x14ac:dyDescent="0.3">
      <c r="A7" s="347" t="s">
        <v>15</v>
      </c>
      <c r="B7" s="348" t="s">
        <v>273</v>
      </c>
      <c r="C7" s="348" t="s">
        <v>252</v>
      </c>
      <c r="D7" s="561">
        <v>4660</v>
      </c>
      <c r="E7" s="561">
        <v>5201</v>
      </c>
      <c r="F7" s="561">
        <v>5300</v>
      </c>
      <c r="G7" s="865">
        <v>5577</v>
      </c>
      <c r="H7" s="929">
        <v>5633</v>
      </c>
      <c r="I7" s="1538">
        <v>5803</v>
      </c>
      <c r="J7" s="1538">
        <v>5746</v>
      </c>
      <c r="K7" s="1943">
        <v>6463</v>
      </c>
      <c r="L7" s="1943">
        <v>7033</v>
      </c>
    </row>
    <row r="8" spans="1:12" s="350" customFormat="1" x14ac:dyDescent="0.3">
      <c r="A8" s="347" t="s">
        <v>17</v>
      </c>
      <c r="B8" s="348" t="s">
        <v>18</v>
      </c>
      <c r="C8" s="348" t="s">
        <v>253</v>
      </c>
      <c r="D8" s="561">
        <v>2482</v>
      </c>
      <c r="E8" s="561">
        <v>2750</v>
      </c>
      <c r="F8" s="561">
        <v>2692</v>
      </c>
      <c r="G8" s="865">
        <v>2716</v>
      </c>
      <c r="H8" s="929">
        <v>2744</v>
      </c>
      <c r="I8" s="1538">
        <v>2865</v>
      </c>
      <c r="J8" s="1538">
        <v>2805</v>
      </c>
      <c r="K8" s="1943">
        <v>3162</v>
      </c>
      <c r="L8" s="1943">
        <v>3410</v>
      </c>
    </row>
    <row r="9" spans="1:12" s="350" customFormat="1" x14ac:dyDescent="0.3">
      <c r="A9" s="347" t="s">
        <v>19</v>
      </c>
      <c r="B9" s="348" t="s">
        <v>20</v>
      </c>
      <c r="C9" s="348" t="s">
        <v>252</v>
      </c>
      <c r="D9" s="561">
        <v>5052</v>
      </c>
      <c r="E9" s="561">
        <v>5903</v>
      </c>
      <c r="F9" s="561">
        <v>5870</v>
      </c>
      <c r="G9" s="865">
        <v>6147</v>
      </c>
      <c r="H9" s="929">
        <v>6420</v>
      </c>
      <c r="I9" s="1538">
        <v>6877</v>
      </c>
      <c r="J9" s="1538">
        <v>6861</v>
      </c>
      <c r="K9" s="1943">
        <v>7689</v>
      </c>
      <c r="L9" s="1943">
        <v>8565</v>
      </c>
    </row>
    <row r="10" spans="1:12" s="350" customFormat="1" x14ac:dyDescent="0.3">
      <c r="A10" s="347" t="s">
        <v>21</v>
      </c>
      <c r="B10" s="348" t="s">
        <v>22</v>
      </c>
      <c r="C10" s="348" t="s">
        <v>252</v>
      </c>
      <c r="D10" s="561">
        <v>3076</v>
      </c>
      <c r="E10" s="561">
        <v>3595</v>
      </c>
      <c r="F10" s="561">
        <v>3552</v>
      </c>
      <c r="G10" s="865">
        <v>3735</v>
      </c>
      <c r="H10" s="929">
        <v>3837</v>
      </c>
      <c r="I10" s="1538">
        <v>3960</v>
      </c>
      <c r="J10" s="1538">
        <v>3930</v>
      </c>
      <c r="K10" s="1943">
        <v>4353</v>
      </c>
      <c r="L10" s="1943">
        <v>4687</v>
      </c>
    </row>
    <row r="11" spans="1:12" s="350" customFormat="1" x14ac:dyDescent="0.3">
      <c r="A11" s="347" t="s">
        <v>23</v>
      </c>
      <c r="B11" s="348" t="s">
        <v>24</v>
      </c>
      <c r="C11" s="348" t="s">
        <v>254</v>
      </c>
      <c r="D11" s="561">
        <v>12737</v>
      </c>
      <c r="E11" s="561">
        <v>14796</v>
      </c>
      <c r="F11" s="561">
        <v>15579</v>
      </c>
      <c r="G11" s="865">
        <v>16871</v>
      </c>
      <c r="H11" s="929">
        <v>17116</v>
      </c>
      <c r="I11" s="1538">
        <v>17810</v>
      </c>
      <c r="J11" s="1538">
        <v>17761</v>
      </c>
      <c r="K11" s="1943">
        <v>21053</v>
      </c>
      <c r="L11" s="1943">
        <v>23733</v>
      </c>
    </row>
    <row r="12" spans="1:12" s="350" customFormat="1" x14ac:dyDescent="0.3">
      <c r="A12" s="347" t="s">
        <v>25</v>
      </c>
      <c r="B12" s="348" t="s">
        <v>444</v>
      </c>
      <c r="C12" s="348" t="s">
        <v>252</v>
      </c>
      <c r="D12" s="561">
        <v>18647</v>
      </c>
      <c r="E12" s="561">
        <v>22602</v>
      </c>
      <c r="F12" s="561">
        <v>22738</v>
      </c>
      <c r="G12" s="865">
        <v>23152</v>
      </c>
      <c r="H12" s="929">
        <v>23529</v>
      </c>
      <c r="I12" s="1538">
        <v>25154</v>
      </c>
      <c r="J12" s="1538">
        <v>24767</v>
      </c>
      <c r="K12" s="1943">
        <v>28210</v>
      </c>
      <c r="L12" s="1943">
        <v>32059</v>
      </c>
    </row>
    <row r="13" spans="1:12" s="350" customFormat="1" x14ac:dyDescent="0.3">
      <c r="A13" s="347" t="s">
        <v>26</v>
      </c>
      <c r="B13" s="348" t="s">
        <v>27</v>
      </c>
      <c r="C13" s="348" t="s">
        <v>252</v>
      </c>
      <c r="D13" s="561">
        <v>643</v>
      </c>
      <c r="E13" s="561">
        <v>794</v>
      </c>
      <c r="F13" s="561">
        <v>746</v>
      </c>
      <c r="G13" s="865">
        <v>847</v>
      </c>
      <c r="H13" s="929">
        <v>838</v>
      </c>
      <c r="I13" s="1538">
        <v>805</v>
      </c>
      <c r="J13" s="1538">
        <v>815</v>
      </c>
      <c r="K13" s="1943">
        <v>979</v>
      </c>
      <c r="L13" s="1943">
        <v>1092</v>
      </c>
    </row>
    <row r="14" spans="1:12" s="350" customFormat="1" x14ac:dyDescent="0.3">
      <c r="A14" s="347" t="s">
        <v>28</v>
      </c>
      <c r="B14" s="348" t="s">
        <v>568</v>
      </c>
      <c r="C14" s="348" t="s">
        <v>252</v>
      </c>
      <c r="D14" s="561">
        <v>9131</v>
      </c>
      <c r="E14" s="561">
        <v>10769</v>
      </c>
      <c r="F14" s="561">
        <v>11781</v>
      </c>
      <c r="G14" s="865">
        <v>11201</v>
      </c>
      <c r="H14" s="929">
        <v>11262</v>
      </c>
      <c r="I14" s="1538">
        <v>11525</v>
      </c>
      <c r="J14" s="1538">
        <v>11642</v>
      </c>
      <c r="K14" s="1943">
        <v>13423</v>
      </c>
      <c r="L14" s="1943">
        <v>15123</v>
      </c>
    </row>
    <row r="15" spans="1:12" s="350" customFormat="1" x14ac:dyDescent="0.3">
      <c r="A15" s="347" t="s">
        <v>29</v>
      </c>
      <c r="B15" s="348" t="s">
        <v>30</v>
      </c>
      <c r="C15" s="348" t="s">
        <v>255</v>
      </c>
      <c r="D15" s="561">
        <v>957</v>
      </c>
      <c r="E15" s="561">
        <v>1141</v>
      </c>
      <c r="F15" s="561">
        <v>1079</v>
      </c>
      <c r="G15" s="865">
        <v>1135</v>
      </c>
      <c r="H15" s="929">
        <v>1178</v>
      </c>
      <c r="I15" s="1538">
        <v>1128</v>
      </c>
      <c r="J15" s="1538">
        <v>1134</v>
      </c>
      <c r="K15" s="1943">
        <v>1270</v>
      </c>
      <c r="L15" s="1943">
        <v>1719</v>
      </c>
    </row>
    <row r="16" spans="1:12" s="350" customFormat="1" x14ac:dyDescent="0.3">
      <c r="A16" s="347" t="s">
        <v>31</v>
      </c>
      <c r="B16" s="348" t="s">
        <v>32</v>
      </c>
      <c r="C16" s="348" t="s">
        <v>252</v>
      </c>
      <c r="D16" s="561">
        <v>2517</v>
      </c>
      <c r="E16" s="561">
        <v>3021</v>
      </c>
      <c r="F16" s="561">
        <v>3162</v>
      </c>
      <c r="G16" s="865">
        <v>3517</v>
      </c>
      <c r="H16" s="929">
        <v>3788</v>
      </c>
      <c r="I16" s="1538">
        <v>3835</v>
      </c>
      <c r="J16" s="1538">
        <v>3937</v>
      </c>
      <c r="K16" s="1943">
        <v>4630</v>
      </c>
      <c r="L16" s="1943">
        <v>5090</v>
      </c>
    </row>
    <row r="17" spans="1:12" s="350" customFormat="1" x14ac:dyDescent="0.3">
      <c r="A17" s="347" t="s">
        <v>35</v>
      </c>
      <c r="B17" s="348" t="s">
        <v>36</v>
      </c>
      <c r="C17" s="348" t="s">
        <v>251</v>
      </c>
      <c r="D17" s="561">
        <v>4053</v>
      </c>
      <c r="E17" s="561">
        <v>4599</v>
      </c>
      <c r="F17" s="561">
        <v>4717</v>
      </c>
      <c r="G17" s="865">
        <v>4891</v>
      </c>
      <c r="H17" s="929">
        <v>4966</v>
      </c>
      <c r="I17" s="1538">
        <v>5093</v>
      </c>
      <c r="J17" s="1538">
        <v>4969</v>
      </c>
      <c r="K17" s="1943">
        <v>5518</v>
      </c>
      <c r="L17" s="1943">
        <v>6756</v>
      </c>
    </row>
    <row r="18" spans="1:12" s="350" customFormat="1" x14ac:dyDescent="0.3">
      <c r="A18" s="347" t="s">
        <v>37</v>
      </c>
      <c r="B18" s="348" t="s">
        <v>38</v>
      </c>
      <c r="C18" s="348" t="s">
        <v>255</v>
      </c>
      <c r="D18" s="561">
        <v>6027</v>
      </c>
      <c r="E18" s="561">
        <v>6790</v>
      </c>
      <c r="F18" s="561">
        <v>6782</v>
      </c>
      <c r="G18" s="865">
        <v>6995</v>
      </c>
      <c r="H18" s="929">
        <v>7154</v>
      </c>
      <c r="I18" s="1538">
        <v>7206</v>
      </c>
      <c r="J18" s="1538">
        <v>7188</v>
      </c>
      <c r="K18" s="1943">
        <v>8328</v>
      </c>
      <c r="L18" s="1943">
        <v>9256</v>
      </c>
    </row>
    <row r="19" spans="1:12" s="350" customFormat="1" x14ac:dyDescent="0.3">
      <c r="A19" s="347" t="s">
        <v>39</v>
      </c>
      <c r="B19" s="348" t="s">
        <v>40</v>
      </c>
      <c r="C19" s="348" t="s">
        <v>253</v>
      </c>
      <c r="D19" s="561">
        <v>3294</v>
      </c>
      <c r="E19" s="561">
        <v>3854</v>
      </c>
      <c r="F19" s="561">
        <v>3910</v>
      </c>
      <c r="G19" s="865">
        <v>4093</v>
      </c>
      <c r="H19" s="929">
        <v>4106</v>
      </c>
      <c r="I19" s="1538">
        <v>4174</v>
      </c>
      <c r="J19" s="1538">
        <v>4174</v>
      </c>
      <c r="K19" s="1943">
        <v>4773</v>
      </c>
      <c r="L19" s="1943">
        <v>6223</v>
      </c>
    </row>
    <row r="20" spans="1:12" s="350" customFormat="1" x14ac:dyDescent="0.3">
      <c r="A20" s="347" t="s">
        <v>41</v>
      </c>
      <c r="B20" s="348" t="s">
        <v>42</v>
      </c>
      <c r="C20" s="348" t="s">
        <v>252</v>
      </c>
      <c r="D20" s="561">
        <v>9574</v>
      </c>
      <c r="E20" s="561">
        <v>11108</v>
      </c>
      <c r="F20" s="561">
        <v>11288</v>
      </c>
      <c r="G20" s="865">
        <v>11796</v>
      </c>
      <c r="H20" s="929">
        <v>12088</v>
      </c>
      <c r="I20" s="1538">
        <v>12439</v>
      </c>
      <c r="J20" s="1538">
        <v>12254</v>
      </c>
      <c r="K20" s="1943">
        <v>13855</v>
      </c>
      <c r="L20" s="1943">
        <v>15310</v>
      </c>
    </row>
    <row r="21" spans="1:12" s="350" customFormat="1" x14ac:dyDescent="0.3">
      <c r="A21" s="347" t="s">
        <v>43</v>
      </c>
      <c r="B21" s="348" t="s">
        <v>44</v>
      </c>
      <c r="C21" s="348" t="s">
        <v>253</v>
      </c>
      <c r="D21" s="561">
        <v>5014</v>
      </c>
      <c r="E21" s="561">
        <v>5851</v>
      </c>
      <c r="F21" s="561">
        <v>5839</v>
      </c>
      <c r="G21" s="865">
        <v>6414</v>
      </c>
      <c r="H21" s="929">
        <v>6653</v>
      </c>
      <c r="I21" s="1538">
        <v>6793</v>
      </c>
      <c r="J21" s="1538">
        <v>6762</v>
      </c>
      <c r="K21" s="1943">
        <v>7598</v>
      </c>
      <c r="L21" s="1943">
        <v>8383</v>
      </c>
    </row>
    <row r="22" spans="1:12" s="350" customFormat="1" x14ac:dyDescent="0.3">
      <c r="A22" s="347" t="s">
        <v>45</v>
      </c>
      <c r="B22" s="348" t="s">
        <v>46</v>
      </c>
      <c r="C22" s="348" t="s">
        <v>255</v>
      </c>
      <c r="D22" s="561">
        <v>6468</v>
      </c>
      <c r="E22" s="561">
        <v>7310</v>
      </c>
      <c r="F22" s="561">
        <v>7293</v>
      </c>
      <c r="G22" s="865">
        <v>7502</v>
      </c>
      <c r="H22" s="929">
        <v>7549</v>
      </c>
      <c r="I22" s="1538">
        <v>7746</v>
      </c>
      <c r="J22" s="1538">
        <v>7682</v>
      </c>
      <c r="K22" s="1943">
        <v>8971</v>
      </c>
      <c r="L22" s="1943">
        <v>9823</v>
      </c>
    </row>
    <row r="23" spans="1:12" s="350" customFormat="1" x14ac:dyDescent="0.3">
      <c r="A23" s="347" t="s">
        <v>47</v>
      </c>
      <c r="B23" s="348" t="s">
        <v>256</v>
      </c>
      <c r="C23" s="348" t="s">
        <v>253</v>
      </c>
      <c r="D23" s="561">
        <v>1088</v>
      </c>
      <c r="E23" s="561">
        <v>1262</v>
      </c>
      <c r="F23" s="561">
        <v>1242</v>
      </c>
      <c r="G23" s="865">
        <v>1347</v>
      </c>
      <c r="H23" s="929">
        <v>1500</v>
      </c>
      <c r="I23" s="1538">
        <v>1494</v>
      </c>
      <c r="J23" s="1538">
        <v>1527</v>
      </c>
      <c r="K23" s="1943">
        <v>1713</v>
      </c>
      <c r="L23" s="1943">
        <v>1840</v>
      </c>
    </row>
    <row r="24" spans="1:12" s="350" customFormat="1" x14ac:dyDescent="0.3">
      <c r="A24" s="347" t="s">
        <v>49</v>
      </c>
      <c r="B24" s="348" t="s">
        <v>50</v>
      </c>
      <c r="C24" s="348" t="s">
        <v>252</v>
      </c>
      <c r="D24" s="561">
        <v>3016</v>
      </c>
      <c r="E24" s="561">
        <v>3385</v>
      </c>
      <c r="F24" s="561">
        <v>3331</v>
      </c>
      <c r="G24" s="865">
        <v>3441</v>
      </c>
      <c r="H24" s="929">
        <v>3386</v>
      </c>
      <c r="I24" s="1538">
        <v>3389</v>
      </c>
      <c r="J24" s="1538">
        <v>3322</v>
      </c>
      <c r="K24" s="1943">
        <v>3867</v>
      </c>
      <c r="L24" s="1943">
        <v>4126</v>
      </c>
    </row>
    <row r="25" spans="1:12" s="350" customFormat="1" x14ac:dyDescent="0.3">
      <c r="A25" s="347" t="s">
        <v>55</v>
      </c>
      <c r="B25" s="348" t="s">
        <v>271</v>
      </c>
      <c r="C25" s="348" t="s">
        <v>253</v>
      </c>
      <c r="D25" s="561">
        <v>39492</v>
      </c>
      <c r="E25" s="561">
        <v>46535</v>
      </c>
      <c r="F25" s="561">
        <v>47972</v>
      </c>
      <c r="G25" s="865">
        <v>53615</v>
      </c>
      <c r="H25" s="929">
        <v>58350</v>
      </c>
      <c r="I25" s="1538">
        <v>61985</v>
      </c>
      <c r="J25" s="1538">
        <v>63439</v>
      </c>
      <c r="K25" s="1943">
        <v>70709</v>
      </c>
      <c r="L25" s="1943">
        <v>79328</v>
      </c>
    </row>
    <row r="26" spans="1:12" s="350" customFormat="1" x14ac:dyDescent="0.3">
      <c r="A26" s="347" t="s">
        <v>57</v>
      </c>
      <c r="B26" s="348" t="s">
        <v>58</v>
      </c>
      <c r="C26" s="348" t="s">
        <v>254</v>
      </c>
      <c r="D26" s="561">
        <v>1123</v>
      </c>
      <c r="E26" s="561">
        <v>1330</v>
      </c>
      <c r="F26" s="561">
        <v>1369</v>
      </c>
      <c r="G26" s="865">
        <v>1382</v>
      </c>
      <c r="H26" s="929">
        <v>1395</v>
      </c>
      <c r="I26" s="1538">
        <v>1375</v>
      </c>
      <c r="J26" s="1538">
        <v>1365</v>
      </c>
      <c r="K26" s="1943">
        <v>1653</v>
      </c>
      <c r="L26" s="1943">
        <v>1880</v>
      </c>
    </row>
    <row r="27" spans="1:12" s="350" customFormat="1" x14ac:dyDescent="0.3">
      <c r="A27" s="347" t="s">
        <v>59</v>
      </c>
      <c r="B27" s="348" t="s">
        <v>60</v>
      </c>
      <c r="C27" s="348" t="s">
        <v>252</v>
      </c>
      <c r="D27" s="561">
        <v>846</v>
      </c>
      <c r="E27" s="561">
        <v>1004</v>
      </c>
      <c r="F27" s="561">
        <v>1006</v>
      </c>
      <c r="G27" s="865">
        <v>1091</v>
      </c>
      <c r="H27" s="929">
        <v>1104</v>
      </c>
      <c r="I27" s="1538">
        <v>1099</v>
      </c>
      <c r="J27" s="1538">
        <v>1100</v>
      </c>
      <c r="K27" s="1943">
        <v>1191</v>
      </c>
      <c r="L27" s="1943">
        <v>1262</v>
      </c>
    </row>
    <row r="28" spans="1:12" s="350" customFormat="1" x14ac:dyDescent="0.3">
      <c r="A28" s="347" t="s">
        <v>61</v>
      </c>
      <c r="B28" s="348" t="s">
        <v>62</v>
      </c>
      <c r="C28" s="348" t="s">
        <v>254</v>
      </c>
      <c r="D28" s="561">
        <v>7134</v>
      </c>
      <c r="E28" s="561">
        <v>8464</v>
      </c>
      <c r="F28" s="561">
        <v>8650</v>
      </c>
      <c r="G28" s="865">
        <v>9204</v>
      </c>
      <c r="H28" s="929">
        <v>9373</v>
      </c>
      <c r="I28" s="1538">
        <v>9448</v>
      </c>
      <c r="J28" s="1538">
        <v>9527</v>
      </c>
      <c r="K28" s="1943">
        <v>11055</v>
      </c>
      <c r="L28" s="1943">
        <v>12713</v>
      </c>
    </row>
    <row r="29" spans="1:12" s="350" customFormat="1" x14ac:dyDescent="0.3">
      <c r="A29" s="347" t="s">
        <v>63</v>
      </c>
      <c r="B29" s="348" t="s">
        <v>64</v>
      </c>
      <c r="C29" s="348" t="s">
        <v>253</v>
      </c>
      <c r="D29" s="561">
        <v>2324</v>
      </c>
      <c r="E29" s="561">
        <v>2756</v>
      </c>
      <c r="F29" s="561">
        <v>2826</v>
      </c>
      <c r="G29" s="865">
        <v>2903</v>
      </c>
      <c r="H29" s="929">
        <v>2959</v>
      </c>
      <c r="I29" s="1538">
        <v>3004</v>
      </c>
      <c r="J29" s="1538">
        <v>3032</v>
      </c>
      <c r="K29" s="1943">
        <v>3401</v>
      </c>
      <c r="L29" s="1943">
        <v>3687</v>
      </c>
    </row>
    <row r="30" spans="1:12" s="350" customFormat="1" x14ac:dyDescent="0.3">
      <c r="A30" s="347" t="s">
        <v>67</v>
      </c>
      <c r="B30" s="348" t="s">
        <v>68</v>
      </c>
      <c r="C30" s="348" t="s">
        <v>255</v>
      </c>
      <c r="D30" s="561">
        <v>4376</v>
      </c>
      <c r="E30" s="561">
        <v>4986</v>
      </c>
      <c r="F30" s="561">
        <v>4948</v>
      </c>
      <c r="G30" s="865">
        <v>5092</v>
      </c>
      <c r="H30" s="929">
        <v>5324</v>
      </c>
      <c r="I30" s="1538">
        <v>5308</v>
      </c>
      <c r="J30" s="1538">
        <v>5128</v>
      </c>
      <c r="K30" s="1943">
        <v>5681</v>
      </c>
      <c r="L30" s="1943">
        <v>6040</v>
      </c>
    </row>
    <row r="31" spans="1:12" s="350" customFormat="1" x14ac:dyDescent="0.3">
      <c r="A31" s="347" t="s">
        <v>69</v>
      </c>
      <c r="B31" s="348" t="s">
        <v>70</v>
      </c>
      <c r="C31" s="348" t="s">
        <v>251</v>
      </c>
      <c r="D31" s="561">
        <v>4957</v>
      </c>
      <c r="E31" s="561">
        <v>5740</v>
      </c>
      <c r="F31" s="561">
        <v>5730</v>
      </c>
      <c r="G31" s="865">
        <v>6179</v>
      </c>
      <c r="H31" s="929">
        <v>6364</v>
      </c>
      <c r="I31" s="1538">
        <v>6521</v>
      </c>
      <c r="J31" s="1538">
        <v>6552</v>
      </c>
      <c r="K31" s="1943">
        <v>7541</v>
      </c>
      <c r="L31" s="1943">
        <v>8253</v>
      </c>
    </row>
    <row r="32" spans="1:12" s="350" customFormat="1" x14ac:dyDescent="0.3">
      <c r="A32" s="347" t="s">
        <v>71</v>
      </c>
      <c r="B32" s="348" t="s">
        <v>72</v>
      </c>
      <c r="C32" s="348" t="s">
        <v>253</v>
      </c>
      <c r="D32" s="561">
        <v>2621</v>
      </c>
      <c r="E32" s="561">
        <v>2965</v>
      </c>
      <c r="F32" s="561">
        <v>2911</v>
      </c>
      <c r="G32" s="865">
        <v>3042</v>
      </c>
      <c r="H32" s="929">
        <v>3151</v>
      </c>
      <c r="I32" s="1538">
        <v>3166</v>
      </c>
      <c r="J32" s="1538">
        <v>3150</v>
      </c>
      <c r="K32" s="1943">
        <v>3530</v>
      </c>
      <c r="L32" s="1943">
        <v>3864</v>
      </c>
    </row>
    <row r="33" spans="1:12" s="350" customFormat="1" x14ac:dyDescent="0.3">
      <c r="A33" s="347" t="s">
        <v>73</v>
      </c>
      <c r="B33" s="348" t="s">
        <v>272</v>
      </c>
      <c r="C33" s="348" t="s">
        <v>254</v>
      </c>
      <c r="D33" s="561">
        <v>84182</v>
      </c>
      <c r="E33" s="561">
        <v>97960</v>
      </c>
      <c r="F33" s="561">
        <v>100274</v>
      </c>
      <c r="G33" s="865">
        <v>111943</v>
      </c>
      <c r="H33" s="929">
        <v>110319</v>
      </c>
      <c r="I33" s="1538">
        <v>119486</v>
      </c>
      <c r="J33" s="1538">
        <v>119606</v>
      </c>
      <c r="K33" s="1943">
        <v>137459</v>
      </c>
      <c r="L33" s="1943">
        <v>153949</v>
      </c>
    </row>
    <row r="34" spans="1:12" s="350" customFormat="1" x14ac:dyDescent="0.3">
      <c r="A34" s="347" t="s">
        <v>75</v>
      </c>
      <c r="B34" s="348" t="s">
        <v>76</v>
      </c>
      <c r="C34" s="348" t="s">
        <v>254</v>
      </c>
      <c r="D34" s="561">
        <v>5926</v>
      </c>
      <c r="E34" s="561">
        <v>7061</v>
      </c>
      <c r="F34" s="561">
        <v>7078</v>
      </c>
      <c r="G34" s="865">
        <v>7728</v>
      </c>
      <c r="H34" s="929">
        <v>7573</v>
      </c>
      <c r="I34" s="1538">
        <v>7776</v>
      </c>
      <c r="J34" s="1538">
        <v>7667</v>
      </c>
      <c r="K34" s="1943">
        <v>9162</v>
      </c>
      <c r="L34" s="1943">
        <v>10194</v>
      </c>
    </row>
    <row r="35" spans="1:12" s="350" customFormat="1" x14ac:dyDescent="0.3">
      <c r="A35" s="347" t="s">
        <v>77</v>
      </c>
      <c r="B35" s="348" t="s">
        <v>78</v>
      </c>
      <c r="C35" s="348" t="s">
        <v>255</v>
      </c>
      <c r="D35" s="561">
        <v>2595</v>
      </c>
      <c r="E35" s="561">
        <v>2996</v>
      </c>
      <c r="F35" s="561">
        <v>3003</v>
      </c>
      <c r="G35" s="865">
        <v>3157</v>
      </c>
      <c r="H35" s="929">
        <v>3189</v>
      </c>
      <c r="I35" s="1538">
        <v>3315</v>
      </c>
      <c r="J35" s="1538">
        <v>3353</v>
      </c>
      <c r="K35" s="1943">
        <v>3832</v>
      </c>
      <c r="L35" s="1943">
        <v>4216</v>
      </c>
    </row>
    <row r="36" spans="1:12" s="350" customFormat="1" x14ac:dyDescent="0.3">
      <c r="A36" s="347" t="s">
        <v>79</v>
      </c>
      <c r="B36" s="348" t="s">
        <v>80</v>
      </c>
      <c r="C36" s="348" t="s">
        <v>253</v>
      </c>
      <c r="D36" s="561">
        <v>2530</v>
      </c>
      <c r="E36" s="561">
        <v>3055</v>
      </c>
      <c r="F36" s="561">
        <v>3107</v>
      </c>
      <c r="G36" s="865">
        <v>3275</v>
      </c>
      <c r="H36" s="929">
        <v>3477</v>
      </c>
      <c r="I36" s="1538">
        <v>3657</v>
      </c>
      <c r="J36" s="1538">
        <v>3735</v>
      </c>
      <c r="K36" s="1943">
        <v>4192</v>
      </c>
      <c r="L36" s="1943">
        <v>4957</v>
      </c>
    </row>
    <row r="37" spans="1:12" s="350" customFormat="1" x14ac:dyDescent="0.3">
      <c r="A37" s="347" t="s">
        <v>83</v>
      </c>
      <c r="B37" s="348" t="s">
        <v>84</v>
      </c>
      <c r="C37" s="348" t="s">
        <v>252</v>
      </c>
      <c r="D37" s="561">
        <v>9440</v>
      </c>
      <c r="E37" s="561">
        <v>10832</v>
      </c>
      <c r="F37" s="561">
        <v>10737</v>
      </c>
      <c r="G37" s="865">
        <v>11137</v>
      </c>
      <c r="H37" s="929">
        <v>11434</v>
      </c>
      <c r="I37" s="1538">
        <v>11426</v>
      </c>
      <c r="J37" s="1538">
        <v>11382</v>
      </c>
      <c r="K37" s="1943">
        <v>12915</v>
      </c>
      <c r="L37" s="1943">
        <v>14104</v>
      </c>
    </row>
    <row r="38" spans="1:12" s="350" customFormat="1" x14ac:dyDescent="0.3">
      <c r="A38" s="347" t="s">
        <v>85</v>
      </c>
      <c r="B38" s="348" t="s">
        <v>86</v>
      </c>
      <c r="C38" s="348" t="s">
        <v>254</v>
      </c>
      <c r="D38" s="561">
        <v>9343</v>
      </c>
      <c r="E38" s="561">
        <v>11284</v>
      </c>
      <c r="F38" s="561">
        <v>11415</v>
      </c>
      <c r="G38" s="865">
        <v>12057</v>
      </c>
      <c r="H38" s="929">
        <v>12355</v>
      </c>
      <c r="I38" s="1538">
        <v>12524</v>
      </c>
      <c r="J38" s="1538">
        <v>12501</v>
      </c>
      <c r="K38" s="1943">
        <v>14339</v>
      </c>
      <c r="L38" s="1943">
        <v>15926</v>
      </c>
    </row>
    <row r="39" spans="1:12" s="350" customFormat="1" x14ac:dyDescent="0.3">
      <c r="A39" s="347" t="s">
        <v>91</v>
      </c>
      <c r="B39" s="348" t="s">
        <v>92</v>
      </c>
      <c r="C39" s="348" t="s">
        <v>255</v>
      </c>
      <c r="D39" s="561">
        <v>3188</v>
      </c>
      <c r="E39" s="561">
        <v>3480</v>
      </c>
      <c r="F39" s="561">
        <v>3586</v>
      </c>
      <c r="G39" s="865">
        <v>3857</v>
      </c>
      <c r="H39" s="929">
        <v>3942</v>
      </c>
      <c r="I39" s="1538">
        <v>3944</v>
      </c>
      <c r="J39" s="1538">
        <v>4001</v>
      </c>
      <c r="K39" s="1943">
        <v>4416</v>
      </c>
      <c r="L39" s="1943">
        <v>4848</v>
      </c>
    </row>
    <row r="40" spans="1:12" s="350" customFormat="1" x14ac:dyDescent="0.3">
      <c r="A40" s="347" t="s">
        <v>93</v>
      </c>
      <c r="B40" s="348" t="s">
        <v>94</v>
      </c>
      <c r="C40" s="348" t="s">
        <v>251</v>
      </c>
      <c r="D40" s="561">
        <v>4696</v>
      </c>
      <c r="E40" s="561">
        <v>5429</v>
      </c>
      <c r="F40" s="561">
        <v>5565</v>
      </c>
      <c r="G40" s="865">
        <v>5896</v>
      </c>
      <c r="H40" s="929">
        <v>6197</v>
      </c>
      <c r="I40" s="1538">
        <v>6415</v>
      </c>
      <c r="J40" s="1538">
        <v>6415</v>
      </c>
      <c r="K40" s="1943">
        <v>7528</v>
      </c>
      <c r="L40" s="1943">
        <v>8313</v>
      </c>
    </row>
    <row r="41" spans="1:12" s="350" customFormat="1" x14ac:dyDescent="0.3">
      <c r="A41" s="347" t="s">
        <v>95</v>
      </c>
      <c r="B41" s="348" t="s">
        <v>96</v>
      </c>
      <c r="C41" s="348" t="s">
        <v>253</v>
      </c>
      <c r="D41" s="561">
        <v>1629</v>
      </c>
      <c r="E41" s="561">
        <v>1929</v>
      </c>
      <c r="F41" s="561">
        <v>1984</v>
      </c>
      <c r="G41" s="865">
        <v>2158</v>
      </c>
      <c r="H41" s="929">
        <v>2183</v>
      </c>
      <c r="I41" s="1538">
        <v>2182</v>
      </c>
      <c r="J41" s="1538">
        <v>2198</v>
      </c>
      <c r="K41" s="1943">
        <v>2818</v>
      </c>
      <c r="L41" s="1943">
        <v>3496</v>
      </c>
    </row>
    <row r="42" spans="1:12" s="350" customFormat="1" x14ac:dyDescent="0.3">
      <c r="A42" s="347" t="s">
        <v>97</v>
      </c>
      <c r="B42" s="348" t="s">
        <v>98</v>
      </c>
      <c r="C42" s="348" t="s">
        <v>255</v>
      </c>
      <c r="D42" s="561">
        <v>3565</v>
      </c>
      <c r="E42" s="561">
        <v>4123</v>
      </c>
      <c r="F42" s="561">
        <v>4118</v>
      </c>
      <c r="G42" s="865">
        <v>4213</v>
      </c>
      <c r="H42" s="929">
        <v>4207</v>
      </c>
      <c r="I42" s="1538">
        <v>4153</v>
      </c>
      <c r="J42" s="1538">
        <v>4097</v>
      </c>
      <c r="K42" s="1943">
        <v>4628</v>
      </c>
      <c r="L42" s="1943">
        <v>5475</v>
      </c>
    </row>
    <row r="43" spans="1:12" s="350" customFormat="1" x14ac:dyDescent="0.3">
      <c r="A43" s="347" t="s">
        <v>99</v>
      </c>
      <c r="B43" s="348" t="s">
        <v>100</v>
      </c>
      <c r="C43" s="348" t="s">
        <v>254</v>
      </c>
      <c r="D43" s="561">
        <v>2668</v>
      </c>
      <c r="E43" s="561">
        <v>3140</v>
      </c>
      <c r="F43" s="561">
        <v>3227</v>
      </c>
      <c r="G43" s="865">
        <v>3377</v>
      </c>
      <c r="H43" s="929">
        <v>3510</v>
      </c>
      <c r="I43" s="1538">
        <v>3661</v>
      </c>
      <c r="J43" s="1538">
        <v>3570</v>
      </c>
      <c r="K43" s="1943">
        <v>4147</v>
      </c>
      <c r="L43" s="1943">
        <v>4455</v>
      </c>
    </row>
    <row r="44" spans="1:12" s="350" customFormat="1" x14ac:dyDescent="0.3">
      <c r="A44" s="347" t="s">
        <v>101</v>
      </c>
      <c r="B44" s="348" t="s">
        <v>263</v>
      </c>
      <c r="C44" s="348" t="s">
        <v>251</v>
      </c>
      <c r="D44" s="561">
        <v>4507</v>
      </c>
      <c r="E44" s="561">
        <v>5263</v>
      </c>
      <c r="F44" s="561">
        <v>5238</v>
      </c>
      <c r="G44" s="865">
        <v>5598</v>
      </c>
      <c r="H44" s="929">
        <v>5685</v>
      </c>
      <c r="I44" s="1538">
        <v>5905</v>
      </c>
      <c r="J44" s="1538">
        <v>5884</v>
      </c>
      <c r="K44" s="1943">
        <v>6369</v>
      </c>
      <c r="L44" s="1943">
        <v>9004</v>
      </c>
    </row>
    <row r="45" spans="1:12" s="350" customFormat="1" x14ac:dyDescent="0.3">
      <c r="A45" s="347" t="s">
        <v>103</v>
      </c>
      <c r="B45" s="348" t="s">
        <v>104</v>
      </c>
      <c r="C45" s="348" t="s">
        <v>252</v>
      </c>
      <c r="D45" s="561">
        <v>8719</v>
      </c>
      <c r="E45" s="561">
        <v>9610</v>
      </c>
      <c r="F45" s="561">
        <v>9716</v>
      </c>
      <c r="G45" s="865">
        <v>10094</v>
      </c>
      <c r="H45" s="929">
        <v>10201</v>
      </c>
      <c r="I45" s="1538">
        <v>10294</v>
      </c>
      <c r="J45" s="1538">
        <v>10305</v>
      </c>
      <c r="K45" s="1943">
        <v>11443</v>
      </c>
      <c r="L45" s="1943">
        <v>12563</v>
      </c>
    </row>
    <row r="46" spans="1:12" s="350" customFormat="1" x14ac:dyDescent="0.3">
      <c r="A46" s="347" t="s">
        <v>107</v>
      </c>
      <c r="B46" s="348" t="s">
        <v>108</v>
      </c>
      <c r="C46" s="348" t="s">
        <v>253</v>
      </c>
      <c r="D46" s="561">
        <v>7379</v>
      </c>
      <c r="E46" s="561">
        <v>8664</v>
      </c>
      <c r="F46" s="561">
        <v>8962</v>
      </c>
      <c r="G46" s="865">
        <v>9708</v>
      </c>
      <c r="H46" s="929">
        <v>10016</v>
      </c>
      <c r="I46" s="1538">
        <v>10318</v>
      </c>
      <c r="J46" s="1538">
        <v>10243</v>
      </c>
      <c r="K46" s="1943">
        <v>12215</v>
      </c>
      <c r="L46" s="1943">
        <v>13987</v>
      </c>
    </row>
    <row r="47" spans="1:12" s="350" customFormat="1" x14ac:dyDescent="0.3">
      <c r="A47" s="347" t="s">
        <v>109</v>
      </c>
      <c r="B47" s="348" t="s">
        <v>110</v>
      </c>
      <c r="C47" s="348" t="s">
        <v>253</v>
      </c>
      <c r="D47" s="561">
        <v>39506</v>
      </c>
      <c r="E47" s="561">
        <v>46382</v>
      </c>
      <c r="F47" s="561">
        <v>47852</v>
      </c>
      <c r="G47" s="865">
        <v>50663</v>
      </c>
      <c r="H47" s="929">
        <v>53073</v>
      </c>
      <c r="I47" s="1538">
        <v>57145</v>
      </c>
      <c r="J47" s="1538">
        <v>59077</v>
      </c>
      <c r="K47" s="1943">
        <v>66594</v>
      </c>
      <c r="L47" s="1943">
        <v>75215</v>
      </c>
    </row>
    <row r="48" spans="1:12" s="350" customFormat="1" x14ac:dyDescent="0.3">
      <c r="A48" s="347" t="s">
        <v>111</v>
      </c>
      <c r="B48" s="348" t="s">
        <v>275</v>
      </c>
      <c r="C48" s="348" t="s">
        <v>252</v>
      </c>
      <c r="D48" s="561">
        <v>18213</v>
      </c>
      <c r="E48" s="561">
        <v>20775</v>
      </c>
      <c r="F48" s="561">
        <v>20890</v>
      </c>
      <c r="G48" s="865">
        <v>21924</v>
      </c>
      <c r="H48" s="929">
        <v>22256</v>
      </c>
      <c r="I48" s="1538">
        <v>22417</v>
      </c>
      <c r="J48" s="1538">
        <v>22130</v>
      </c>
      <c r="K48" s="1943">
        <v>24488</v>
      </c>
      <c r="L48" s="1943">
        <v>26686</v>
      </c>
    </row>
    <row r="49" spans="1:12" s="350" customFormat="1" x14ac:dyDescent="0.3">
      <c r="A49" s="347" t="s">
        <v>113</v>
      </c>
      <c r="B49" s="348" t="s">
        <v>114</v>
      </c>
      <c r="C49" s="348" t="s">
        <v>252</v>
      </c>
      <c r="D49" s="561">
        <v>249</v>
      </c>
      <c r="E49" s="561">
        <v>267</v>
      </c>
      <c r="F49" s="561">
        <v>353</v>
      </c>
      <c r="G49" s="865">
        <v>441</v>
      </c>
      <c r="H49" s="929">
        <v>323</v>
      </c>
      <c r="I49" s="1538">
        <v>336</v>
      </c>
      <c r="J49" s="1538">
        <v>308</v>
      </c>
      <c r="K49" s="1943">
        <v>403</v>
      </c>
      <c r="L49" s="1943">
        <v>474</v>
      </c>
    </row>
    <row r="50" spans="1:12" s="350" customFormat="1" x14ac:dyDescent="0.3">
      <c r="A50" s="347" t="s">
        <v>117</v>
      </c>
      <c r="B50" s="348" t="s">
        <v>257</v>
      </c>
      <c r="C50" s="348" t="s">
        <v>251</v>
      </c>
      <c r="D50" s="561">
        <v>4675</v>
      </c>
      <c r="E50" s="561">
        <v>5453</v>
      </c>
      <c r="F50" s="561">
        <v>5348</v>
      </c>
      <c r="G50" s="865">
        <v>5703</v>
      </c>
      <c r="H50" s="929">
        <v>5858</v>
      </c>
      <c r="I50" s="1538">
        <v>6176</v>
      </c>
      <c r="J50" s="1538">
        <v>6064</v>
      </c>
      <c r="K50" s="1943">
        <v>6803</v>
      </c>
      <c r="L50" s="1943">
        <v>7332</v>
      </c>
    </row>
    <row r="51" spans="1:12" s="350" customFormat="1" x14ac:dyDescent="0.3">
      <c r="A51" s="347" t="s">
        <v>119</v>
      </c>
      <c r="B51" s="348" t="s">
        <v>120</v>
      </c>
      <c r="C51" s="348" t="s">
        <v>251</v>
      </c>
      <c r="D51" s="561">
        <v>5783</v>
      </c>
      <c r="E51" s="561">
        <v>6928</v>
      </c>
      <c r="F51" s="561">
        <v>7110</v>
      </c>
      <c r="G51" s="865">
        <v>7569</v>
      </c>
      <c r="H51" s="929">
        <v>8018</v>
      </c>
      <c r="I51" s="1538">
        <v>8268</v>
      </c>
      <c r="J51" s="1538">
        <v>8290</v>
      </c>
      <c r="K51" s="1943">
        <v>9514</v>
      </c>
      <c r="L51" s="1943">
        <v>10879</v>
      </c>
    </row>
    <row r="52" spans="1:12" s="350" customFormat="1" x14ac:dyDescent="0.3">
      <c r="A52" s="347" t="s">
        <v>121</v>
      </c>
      <c r="B52" s="348" t="s">
        <v>268</v>
      </c>
      <c r="C52" s="348" t="s">
        <v>253</v>
      </c>
      <c r="D52" s="561">
        <v>1425</v>
      </c>
      <c r="E52" s="561">
        <v>1638</v>
      </c>
      <c r="F52" s="561">
        <v>1726</v>
      </c>
      <c r="G52" s="865">
        <v>1766</v>
      </c>
      <c r="H52" s="929">
        <v>1741</v>
      </c>
      <c r="I52" s="1538">
        <v>1772</v>
      </c>
      <c r="J52" s="1538">
        <v>1734</v>
      </c>
      <c r="K52" s="1943">
        <v>1935</v>
      </c>
      <c r="L52" s="1943">
        <v>2008</v>
      </c>
    </row>
    <row r="53" spans="1:12" s="350" customFormat="1" x14ac:dyDescent="0.3">
      <c r="A53" s="347" t="s">
        <v>123</v>
      </c>
      <c r="B53" s="348" t="s">
        <v>124</v>
      </c>
      <c r="C53" s="348" t="s">
        <v>254</v>
      </c>
      <c r="D53" s="561">
        <v>3158</v>
      </c>
      <c r="E53" s="561">
        <v>3685</v>
      </c>
      <c r="F53" s="561">
        <v>3731</v>
      </c>
      <c r="G53" s="865">
        <v>3990</v>
      </c>
      <c r="H53" s="929">
        <v>3971</v>
      </c>
      <c r="I53" s="1538">
        <v>4102</v>
      </c>
      <c r="J53" s="1538">
        <v>4095</v>
      </c>
      <c r="K53" s="1943">
        <v>4415</v>
      </c>
      <c r="L53" s="1943">
        <v>4729</v>
      </c>
    </row>
    <row r="54" spans="1:12" s="350" customFormat="1" x14ac:dyDescent="0.3">
      <c r="A54" s="347" t="s">
        <v>125</v>
      </c>
      <c r="B54" s="348" t="s">
        <v>126</v>
      </c>
      <c r="C54" s="348" t="s">
        <v>253</v>
      </c>
      <c r="D54" s="561">
        <v>2214</v>
      </c>
      <c r="E54" s="561">
        <v>2534</v>
      </c>
      <c r="F54" s="561">
        <v>2584</v>
      </c>
      <c r="G54" s="865">
        <v>2629</v>
      </c>
      <c r="H54" s="929">
        <v>2749</v>
      </c>
      <c r="I54" s="1538">
        <v>2717</v>
      </c>
      <c r="J54" s="1538">
        <v>2816</v>
      </c>
      <c r="K54" s="1943">
        <v>3280</v>
      </c>
      <c r="L54" s="1943">
        <v>3638</v>
      </c>
    </row>
    <row r="55" spans="1:12" s="350" customFormat="1" x14ac:dyDescent="0.3">
      <c r="A55" s="347" t="s">
        <v>127</v>
      </c>
      <c r="B55" s="348" t="s">
        <v>128</v>
      </c>
      <c r="C55" s="348" t="s">
        <v>253</v>
      </c>
      <c r="D55" s="561">
        <v>1977</v>
      </c>
      <c r="E55" s="561">
        <v>2297</v>
      </c>
      <c r="F55" s="561">
        <v>2297</v>
      </c>
      <c r="G55" s="865">
        <v>2377</v>
      </c>
      <c r="H55" s="929">
        <v>2311</v>
      </c>
      <c r="I55" s="1538">
        <v>2486</v>
      </c>
      <c r="J55" s="1538">
        <v>2494</v>
      </c>
      <c r="K55" s="1943">
        <v>2792</v>
      </c>
      <c r="L55" s="1943">
        <v>2958</v>
      </c>
    </row>
    <row r="56" spans="1:12" s="350" customFormat="1" x14ac:dyDescent="0.3">
      <c r="A56" s="347" t="s">
        <v>129</v>
      </c>
      <c r="B56" s="348" t="s">
        <v>130</v>
      </c>
      <c r="C56" s="348" t="s">
        <v>255</v>
      </c>
      <c r="D56" s="561">
        <v>7523</v>
      </c>
      <c r="E56" s="561">
        <v>8264</v>
      </c>
      <c r="F56" s="561">
        <v>8314</v>
      </c>
      <c r="G56" s="865">
        <v>8399</v>
      </c>
      <c r="H56" s="929">
        <v>8571</v>
      </c>
      <c r="I56" s="1538">
        <v>8393</v>
      </c>
      <c r="J56" s="1538">
        <v>8367</v>
      </c>
      <c r="K56" s="1943">
        <v>9703</v>
      </c>
      <c r="L56" s="1943">
        <v>10516</v>
      </c>
    </row>
    <row r="57" spans="1:12" s="350" customFormat="1" x14ac:dyDescent="0.3">
      <c r="A57" s="347" t="s">
        <v>131</v>
      </c>
      <c r="B57" s="348" t="s">
        <v>132</v>
      </c>
      <c r="C57" s="348" t="s">
        <v>254</v>
      </c>
      <c r="D57" s="561">
        <v>17019</v>
      </c>
      <c r="E57" s="561">
        <v>20281</v>
      </c>
      <c r="F57" s="561">
        <v>21046</v>
      </c>
      <c r="G57" s="865">
        <v>24648</v>
      </c>
      <c r="H57" s="929">
        <v>27473</v>
      </c>
      <c r="I57" s="1538">
        <v>28801</v>
      </c>
      <c r="J57" s="1538">
        <v>28289</v>
      </c>
      <c r="K57" s="1943">
        <v>34350</v>
      </c>
      <c r="L57" s="1943">
        <v>40547</v>
      </c>
    </row>
    <row r="58" spans="1:12" s="350" customFormat="1" x14ac:dyDescent="0.3">
      <c r="A58" s="347" t="s">
        <v>133</v>
      </c>
      <c r="B58" s="348" t="s">
        <v>134</v>
      </c>
      <c r="C58" s="348" t="s">
        <v>254</v>
      </c>
      <c r="D58" s="561">
        <v>5143</v>
      </c>
      <c r="E58" s="561">
        <v>6081</v>
      </c>
      <c r="F58" s="561">
        <v>6324</v>
      </c>
      <c r="G58" s="865">
        <v>6872</v>
      </c>
      <c r="H58" s="929">
        <v>6884</v>
      </c>
      <c r="I58" s="1538">
        <v>6923</v>
      </c>
      <c r="J58" s="1538">
        <v>6801</v>
      </c>
      <c r="K58" s="1943">
        <v>8015</v>
      </c>
      <c r="L58" s="1943">
        <v>8940</v>
      </c>
    </row>
    <row r="59" spans="1:12" s="350" customFormat="1" x14ac:dyDescent="0.3">
      <c r="A59" s="347" t="s">
        <v>135</v>
      </c>
      <c r="B59" s="348" t="s">
        <v>136</v>
      </c>
      <c r="C59" s="348" t="s">
        <v>253</v>
      </c>
      <c r="D59" s="561">
        <v>2816</v>
      </c>
      <c r="E59" s="561">
        <v>3158</v>
      </c>
      <c r="F59" s="561">
        <v>3304</v>
      </c>
      <c r="G59" s="865">
        <v>3428</v>
      </c>
      <c r="H59" s="929">
        <v>3389</v>
      </c>
      <c r="I59" s="1538">
        <v>3361</v>
      </c>
      <c r="J59" s="1538">
        <v>3400</v>
      </c>
      <c r="K59" s="1943">
        <v>3920</v>
      </c>
      <c r="L59" s="1943">
        <v>5116</v>
      </c>
    </row>
    <row r="60" spans="1:12" s="350" customFormat="1" x14ac:dyDescent="0.3">
      <c r="A60" s="347" t="s">
        <v>139</v>
      </c>
      <c r="B60" s="348" t="s">
        <v>140</v>
      </c>
      <c r="C60" s="348" t="s">
        <v>254</v>
      </c>
      <c r="D60" s="561">
        <v>1904</v>
      </c>
      <c r="E60" s="561">
        <v>2306</v>
      </c>
      <c r="F60" s="561">
        <v>2325</v>
      </c>
      <c r="G60" s="865">
        <v>2490</v>
      </c>
      <c r="H60" s="929">
        <v>2509</v>
      </c>
      <c r="I60" s="1538">
        <v>2506</v>
      </c>
      <c r="J60" s="1538">
        <v>2445</v>
      </c>
      <c r="K60" s="1943">
        <v>2899</v>
      </c>
      <c r="L60" s="1943">
        <v>3240</v>
      </c>
    </row>
    <row r="61" spans="1:12" s="350" customFormat="1" x14ac:dyDescent="0.3">
      <c r="A61" s="347" t="s">
        <v>145</v>
      </c>
      <c r="B61" s="348" t="s">
        <v>146</v>
      </c>
      <c r="C61" s="348" t="s">
        <v>251</v>
      </c>
      <c r="D61" s="561">
        <v>1063</v>
      </c>
      <c r="E61" s="561">
        <v>1249</v>
      </c>
      <c r="F61" s="561">
        <v>1262</v>
      </c>
      <c r="G61" s="865">
        <v>1354</v>
      </c>
      <c r="H61" s="929">
        <v>1379</v>
      </c>
      <c r="I61" s="1538">
        <v>1387</v>
      </c>
      <c r="J61" s="1538">
        <v>1409</v>
      </c>
      <c r="K61" s="1943">
        <v>1760</v>
      </c>
      <c r="L61" s="1943">
        <v>1926</v>
      </c>
    </row>
    <row r="62" spans="1:12" s="350" customFormat="1" x14ac:dyDescent="0.3">
      <c r="A62" s="347" t="s">
        <v>147</v>
      </c>
      <c r="B62" s="348" t="s">
        <v>148</v>
      </c>
      <c r="C62" s="348" t="s">
        <v>252</v>
      </c>
      <c r="D62" s="561">
        <v>6729</v>
      </c>
      <c r="E62" s="561">
        <v>7722</v>
      </c>
      <c r="F62" s="561">
        <v>7885</v>
      </c>
      <c r="G62" s="865">
        <v>8010</v>
      </c>
      <c r="H62" s="929">
        <v>7852</v>
      </c>
      <c r="I62" s="1538">
        <v>7958</v>
      </c>
      <c r="J62" s="1538">
        <v>7890</v>
      </c>
      <c r="K62" s="1943">
        <v>8910</v>
      </c>
      <c r="L62" s="1943">
        <v>9898</v>
      </c>
    </row>
    <row r="63" spans="1:12" s="350" customFormat="1" x14ac:dyDescent="0.3">
      <c r="A63" s="347" t="s">
        <v>149</v>
      </c>
      <c r="B63" s="348" t="s">
        <v>150</v>
      </c>
      <c r="C63" s="348" t="s">
        <v>253</v>
      </c>
      <c r="D63" s="561">
        <v>1809</v>
      </c>
      <c r="E63" s="561">
        <v>2099</v>
      </c>
      <c r="F63" s="561">
        <v>2121</v>
      </c>
      <c r="G63" s="865">
        <v>2273</v>
      </c>
      <c r="H63" s="929">
        <v>2340</v>
      </c>
      <c r="I63" s="1538">
        <v>2481</v>
      </c>
      <c r="J63" s="1538">
        <v>2551</v>
      </c>
      <c r="K63" s="1943">
        <v>2838</v>
      </c>
      <c r="L63" s="1943">
        <v>3083</v>
      </c>
    </row>
    <row r="64" spans="1:12" s="350" customFormat="1" x14ac:dyDescent="0.3">
      <c r="A64" s="347" t="s">
        <v>151</v>
      </c>
      <c r="B64" s="348" t="s">
        <v>152</v>
      </c>
      <c r="C64" s="348" t="s">
        <v>255</v>
      </c>
      <c r="D64" s="561">
        <v>9699</v>
      </c>
      <c r="E64" s="561">
        <v>11152</v>
      </c>
      <c r="F64" s="561">
        <v>11308</v>
      </c>
      <c r="G64" s="865">
        <v>11516</v>
      </c>
      <c r="H64" s="929">
        <v>11401</v>
      </c>
      <c r="I64" s="1538">
        <v>11491</v>
      </c>
      <c r="J64" s="1538">
        <v>11356</v>
      </c>
      <c r="K64" s="1943">
        <v>13231</v>
      </c>
      <c r="L64" s="1943">
        <v>14756</v>
      </c>
    </row>
    <row r="65" spans="1:12" s="350" customFormat="1" x14ac:dyDescent="0.3">
      <c r="A65" s="347" t="s">
        <v>153</v>
      </c>
      <c r="B65" s="348" t="s">
        <v>154</v>
      </c>
      <c r="C65" s="348" t="s">
        <v>252</v>
      </c>
      <c r="D65" s="561">
        <v>2708</v>
      </c>
      <c r="E65" s="561">
        <v>3093</v>
      </c>
      <c r="F65" s="561">
        <v>3147</v>
      </c>
      <c r="G65" s="865">
        <v>3332</v>
      </c>
      <c r="H65" s="929">
        <v>3254</v>
      </c>
      <c r="I65" s="1538">
        <v>3292</v>
      </c>
      <c r="J65" s="1538">
        <v>3269</v>
      </c>
      <c r="K65" s="1943">
        <v>3620</v>
      </c>
      <c r="L65" s="1943">
        <v>3982</v>
      </c>
    </row>
    <row r="66" spans="1:12" s="350" customFormat="1" x14ac:dyDescent="0.3">
      <c r="A66" s="347" t="s">
        <v>155</v>
      </c>
      <c r="B66" s="348" t="s">
        <v>156</v>
      </c>
      <c r="C66" s="348" t="s">
        <v>253</v>
      </c>
      <c r="D66" s="561">
        <v>1546</v>
      </c>
      <c r="E66" s="561">
        <v>1810</v>
      </c>
      <c r="F66" s="561">
        <v>1878</v>
      </c>
      <c r="G66" s="865">
        <v>2187</v>
      </c>
      <c r="H66" s="929">
        <v>2294</v>
      </c>
      <c r="I66" s="1538">
        <v>2302</v>
      </c>
      <c r="J66" s="1538">
        <v>2276</v>
      </c>
      <c r="K66" s="1943">
        <v>2646</v>
      </c>
      <c r="L66" s="1943">
        <v>3002</v>
      </c>
    </row>
    <row r="67" spans="1:12" s="350" customFormat="1" x14ac:dyDescent="0.3">
      <c r="A67" s="347" t="s">
        <v>161</v>
      </c>
      <c r="B67" s="348" t="s">
        <v>162</v>
      </c>
      <c r="C67" s="348" t="s">
        <v>251</v>
      </c>
      <c r="D67" s="561">
        <v>3482</v>
      </c>
      <c r="E67" s="561">
        <v>3904</v>
      </c>
      <c r="F67" s="561">
        <v>3908</v>
      </c>
      <c r="G67" s="865">
        <v>3936</v>
      </c>
      <c r="H67" s="929">
        <v>3930</v>
      </c>
      <c r="I67" s="1538">
        <v>3950</v>
      </c>
      <c r="J67" s="1538">
        <v>3924</v>
      </c>
      <c r="K67" s="1943">
        <v>4459</v>
      </c>
      <c r="L67" s="1943">
        <v>4826</v>
      </c>
    </row>
    <row r="68" spans="1:12" s="350" customFormat="1" x14ac:dyDescent="0.3">
      <c r="A68" s="347" t="s">
        <v>163</v>
      </c>
      <c r="B68" s="348" t="s">
        <v>164</v>
      </c>
      <c r="C68" s="348" t="s">
        <v>253</v>
      </c>
      <c r="D68" s="561">
        <v>2022</v>
      </c>
      <c r="E68" s="561">
        <v>2459</v>
      </c>
      <c r="F68" s="561">
        <v>2515</v>
      </c>
      <c r="G68" s="865">
        <v>2582</v>
      </c>
      <c r="H68" s="929">
        <v>2659</v>
      </c>
      <c r="I68" s="1538">
        <v>2633</v>
      </c>
      <c r="J68" s="1538">
        <v>2585</v>
      </c>
      <c r="K68" s="1943">
        <v>2904</v>
      </c>
      <c r="L68" s="1943">
        <v>3184</v>
      </c>
    </row>
    <row r="69" spans="1:12" s="350" customFormat="1" x14ac:dyDescent="0.3">
      <c r="A69" s="347" t="s">
        <v>167</v>
      </c>
      <c r="B69" s="348" t="s">
        <v>168</v>
      </c>
      <c r="C69" s="348" t="s">
        <v>253</v>
      </c>
      <c r="D69" s="561">
        <v>3807</v>
      </c>
      <c r="E69" s="561">
        <v>4409</v>
      </c>
      <c r="F69" s="561">
        <v>4451</v>
      </c>
      <c r="G69" s="865">
        <v>4608</v>
      </c>
      <c r="H69" s="929">
        <v>4610</v>
      </c>
      <c r="I69" s="1538">
        <v>4687</v>
      </c>
      <c r="J69" s="1538">
        <v>4756</v>
      </c>
      <c r="K69" s="1943">
        <v>5120</v>
      </c>
      <c r="L69" s="1943">
        <v>5863</v>
      </c>
    </row>
    <row r="70" spans="1:12" s="350" customFormat="1" x14ac:dyDescent="0.3">
      <c r="A70" s="347" t="s">
        <v>169</v>
      </c>
      <c r="B70" s="348" t="s">
        <v>170</v>
      </c>
      <c r="C70" s="348" t="s">
        <v>254</v>
      </c>
      <c r="D70" s="561">
        <v>4538</v>
      </c>
      <c r="E70" s="561">
        <v>5441</v>
      </c>
      <c r="F70" s="561">
        <v>5644</v>
      </c>
      <c r="G70" s="865">
        <v>6057</v>
      </c>
      <c r="H70" s="929">
        <v>6136</v>
      </c>
      <c r="I70" s="1538">
        <v>6281</v>
      </c>
      <c r="J70" s="1538">
        <v>6539</v>
      </c>
      <c r="K70" s="1943">
        <v>7632</v>
      </c>
      <c r="L70" s="1943">
        <v>8588</v>
      </c>
    </row>
    <row r="71" spans="1:12" s="350" customFormat="1" x14ac:dyDescent="0.3">
      <c r="A71" s="347" t="s">
        <v>171</v>
      </c>
      <c r="B71" s="348" t="s">
        <v>172</v>
      </c>
      <c r="C71" s="348" t="s">
        <v>254</v>
      </c>
      <c r="D71" s="561">
        <v>4699</v>
      </c>
      <c r="E71" s="561">
        <v>5315</v>
      </c>
      <c r="F71" s="561">
        <v>5291</v>
      </c>
      <c r="G71" s="865">
        <v>5529</v>
      </c>
      <c r="H71" s="929">
        <v>5570</v>
      </c>
      <c r="I71" s="1538">
        <v>5569</v>
      </c>
      <c r="J71" s="1538">
        <v>5495</v>
      </c>
      <c r="K71" s="1943">
        <v>6515</v>
      </c>
      <c r="L71" s="1943">
        <v>7144</v>
      </c>
    </row>
    <row r="72" spans="1:12" s="350" customFormat="1" x14ac:dyDescent="0.3">
      <c r="A72" s="347" t="s">
        <v>173</v>
      </c>
      <c r="B72" s="348" t="s">
        <v>174</v>
      </c>
      <c r="C72" s="348" t="s">
        <v>255</v>
      </c>
      <c r="D72" s="561">
        <v>4321</v>
      </c>
      <c r="E72" s="561">
        <v>4850</v>
      </c>
      <c r="F72" s="561">
        <v>4801</v>
      </c>
      <c r="G72" s="865">
        <v>4888</v>
      </c>
      <c r="H72" s="929">
        <v>4795</v>
      </c>
      <c r="I72" s="1538">
        <v>4868</v>
      </c>
      <c r="J72" s="1538">
        <v>4744</v>
      </c>
      <c r="K72" s="1943">
        <v>5264</v>
      </c>
      <c r="L72" s="1943">
        <v>5553</v>
      </c>
    </row>
    <row r="73" spans="1:12" s="350" customFormat="1" x14ac:dyDescent="0.3">
      <c r="A73" s="347" t="s">
        <v>177</v>
      </c>
      <c r="B73" s="348" t="s">
        <v>178</v>
      </c>
      <c r="C73" s="348" t="s">
        <v>252</v>
      </c>
      <c r="D73" s="561">
        <v>12221</v>
      </c>
      <c r="E73" s="561">
        <v>14064</v>
      </c>
      <c r="F73" s="561">
        <v>14574</v>
      </c>
      <c r="G73" s="865">
        <v>15218</v>
      </c>
      <c r="H73" s="929">
        <v>15603</v>
      </c>
      <c r="I73" s="1538">
        <v>16097</v>
      </c>
      <c r="J73" s="1538">
        <v>15784</v>
      </c>
      <c r="K73" s="1943">
        <v>17717</v>
      </c>
      <c r="L73" s="1943">
        <v>19418</v>
      </c>
    </row>
    <row r="74" spans="1:12" s="350" customFormat="1" x14ac:dyDescent="0.3">
      <c r="A74" s="347" t="s">
        <v>181</v>
      </c>
      <c r="B74" s="348" t="s">
        <v>182</v>
      </c>
      <c r="C74" s="348" t="s">
        <v>253</v>
      </c>
      <c r="D74" s="561">
        <v>2057</v>
      </c>
      <c r="E74" s="561">
        <v>2414</v>
      </c>
      <c r="F74" s="561">
        <v>2415</v>
      </c>
      <c r="G74" s="865">
        <v>2554</v>
      </c>
      <c r="H74" s="929">
        <v>2675</v>
      </c>
      <c r="I74" s="1538">
        <v>2772</v>
      </c>
      <c r="J74" s="1538">
        <v>2743</v>
      </c>
      <c r="K74" s="1943">
        <v>3285</v>
      </c>
      <c r="L74" s="1943">
        <v>4302</v>
      </c>
    </row>
    <row r="75" spans="1:12" s="350" customFormat="1" x14ac:dyDescent="0.3">
      <c r="A75" s="347" t="s">
        <v>183</v>
      </c>
      <c r="B75" s="348" t="s">
        <v>184</v>
      </c>
      <c r="C75" s="348" t="s">
        <v>253</v>
      </c>
      <c r="D75" s="561">
        <v>4424</v>
      </c>
      <c r="E75" s="561">
        <v>4998</v>
      </c>
      <c r="F75" s="561">
        <v>5172</v>
      </c>
      <c r="G75" s="865">
        <v>5253</v>
      </c>
      <c r="H75" s="929">
        <v>5297</v>
      </c>
      <c r="I75" s="1538">
        <v>5339</v>
      </c>
      <c r="J75" s="1538">
        <v>5252</v>
      </c>
      <c r="K75" s="1943">
        <v>5790</v>
      </c>
      <c r="L75" s="1943">
        <v>6222</v>
      </c>
    </row>
    <row r="76" spans="1:12" s="350" customFormat="1" x14ac:dyDescent="0.3">
      <c r="A76" s="347" t="s">
        <v>185</v>
      </c>
      <c r="B76" s="348" t="s">
        <v>186</v>
      </c>
      <c r="C76" s="348" t="s">
        <v>251</v>
      </c>
      <c r="D76" s="561">
        <v>3215</v>
      </c>
      <c r="E76" s="561">
        <v>3944</v>
      </c>
      <c r="F76" s="561">
        <v>4301</v>
      </c>
      <c r="G76" s="865">
        <v>4794</v>
      </c>
      <c r="H76" s="929">
        <v>5245</v>
      </c>
      <c r="I76" s="1538">
        <v>5552</v>
      </c>
      <c r="J76" s="1538">
        <v>5639</v>
      </c>
      <c r="K76" s="1943">
        <v>6689</v>
      </c>
      <c r="L76" s="1943">
        <v>7673</v>
      </c>
    </row>
    <row r="77" spans="1:12" s="350" customFormat="1" x14ac:dyDescent="0.3">
      <c r="A77" s="347" t="s">
        <v>187</v>
      </c>
      <c r="B77" s="348" t="s">
        <v>188</v>
      </c>
      <c r="C77" s="348" t="s">
        <v>254</v>
      </c>
      <c r="D77" s="561">
        <v>47200</v>
      </c>
      <c r="E77" s="561">
        <v>56097</v>
      </c>
      <c r="F77" s="561">
        <v>57061</v>
      </c>
      <c r="G77" s="865">
        <v>62474</v>
      </c>
      <c r="H77" s="929">
        <v>64879</v>
      </c>
      <c r="I77" s="1538">
        <v>69221</v>
      </c>
      <c r="J77" s="1538">
        <v>68776</v>
      </c>
      <c r="K77" s="1943">
        <v>78374</v>
      </c>
      <c r="L77" s="1943">
        <v>88226</v>
      </c>
    </row>
    <row r="78" spans="1:12" s="350" customFormat="1" x14ac:dyDescent="0.3">
      <c r="A78" s="347" t="s">
        <v>189</v>
      </c>
      <c r="B78" s="348" t="s">
        <v>190</v>
      </c>
      <c r="C78" s="348" t="s">
        <v>255</v>
      </c>
      <c r="D78" s="561">
        <v>6657</v>
      </c>
      <c r="E78" s="561">
        <v>7717</v>
      </c>
      <c r="F78" s="561">
        <v>7902</v>
      </c>
      <c r="G78" s="865">
        <v>8047</v>
      </c>
      <c r="H78" s="929">
        <v>8121</v>
      </c>
      <c r="I78" s="1538">
        <v>8331</v>
      </c>
      <c r="J78" s="1538">
        <v>8347</v>
      </c>
      <c r="K78" s="1943">
        <v>9172</v>
      </c>
      <c r="L78" s="1943">
        <v>10068</v>
      </c>
    </row>
    <row r="79" spans="1:12" s="350" customFormat="1" x14ac:dyDescent="0.3">
      <c r="A79" s="347" t="s">
        <v>193</v>
      </c>
      <c r="B79" s="348" t="s">
        <v>194</v>
      </c>
      <c r="C79" s="348" t="s">
        <v>254</v>
      </c>
      <c r="D79" s="561">
        <v>850</v>
      </c>
      <c r="E79" s="561">
        <v>986</v>
      </c>
      <c r="F79" s="561">
        <v>979</v>
      </c>
      <c r="G79" s="865">
        <v>1027</v>
      </c>
      <c r="H79" s="929">
        <v>1017</v>
      </c>
      <c r="I79" s="1538">
        <v>1005</v>
      </c>
      <c r="J79" s="1538">
        <v>971</v>
      </c>
      <c r="K79" s="1943">
        <v>1180</v>
      </c>
      <c r="L79" s="1943">
        <v>1377</v>
      </c>
    </row>
    <row r="80" spans="1:12" s="350" customFormat="1" x14ac:dyDescent="0.3">
      <c r="A80" s="347" t="s">
        <v>197</v>
      </c>
      <c r="B80" s="348" t="s">
        <v>259</v>
      </c>
      <c r="C80" s="348" t="s">
        <v>253</v>
      </c>
      <c r="D80" s="561">
        <v>1535</v>
      </c>
      <c r="E80" s="561">
        <v>1874</v>
      </c>
      <c r="F80" s="561">
        <v>1914</v>
      </c>
      <c r="G80" s="865">
        <v>2080</v>
      </c>
      <c r="H80" s="929">
        <v>2147</v>
      </c>
      <c r="I80" s="1538">
        <v>2069</v>
      </c>
      <c r="J80" s="1538">
        <v>2068</v>
      </c>
      <c r="K80" s="1943">
        <v>2377</v>
      </c>
      <c r="L80" s="1943">
        <v>2933</v>
      </c>
    </row>
    <row r="81" spans="1:12" s="350" customFormat="1" x14ac:dyDescent="0.3">
      <c r="A81" s="347" t="s">
        <v>201</v>
      </c>
      <c r="B81" s="348" t="s">
        <v>276</v>
      </c>
      <c r="C81" s="348" t="s">
        <v>252</v>
      </c>
      <c r="D81" s="561">
        <v>11981</v>
      </c>
      <c r="E81" s="561">
        <v>14472</v>
      </c>
      <c r="F81" s="561">
        <v>14703</v>
      </c>
      <c r="G81" s="865">
        <v>15468</v>
      </c>
      <c r="H81" s="929">
        <v>15679</v>
      </c>
      <c r="I81" s="1538">
        <v>16124</v>
      </c>
      <c r="J81" s="1538">
        <v>16035</v>
      </c>
      <c r="K81" s="1943">
        <v>18490</v>
      </c>
      <c r="L81" s="1943">
        <v>20756</v>
      </c>
    </row>
    <row r="82" spans="1:12" s="350" customFormat="1" x14ac:dyDescent="0.3">
      <c r="A82" s="347" t="s">
        <v>203</v>
      </c>
      <c r="B82" s="348" t="s">
        <v>269</v>
      </c>
      <c r="C82" s="348" t="s">
        <v>252</v>
      </c>
      <c r="D82" s="561">
        <v>5166</v>
      </c>
      <c r="E82" s="561">
        <v>6054</v>
      </c>
      <c r="F82" s="561">
        <v>6238</v>
      </c>
      <c r="G82" s="865">
        <v>6461</v>
      </c>
      <c r="H82" s="929">
        <v>6846</v>
      </c>
      <c r="I82" s="1538">
        <v>7119</v>
      </c>
      <c r="J82" s="1538">
        <v>7117</v>
      </c>
      <c r="K82" s="1943">
        <v>8250</v>
      </c>
      <c r="L82" s="1943">
        <v>8983</v>
      </c>
    </row>
    <row r="83" spans="1:12" s="350" customFormat="1" x14ac:dyDescent="0.3">
      <c r="A83" s="347" t="s">
        <v>205</v>
      </c>
      <c r="B83" s="348" t="s">
        <v>270</v>
      </c>
      <c r="C83" s="348" t="s">
        <v>254</v>
      </c>
      <c r="D83" s="561">
        <v>16008</v>
      </c>
      <c r="E83" s="561">
        <v>18886</v>
      </c>
      <c r="F83" s="561">
        <v>19333</v>
      </c>
      <c r="G83" s="865">
        <v>20370</v>
      </c>
      <c r="H83" s="929">
        <v>21119</v>
      </c>
      <c r="I83" s="1538">
        <v>22521</v>
      </c>
      <c r="J83" s="1538">
        <v>21900</v>
      </c>
      <c r="K83" s="1943">
        <v>25583</v>
      </c>
      <c r="L83" s="1943">
        <v>27791</v>
      </c>
    </row>
    <row r="84" spans="1:12" s="350" customFormat="1" x14ac:dyDescent="0.3">
      <c r="A84" s="347" t="s">
        <v>207</v>
      </c>
      <c r="B84" s="348" t="s">
        <v>208</v>
      </c>
      <c r="C84" s="348" t="s">
        <v>255</v>
      </c>
      <c r="D84" s="561">
        <v>7119</v>
      </c>
      <c r="E84" s="561">
        <v>8019</v>
      </c>
      <c r="F84" s="561">
        <v>8264</v>
      </c>
      <c r="G84" s="865">
        <v>8430</v>
      </c>
      <c r="H84" s="929">
        <v>8584</v>
      </c>
      <c r="I84" s="1538">
        <v>8448</v>
      </c>
      <c r="J84" s="1538">
        <v>8224</v>
      </c>
      <c r="K84" s="1943">
        <v>9190</v>
      </c>
      <c r="L84" s="1943">
        <v>10147</v>
      </c>
    </row>
    <row r="85" spans="1:12" s="350" customFormat="1" x14ac:dyDescent="0.3">
      <c r="A85" s="347" t="s">
        <v>209</v>
      </c>
      <c r="B85" s="348" t="s">
        <v>210</v>
      </c>
      <c r="C85" s="348" t="s">
        <v>255</v>
      </c>
      <c r="D85" s="561">
        <v>5325</v>
      </c>
      <c r="E85" s="561">
        <v>6026</v>
      </c>
      <c r="F85" s="561">
        <v>6068</v>
      </c>
      <c r="G85" s="865">
        <v>6125</v>
      </c>
      <c r="H85" s="929">
        <v>6193</v>
      </c>
      <c r="I85" s="1538">
        <v>6289</v>
      </c>
      <c r="J85" s="1538">
        <v>6182</v>
      </c>
      <c r="K85" s="1943">
        <v>6821</v>
      </c>
      <c r="L85" s="1943">
        <v>7262</v>
      </c>
    </row>
    <row r="86" spans="1:12" s="350" customFormat="1" x14ac:dyDescent="0.3">
      <c r="A86" s="347" t="s">
        <v>211</v>
      </c>
      <c r="B86" s="348" t="s">
        <v>212</v>
      </c>
      <c r="C86" s="348" t="s">
        <v>254</v>
      </c>
      <c r="D86" s="561">
        <v>6548</v>
      </c>
      <c r="E86" s="561">
        <v>7641</v>
      </c>
      <c r="F86" s="561">
        <v>7717</v>
      </c>
      <c r="G86" s="865">
        <v>7970</v>
      </c>
      <c r="H86" s="929">
        <v>8374</v>
      </c>
      <c r="I86" s="1538">
        <v>8669</v>
      </c>
      <c r="J86" s="1538">
        <v>8647</v>
      </c>
      <c r="K86" s="1943">
        <v>9823</v>
      </c>
      <c r="L86" s="1943">
        <v>11098</v>
      </c>
    </row>
    <row r="87" spans="1:12" s="350" customFormat="1" x14ac:dyDescent="0.3">
      <c r="A87" s="347" t="s">
        <v>213</v>
      </c>
      <c r="B87" s="348" t="s">
        <v>214</v>
      </c>
      <c r="C87" s="348" t="s">
        <v>255</v>
      </c>
      <c r="D87" s="561">
        <v>7716</v>
      </c>
      <c r="E87" s="561">
        <v>8744</v>
      </c>
      <c r="F87" s="561">
        <v>8727</v>
      </c>
      <c r="G87" s="865">
        <v>8830</v>
      </c>
      <c r="H87" s="929">
        <v>8721</v>
      </c>
      <c r="I87" s="1538">
        <v>8753</v>
      </c>
      <c r="J87" s="1538">
        <v>8819</v>
      </c>
      <c r="K87" s="1943">
        <v>10063</v>
      </c>
      <c r="L87" s="1943">
        <v>11367</v>
      </c>
    </row>
    <row r="88" spans="1:12" s="350" customFormat="1" x14ac:dyDescent="0.3">
      <c r="A88" s="347" t="s">
        <v>215</v>
      </c>
      <c r="B88" s="348" t="s">
        <v>216</v>
      </c>
      <c r="C88" s="348" t="s">
        <v>251</v>
      </c>
      <c r="D88" s="561">
        <v>3397</v>
      </c>
      <c r="E88" s="561">
        <v>3971</v>
      </c>
      <c r="F88" s="561">
        <v>4047</v>
      </c>
      <c r="G88" s="865">
        <v>4196</v>
      </c>
      <c r="H88" s="929">
        <v>4203</v>
      </c>
      <c r="I88" s="1538">
        <v>4321</v>
      </c>
      <c r="J88" s="1538">
        <v>4299</v>
      </c>
      <c r="K88" s="1943">
        <v>4831</v>
      </c>
      <c r="L88" s="1943">
        <v>5835</v>
      </c>
    </row>
    <row r="89" spans="1:12" s="350" customFormat="1" x14ac:dyDescent="0.3">
      <c r="A89" s="347" t="s">
        <v>217</v>
      </c>
      <c r="B89" s="348" t="s">
        <v>218</v>
      </c>
      <c r="C89" s="348" t="s">
        <v>254</v>
      </c>
      <c r="D89" s="561">
        <v>14601</v>
      </c>
      <c r="E89" s="561">
        <v>17575</v>
      </c>
      <c r="F89" s="561">
        <v>18454</v>
      </c>
      <c r="G89" s="865">
        <v>20591</v>
      </c>
      <c r="H89" s="929">
        <v>21841</v>
      </c>
      <c r="I89" s="1538">
        <v>22889</v>
      </c>
      <c r="J89" s="1538">
        <v>23041</v>
      </c>
      <c r="K89" s="1943">
        <v>26645</v>
      </c>
      <c r="L89" s="1943">
        <v>30007</v>
      </c>
    </row>
    <row r="90" spans="1:12" s="350" customFormat="1" x14ac:dyDescent="0.3">
      <c r="A90" s="347" t="s">
        <v>219</v>
      </c>
      <c r="B90" s="348" t="s">
        <v>220</v>
      </c>
      <c r="C90" s="348" t="s">
        <v>254</v>
      </c>
      <c r="D90" s="561">
        <v>12192</v>
      </c>
      <c r="E90" s="561">
        <v>14762</v>
      </c>
      <c r="F90" s="561">
        <v>15216</v>
      </c>
      <c r="G90" s="865">
        <v>16922</v>
      </c>
      <c r="H90" s="929">
        <v>18527</v>
      </c>
      <c r="I90" s="1538">
        <v>19166</v>
      </c>
      <c r="J90" s="1538">
        <v>19364</v>
      </c>
      <c r="K90" s="1943">
        <v>22891</v>
      </c>
      <c r="L90" s="1943">
        <v>26389</v>
      </c>
    </row>
    <row r="91" spans="1:12" s="350" customFormat="1" x14ac:dyDescent="0.3">
      <c r="A91" s="347" t="s">
        <v>223</v>
      </c>
      <c r="B91" s="348" t="s">
        <v>224</v>
      </c>
      <c r="C91" s="348" t="s">
        <v>251</v>
      </c>
      <c r="D91" s="561">
        <v>1173</v>
      </c>
      <c r="E91" s="561">
        <v>1369</v>
      </c>
      <c r="F91" s="561">
        <v>1410</v>
      </c>
      <c r="G91" s="865">
        <v>1437</v>
      </c>
      <c r="H91" s="929">
        <v>1488</v>
      </c>
      <c r="I91" s="1538">
        <v>1443</v>
      </c>
      <c r="J91" s="1538">
        <v>1410</v>
      </c>
      <c r="K91" s="1943">
        <v>1606</v>
      </c>
      <c r="L91" s="1943">
        <v>1731</v>
      </c>
    </row>
    <row r="92" spans="1:12" s="350" customFormat="1" x14ac:dyDescent="0.3">
      <c r="A92" s="347" t="s">
        <v>225</v>
      </c>
      <c r="B92" s="348" t="s">
        <v>226</v>
      </c>
      <c r="C92" s="348" t="s">
        <v>251</v>
      </c>
      <c r="D92" s="561">
        <v>2191</v>
      </c>
      <c r="E92" s="561">
        <v>2578</v>
      </c>
      <c r="F92" s="561">
        <v>2577</v>
      </c>
      <c r="G92" s="865">
        <v>2665</v>
      </c>
      <c r="H92" s="929">
        <v>2692</v>
      </c>
      <c r="I92" s="1538">
        <v>2740</v>
      </c>
      <c r="J92" s="1538">
        <v>2682</v>
      </c>
      <c r="K92" s="1943">
        <v>3062</v>
      </c>
      <c r="L92" s="1943">
        <v>4978</v>
      </c>
    </row>
    <row r="93" spans="1:12" s="350" customFormat="1" x14ac:dyDescent="0.3">
      <c r="A93" s="347" t="s">
        <v>227</v>
      </c>
      <c r="B93" s="348" t="s">
        <v>228</v>
      </c>
      <c r="C93" s="348" t="s">
        <v>255</v>
      </c>
      <c r="D93" s="561">
        <v>9633</v>
      </c>
      <c r="E93" s="561">
        <v>11053</v>
      </c>
      <c r="F93" s="561">
        <v>11167</v>
      </c>
      <c r="G93" s="865">
        <v>11649</v>
      </c>
      <c r="H93" s="929">
        <v>12017</v>
      </c>
      <c r="I93" s="1538">
        <v>12574</v>
      </c>
      <c r="J93" s="1538">
        <v>12220</v>
      </c>
      <c r="K93" s="1943">
        <v>13708</v>
      </c>
      <c r="L93" s="1943">
        <v>15623</v>
      </c>
    </row>
    <row r="94" spans="1:12" s="350" customFormat="1" x14ac:dyDescent="0.3">
      <c r="A94" s="347" t="s">
        <v>231</v>
      </c>
      <c r="B94" s="348" t="s">
        <v>232</v>
      </c>
      <c r="C94" s="348" t="s">
        <v>254</v>
      </c>
      <c r="D94" s="561">
        <v>5461</v>
      </c>
      <c r="E94" s="561">
        <v>6613</v>
      </c>
      <c r="F94" s="561">
        <v>6681</v>
      </c>
      <c r="G94" s="865">
        <v>7196</v>
      </c>
      <c r="H94" s="929">
        <v>7352</v>
      </c>
      <c r="I94" s="1538">
        <v>7681</v>
      </c>
      <c r="J94" s="1538">
        <v>7649</v>
      </c>
      <c r="K94" s="1943">
        <v>8602</v>
      </c>
      <c r="L94" s="1943">
        <v>9627</v>
      </c>
    </row>
    <row r="95" spans="1:12" s="350" customFormat="1" x14ac:dyDescent="0.3">
      <c r="A95" s="347" t="s">
        <v>233</v>
      </c>
      <c r="B95" s="348" t="s">
        <v>234</v>
      </c>
      <c r="C95" s="348" t="s">
        <v>255</v>
      </c>
      <c r="D95" s="561">
        <v>9483</v>
      </c>
      <c r="E95" s="561">
        <v>11154</v>
      </c>
      <c r="F95" s="561">
        <v>11420</v>
      </c>
      <c r="G95" s="865">
        <v>11634</v>
      </c>
      <c r="H95" s="929">
        <v>11711</v>
      </c>
      <c r="I95" s="1538">
        <v>11947</v>
      </c>
      <c r="J95" s="1538">
        <v>12088</v>
      </c>
      <c r="K95" s="1943">
        <v>13651</v>
      </c>
      <c r="L95" s="1943">
        <v>14884</v>
      </c>
    </row>
    <row r="96" spans="1:12" s="350" customFormat="1" x14ac:dyDescent="0.3">
      <c r="A96" s="347" t="s">
        <v>235</v>
      </c>
      <c r="B96" s="348" t="s">
        <v>236</v>
      </c>
      <c r="C96" s="348" t="s">
        <v>253</v>
      </c>
      <c r="D96" s="561">
        <v>3597</v>
      </c>
      <c r="E96" s="561">
        <v>4123</v>
      </c>
      <c r="F96" s="561">
        <v>4117</v>
      </c>
      <c r="G96" s="865">
        <v>4501</v>
      </c>
      <c r="H96" s="929">
        <v>4712</v>
      </c>
      <c r="I96" s="1538">
        <v>4817</v>
      </c>
      <c r="J96" s="1538">
        <v>4987</v>
      </c>
      <c r="K96" s="1943">
        <v>5524</v>
      </c>
      <c r="L96" s="1943">
        <v>5924</v>
      </c>
    </row>
    <row r="97" spans="1:12" s="350" customFormat="1" x14ac:dyDescent="0.3">
      <c r="A97" s="347" t="s">
        <v>241</v>
      </c>
      <c r="B97" s="348" t="s">
        <v>242</v>
      </c>
      <c r="C97" s="348" t="s">
        <v>255</v>
      </c>
      <c r="D97" s="561">
        <v>10595</v>
      </c>
      <c r="E97" s="561">
        <v>12033</v>
      </c>
      <c r="F97" s="561">
        <v>12231</v>
      </c>
      <c r="G97" s="865">
        <v>12335</v>
      </c>
      <c r="H97" s="929">
        <v>12486</v>
      </c>
      <c r="I97" s="1538">
        <v>12808</v>
      </c>
      <c r="J97" s="1538">
        <v>12426</v>
      </c>
      <c r="K97" s="1943">
        <v>13992</v>
      </c>
      <c r="L97" s="1943">
        <v>15537</v>
      </c>
    </row>
    <row r="98" spans="1:12" s="350" customFormat="1" x14ac:dyDescent="0.3">
      <c r="A98" s="347" t="s">
        <v>243</v>
      </c>
      <c r="B98" s="348" t="s">
        <v>244</v>
      </c>
      <c r="C98" s="348" t="s">
        <v>255</v>
      </c>
      <c r="D98" s="561">
        <v>5853</v>
      </c>
      <c r="E98" s="561">
        <v>6705</v>
      </c>
      <c r="F98" s="561">
        <v>6687</v>
      </c>
      <c r="G98" s="865">
        <v>6882</v>
      </c>
      <c r="H98" s="929">
        <v>6844</v>
      </c>
      <c r="I98" s="1538">
        <v>6905</v>
      </c>
      <c r="J98" s="1538">
        <v>7050</v>
      </c>
      <c r="K98" s="1943">
        <v>8215</v>
      </c>
      <c r="L98" s="1943">
        <v>9246</v>
      </c>
    </row>
    <row r="99" spans="1:12" s="350" customFormat="1" x14ac:dyDescent="0.3">
      <c r="A99" s="347" t="s">
        <v>245</v>
      </c>
      <c r="B99" s="348" t="s">
        <v>246</v>
      </c>
      <c r="C99" s="348" t="s">
        <v>251</v>
      </c>
      <c r="D99" s="561">
        <v>4500</v>
      </c>
      <c r="E99" s="561">
        <v>5517</v>
      </c>
      <c r="F99" s="561">
        <v>5699</v>
      </c>
      <c r="G99" s="865">
        <v>6089</v>
      </c>
      <c r="H99" s="929">
        <v>6193</v>
      </c>
      <c r="I99" s="1538">
        <v>6378</v>
      </c>
      <c r="J99" s="1538">
        <v>6620</v>
      </c>
      <c r="K99" s="1943">
        <v>7820</v>
      </c>
      <c r="L99" s="1943">
        <v>9113</v>
      </c>
    </row>
    <row r="100" spans="1:12" s="350" customFormat="1" x14ac:dyDescent="0.3">
      <c r="A100" s="347" t="s">
        <v>13</v>
      </c>
      <c r="B100" s="348" t="s">
        <v>14</v>
      </c>
      <c r="C100" s="348" t="s">
        <v>254</v>
      </c>
      <c r="D100" s="561">
        <v>13527</v>
      </c>
      <c r="E100" s="561">
        <v>16034</v>
      </c>
      <c r="F100" s="561">
        <v>16340</v>
      </c>
      <c r="G100" s="865">
        <v>18483</v>
      </c>
      <c r="H100" s="929">
        <v>19758</v>
      </c>
      <c r="I100" s="1538">
        <v>21145</v>
      </c>
      <c r="J100" s="1538">
        <v>21695</v>
      </c>
      <c r="K100" s="1943">
        <v>24501</v>
      </c>
      <c r="L100" s="1943">
        <v>27061</v>
      </c>
    </row>
    <row r="101" spans="1:12" s="350" customFormat="1" x14ac:dyDescent="0.3">
      <c r="A101" s="347" t="s">
        <v>33</v>
      </c>
      <c r="B101" s="348" t="s">
        <v>34</v>
      </c>
      <c r="C101" s="348" t="s">
        <v>255</v>
      </c>
      <c r="D101" s="561">
        <v>5156</v>
      </c>
      <c r="E101" s="561">
        <v>6228</v>
      </c>
      <c r="F101" s="561">
        <v>6006</v>
      </c>
      <c r="G101" s="865">
        <v>5843</v>
      </c>
      <c r="H101" s="929">
        <v>5841</v>
      </c>
      <c r="I101" s="1538">
        <v>6034</v>
      </c>
      <c r="J101" s="1538">
        <v>6057</v>
      </c>
      <c r="K101" s="1943">
        <v>6977</v>
      </c>
      <c r="L101" s="1943">
        <v>7904</v>
      </c>
    </row>
    <row r="102" spans="1:12" s="350" customFormat="1" x14ac:dyDescent="0.3">
      <c r="A102" s="347" t="s">
        <v>51</v>
      </c>
      <c r="B102" s="348" t="s">
        <v>52</v>
      </c>
      <c r="C102" s="348" t="s">
        <v>252</v>
      </c>
      <c r="D102" s="561">
        <v>6721</v>
      </c>
      <c r="E102" s="561">
        <v>7762</v>
      </c>
      <c r="F102" s="561">
        <v>7504</v>
      </c>
      <c r="G102" s="865">
        <v>7721</v>
      </c>
      <c r="H102" s="929">
        <v>7751</v>
      </c>
      <c r="I102" s="1538">
        <v>7718</v>
      </c>
      <c r="J102" s="1538">
        <v>7520</v>
      </c>
      <c r="K102" s="1943">
        <v>8621</v>
      </c>
      <c r="L102" s="1943">
        <v>9669</v>
      </c>
    </row>
    <row r="103" spans="1:12" s="350" customFormat="1" x14ac:dyDescent="0.3">
      <c r="A103" s="347" t="s">
        <v>53</v>
      </c>
      <c r="B103" s="348" t="s">
        <v>54</v>
      </c>
      <c r="C103" s="348" t="s">
        <v>251</v>
      </c>
      <c r="D103" s="561">
        <v>27867</v>
      </c>
      <c r="E103" s="561">
        <v>33015</v>
      </c>
      <c r="F103" s="561">
        <v>34058</v>
      </c>
      <c r="G103" s="865">
        <v>36100</v>
      </c>
      <c r="H103" s="929">
        <v>37998</v>
      </c>
      <c r="I103" s="1538">
        <v>40342</v>
      </c>
      <c r="J103" s="1538">
        <v>40473</v>
      </c>
      <c r="K103" s="1943">
        <v>45941</v>
      </c>
      <c r="L103" s="1943">
        <v>51724</v>
      </c>
    </row>
    <row r="104" spans="1:12" s="350" customFormat="1" x14ac:dyDescent="0.3">
      <c r="A104" s="347" t="s">
        <v>65</v>
      </c>
      <c r="B104" s="348" t="s">
        <v>66</v>
      </c>
      <c r="C104" s="348" t="s">
        <v>252</v>
      </c>
      <c r="D104" s="561">
        <v>14414</v>
      </c>
      <c r="E104" s="561">
        <v>16289</v>
      </c>
      <c r="F104" s="561">
        <v>16575</v>
      </c>
      <c r="G104" s="865">
        <v>17179</v>
      </c>
      <c r="H104" s="929">
        <v>17312</v>
      </c>
      <c r="I104" s="1538">
        <v>17751</v>
      </c>
      <c r="J104" s="1538">
        <v>17864</v>
      </c>
      <c r="K104" s="1943">
        <v>20083</v>
      </c>
      <c r="L104" s="1943">
        <v>21828</v>
      </c>
    </row>
    <row r="105" spans="1:12" s="350" customFormat="1" x14ac:dyDescent="0.3">
      <c r="A105" s="347" t="s">
        <v>81</v>
      </c>
      <c r="B105" s="348" t="s">
        <v>82</v>
      </c>
      <c r="C105" s="348" t="s">
        <v>251</v>
      </c>
      <c r="D105" s="561">
        <v>2861</v>
      </c>
      <c r="E105" s="561">
        <v>3315</v>
      </c>
      <c r="F105" s="561">
        <v>3312</v>
      </c>
      <c r="G105" s="865">
        <v>3377</v>
      </c>
      <c r="H105" s="929">
        <v>3352</v>
      </c>
      <c r="I105" s="1538">
        <v>3430</v>
      </c>
      <c r="J105" s="1538">
        <v>3603</v>
      </c>
      <c r="K105" s="1943">
        <v>3803</v>
      </c>
      <c r="L105" s="1943">
        <v>4042</v>
      </c>
    </row>
    <row r="106" spans="1:12" s="350" customFormat="1" x14ac:dyDescent="0.3">
      <c r="A106" s="347" t="s">
        <v>87</v>
      </c>
      <c r="B106" s="348" t="s">
        <v>88</v>
      </c>
      <c r="C106" s="348" t="s">
        <v>254</v>
      </c>
      <c r="D106" s="561">
        <v>4951</v>
      </c>
      <c r="E106" s="561">
        <v>6083</v>
      </c>
      <c r="F106" s="561">
        <v>6322</v>
      </c>
      <c r="G106" s="865">
        <v>6829</v>
      </c>
      <c r="H106" s="929">
        <v>6502</v>
      </c>
      <c r="I106" s="1538">
        <v>7097</v>
      </c>
      <c r="J106" s="1538">
        <v>7185</v>
      </c>
      <c r="K106" s="1943">
        <v>8325</v>
      </c>
      <c r="L106" s="1943">
        <v>9403</v>
      </c>
    </row>
    <row r="107" spans="1:12" s="350" customFormat="1" x14ac:dyDescent="0.3">
      <c r="A107" s="347" t="s">
        <v>89</v>
      </c>
      <c r="B107" s="348" t="s">
        <v>90</v>
      </c>
      <c r="C107" s="348" t="s">
        <v>255</v>
      </c>
      <c r="D107" s="561">
        <v>2204</v>
      </c>
      <c r="E107" s="561">
        <v>2565</v>
      </c>
      <c r="F107" s="561">
        <v>2691</v>
      </c>
      <c r="G107" s="865">
        <v>2665</v>
      </c>
      <c r="H107" s="929">
        <v>2643</v>
      </c>
      <c r="I107" s="1538">
        <v>2700</v>
      </c>
      <c r="J107" s="1538">
        <v>2675</v>
      </c>
      <c r="K107" s="1943">
        <v>3028</v>
      </c>
      <c r="L107" s="1943">
        <v>3182</v>
      </c>
    </row>
    <row r="108" spans="1:12" s="350" customFormat="1" x14ac:dyDescent="0.3">
      <c r="A108" s="347" t="s">
        <v>105</v>
      </c>
      <c r="B108" s="348" t="s">
        <v>106</v>
      </c>
      <c r="C108" s="348" t="s">
        <v>251</v>
      </c>
      <c r="D108" s="561">
        <v>24491</v>
      </c>
      <c r="E108" s="561">
        <v>28740</v>
      </c>
      <c r="F108" s="561">
        <v>29528</v>
      </c>
      <c r="G108" s="865">
        <v>31795</v>
      </c>
      <c r="H108" s="929">
        <v>31481</v>
      </c>
      <c r="I108" s="1538">
        <v>32719</v>
      </c>
      <c r="J108" s="1538">
        <v>32596</v>
      </c>
      <c r="K108" s="1943">
        <v>37144</v>
      </c>
      <c r="L108" s="1943">
        <v>40780</v>
      </c>
    </row>
    <row r="109" spans="1:12" s="350" customFormat="1" x14ac:dyDescent="0.3">
      <c r="A109" s="347" t="s">
        <v>115</v>
      </c>
      <c r="B109" s="348" t="s">
        <v>116</v>
      </c>
      <c r="C109" s="348" t="s">
        <v>253</v>
      </c>
      <c r="D109" s="561">
        <v>6960</v>
      </c>
      <c r="E109" s="561">
        <v>8056</v>
      </c>
      <c r="F109" s="561">
        <v>8327</v>
      </c>
      <c r="G109" s="865">
        <v>9089</v>
      </c>
      <c r="H109" s="929">
        <v>9234</v>
      </c>
      <c r="I109" s="1538">
        <v>9428</v>
      </c>
      <c r="J109" s="1538">
        <v>9776</v>
      </c>
      <c r="K109" s="1943">
        <v>11018</v>
      </c>
      <c r="L109" s="1943">
        <v>12049</v>
      </c>
    </row>
    <row r="110" spans="1:12" s="350" customFormat="1" x14ac:dyDescent="0.3">
      <c r="A110" s="347" t="s">
        <v>137</v>
      </c>
      <c r="B110" s="348" t="s">
        <v>138</v>
      </c>
      <c r="C110" s="348" t="s">
        <v>252</v>
      </c>
      <c r="D110" s="561">
        <v>15311</v>
      </c>
      <c r="E110" s="561">
        <v>17487</v>
      </c>
      <c r="F110" s="561">
        <v>17722</v>
      </c>
      <c r="G110" s="865">
        <v>18710</v>
      </c>
      <c r="H110" s="929">
        <v>18669</v>
      </c>
      <c r="I110" s="1538">
        <v>18572</v>
      </c>
      <c r="J110" s="1538">
        <v>18813</v>
      </c>
      <c r="K110" s="1943">
        <v>21189</v>
      </c>
      <c r="L110" s="1943">
        <v>23852</v>
      </c>
    </row>
    <row r="111" spans="1:12" s="350" customFormat="1" x14ac:dyDescent="0.3">
      <c r="A111" s="347" t="s">
        <v>141</v>
      </c>
      <c r="B111" s="348" t="s">
        <v>142</v>
      </c>
      <c r="C111" s="348" t="s">
        <v>254</v>
      </c>
      <c r="D111" s="561">
        <v>6617</v>
      </c>
      <c r="E111" s="561">
        <v>7927</v>
      </c>
      <c r="F111" s="561">
        <v>8372</v>
      </c>
      <c r="G111" s="865">
        <v>9025</v>
      </c>
      <c r="H111" s="929">
        <v>9108</v>
      </c>
      <c r="I111" s="1538">
        <v>9325</v>
      </c>
      <c r="J111" s="1538">
        <v>9272</v>
      </c>
      <c r="K111" s="1943">
        <v>10134</v>
      </c>
      <c r="L111" s="1943">
        <v>10758</v>
      </c>
    </row>
    <row r="112" spans="1:12" s="350" customFormat="1" x14ac:dyDescent="0.3">
      <c r="A112" s="347" t="s">
        <v>143</v>
      </c>
      <c r="B112" s="348" t="s">
        <v>144</v>
      </c>
      <c r="C112" s="348" t="s">
        <v>254</v>
      </c>
      <c r="D112" s="561">
        <v>2189</v>
      </c>
      <c r="E112" s="561">
        <v>2801</v>
      </c>
      <c r="F112" s="561">
        <v>2747</v>
      </c>
      <c r="G112" s="865">
        <v>3227</v>
      </c>
      <c r="H112" s="929">
        <v>3402</v>
      </c>
      <c r="I112" s="1538">
        <v>3700</v>
      </c>
      <c r="J112" s="1538">
        <v>3568</v>
      </c>
      <c r="K112" s="1943">
        <v>4037</v>
      </c>
      <c r="L112" s="1943">
        <v>4302</v>
      </c>
    </row>
    <row r="113" spans="1:13" s="350" customFormat="1" x14ac:dyDescent="0.3">
      <c r="A113" s="347" t="s">
        <v>157</v>
      </c>
      <c r="B113" s="348" t="s">
        <v>158</v>
      </c>
      <c r="C113" s="348" t="s">
        <v>251</v>
      </c>
      <c r="D113" s="561">
        <v>37582</v>
      </c>
      <c r="E113" s="561">
        <v>43878</v>
      </c>
      <c r="F113" s="561">
        <v>44076</v>
      </c>
      <c r="G113" s="865">
        <v>46390</v>
      </c>
      <c r="H113" s="929">
        <v>47325</v>
      </c>
      <c r="I113" s="1538">
        <v>50815</v>
      </c>
      <c r="J113" s="1538">
        <v>50805</v>
      </c>
      <c r="K113" s="1943">
        <v>57482</v>
      </c>
      <c r="L113" s="1943">
        <v>62857</v>
      </c>
    </row>
    <row r="114" spans="1:13" s="350" customFormat="1" x14ac:dyDescent="0.3">
      <c r="A114" s="347" t="s">
        <v>159</v>
      </c>
      <c r="B114" s="348" t="s">
        <v>160</v>
      </c>
      <c r="C114" s="348" t="s">
        <v>251</v>
      </c>
      <c r="D114" s="561">
        <v>49102</v>
      </c>
      <c r="E114" s="561">
        <v>56247</v>
      </c>
      <c r="F114" s="561">
        <v>57481</v>
      </c>
      <c r="G114" s="865">
        <v>60771</v>
      </c>
      <c r="H114" s="929">
        <v>60525</v>
      </c>
      <c r="I114" s="1538">
        <v>61469</v>
      </c>
      <c r="J114" s="1538">
        <v>61966</v>
      </c>
      <c r="K114" s="1943">
        <v>69130</v>
      </c>
      <c r="L114" s="1943">
        <v>75819</v>
      </c>
    </row>
    <row r="115" spans="1:13" s="350" customFormat="1" x14ac:dyDescent="0.3">
      <c r="A115" s="347" t="s">
        <v>165</v>
      </c>
      <c r="B115" s="348" t="s">
        <v>166</v>
      </c>
      <c r="C115" s="348" t="s">
        <v>255</v>
      </c>
      <c r="D115" s="561">
        <v>1308</v>
      </c>
      <c r="E115" s="561">
        <v>1503</v>
      </c>
      <c r="F115" s="561">
        <v>1495</v>
      </c>
      <c r="G115" s="865">
        <v>1488</v>
      </c>
      <c r="H115" s="929">
        <v>1553</v>
      </c>
      <c r="I115" s="1538">
        <v>1482</v>
      </c>
      <c r="J115" s="1538">
        <v>1373</v>
      </c>
      <c r="K115" s="1943">
        <v>1628</v>
      </c>
      <c r="L115" s="1943">
        <v>1808</v>
      </c>
    </row>
    <row r="116" spans="1:13" s="350" customFormat="1" x14ac:dyDescent="0.3">
      <c r="A116" s="347" t="s">
        <v>175</v>
      </c>
      <c r="B116" s="348" t="s">
        <v>176</v>
      </c>
      <c r="C116" s="348" t="s">
        <v>253</v>
      </c>
      <c r="D116" s="561">
        <v>10742</v>
      </c>
      <c r="E116" s="561">
        <v>12143</v>
      </c>
      <c r="F116" s="561">
        <v>12180</v>
      </c>
      <c r="G116" s="865">
        <v>12904</v>
      </c>
      <c r="H116" s="929">
        <v>13803</v>
      </c>
      <c r="I116" s="1538">
        <v>14104</v>
      </c>
      <c r="J116" s="1538">
        <v>14451</v>
      </c>
      <c r="K116" s="1943">
        <v>16390</v>
      </c>
      <c r="L116" s="1943">
        <v>18319</v>
      </c>
    </row>
    <row r="117" spans="1:13" s="350" customFormat="1" x14ac:dyDescent="0.3">
      <c r="A117" s="347" t="s">
        <v>179</v>
      </c>
      <c r="B117" s="348" t="s">
        <v>180</v>
      </c>
      <c r="C117" s="348" t="s">
        <v>251</v>
      </c>
      <c r="D117" s="561">
        <v>24303</v>
      </c>
      <c r="E117" s="561">
        <v>27860</v>
      </c>
      <c r="F117" s="561">
        <v>28438</v>
      </c>
      <c r="G117" s="865">
        <v>30727</v>
      </c>
      <c r="H117" s="929">
        <v>30890</v>
      </c>
      <c r="I117" s="1538">
        <v>31822</v>
      </c>
      <c r="J117" s="1538">
        <v>32280</v>
      </c>
      <c r="K117" s="1943">
        <v>36090</v>
      </c>
      <c r="L117" s="1943">
        <v>40044</v>
      </c>
    </row>
    <row r="118" spans="1:13" s="350" customFormat="1" x14ac:dyDescent="0.3">
      <c r="A118" s="347" t="s">
        <v>191</v>
      </c>
      <c r="B118" s="348" t="s">
        <v>192</v>
      </c>
      <c r="C118" s="348" t="s">
        <v>255</v>
      </c>
      <c r="D118" s="561">
        <v>1992</v>
      </c>
      <c r="E118" s="561">
        <v>2371</v>
      </c>
      <c r="F118" s="561">
        <v>2470</v>
      </c>
      <c r="G118" s="865">
        <v>2545</v>
      </c>
      <c r="H118" s="929">
        <v>2575</v>
      </c>
      <c r="I118" s="1538">
        <v>2562</v>
      </c>
      <c r="J118" s="1538">
        <v>2548</v>
      </c>
      <c r="K118" s="1943">
        <v>2972</v>
      </c>
      <c r="L118" s="1943">
        <v>3382</v>
      </c>
    </row>
    <row r="119" spans="1:13" s="350" customFormat="1" x14ac:dyDescent="0.3">
      <c r="A119" s="347" t="s">
        <v>195</v>
      </c>
      <c r="B119" s="348" t="s">
        <v>196</v>
      </c>
      <c r="C119" s="348" t="s">
        <v>253</v>
      </c>
      <c r="D119" s="561">
        <v>51121</v>
      </c>
      <c r="E119" s="561">
        <v>57661</v>
      </c>
      <c r="F119" s="561">
        <v>58100</v>
      </c>
      <c r="G119" s="865">
        <v>61179</v>
      </c>
      <c r="H119" s="929">
        <v>64680</v>
      </c>
      <c r="I119" s="1538">
        <v>62844</v>
      </c>
      <c r="J119" s="1538">
        <v>63069</v>
      </c>
      <c r="K119" s="1943">
        <v>71349</v>
      </c>
      <c r="L119" s="1943">
        <v>80020</v>
      </c>
    </row>
    <row r="120" spans="1:13" s="350" customFormat="1" x14ac:dyDescent="0.3">
      <c r="A120" s="347" t="s">
        <v>199</v>
      </c>
      <c r="B120" s="348" t="s">
        <v>200</v>
      </c>
      <c r="C120" s="348" t="s">
        <v>252</v>
      </c>
      <c r="D120" s="561">
        <v>26470</v>
      </c>
      <c r="E120" s="561">
        <v>30786</v>
      </c>
      <c r="F120" s="561">
        <v>31080</v>
      </c>
      <c r="G120" s="865">
        <v>32100</v>
      </c>
      <c r="H120" s="929">
        <v>32356</v>
      </c>
      <c r="I120" s="1538">
        <v>33289</v>
      </c>
      <c r="J120" s="1538">
        <v>33622</v>
      </c>
      <c r="K120" s="1943">
        <v>37548</v>
      </c>
      <c r="L120" s="1943">
        <v>41002</v>
      </c>
    </row>
    <row r="121" spans="1:13" s="350" customFormat="1" x14ac:dyDescent="0.3">
      <c r="A121" s="347" t="s">
        <v>221</v>
      </c>
      <c r="B121" s="348" t="s">
        <v>222</v>
      </c>
      <c r="C121" s="348" t="s">
        <v>251</v>
      </c>
      <c r="D121" s="561">
        <v>14286</v>
      </c>
      <c r="E121" s="561">
        <v>16504</v>
      </c>
      <c r="F121" s="561">
        <v>16875</v>
      </c>
      <c r="G121" s="865">
        <v>17583</v>
      </c>
      <c r="H121" s="929">
        <v>18121</v>
      </c>
      <c r="I121" s="1538">
        <v>18705</v>
      </c>
      <c r="J121" s="1538">
        <v>18510</v>
      </c>
      <c r="K121" s="1943">
        <v>20868</v>
      </c>
      <c r="L121" s="1943">
        <v>22755</v>
      </c>
    </row>
    <row r="122" spans="1:13" s="350" customFormat="1" x14ac:dyDescent="0.3">
      <c r="A122" s="347" t="s">
        <v>229</v>
      </c>
      <c r="B122" s="348" t="s">
        <v>230</v>
      </c>
      <c r="C122" s="348" t="s">
        <v>251</v>
      </c>
      <c r="D122" s="561">
        <v>43430</v>
      </c>
      <c r="E122" s="561">
        <v>51350</v>
      </c>
      <c r="F122" s="561">
        <v>52599</v>
      </c>
      <c r="G122" s="865">
        <v>58235</v>
      </c>
      <c r="H122" s="929">
        <v>58035</v>
      </c>
      <c r="I122" s="1538">
        <v>61271</v>
      </c>
      <c r="J122" s="1538">
        <v>61472</v>
      </c>
      <c r="K122" s="1943">
        <v>71107</v>
      </c>
      <c r="L122" s="1943">
        <v>81001</v>
      </c>
    </row>
    <row r="123" spans="1:13" s="350" customFormat="1" x14ac:dyDescent="0.3">
      <c r="A123" s="347" t="s">
        <v>237</v>
      </c>
      <c r="B123" s="348" t="s">
        <v>238</v>
      </c>
      <c r="C123" s="348" t="s">
        <v>251</v>
      </c>
      <c r="D123" s="561">
        <v>1243</v>
      </c>
      <c r="E123" s="561">
        <v>1610</v>
      </c>
      <c r="F123" s="561">
        <v>1680</v>
      </c>
      <c r="G123" s="865">
        <v>1783</v>
      </c>
      <c r="H123" s="929">
        <v>1734</v>
      </c>
      <c r="I123" s="1538">
        <v>1965</v>
      </c>
      <c r="J123" s="1538">
        <v>2013</v>
      </c>
      <c r="K123" s="1943">
        <v>2394</v>
      </c>
      <c r="L123" s="1943">
        <v>2708</v>
      </c>
    </row>
    <row r="124" spans="1:13" s="350" customFormat="1" x14ac:dyDescent="0.3">
      <c r="A124" s="347" t="s">
        <v>239</v>
      </c>
      <c r="B124" s="348" t="s">
        <v>240</v>
      </c>
      <c r="C124" s="348" t="s">
        <v>254</v>
      </c>
      <c r="D124" s="561">
        <v>5323</v>
      </c>
      <c r="E124" s="561">
        <v>6479</v>
      </c>
      <c r="F124" s="561">
        <v>6581</v>
      </c>
      <c r="G124" s="865">
        <v>7032</v>
      </c>
      <c r="H124" s="929">
        <v>7281</v>
      </c>
      <c r="I124" s="1538">
        <v>7387</v>
      </c>
      <c r="J124" s="1538">
        <v>7079</v>
      </c>
      <c r="K124" s="1944">
        <v>8090</v>
      </c>
      <c r="L124" s="2110">
        <v>8836</v>
      </c>
    </row>
    <row r="126" spans="1:13" ht="12.75" customHeight="1" x14ac:dyDescent="0.3">
      <c r="A126" s="2540" t="s">
        <v>939</v>
      </c>
      <c r="B126" s="2541"/>
      <c r="C126" s="2541"/>
      <c r="D126" s="2541"/>
      <c r="E126" s="2541"/>
      <c r="F126" s="2541"/>
      <c r="G126" s="2541"/>
      <c r="H126" s="2541"/>
      <c r="I126" s="2541"/>
      <c r="J126" s="2541"/>
      <c r="K126" s="2541"/>
      <c r="L126" s="2541"/>
      <c r="M126" s="2541"/>
    </row>
    <row r="127" spans="1:13" x14ac:dyDescent="0.3">
      <c r="A127" s="2541"/>
      <c r="B127" s="2541"/>
      <c r="C127" s="2541"/>
      <c r="D127" s="2541"/>
      <c r="E127" s="2541"/>
      <c r="F127" s="2541"/>
      <c r="G127" s="2541"/>
      <c r="H127" s="2541"/>
      <c r="I127" s="2541"/>
      <c r="J127" s="2541"/>
      <c r="K127" s="2541"/>
      <c r="L127" s="2541"/>
      <c r="M127" s="2541"/>
    </row>
    <row r="128" spans="1:13" ht="18" customHeight="1" x14ac:dyDescent="0.3">
      <c r="A128" s="2541"/>
      <c r="B128" s="2541"/>
      <c r="C128" s="2541"/>
      <c r="D128" s="2541"/>
      <c r="E128" s="2541"/>
      <c r="F128" s="2541"/>
      <c r="G128" s="2541"/>
      <c r="H128" s="2541"/>
      <c r="I128" s="2541"/>
      <c r="J128" s="2541"/>
      <c r="K128" s="2541"/>
      <c r="L128" s="2541"/>
      <c r="M128" s="2541"/>
    </row>
    <row r="129" spans="1:13" x14ac:dyDescent="0.3">
      <c r="A129" s="993"/>
      <c r="B129" s="993"/>
      <c r="C129" s="993"/>
      <c r="D129" s="993"/>
      <c r="E129" s="993"/>
      <c r="F129" s="993"/>
      <c r="G129" s="993"/>
      <c r="H129" s="994"/>
      <c r="I129" s="1481"/>
      <c r="J129" s="1568"/>
      <c r="K129" s="1939"/>
      <c r="L129" s="2083"/>
      <c r="M129" s="993"/>
    </row>
    <row r="130" spans="1:13" s="193" customFormat="1" x14ac:dyDescent="0.3">
      <c r="A130" s="193" t="s">
        <v>247</v>
      </c>
    </row>
    <row r="131" spans="1:13" s="193" customFormat="1" x14ac:dyDescent="0.3">
      <c r="A131" s="194" t="s">
        <v>248</v>
      </c>
      <c r="B131" s="195" t="s">
        <v>249</v>
      </c>
      <c r="C131" s="195"/>
    </row>
  </sheetData>
  <sortState ref="A5:M124">
    <sortCondition ref="A5:A124"/>
  </sortState>
  <mergeCells count="1">
    <mergeCell ref="A126:M128"/>
  </mergeCells>
  <hyperlinks>
    <hyperlink ref="B131"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130"/>
  <sheetViews>
    <sheetView workbookViewId="0">
      <pane xSplit="3" ySplit="4" topLeftCell="D106" activePane="bottomRight" state="frozen"/>
      <selection pane="topRight" activeCell="D1" sqref="D1"/>
      <selection pane="bottomLeft" activeCell="A5" sqref="A5"/>
      <selection pane="bottomRight" activeCell="R2" sqref="R2:S2"/>
    </sheetView>
  </sheetViews>
  <sheetFormatPr defaultColWidth="9" defaultRowHeight="15.6" x14ac:dyDescent="0.3"/>
  <cols>
    <col min="1" max="1" width="9" style="105"/>
    <col min="2" max="2" width="31.09765625" style="105" customWidth="1"/>
    <col min="3" max="3" width="15" style="105" customWidth="1"/>
    <col min="4" max="7" width="11.296875" style="105" customWidth="1"/>
    <col min="8" max="8" width="12.59765625" style="105" bestFit="1" customWidth="1"/>
    <col min="9" max="14" width="12.59765625" style="105" customWidth="1"/>
    <col min="15" max="15" width="9" style="105"/>
    <col min="16" max="16" width="12.59765625" style="105" customWidth="1"/>
    <col min="17" max="17" width="9" style="105"/>
    <col min="18" max="18" width="12.59765625" style="105" customWidth="1"/>
    <col min="19" max="16384" width="9" style="105"/>
  </cols>
  <sheetData>
    <row r="1" spans="1:19" x14ac:dyDescent="0.3">
      <c r="A1" s="2" t="s">
        <v>888</v>
      </c>
    </row>
    <row r="2" spans="1:19" x14ac:dyDescent="0.3">
      <c r="D2" s="2542">
        <v>2013</v>
      </c>
      <c r="E2" s="2542"/>
      <c r="F2" s="2542">
        <v>2014</v>
      </c>
      <c r="G2" s="2542"/>
      <c r="H2" s="2542">
        <v>2015</v>
      </c>
      <c r="I2" s="2542"/>
      <c r="J2" s="2542">
        <v>2016</v>
      </c>
      <c r="K2" s="2542"/>
      <c r="L2" s="2542">
        <v>2017</v>
      </c>
      <c r="M2" s="2542"/>
      <c r="N2" s="2542">
        <v>2018</v>
      </c>
      <c r="O2" s="2542"/>
      <c r="P2" s="2542">
        <v>2019</v>
      </c>
      <c r="Q2" s="2542"/>
      <c r="R2" s="2542">
        <v>2020</v>
      </c>
      <c r="S2" s="2542"/>
    </row>
    <row r="3" spans="1:19" x14ac:dyDescent="0.3">
      <c r="A3" s="2" t="s">
        <v>4</v>
      </c>
      <c r="B3" s="2" t="s">
        <v>5</v>
      </c>
      <c r="C3" s="2" t="s">
        <v>250</v>
      </c>
      <c r="D3" s="2" t="s">
        <v>795</v>
      </c>
      <c r="E3" s="2" t="s">
        <v>6</v>
      </c>
      <c r="F3" s="2" t="s">
        <v>795</v>
      </c>
      <c r="G3" s="2" t="s">
        <v>6</v>
      </c>
      <c r="H3" s="2" t="s">
        <v>795</v>
      </c>
      <c r="I3" s="2" t="s">
        <v>6</v>
      </c>
      <c r="J3" s="2" t="s">
        <v>795</v>
      </c>
      <c r="K3" s="2" t="s">
        <v>6</v>
      </c>
      <c r="L3" s="2" t="s">
        <v>795</v>
      </c>
      <c r="M3" s="2" t="s">
        <v>6</v>
      </c>
      <c r="N3" s="2" t="s">
        <v>795</v>
      </c>
      <c r="O3" s="2" t="s">
        <v>6</v>
      </c>
      <c r="P3" s="2" t="s">
        <v>795</v>
      </c>
      <c r="Q3" s="2" t="s">
        <v>6</v>
      </c>
      <c r="R3" s="2" t="s">
        <v>795</v>
      </c>
      <c r="S3" s="2" t="s">
        <v>6</v>
      </c>
    </row>
    <row r="4" spans="1:19" x14ac:dyDescent="0.3">
      <c r="A4" s="1574">
        <v>999</v>
      </c>
      <c r="B4" s="1572" t="s">
        <v>805</v>
      </c>
      <c r="C4" s="1572"/>
      <c r="D4" s="1573">
        <v>25626</v>
      </c>
      <c r="E4" s="1573">
        <v>43476</v>
      </c>
      <c r="F4" s="1573">
        <v>25723</v>
      </c>
      <c r="G4" s="1573">
        <v>43819</v>
      </c>
      <c r="H4" s="1573">
        <v>25344</v>
      </c>
      <c r="I4" s="1573">
        <v>43295</v>
      </c>
      <c r="J4" s="1573">
        <v>22085</v>
      </c>
      <c r="K4" s="1573">
        <v>38755</v>
      </c>
      <c r="L4" s="1573">
        <v>19367</v>
      </c>
      <c r="M4" s="1573">
        <v>34105</v>
      </c>
      <c r="N4" s="1573">
        <v>17668</v>
      </c>
      <c r="O4" s="1573">
        <v>31090</v>
      </c>
      <c r="P4" s="1573">
        <v>16064</v>
      </c>
      <c r="Q4" s="1573">
        <v>28568</v>
      </c>
      <c r="R4" s="1573">
        <v>16599</v>
      </c>
      <c r="S4" s="1573">
        <v>29650</v>
      </c>
    </row>
    <row r="5" spans="1:19" x14ac:dyDescent="0.3">
      <c r="A5" s="272" t="s">
        <v>9</v>
      </c>
      <c r="B5" s="273" t="s">
        <v>10</v>
      </c>
      <c r="C5" s="308" t="s">
        <v>251</v>
      </c>
      <c r="D5" s="1600">
        <v>102</v>
      </c>
      <c r="E5" s="1600">
        <v>156</v>
      </c>
      <c r="F5" s="106">
        <v>68</v>
      </c>
      <c r="G5" s="106">
        <v>101</v>
      </c>
      <c r="H5" s="1545">
        <v>67</v>
      </c>
      <c r="I5" s="1545">
        <v>95</v>
      </c>
      <c r="J5" s="1545">
        <v>62</v>
      </c>
      <c r="K5" s="1545">
        <v>90</v>
      </c>
      <c r="L5" s="1545">
        <v>36</v>
      </c>
      <c r="M5" s="1545">
        <v>50</v>
      </c>
      <c r="N5" s="1545">
        <v>21</v>
      </c>
      <c r="O5" s="108">
        <v>36</v>
      </c>
      <c r="P5" s="1545">
        <v>20</v>
      </c>
      <c r="Q5" s="108">
        <v>35</v>
      </c>
      <c r="R5" s="1545">
        <v>24</v>
      </c>
      <c r="S5" s="108">
        <v>44</v>
      </c>
    </row>
    <row r="6" spans="1:19" x14ac:dyDescent="0.3">
      <c r="A6" s="272" t="s">
        <v>11</v>
      </c>
      <c r="B6" s="273" t="s">
        <v>12</v>
      </c>
      <c r="C6" s="308" t="s">
        <v>252</v>
      </c>
      <c r="D6" s="1600">
        <v>205</v>
      </c>
      <c r="E6" s="1600">
        <v>321</v>
      </c>
      <c r="F6" s="106">
        <v>218</v>
      </c>
      <c r="G6" s="106">
        <v>350</v>
      </c>
      <c r="H6" s="1545">
        <v>202</v>
      </c>
      <c r="I6" s="1545">
        <v>329</v>
      </c>
      <c r="J6" s="1545">
        <v>170</v>
      </c>
      <c r="K6" s="1545">
        <v>287</v>
      </c>
      <c r="L6" s="1545">
        <v>160</v>
      </c>
      <c r="M6" s="1545">
        <v>262</v>
      </c>
      <c r="N6" s="1545">
        <v>136</v>
      </c>
      <c r="O6" s="108">
        <v>223</v>
      </c>
      <c r="P6" s="1545">
        <v>127</v>
      </c>
      <c r="Q6" s="108">
        <v>193</v>
      </c>
      <c r="R6" s="1545">
        <v>126</v>
      </c>
      <c r="S6" s="108">
        <v>193</v>
      </c>
    </row>
    <row r="7" spans="1:19" x14ac:dyDescent="0.3">
      <c r="A7" s="272" t="s">
        <v>15</v>
      </c>
      <c r="B7" s="273" t="s">
        <v>273</v>
      </c>
      <c r="C7" s="308" t="s">
        <v>252</v>
      </c>
      <c r="D7" s="1600">
        <v>53</v>
      </c>
      <c r="E7" s="1600">
        <v>100</v>
      </c>
      <c r="F7" s="106">
        <v>60</v>
      </c>
      <c r="G7" s="106">
        <v>113</v>
      </c>
      <c r="H7" s="1545">
        <v>53</v>
      </c>
      <c r="I7" s="1545">
        <v>93</v>
      </c>
      <c r="J7" s="1545">
        <v>57</v>
      </c>
      <c r="K7" s="1545">
        <v>97</v>
      </c>
      <c r="L7" s="1545">
        <v>50</v>
      </c>
      <c r="M7" s="1545">
        <v>88</v>
      </c>
      <c r="N7" s="1545">
        <v>35</v>
      </c>
      <c r="O7" s="108">
        <v>65</v>
      </c>
      <c r="P7" s="1545">
        <v>31</v>
      </c>
      <c r="Q7" s="108">
        <v>56</v>
      </c>
      <c r="R7" s="1545">
        <v>43</v>
      </c>
      <c r="S7" s="108">
        <v>71</v>
      </c>
    </row>
    <row r="8" spans="1:19" x14ac:dyDescent="0.3">
      <c r="A8" s="272" t="s">
        <v>17</v>
      </c>
      <c r="B8" s="273" t="s">
        <v>18</v>
      </c>
      <c r="C8" s="308" t="s">
        <v>253</v>
      </c>
      <c r="D8" s="1600">
        <v>34</v>
      </c>
      <c r="E8" s="1600">
        <v>59</v>
      </c>
      <c r="F8" s="106">
        <v>33</v>
      </c>
      <c r="G8" s="106">
        <v>61</v>
      </c>
      <c r="H8" s="1545">
        <v>31</v>
      </c>
      <c r="I8" s="1545">
        <v>55</v>
      </c>
      <c r="J8" s="1545">
        <v>22</v>
      </c>
      <c r="K8" s="1545">
        <v>41</v>
      </c>
      <c r="L8" s="1545">
        <v>15</v>
      </c>
      <c r="M8" s="1545">
        <v>26</v>
      </c>
      <c r="N8" s="1545">
        <v>13</v>
      </c>
      <c r="O8" s="108">
        <v>21</v>
      </c>
      <c r="P8" s="1545">
        <v>5</v>
      </c>
      <c r="Q8" s="108">
        <v>10</v>
      </c>
      <c r="R8" s="1545">
        <v>5</v>
      </c>
      <c r="S8" s="108">
        <v>8</v>
      </c>
    </row>
    <row r="9" spans="1:19" x14ac:dyDescent="0.3">
      <c r="A9" s="272" t="s">
        <v>19</v>
      </c>
      <c r="B9" s="273" t="s">
        <v>20</v>
      </c>
      <c r="C9" s="308" t="s">
        <v>252</v>
      </c>
      <c r="D9" s="1600">
        <v>131</v>
      </c>
      <c r="E9" s="1600">
        <v>210</v>
      </c>
      <c r="F9" s="106">
        <v>118</v>
      </c>
      <c r="G9" s="106">
        <v>188</v>
      </c>
      <c r="H9" s="1545">
        <v>103</v>
      </c>
      <c r="I9" s="1545">
        <v>184</v>
      </c>
      <c r="J9" s="1545">
        <v>92</v>
      </c>
      <c r="K9" s="1545">
        <v>169</v>
      </c>
      <c r="L9" s="1545">
        <v>82</v>
      </c>
      <c r="M9" s="1545">
        <v>148</v>
      </c>
      <c r="N9" s="1545">
        <v>72</v>
      </c>
      <c r="O9" s="108">
        <v>129</v>
      </c>
      <c r="P9" s="1545">
        <v>92</v>
      </c>
      <c r="Q9" s="108">
        <v>166</v>
      </c>
      <c r="R9" s="1545">
        <v>110</v>
      </c>
      <c r="S9" s="108">
        <v>192</v>
      </c>
    </row>
    <row r="10" spans="1:19" x14ac:dyDescent="0.3">
      <c r="A10" s="272" t="s">
        <v>21</v>
      </c>
      <c r="B10" s="273" t="s">
        <v>22</v>
      </c>
      <c r="C10" s="308" t="s">
        <v>252</v>
      </c>
      <c r="D10" s="1600">
        <v>38</v>
      </c>
      <c r="E10" s="1600">
        <v>55</v>
      </c>
      <c r="F10" s="106">
        <v>37</v>
      </c>
      <c r="G10" s="106">
        <v>66</v>
      </c>
      <c r="H10" s="1545">
        <v>33</v>
      </c>
      <c r="I10" s="1545">
        <v>53</v>
      </c>
      <c r="J10" s="1545">
        <v>28</v>
      </c>
      <c r="K10" s="1545">
        <v>42</v>
      </c>
      <c r="L10" s="1545">
        <v>20</v>
      </c>
      <c r="M10" s="1545">
        <v>30</v>
      </c>
      <c r="N10" s="1545">
        <v>17</v>
      </c>
      <c r="O10" s="108">
        <v>29</v>
      </c>
      <c r="P10" s="1545">
        <v>18</v>
      </c>
      <c r="Q10" s="108">
        <v>34</v>
      </c>
      <c r="R10" s="1545">
        <v>28</v>
      </c>
      <c r="S10" s="108">
        <v>60</v>
      </c>
    </row>
    <row r="11" spans="1:19" x14ac:dyDescent="0.3">
      <c r="A11" s="272" t="s">
        <v>23</v>
      </c>
      <c r="B11" s="273" t="s">
        <v>24</v>
      </c>
      <c r="C11" s="308" t="s">
        <v>254</v>
      </c>
      <c r="D11" s="1600">
        <v>427</v>
      </c>
      <c r="E11" s="1600">
        <v>574</v>
      </c>
      <c r="F11" s="106">
        <v>413</v>
      </c>
      <c r="G11" s="106">
        <v>573</v>
      </c>
      <c r="H11" s="1545">
        <v>371</v>
      </c>
      <c r="I11" s="1545">
        <v>523</v>
      </c>
      <c r="J11" s="1545">
        <v>321</v>
      </c>
      <c r="K11" s="1545">
        <v>456</v>
      </c>
      <c r="L11" s="1545">
        <v>266</v>
      </c>
      <c r="M11" s="1545">
        <v>366</v>
      </c>
      <c r="N11" s="1545">
        <v>216</v>
      </c>
      <c r="O11" s="108">
        <v>301</v>
      </c>
      <c r="P11" s="1545">
        <v>189</v>
      </c>
      <c r="Q11" s="108">
        <v>283</v>
      </c>
      <c r="R11" s="1545">
        <v>203</v>
      </c>
      <c r="S11" s="108">
        <v>299</v>
      </c>
    </row>
    <row r="12" spans="1:19" x14ac:dyDescent="0.3">
      <c r="A12" s="272" t="s">
        <v>25</v>
      </c>
      <c r="B12" s="273" t="s">
        <v>444</v>
      </c>
      <c r="C12" s="308" t="s">
        <v>252</v>
      </c>
      <c r="D12" s="1600">
        <v>451</v>
      </c>
      <c r="E12" s="1600">
        <v>769</v>
      </c>
      <c r="F12" s="106">
        <v>420</v>
      </c>
      <c r="G12" s="106">
        <v>697</v>
      </c>
      <c r="H12" s="1545">
        <v>355</v>
      </c>
      <c r="I12" s="1545">
        <v>597</v>
      </c>
      <c r="J12" s="1545">
        <v>291</v>
      </c>
      <c r="K12" s="1545">
        <v>504</v>
      </c>
      <c r="L12" s="1545">
        <v>261</v>
      </c>
      <c r="M12" s="1545">
        <v>450</v>
      </c>
      <c r="N12" s="1545">
        <v>233</v>
      </c>
      <c r="O12" s="108">
        <v>391</v>
      </c>
      <c r="P12" s="1545">
        <v>223</v>
      </c>
      <c r="Q12" s="108">
        <v>369</v>
      </c>
      <c r="R12" s="1545">
        <v>213</v>
      </c>
      <c r="S12" s="108">
        <v>360</v>
      </c>
    </row>
    <row r="13" spans="1:19" x14ac:dyDescent="0.3">
      <c r="A13" s="272" t="s">
        <v>26</v>
      </c>
      <c r="B13" s="273" t="s">
        <v>27</v>
      </c>
      <c r="C13" s="313" t="s">
        <v>252</v>
      </c>
      <c r="D13" s="1600">
        <v>1</v>
      </c>
      <c r="E13" s="1600">
        <v>1</v>
      </c>
      <c r="F13" s="106">
        <v>1</v>
      </c>
      <c r="G13" s="106">
        <v>1</v>
      </c>
      <c r="H13" s="1545">
        <v>1</v>
      </c>
      <c r="I13" s="1545">
        <v>1</v>
      </c>
      <c r="J13" s="1545">
        <v>1</v>
      </c>
      <c r="K13" s="1545">
        <v>1</v>
      </c>
      <c r="L13" s="1545">
        <v>0</v>
      </c>
      <c r="M13" s="1545">
        <v>0</v>
      </c>
      <c r="N13" s="1545">
        <v>1</v>
      </c>
      <c r="O13" s="108">
        <v>2</v>
      </c>
      <c r="P13" s="1545">
        <v>1</v>
      </c>
      <c r="Q13" s="108">
        <v>2</v>
      </c>
      <c r="R13" s="1545">
        <v>0</v>
      </c>
      <c r="S13" s="108">
        <v>0</v>
      </c>
    </row>
    <row r="14" spans="1:19" x14ac:dyDescent="0.3">
      <c r="A14" s="272" t="s">
        <v>28</v>
      </c>
      <c r="B14" s="273" t="s">
        <v>568</v>
      </c>
      <c r="C14" s="313" t="s">
        <v>252</v>
      </c>
      <c r="D14" s="1600">
        <v>168</v>
      </c>
      <c r="E14" s="1600">
        <v>266</v>
      </c>
      <c r="F14" s="106">
        <v>155</v>
      </c>
      <c r="G14" s="106">
        <v>249</v>
      </c>
      <c r="H14" s="1545">
        <v>157</v>
      </c>
      <c r="I14" s="1545">
        <v>271</v>
      </c>
      <c r="J14" s="1545">
        <v>136</v>
      </c>
      <c r="K14" s="1545">
        <v>251</v>
      </c>
      <c r="L14" s="1545">
        <v>118</v>
      </c>
      <c r="M14" s="1545">
        <v>209</v>
      </c>
      <c r="N14" s="1545">
        <v>86</v>
      </c>
      <c r="O14" s="108">
        <v>153</v>
      </c>
      <c r="P14" s="1545">
        <v>80</v>
      </c>
      <c r="Q14" s="108">
        <v>131</v>
      </c>
      <c r="R14" s="1545">
        <v>88</v>
      </c>
      <c r="S14" s="108">
        <v>147</v>
      </c>
    </row>
    <row r="15" spans="1:19" x14ac:dyDescent="0.3">
      <c r="A15" s="272" t="s">
        <v>29</v>
      </c>
      <c r="B15" s="273" t="s">
        <v>30</v>
      </c>
      <c r="C15" s="313" t="s">
        <v>255</v>
      </c>
      <c r="D15" s="1600">
        <v>8</v>
      </c>
      <c r="E15" s="1600">
        <v>11</v>
      </c>
      <c r="F15" s="106">
        <v>8</v>
      </c>
      <c r="G15" s="106">
        <v>13</v>
      </c>
      <c r="H15" s="1545">
        <v>6</v>
      </c>
      <c r="I15" s="1545">
        <v>10</v>
      </c>
      <c r="J15" s="1545">
        <v>5</v>
      </c>
      <c r="K15" s="1545">
        <v>6</v>
      </c>
      <c r="L15" s="1545">
        <v>16</v>
      </c>
      <c r="M15" s="1545">
        <v>28</v>
      </c>
      <c r="N15" s="1545">
        <v>7</v>
      </c>
      <c r="O15" s="108">
        <v>11</v>
      </c>
      <c r="P15" s="1545">
        <v>9</v>
      </c>
      <c r="Q15" s="108">
        <v>14</v>
      </c>
      <c r="R15" s="1545">
        <v>8</v>
      </c>
      <c r="S15" s="108">
        <v>14</v>
      </c>
    </row>
    <row r="16" spans="1:19" x14ac:dyDescent="0.3">
      <c r="A16" s="272" t="s">
        <v>31</v>
      </c>
      <c r="B16" s="273" t="s">
        <v>32</v>
      </c>
      <c r="C16" s="313" t="s">
        <v>252</v>
      </c>
      <c r="D16" s="1600">
        <v>72</v>
      </c>
      <c r="E16" s="1600">
        <v>108</v>
      </c>
      <c r="F16" s="106">
        <v>61</v>
      </c>
      <c r="G16" s="106">
        <v>100</v>
      </c>
      <c r="H16" s="1545">
        <v>59</v>
      </c>
      <c r="I16" s="1545">
        <v>100</v>
      </c>
      <c r="J16" s="1545">
        <v>56</v>
      </c>
      <c r="K16" s="1545">
        <v>96</v>
      </c>
      <c r="L16" s="1545">
        <v>55</v>
      </c>
      <c r="M16" s="1545">
        <v>98</v>
      </c>
      <c r="N16" s="1545">
        <v>43</v>
      </c>
      <c r="O16" s="108">
        <v>80</v>
      </c>
      <c r="P16" s="1545">
        <v>42</v>
      </c>
      <c r="Q16" s="108">
        <v>78</v>
      </c>
      <c r="R16" s="1545">
        <v>45</v>
      </c>
      <c r="S16" s="108">
        <v>75</v>
      </c>
    </row>
    <row r="17" spans="1:19" x14ac:dyDescent="0.3">
      <c r="A17" s="272" t="s">
        <v>35</v>
      </c>
      <c r="B17" s="273" t="s">
        <v>36</v>
      </c>
      <c r="C17" s="313" t="s">
        <v>251</v>
      </c>
      <c r="D17" s="1600">
        <v>55</v>
      </c>
      <c r="E17" s="1600">
        <v>85</v>
      </c>
      <c r="F17" s="106">
        <v>42</v>
      </c>
      <c r="G17" s="106">
        <v>74</v>
      </c>
      <c r="H17" s="1545">
        <v>31</v>
      </c>
      <c r="I17" s="1545">
        <v>62</v>
      </c>
      <c r="J17" s="1545">
        <v>25</v>
      </c>
      <c r="K17" s="1545">
        <v>45</v>
      </c>
      <c r="L17" s="1545">
        <v>21</v>
      </c>
      <c r="M17" s="1545">
        <v>34</v>
      </c>
      <c r="N17" s="1545">
        <v>14</v>
      </c>
      <c r="O17" s="108">
        <v>21</v>
      </c>
      <c r="P17" s="1545">
        <v>22</v>
      </c>
      <c r="Q17" s="108">
        <v>35</v>
      </c>
      <c r="R17" s="1545">
        <v>21</v>
      </c>
      <c r="S17" s="108">
        <v>32</v>
      </c>
    </row>
    <row r="18" spans="1:19" x14ac:dyDescent="0.3">
      <c r="A18" s="272" t="s">
        <v>37</v>
      </c>
      <c r="B18" s="273" t="s">
        <v>38</v>
      </c>
      <c r="C18" s="313" t="s">
        <v>255</v>
      </c>
      <c r="D18" s="1600">
        <v>9</v>
      </c>
      <c r="E18" s="1600">
        <v>20</v>
      </c>
      <c r="F18" s="106">
        <v>6</v>
      </c>
      <c r="G18" s="106">
        <v>16</v>
      </c>
      <c r="H18" s="1545">
        <v>1</v>
      </c>
      <c r="I18" s="1545">
        <v>4</v>
      </c>
      <c r="J18" s="1545">
        <v>0</v>
      </c>
      <c r="K18" s="1545">
        <v>0</v>
      </c>
      <c r="L18" s="1545">
        <v>0</v>
      </c>
      <c r="M18" s="1545">
        <v>0</v>
      </c>
      <c r="N18" s="1545">
        <v>1</v>
      </c>
      <c r="O18" s="108">
        <v>1</v>
      </c>
      <c r="P18" s="1545">
        <v>1</v>
      </c>
      <c r="Q18" s="108">
        <v>3</v>
      </c>
      <c r="R18" s="1545">
        <v>1</v>
      </c>
      <c r="S18" s="108">
        <v>3</v>
      </c>
    </row>
    <row r="19" spans="1:19" x14ac:dyDescent="0.3">
      <c r="A19" s="272" t="s">
        <v>39</v>
      </c>
      <c r="B19" s="273" t="s">
        <v>40</v>
      </c>
      <c r="C19" s="313" t="s">
        <v>253</v>
      </c>
      <c r="D19" s="1600">
        <v>35</v>
      </c>
      <c r="E19" s="1600">
        <v>55</v>
      </c>
      <c r="F19" s="106">
        <v>28</v>
      </c>
      <c r="G19" s="106">
        <v>40</v>
      </c>
      <c r="H19" s="1545">
        <v>26</v>
      </c>
      <c r="I19" s="1545">
        <v>36</v>
      </c>
      <c r="J19" s="1545">
        <v>18</v>
      </c>
      <c r="K19" s="1545">
        <v>27</v>
      </c>
      <c r="L19" s="1545">
        <v>12</v>
      </c>
      <c r="M19" s="1545">
        <v>16</v>
      </c>
      <c r="N19" s="1545">
        <v>5</v>
      </c>
      <c r="O19" s="108">
        <v>6</v>
      </c>
      <c r="P19" s="1545">
        <v>8</v>
      </c>
      <c r="Q19" s="108">
        <v>8</v>
      </c>
      <c r="R19" s="1545">
        <v>8</v>
      </c>
      <c r="S19" s="108">
        <v>11</v>
      </c>
    </row>
    <row r="20" spans="1:19" x14ac:dyDescent="0.3">
      <c r="A20" s="272" t="s">
        <v>41</v>
      </c>
      <c r="B20" s="273" t="s">
        <v>42</v>
      </c>
      <c r="C20" s="313" t="s">
        <v>252</v>
      </c>
      <c r="D20" s="1600">
        <v>120</v>
      </c>
      <c r="E20" s="1600">
        <v>177</v>
      </c>
      <c r="F20" s="106">
        <v>174</v>
      </c>
      <c r="G20" s="106">
        <v>271</v>
      </c>
      <c r="H20" s="1545">
        <v>197</v>
      </c>
      <c r="I20" s="1545">
        <v>321</v>
      </c>
      <c r="J20" s="1545">
        <v>144</v>
      </c>
      <c r="K20" s="1545">
        <v>259</v>
      </c>
      <c r="L20" s="1545">
        <v>125</v>
      </c>
      <c r="M20" s="1545">
        <v>215</v>
      </c>
      <c r="N20" s="1545">
        <v>137</v>
      </c>
      <c r="O20" s="108">
        <v>231</v>
      </c>
      <c r="P20" s="1545">
        <v>143</v>
      </c>
      <c r="Q20" s="108">
        <v>254</v>
      </c>
      <c r="R20" s="1545">
        <v>151</v>
      </c>
      <c r="S20" s="108">
        <v>274</v>
      </c>
    </row>
    <row r="21" spans="1:19" x14ac:dyDescent="0.3">
      <c r="A21" s="272" t="s">
        <v>43</v>
      </c>
      <c r="B21" s="273" t="s">
        <v>44</v>
      </c>
      <c r="C21" s="313" t="s">
        <v>253</v>
      </c>
      <c r="D21" s="1600">
        <v>99</v>
      </c>
      <c r="E21" s="1600">
        <v>170</v>
      </c>
      <c r="F21" s="106">
        <v>97</v>
      </c>
      <c r="G21" s="106">
        <v>171</v>
      </c>
      <c r="H21" s="1545">
        <v>101</v>
      </c>
      <c r="I21" s="1545">
        <v>173</v>
      </c>
      <c r="J21" s="1545">
        <v>110</v>
      </c>
      <c r="K21" s="1545">
        <v>217</v>
      </c>
      <c r="L21" s="1545">
        <v>106</v>
      </c>
      <c r="M21" s="1545">
        <v>202</v>
      </c>
      <c r="N21" s="1545">
        <v>76</v>
      </c>
      <c r="O21" s="108">
        <v>139</v>
      </c>
      <c r="P21" s="1545">
        <v>80</v>
      </c>
      <c r="Q21" s="108">
        <v>153</v>
      </c>
      <c r="R21" s="1545">
        <v>75</v>
      </c>
      <c r="S21" s="108">
        <v>137</v>
      </c>
    </row>
    <row r="22" spans="1:19" x14ac:dyDescent="0.3">
      <c r="A22" s="272" t="s">
        <v>45</v>
      </c>
      <c r="B22" s="273" t="s">
        <v>46</v>
      </c>
      <c r="C22" s="313" t="s">
        <v>255</v>
      </c>
      <c r="D22" s="1600">
        <v>111</v>
      </c>
      <c r="E22" s="1600">
        <v>182</v>
      </c>
      <c r="F22" s="106">
        <v>113</v>
      </c>
      <c r="G22" s="106">
        <v>182</v>
      </c>
      <c r="H22" s="1545">
        <v>133</v>
      </c>
      <c r="I22" s="1545">
        <v>234</v>
      </c>
      <c r="J22" s="1545">
        <v>116</v>
      </c>
      <c r="K22" s="1545">
        <v>196</v>
      </c>
      <c r="L22" s="1545">
        <v>117</v>
      </c>
      <c r="M22" s="1545">
        <v>193</v>
      </c>
      <c r="N22" s="1545">
        <v>84</v>
      </c>
      <c r="O22" s="108">
        <v>151</v>
      </c>
      <c r="P22" s="1545">
        <v>69</v>
      </c>
      <c r="Q22" s="108">
        <v>121</v>
      </c>
      <c r="R22" s="1545">
        <v>83</v>
      </c>
      <c r="S22" s="108">
        <v>155</v>
      </c>
    </row>
    <row r="23" spans="1:19" x14ac:dyDescent="0.3">
      <c r="A23" s="272" t="s">
        <v>47</v>
      </c>
      <c r="B23" s="273" t="s">
        <v>256</v>
      </c>
      <c r="C23" s="313" t="s">
        <v>253</v>
      </c>
      <c r="D23" s="1600">
        <v>31</v>
      </c>
      <c r="E23" s="1600">
        <v>51</v>
      </c>
      <c r="F23" s="106">
        <v>30</v>
      </c>
      <c r="G23" s="106">
        <v>47</v>
      </c>
      <c r="H23" s="1545">
        <v>33</v>
      </c>
      <c r="I23" s="1545">
        <v>49</v>
      </c>
      <c r="J23" s="1545">
        <v>35</v>
      </c>
      <c r="K23" s="1545">
        <v>62</v>
      </c>
      <c r="L23" s="1545">
        <v>24</v>
      </c>
      <c r="M23" s="1545">
        <v>43</v>
      </c>
      <c r="N23" s="1545">
        <v>14</v>
      </c>
      <c r="O23" s="108">
        <v>26</v>
      </c>
      <c r="P23" s="1545">
        <v>16</v>
      </c>
      <c r="Q23" s="108">
        <v>30</v>
      </c>
      <c r="R23" s="1545">
        <v>16</v>
      </c>
      <c r="S23" s="108">
        <v>32</v>
      </c>
    </row>
    <row r="24" spans="1:19" x14ac:dyDescent="0.3">
      <c r="A24" s="272" t="s">
        <v>49</v>
      </c>
      <c r="B24" s="273" t="s">
        <v>50</v>
      </c>
      <c r="C24" s="313" t="s">
        <v>252</v>
      </c>
      <c r="D24" s="1600">
        <v>22</v>
      </c>
      <c r="E24" s="1600">
        <v>39</v>
      </c>
      <c r="F24" s="106">
        <v>15</v>
      </c>
      <c r="G24" s="106">
        <v>29</v>
      </c>
      <c r="H24" s="1545">
        <v>8</v>
      </c>
      <c r="I24" s="1545">
        <v>15</v>
      </c>
      <c r="J24" s="1545">
        <v>5</v>
      </c>
      <c r="K24" s="1545">
        <v>12</v>
      </c>
      <c r="L24" s="1545">
        <v>5</v>
      </c>
      <c r="M24" s="1545">
        <v>14</v>
      </c>
      <c r="N24" s="1545">
        <v>5</v>
      </c>
      <c r="O24" s="108">
        <v>12</v>
      </c>
      <c r="P24" s="1545">
        <v>6</v>
      </c>
      <c r="Q24" s="108">
        <v>12</v>
      </c>
      <c r="R24" s="1545">
        <v>7</v>
      </c>
      <c r="S24" s="108">
        <v>16</v>
      </c>
    </row>
    <row r="25" spans="1:19" x14ac:dyDescent="0.3">
      <c r="A25" s="272" t="s">
        <v>55</v>
      </c>
      <c r="B25" s="273" t="s">
        <v>271</v>
      </c>
      <c r="C25" s="313" t="s">
        <v>253</v>
      </c>
      <c r="D25" s="1600">
        <v>640</v>
      </c>
      <c r="E25" s="1600">
        <v>1152</v>
      </c>
      <c r="F25" s="106">
        <v>587</v>
      </c>
      <c r="G25" s="106">
        <v>1074</v>
      </c>
      <c r="H25" s="1545">
        <v>543</v>
      </c>
      <c r="I25" s="1545">
        <v>1009</v>
      </c>
      <c r="J25" s="1545">
        <v>547</v>
      </c>
      <c r="K25" s="1545">
        <v>1029</v>
      </c>
      <c r="L25" s="1545">
        <v>468</v>
      </c>
      <c r="M25" s="1545">
        <v>854</v>
      </c>
      <c r="N25" s="1545">
        <v>462</v>
      </c>
      <c r="O25" s="108">
        <v>805</v>
      </c>
      <c r="P25" s="1545">
        <v>432</v>
      </c>
      <c r="Q25" s="108">
        <v>785</v>
      </c>
      <c r="R25" s="1545">
        <v>509</v>
      </c>
      <c r="S25" s="108">
        <v>938</v>
      </c>
    </row>
    <row r="26" spans="1:19" x14ac:dyDescent="0.3">
      <c r="A26" s="272" t="s">
        <v>57</v>
      </c>
      <c r="B26" s="273" t="s">
        <v>58</v>
      </c>
      <c r="C26" s="313" t="s">
        <v>254</v>
      </c>
      <c r="D26" s="1600">
        <v>31</v>
      </c>
      <c r="E26" s="1600">
        <v>45</v>
      </c>
      <c r="F26" s="106">
        <v>29</v>
      </c>
      <c r="G26" s="106">
        <v>39</v>
      </c>
      <c r="H26" s="1545">
        <v>39</v>
      </c>
      <c r="I26" s="1545">
        <v>64</v>
      </c>
      <c r="J26" s="1545">
        <v>29</v>
      </c>
      <c r="K26" s="1545">
        <v>45</v>
      </c>
      <c r="L26" s="1545">
        <v>16</v>
      </c>
      <c r="M26" s="1545">
        <v>23</v>
      </c>
      <c r="N26" s="1545">
        <v>13</v>
      </c>
      <c r="O26" s="108">
        <v>17</v>
      </c>
      <c r="P26" s="1545">
        <v>16</v>
      </c>
      <c r="Q26" s="108">
        <v>22</v>
      </c>
      <c r="R26" s="1545">
        <v>14</v>
      </c>
      <c r="S26" s="108">
        <v>25</v>
      </c>
    </row>
    <row r="27" spans="1:19" x14ac:dyDescent="0.3">
      <c r="A27" s="272" t="s">
        <v>59</v>
      </c>
      <c r="B27" s="273" t="s">
        <v>60</v>
      </c>
      <c r="C27" s="313" t="s">
        <v>252</v>
      </c>
      <c r="D27" s="1600">
        <v>13</v>
      </c>
      <c r="E27" s="1600">
        <v>20</v>
      </c>
      <c r="F27" s="106">
        <v>16</v>
      </c>
      <c r="G27" s="106">
        <v>21</v>
      </c>
      <c r="H27" s="1545">
        <v>26</v>
      </c>
      <c r="I27" s="1545">
        <v>38</v>
      </c>
      <c r="J27" s="1545">
        <v>31</v>
      </c>
      <c r="K27" s="1545">
        <v>42</v>
      </c>
      <c r="L27" s="1545">
        <v>35</v>
      </c>
      <c r="M27" s="1545">
        <v>46</v>
      </c>
      <c r="N27" s="1545">
        <v>34</v>
      </c>
      <c r="O27" s="108">
        <v>53</v>
      </c>
      <c r="P27" s="1545">
        <v>46</v>
      </c>
      <c r="Q27" s="108">
        <v>72</v>
      </c>
      <c r="R27" s="1545">
        <v>33</v>
      </c>
      <c r="S27" s="108">
        <v>47</v>
      </c>
    </row>
    <row r="28" spans="1:19" x14ac:dyDescent="0.3">
      <c r="A28" s="272" t="s">
        <v>61</v>
      </c>
      <c r="B28" s="273" t="s">
        <v>62</v>
      </c>
      <c r="C28" s="313" t="s">
        <v>254</v>
      </c>
      <c r="D28" s="1600">
        <v>287</v>
      </c>
      <c r="E28" s="1600">
        <v>520</v>
      </c>
      <c r="F28" s="106">
        <v>294</v>
      </c>
      <c r="G28" s="106">
        <v>538</v>
      </c>
      <c r="H28" s="1545">
        <v>277</v>
      </c>
      <c r="I28" s="1545">
        <v>533</v>
      </c>
      <c r="J28" s="1545">
        <v>271</v>
      </c>
      <c r="K28" s="1545">
        <v>525</v>
      </c>
      <c r="L28" s="1545">
        <v>290</v>
      </c>
      <c r="M28" s="1545">
        <v>582</v>
      </c>
      <c r="N28" s="1545">
        <v>289</v>
      </c>
      <c r="O28" s="108">
        <v>558</v>
      </c>
      <c r="P28" s="1545">
        <v>313</v>
      </c>
      <c r="Q28" s="108">
        <v>596</v>
      </c>
      <c r="R28" s="1545">
        <v>315</v>
      </c>
      <c r="S28" s="108">
        <v>596</v>
      </c>
    </row>
    <row r="29" spans="1:19" x14ac:dyDescent="0.3">
      <c r="A29" s="272" t="s">
        <v>63</v>
      </c>
      <c r="B29" s="273" t="s">
        <v>64</v>
      </c>
      <c r="C29" s="313" t="s">
        <v>253</v>
      </c>
      <c r="D29" s="1600">
        <v>21</v>
      </c>
      <c r="E29" s="1600">
        <v>30</v>
      </c>
      <c r="F29" s="106">
        <v>24</v>
      </c>
      <c r="G29" s="106">
        <v>36</v>
      </c>
      <c r="H29" s="1545">
        <v>35</v>
      </c>
      <c r="I29" s="1545">
        <v>57</v>
      </c>
      <c r="J29" s="1545">
        <v>32</v>
      </c>
      <c r="K29" s="1545">
        <v>60</v>
      </c>
      <c r="L29" s="1545">
        <v>20</v>
      </c>
      <c r="M29" s="1545">
        <v>32</v>
      </c>
      <c r="N29" s="1545">
        <v>15</v>
      </c>
      <c r="O29" s="108">
        <v>26</v>
      </c>
      <c r="P29" s="1545">
        <v>17</v>
      </c>
      <c r="Q29" s="108">
        <v>30</v>
      </c>
      <c r="R29" s="1545">
        <v>13</v>
      </c>
      <c r="S29" s="108">
        <v>30</v>
      </c>
    </row>
    <row r="30" spans="1:19" x14ac:dyDescent="0.3">
      <c r="A30" s="272" t="s">
        <v>67</v>
      </c>
      <c r="B30" s="273" t="s">
        <v>68</v>
      </c>
      <c r="C30" s="313" t="s">
        <v>255</v>
      </c>
      <c r="D30" s="1600">
        <v>24</v>
      </c>
      <c r="E30" s="1600">
        <v>34</v>
      </c>
      <c r="F30" s="106">
        <v>21</v>
      </c>
      <c r="G30" s="106">
        <v>28</v>
      </c>
      <c r="H30" s="1545">
        <v>20</v>
      </c>
      <c r="I30" s="1545">
        <v>28</v>
      </c>
      <c r="J30" s="1545">
        <v>19</v>
      </c>
      <c r="K30" s="1545">
        <v>31</v>
      </c>
      <c r="L30" s="1545">
        <v>16</v>
      </c>
      <c r="M30" s="1545">
        <v>23</v>
      </c>
      <c r="N30" s="1545">
        <v>14</v>
      </c>
      <c r="O30" s="108">
        <v>21</v>
      </c>
      <c r="P30" s="1545">
        <v>12</v>
      </c>
      <c r="Q30" s="108">
        <v>19</v>
      </c>
      <c r="R30" s="1545">
        <v>9</v>
      </c>
      <c r="S30" s="108">
        <v>15</v>
      </c>
    </row>
    <row r="31" spans="1:19" x14ac:dyDescent="0.3">
      <c r="A31" s="272" t="s">
        <v>69</v>
      </c>
      <c r="B31" s="273" t="s">
        <v>70</v>
      </c>
      <c r="C31" s="313" t="s">
        <v>251</v>
      </c>
      <c r="D31" s="1600">
        <v>78</v>
      </c>
      <c r="E31" s="1600">
        <v>137</v>
      </c>
      <c r="F31" s="106">
        <v>75</v>
      </c>
      <c r="G31" s="106">
        <v>128</v>
      </c>
      <c r="H31" s="1545">
        <v>76</v>
      </c>
      <c r="I31" s="1545">
        <v>139</v>
      </c>
      <c r="J31" s="1545">
        <v>50</v>
      </c>
      <c r="K31" s="1545">
        <v>95</v>
      </c>
      <c r="L31" s="1545">
        <v>36</v>
      </c>
      <c r="M31" s="1545">
        <v>65</v>
      </c>
      <c r="N31" s="1545">
        <v>31</v>
      </c>
      <c r="O31" s="108">
        <v>59</v>
      </c>
      <c r="P31" s="1545">
        <v>31</v>
      </c>
      <c r="Q31" s="108">
        <v>62</v>
      </c>
      <c r="R31" s="1545">
        <v>43</v>
      </c>
      <c r="S31" s="108">
        <v>78</v>
      </c>
    </row>
    <row r="32" spans="1:19" x14ac:dyDescent="0.3">
      <c r="A32" s="272" t="s">
        <v>71</v>
      </c>
      <c r="B32" s="273" t="s">
        <v>72</v>
      </c>
      <c r="C32" s="313" t="s">
        <v>253</v>
      </c>
      <c r="D32" s="1600">
        <v>108</v>
      </c>
      <c r="E32" s="1600">
        <v>197</v>
      </c>
      <c r="F32" s="106">
        <v>110</v>
      </c>
      <c r="G32" s="106">
        <v>189</v>
      </c>
      <c r="H32" s="1545">
        <v>85</v>
      </c>
      <c r="I32" s="1545">
        <v>157</v>
      </c>
      <c r="J32" s="1545">
        <v>70</v>
      </c>
      <c r="K32" s="1545">
        <v>131</v>
      </c>
      <c r="L32" s="1545">
        <v>50</v>
      </c>
      <c r="M32" s="1545">
        <v>117</v>
      </c>
      <c r="N32" s="1545">
        <v>38</v>
      </c>
      <c r="O32" s="108">
        <v>87</v>
      </c>
      <c r="P32" s="1545">
        <v>34</v>
      </c>
      <c r="Q32" s="108">
        <v>78</v>
      </c>
      <c r="R32" s="1545">
        <v>44</v>
      </c>
      <c r="S32" s="108">
        <v>95</v>
      </c>
    </row>
    <row r="33" spans="1:19" x14ac:dyDescent="0.3">
      <c r="A33" s="272" t="s">
        <v>73</v>
      </c>
      <c r="B33" s="273" t="s">
        <v>272</v>
      </c>
      <c r="C33" s="313" t="s">
        <v>254</v>
      </c>
      <c r="D33" s="1600">
        <v>2283</v>
      </c>
      <c r="E33" s="1600">
        <v>3863</v>
      </c>
      <c r="F33" s="106">
        <v>2822</v>
      </c>
      <c r="G33" s="106">
        <v>4705</v>
      </c>
      <c r="H33" s="1545">
        <v>3116</v>
      </c>
      <c r="I33" s="1545">
        <v>5222</v>
      </c>
      <c r="J33" s="1545">
        <v>2595</v>
      </c>
      <c r="K33" s="1545">
        <v>4288</v>
      </c>
      <c r="L33" s="1545">
        <v>2364</v>
      </c>
      <c r="M33" s="1545">
        <v>3872</v>
      </c>
      <c r="N33" s="1545">
        <v>2010</v>
      </c>
      <c r="O33" s="108">
        <v>3467</v>
      </c>
      <c r="P33" s="1545">
        <v>1881</v>
      </c>
      <c r="Q33" s="108">
        <v>3228</v>
      </c>
      <c r="R33" s="1545">
        <v>1812</v>
      </c>
      <c r="S33" s="108">
        <v>3136</v>
      </c>
    </row>
    <row r="34" spans="1:19" x14ac:dyDescent="0.3">
      <c r="A34" s="272" t="s">
        <v>75</v>
      </c>
      <c r="B34" s="273" t="s">
        <v>76</v>
      </c>
      <c r="C34" s="313" t="s">
        <v>254</v>
      </c>
      <c r="D34" s="1600">
        <v>180</v>
      </c>
      <c r="E34" s="1600">
        <v>276</v>
      </c>
      <c r="F34" s="106">
        <v>195</v>
      </c>
      <c r="G34" s="106">
        <v>282</v>
      </c>
      <c r="H34" s="1545">
        <v>159</v>
      </c>
      <c r="I34" s="1545">
        <v>252</v>
      </c>
      <c r="J34" s="1545">
        <v>127</v>
      </c>
      <c r="K34" s="1545">
        <v>229</v>
      </c>
      <c r="L34" s="1545">
        <v>115</v>
      </c>
      <c r="M34" s="1545">
        <v>209</v>
      </c>
      <c r="N34" s="1545">
        <v>89</v>
      </c>
      <c r="O34" s="108">
        <v>160</v>
      </c>
      <c r="P34" s="1545">
        <v>78</v>
      </c>
      <c r="Q34" s="108">
        <v>134</v>
      </c>
      <c r="R34" s="1545">
        <v>92</v>
      </c>
      <c r="S34" s="108">
        <v>159</v>
      </c>
    </row>
    <row r="35" spans="1:19" x14ac:dyDescent="0.3">
      <c r="A35" s="272" t="s">
        <v>77</v>
      </c>
      <c r="B35" s="273" t="s">
        <v>78</v>
      </c>
      <c r="C35" s="313" t="s">
        <v>255</v>
      </c>
      <c r="D35" s="1600">
        <v>22</v>
      </c>
      <c r="E35" s="1600">
        <v>40</v>
      </c>
      <c r="F35" s="106">
        <v>17</v>
      </c>
      <c r="G35" s="106">
        <v>32</v>
      </c>
      <c r="H35" s="1545">
        <v>14</v>
      </c>
      <c r="I35" s="1545">
        <v>23</v>
      </c>
      <c r="J35" s="1545">
        <v>13</v>
      </c>
      <c r="K35" s="1545">
        <v>20</v>
      </c>
      <c r="L35" s="1545">
        <v>7</v>
      </c>
      <c r="M35" s="1545">
        <v>10</v>
      </c>
      <c r="N35" s="1545">
        <v>8</v>
      </c>
      <c r="O35" s="108">
        <v>10</v>
      </c>
      <c r="P35" s="1545">
        <v>14</v>
      </c>
      <c r="Q35" s="108">
        <v>17</v>
      </c>
      <c r="R35" s="1545">
        <v>20</v>
      </c>
      <c r="S35" s="108">
        <v>30</v>
      </c>
    </row>
    <row r="36" spans="1:19" x14ac:dyDescent="0.3">
      <c r="A36" s="272" t="s">
        <v>79</v>
      </c>
      <c r="B36" s="273" t="s">
        <v>80</v>
      </c>
      <c r="C36" s="313" t="s">
        <v>253</v>
      </c>
      <c r="D36" s="1600">
        <v>53</v>
      </c>
      <c r="E36" s="1600">
        <v>82</v>
      </c>
      <c r="F36" s="106">
        <v>60</v>
      </c>
      <c r="G36" s="106">
        <v>90</v>
      </c>
      <c r="H36" s="1545">
        <v>46</v>
      </c>
      <c r="I36" s="1545">
        <v>78</v>
      </c>
      <c r="J36" s="1545">
        <v>39</v>
      </c>
      <c r="K36" s="1545">
        <v>71</v>
      </c>
      <c r="L36" s="1545">
        <v>35</v>
      </c>
      <c r="M36" s="1545">
        <v>56</v>
      </c>
      <c r="N36" s="1545">
        <v>28</v>
      </c>
      <c r="O36" s="108">
        <v>41</v>
      </c>
      <c r="P36" s="1545">
        <v>28</v>
      </c>
      <c r="Q36" s="108">
        <v>44</v>
      </c>
      <c r="R36" s="1545">
        <v>26</v>
      </c>
      <c r="S36" s="108">
        <v>41</v>
      </c>
    </row>
    <row r="37" spans="1:19" x14ac:dyDescent="0.3">
      <c r="A37" s="272" t="s">
        <v>83</v>
      </c>
      <c r="B37" s="273" t="s">
        <v>84</v>
      </c>
      <c r="C37" s="313" t="s">
        <v>252</v>
      </c>
      <c r="D37" s="1600">
        <v>188</v>
      </c>
      <c r="E37" s="1600">
        <v>297</v>
      </c>
      <c r="F37" s="106">
        <v>163</v>
      </c>
      <c r="G37" s="106">
        <v>278</v>
      </c>
      <c r="H37" s="1545">
        <v>182</v>
      </c>
      <c r="I37" s="1545">
        <v>314</v>
      </c>
      <c r="J37" s="1545">
        <v>145</v>
      </c>
      <c r="K37" s="1545">
        <v>253</v>
      </c>
      <c r="L37" s="1545">
        <v>114</v>
      </c>
      <c r="M37" s="1545">
        <v>195</v>
      </c>
      <c r="N37" s="1545">
        <v>110</v>
      </c>
      <c r="O37" s="108">
        <v>205</v>
      </c>
      <c r="P37" s="1545">
        <v>94</v>
      </c>
      <c r="Q37" s="108">
        <v>177</v>
      </c>
      <c r="R37" s="1545">
        <v>121</v>
      </c>
      <c r="S37" s="108">
        <v>212</v>
      </c>
    </row>
    <row r="38" spans="1:19" x14ac:dyDescent="0.3">
      <c r="A38" s="272" t="s">
        <v>85</v>
      </c>
      <c r="B38" s="273" t="s">
        <v>86</v>
      </c>
      <c r="C38" s="313" t="s">
        <v>254</v>
      </c>
      <c r="D38" s="1600">
        <v>156</v>
      </c>
      <c r="E38" s="1600">
        <v>246</v>
      </c>
      <c r="F38" s="106">
        <v>172</v>
      </c>
      <c r="G38" s="106">
        <v>275</v>
      </c>
      <c r="H38" s="1545">
        <v>145</v>
      </c>
      <c r="I38" s="1545">
        <v>236</v>
      </c>
      <c r="J38" s="1545">
        <v>145</v>
      </c>
      <c r="K38" s="1545">
        <v>233</v>
      </c>
      <c r="L38" s="1545">
        <v>128</v>
      </c>
      <c r="M38" s="1545">
        <v>212</v>
      </c>
      <c r="N38" s="1545">
        <v>137</v>
      </c>
      <c r="O38" s="108">
        <v>235</v>
      </c>
      <c r="P38" s="1545">
        <v>123</v>
      </c>
      <c r="Q38" s="108">
        <v>196</v>
      </c>
      <c r="R38" s="1545">
        <v>123</v>
      </c>
      <c r="S38" s="108">
        <v>194</v>
      </c>
    </row>
    <row r="39" spans="1:19" x14ac:dyDescent="0.3">
      <c r="A39" s="272" t="s">
        <v>91</v>
      </c>
      <c r="B39" s="273" t="s">
        <v>92</v>
      </c>
      <c r="C39" s="313" t="s">
        <v>255</v>
      </c>
      <c r="D39" s="1600">
        <v>47</v>
      </c>
      <c r="E39" s="1600">
        <v>72</v>
      </c>
      <c r="F39" s="106">
        <v>47</v>
      </c>
      <c r="G39" s="106">
        <v>73</v>
      </c>
      <c r="H39" s="1545">
        <v>46</v>
      </c>
      <c r="I39" s="1545">
        <v>68</v>
      </c>
      <c r="J39" s="1545">
        <v>29</v>
      </c>
      <c r="K39" s="1545">
        <v>48</v>
      </c>
      <c r="L39" s="1545">
        <v>22</v>
      </c>
      <c r="M39" s="1545">
        <v>42</v>
      </c>
      <c r="N39" s="1545">
        <v>21</v>
      </c>
      <c r="O39" s="108">
        <v>42</v>
      </c>
      <c r="P39" s="1545">
        <v>39</v>
      </c>
      <c r="Q39" s="108">
        <v>69</v>
      </c>
      <c r="R39" s="1545">
        <v>42</v>
      </c>
      <c r="S39" s="108">
        <v>68</v>
      </c>
    </row>
    <row r="40" spans="1:19" x14ac:dyDescent="0.3">
      <c r="A40" s="272" t="s">
        <v>93</v>
      </c>
      <c r="B40" s="273" t="s">
        <v>94</v>
      </c>
      <c r="C40" s="313" t="s">
        <v>251</v>
      </c>
      <c r="D40" s="1600">
        <v>89</v>
      </c>
      <c r="E40" s="1600">
        <v>158</v>
      </c>
      <c r="F40" s="106">
        <v>106</v>
      </c>
      <c r="G40" s="106">
        <v>177</v>
      </c>
      <c r="H40" s="1545">
        <v>110</v>
      </c>
      <c r="I40" s="1545">
        <v>174</v>
      </c>
      <c r="J40" s="1545">
        <v>100</v>
      </c>
      <c r="K40" s="1545">
        <v>147</v>
      </c>
      <c r="L40" s="1545">
        <v>92</v>
      </c>
      <c r="M40" s="1545">
        <v>150</v>
      </c>
      <c r="N40" s="1545">
        <v>68</v>
      </c>
      <c r="O40" s="108">
        <v>118</v>
      </c>
      <c r="P40" s="1545">
        <v>59</v>
      </c>
      <c r="Q40" s="108">
        <v>104</v>
      </c>
      <c r="R40" s="1545">
        <v>64</v>
      </c>
      <c r="S40" s="108">
        <v>111</v>
      </c>
    </row>
    <row r="41" spans="1:19" x14ac:dyDescent="0.3">
      <c r="A41" s="272" t="s">
        <v>95</v>
      </c>
      <c r="B41" s="273" t="s">
        <v>96</v>
      </c>
      <c r="C41" s="313" t="s">
        <v>253</v>
      </c>
      <c r="D41" s="1600">
        <v>51</v>
      </c>
      <c r="E41" s="1600">
        <v>73</v>
      </c>
      <c r="F41" s="106">
        <v>48</v>
      </c>
      <c r="G41" s="106">
        <v>72</v>
      </c>
      <c r="H41" s="1545">
        <v>48</v>
      </c>
      <c r="I41" s="1545">
        <v>79</v>
      </c>
      <c r="J41" s="1545">
        <v>41</v>
      </c>
      <c r="K41" s="1545">
        <v>65</v>
      </c>
      <c r="L41" s="1545">
        <v>30</v>
      </c>
      <c r="M41" s="1545">
        <v>47</v>
      </c>
      <c r="N41" s="1545">
        <v>25</v>
      </c>
      <c r="O41" s="108">
        <v>40</v>
      </c>
      <c r="P41" s="1545">
        <v>21</v>
      </c>
      <c r="Q41" s="108">
        <v>37</v>
      </c>
      <c r="R41" s="1545">
        <v>17</v>
      </c>
      <c r="S41" s="108">
        <v>28</v>
      </c>
    </row>
    <row r="42" spans="1:19" x14ac:dyDescent="0.3">
      <c r="A42" s="272" t="s">
        <v>97</v>
      </c>
      <c r="B42" s="273" t="s">
        <v>98</v>
      </c>
      <c r="C42" s="313" t="s">
        <v>255</v>
      </c>
      <c r="D42" s="1600">
        <v>41</v>
      </c>
      <c r="E42" s="1600">
        <v>72</v>
      </c>
      <c r="F42" s="106">
        <v>18</v>
      </c>
      <c r="G42" s="106">
        <v>32</v>
      </c>
      <c r="H42" s="1545">
        <v>17</v>
      </c>
      <c r="I42" s="1545">
        <v>26</v>
      </c>
      <c r="J42" s="1545">
        <v>16</v>
      </c>
      <c r="K42" s="1545">
        <v>26</v>
      </c>
      <c r="L42" s="1545">
        <v>14</v>
      </c>
      <c r="M42" s="1545">
        <v>23</v>
      </c>
      <c r="N42" s="1545">
        <v>13</v>
      </c>
      <c r="O42" s="108">
        <v>23</v>
      </c>
      <c r="P42" s="1545">
        <v>10</v>
      </c>
      <c r="Q42" s="108">
        <v>16</v>
      </c>
      <c r="R42" s="1545">
        <v>12</v>
      </c>
      <c r="S42" s="108">
        <v>19</v>
      </c>
    </row>
    <row r="43" spans="1:19" x14ac:dyDescent="0.3">
      <c r="A43" s="272" t="s">
        <v>99</v>
      </c>
      <c r="B43" s="273" t="s">
        <v>100</v>
      </c>
      <c r="C43" s="313" t="s">
        <v>254</v>
      </c>
      <c r="D43" s="1600">
        <v>26</v>
      </c>
      <c r="E43" s="1600">
        <v>46</v>
      </c>
      <c r="F43" s="106">
        <v>30</v>
      </c>
      <c r="G43" s="106">
        <v>43</v>
      </c>
      <c r="H43" s="1545">
        <v>27</v>
      </c>
      <c r="I43" s="1545">
        <v>42</v>
      </c>
      <c r="J43" s="1545">
        <v>30</v>
      </c>
      <c r="K43" s="1545">
        <v>42</v>
      </c>
      <c r="L43" s="1545">
        <v>27</v>
      </c>
      <c r="M43" s="1545">
        <v>38</v>
      </c>
      <c r="N43" s="1545">
        <v>23</v>
      </c>
      <c r="O43" s="108">
        <v>31</v>
      </c>
      <c r="P43" s="1545">
        <v>17</v>
      </c>
      <c r="Q43" s="108">
        <v>23</v>
      </c>
      <c r="R43" s="1545">
        <v>20</v>
      </c>
      <c r="S43" s="108">
        <v>27</v>
      </c>
    </row>
    <row r="44" spans="1:19" x14ac:dyDescent="0.3">
      <c r="A44" s="272" t="s">
        <v>101</v>
      </c>
      <c r="B44" s="273" t="s">
        <v>263</v>
      </c>
      <c r="C44" s="313" t="s">
        <v>251</v>
      </c>
      <c r="D44" s="1600">
        <v>123</v>
      </c>
      <c r="E44" s="1600">
        <v>229</v>
      </c>
      <c r="F44" s="106">
        <v>108</v>
      </c>
      <c r="G44" s="106">
        <v>190</v>
      </c>
      <c r="H44" s="1545">
        <v>97</v>
      </c>
      <c r="I44" s="1545">
        <v>183</v>
      </c>
      <c r="J44" s="1545">
        <v>82</v>
      </c>
      <c r="K44" s="1545">
        <v>143</v>
      </c>
      <c r="L44" s="1545">
        <v>72</v>
      </c>
      <c r="M44" s="1545">
        <v>127</v>
      </c>
      <c r="N44" s="1545">
        <v>67</v>
      </c>
      <c r="O44" s="108">
        <v>118</v>
      </c>
      <c r="P44" s="1545">
        <v>51</v>
      </c>
      <c r="Q44" s="108">
        <v>90</v>
      </c>
      <c r="R44" s="1545">
        <v>54</v>
      </c>
      <c r="S44" s="108">
        <v>103</v>
      </c>
    </row>
    <row r="45" spans="1:19" x14ac:dyDescent="0.3">
      <c r="A45" s="272" t="s">
        <v>103</v>
      </c>
      <c r="B45" s="273" t="s">
        <v>104</v>
      </c>
      <c r="C45" s="313" t="s">
        <v>252</v>
      </c>
      <c r="D45" s="1600">
        <v>43</v>
      </c>
      <c r="E45" s="1600">
        <v>87</v>
      </c>
      <c r="F45" s="106">
        <v>40</v>
      </c>
      <c r="G45" s="106">
        <v>76</v>
      </c>
      <c r="H45" s="1545">
        <v>44</v>
      </c>
      <c r="I45" s="1545">
        <v>72</v>
      </c>
      <c r="J45" s="1545">
        <v>46</v>
      </c>
      <c r="K45" s="1545">
        <v>80</v>
      </c>
      <c r="L45" s="1545">
        <v>40</v>
      </c>
      <c r="M45" s="1545">
        <v>72</v>
      </c>
      <c r="N45" s="1545">
        <v>36</v>
      </c>
      <c r="O45" s="108">
        <v>72</v>
      </c>
      <c r="P45" s="1545">
        <v>35</v>
      </c>
      <c r="Q45" s="108">
        <v>70</v>
      </c>
      <c r="R45" s="1545">
        <v>34</v>
      </c>
      <c r="S45" s="108">
        <v>66</v>
      </c>
    </row>
    <row r="46" spans="1:19" x14ac:dyDescent="0.3">
      <c r="A46" s="272" t="s">
        <v>107</v>
      </c>
      <c r="B46" s="273" t="s">
        <v>108</v>
      </c>
      <c r="C46" s="313" t="s">
        <v>253</v>
      </c>
      <c r="D46" s="1600">
        <v>192</v>
      </c>
      <c r="E46" s="1600">
        <v>313</v>
      </c>
      <c r="F46" s="106">
        <v>177</v>
      </c>
      <c r="G46" s="106">
        <v>298</v>
      </c>
      <c r="H46" s="1545">
        <v>186</v>
      </c>
      <c r="I46" s="1545">
        <v>300</v>
      </c>
      <c r="J46" s="1545">
        <v>139</v>
      </c>
      <c r="K46" s="1545">
        <v>246</v>
      </c>
      <c r="L46" s="1545">
        <v>146</v>
      </c>
      <c r="M46" s="1545">
        <v>266</v>
      </c>
      <c r="N46" s="1545">
        <v>154</v>
      </c>
      <c r="O46" s="108">
        <v>256</v>
      </c>
      <c r="P46" s="1545">
        <v>169</v>
      </c>
      <c r="Q46" s="108">
        <v>294</v>
      </c>
      <c r="R46" s="1545">
        <v>175</v>
      </c>
      <c r="S46" s="108">
        <v>303</v>
      </c>
    </row>
    <row r="47" spans="1:19" x14ac:dyDescent="0.3">
      <c r="A47" s="272" t="s">
        <v>109</v>
      </c>
      <c r="B47" s="273" t="s">
        <v>110</v>
      </c>
      <c r="C47" s="313" t="s">
        <v>253</v>
      </c>
      <c r="D47" s="1600">
        <v>1298</v>
      </c>
      <c r="E47" s="1600">
        <v>2259</v>
      </c>
      <c r="F47" s="106">
        <v>1262</v>
      </c>
      <c r="G47" s="106">
        <v>2235</v>
      </c>
      <c r="H47" s="1545">
        <v>1161</v>
      </c>
      <c r="I47" s="1545">
        <v>2081</v>
      </c>
      <c r="J47" s="1545">
        <v>1070</v>
      </c>
      <c r="K47" s="1545">
        <v>1995</v>
      </c>
      <c r="L47" s="1545">
        <v>931</v>
      </c>
      <c r="M47" s="1545">
        <v>1759</v>
      </c>
      <c r="N47" s="1545">
        <v>920</v>
      </c>
      <c r="O47" s="108">
        <v>1678</v>
      </c>
      <c r="P47" s="1545">
        <v>984</v>
      </c>
      <c r="Q47" s="108">
        <v>1808</v>
      </c>
      <c r="R47" s="1545">
        <v>1000</v>
      </c>
      <c r="S47" s="108">
        <v>1865</v>
      </c>
    </row>
    <row r="48" spans="1:19" x14ac:dyDescent="0.3">
      <c r="A48" s="272" t="s">
        <v>111</v>
      </c>
      <c r="B48" s="273" t="s">
        <v>275</v>
      </c>
      <c r="C48" s="313" t="s">
        <v>252</v>
      </c>
      <c r="D48" s="1600">
        <v>334</v>
      </c>
      <c r="E48" s="1600">
        <v>509</v>
      </c>
      <c r="F48" s="106">
        <v>333</v>
      </c>
      <c r="G48" s="106">
        <v>551</v>
      </c>
      <c r="H48" s="1545">
        <v>340</v>
      </c>
      <c r="I48" s="1545">
        <v>541</v>
      </c>
      <c r="J48" s="1545">
        <v>248</v>
      </c>
      <c r="K48" s="1545">
        <v>401</v>
      </c>
      <c r="L48" s="1545">
        <v>183</v>
      </c>
      <c r="M48" s="1545">
        <v>298</v>
      </c>
      <c r="N48" s="1545">
        <v>165</v>
      </c>
      <c r="O48" s="108">
        <v>262</v>
      </c>
      <c r="P48" s="1545">
        <v>167</v>
      </c>
      <c r="Q48" s="108">
        <v>258</v>
      </c>
      <c r="R48" s="1545">
        <v>161</v>
      </c>
      <c r="S48" s="108">
        <v>253</v>
      </c>
    </row>
    <row r="49" spans="1:19" x14ac:dyDescent="0.3">
      <c r="A49" s="272" t="s">
        <v>113</v>
      </c>
      <c r="B49" s="273" t="s">
        <v>114</v>
      </c>
      <c r="C49" s="313" t="s">
        <v>252</v>
      </c>
      <c r="D49" s="1600">
        <v>0</v>
      </c>
      <c r="E49" s="1600">
        <v>0</v>
      </c>
      <c r="F49" s="106">
        <v>0</v>
      </c>
      <c r="G49" s="106">
        <v>0</v>
      </c>
      <c r="H49" s="1545">
        <v>0</v>
      </c>
      <c r="I49" s="1545">
        <v>0</v>
      </c>
      <c r="J49" s="1545">
        <v>0</v>
      </c>
      <c r="K49" s="1545">
        <v>0</v>
      </c>
      <c r="L49" s="1545">
        <v>0</v>
      </c>
      <c r="M49" s="1545">
        <v>0</v>
      </c>
      <c r="N49" s="1545">
        <v>0</v>
      </c>
      <c r="O49" s="108">
        <v>0</v>
      </c>
      <c r="P49" s="1545"/>
      <c r="Q49" s="108"/>
      <c r="R49" s="1545">
        <v>1</v>
      </c>
      <c r="S49" s="108">
        <v>2</v>
      </c>
    </row>
    <row r="50" spans="1:19" x14ac:dyDescent="0.3">
      <c r="A50" s="272" t="s">
        <v>117</v>
      </c>
      <c r="B50" s="273" t="s">
        <v>257</v>
      </c>
      <c r="C50" s="313" t="s">
        <v>251</v>
      </c>
      <c r="D50" s="1600">
        <v>82</v>
      </c>
      <c r="E50" s="1600">
        <v>125</v>
      </c>
      <c r="F50" s="106">
        <v>67</v>
      </c>
      <c r="G50" s="106">
        <v>98</v>
      </c>
      <c r="H50" s="1545">
        <v>53</v>
      </c>
      <c r="I50" s="1545">
        <v>75</v>
      </c>
      <c r="J50" s="1545">
        <v>35</v>
      </c>
      <c r="K50" s="1545">
        <v>57</v>
      </c>
      <c r="L50" s="1545">
        <v>32</v>
      </c>
      <c r="M50" s="1545">
        <v>47</v>
      </c>
      <c r="N50" s="1545">
        <v>25</v>
      </c>
      <c r="O50" s="108">
        <v>35</v>
      </c>
      <c r="P50" s="1545">
        <v>24</v>
      </c>
      <c r="Q50" s="108">
        <v>34</v>
      </c>
      <c r="R50" s="1545">
        <v>30</v>
      </c>
      <c r="S50" s="108">
        <v>45</v>
      </c>
    </row>
    <row r="51" spans="1:19" x14ac:dyDescent="0.3">
      <c r="A51" s="272" t="s">
        <v>119</v>
      </c>
      <c r="B51" s="273" t="s">
        <v>120</v>
      </c>
      <c r="C51" s="313" t="s">
        <v>251</v>
      </c>
      <c r="D51" s="1600">
        <v>227</v>
      </c>
      <c r="E51" s="1600">
        <v>362</v>
      </c>
      <c r="F51" s="106">
        <v>213</v>
      </c>
      <c r="G51" s="106">
        <v>359</v>
      </c>
      <c r="H51" s="1545">
        <v>214</v>
      </c>
      <c r="I51" s="1545">
        <v>338</v>
      </c>
      <c r="J51" s="1545">
        <v>163</v>
      </c>
      <c r="K51" s="1545">
        <v>254</v>
      </c>
      <c r="L51" s="1545">
        <v>120</v>
      </c>
      <c r="M51" s="1545">
        <v>185</v>
      </c>
      <c r="N51" s="1545">
        <v>104</v>
      </c>
      <c r="O51" s="108">
        <v>169</v>
      </c>
      <c r="P51" s="1545">
        <v>107</v>
      </c>
      <c r="Q51" s="108">
        <v>160</v>
      </c>
      <c r="R51" s="1545">
        <v>120</v>
      </c>
      <c r="S51" s="108">
        <v>186</v>
      </c>
    </row>
    <row r="52" spans="1:19" x14ac:dyDescent="0.3">
      <c r="A52" s="272" t="s">
        <v>121</v>
      </c>
      <c r="B52" s="273" t="s">
        <v>268</v>
      </c>
      <c r="C52" s="313" t="s">
        <v>253</v>
      </c>
      <c r="D52" s="1600">
        <v>14</v>
      </c>
      <c r="E52" s="1600">
        <v>20</v>
      </c>
      <c r="F52" s="106">
        <v>24</v>
      </c>
      <c r="G52" s="106">
        <v>35</v>
      </c>
      <c r="H52" s="1545">
        <v>32</v>
      </c>
      <c r="I52" s="1545">
        <v>51</v>
      </c>
      <c r="J52" s="1545">
        <v>14</v>
      </c>
      <c r="K52" s="1545">
        <v>25</v>
      </c>
      <c r="L52" s="1545">
        <v>16</v>
      </c>
      <c r="M52" s="1545">
        <v>22</v>
      </c>
      <c r="N52" s="1545">
        <v>19</v>
      </c>
      <c r="O52" s="108">
        <v>34</v>
      </c>
      <c r="P52" s="1545">
        <v>22</v>
      </c>
      <c r="Q52" s="108">
        <v>47</v>
      </c>
      <c r="R52" s="1545">
        <v>18</v>
      </c>
      <c r="S52" s="108">
        <v>38</v>
      </c>
    </row>
    <row r="53" spans="1:19" x14ac:dyDescent="0.3">
      <c r="A53" s="272" t="s">
        <v>123</v>
      </c>
      <c r="B53" s="273" t="s">
        <v>124</v>
      </c>
      <c r="C53" s="313" t="s">
        <v>254</v>
      </c>
      <c r="D53" s="1600">
        <v>84</v>
      </c>
      <c r="E53" s="1600">
        <v>154</v>
      </c>
      <c r="F53" s="106">
        <v>94</v>
      </c>
      <c r="G53" s="106">
        <v>176</v>
      </c>
      <c r="H53" s="1545">
        <v>89</v>
      </c>
      <c r="I53" s="1545">
        <v>171</v>
      </c>
      <c r="J53" s="1545">
        <v>72</v>
      </c>
      <c r="K53" s="1545">
        <v>141</v>
      </c>
      <c r="L53" s="1545">
        <v>71</v>
      </c>
      <c r="M53" s="1545">
        <v>147</v>
      </c>
      <c r="N53" s="1545">
        <v>63</v>
      </c>
      <c r="O53" s="108">
        <v>132</v>
      </c>
      <c r="P53" s="1545">
        <v>69</v>
      </c>
      <c r="Q53" s="108">
        <v>127</v>
      </c>
      <c r="R53" s="1545">
        <v>72</v>
      </c>
      <c r="S53" s="108">
        <v>123</v>
      </c>
    </row>
    <row r="54" spans="1:19" x14ac:dyDescent="0.3">
      <c r="A54" s="272" t="s">
        <v>125</v>
      </c>
      <c r="B54" s="273" t="s">
        <v>126</v>
      </c>
      <c r="C54" s="313" t="s">
        <v>253</v>
      </c>
      <c r="D54" s="1600">
        <v>67</v>
      </c>
      <c r="E54" s="1600">
        <v>126</v>
      </c>
      <c r="F54" s="106">
        <v>72</v>
      </c>
      <c r="G54" s="106">
        <v>138</v>
      </c>
      <c r="H54" s="1545">
        <v>73</v>
      </c>
      <c r="I54" s="1545">
        <v>132</v>
      </c>
      <c r="J54" s="1545">
        <v>60</v>
      </c>
      <c r="K54" s="1545">
        <v>102</v>
      </c>
      <c r="L54" s="1545">
        <v>47</v>
      </c>
      <c r="M54" s="1545">
        <v>81</v>
      </c>
      <c r="N54" s="1545">
        <v>30</v>
      </c>
      <c r="O54" s="108">
        <v>52</v>
      </c>
      <c r="P54" s="1545">
        <v>36</v>
      </c>
      <c r="Q54" s="108">
        <v>54</v>
      </c>
      <c r="R54" s="1545">
        <v>36</v>
      </c>
      <c r="S54" s="108">
        <v>55</v>
      </c>
    </row>
    <row r="55" spans="1:19" x14ac:dyDescent="0.3">
      <c r="A55" s="272" t="s">
        <v>127</v>
      </c>
      <c r="B55" s="273" t="s">
        <v>128</v>
      </c>
      <c r="C55" s="313" t="s">
        <v>253</v>
      </c>
      <c r="D55" s="1600">
        <v>17</v>
      </c>
      <c r="E55" s="1600">
        <v>35</v>
      </c>
      <c r="F55" s="106">
        <v>20</v>
      </c>
      <c r="G55" s="106">
        <v>33</v>
      </c>
      <c r="H55" s="1545">
        <v>23</v>
      </c>
      <c r="I55" s="1545">
        <v>41</v>
      </c>
      <c r="J55" s="1545">
        <v>20</v>
      </c>
      <c r="K55" s="1545">
        <v>42</v>
      </c>
      <c r="L55" s="1545">
        <v>12</v>
      </c>
      <c r="M55" s="1545">
        <v>21</v>
      </c>
      <c r="N55" s="1545">
        <v>12</v>
      </c>
      <c r="O55" s="108">
        <v>21</v>
      </c>
      <c r="P55" s="1545">
        <v>9</v>
      </c>
      <c r="Q55" s="108">
        <v>17</v>
      </c>
      <c r="R55" s="1545">
        <v>6</v>
      </c>
      <c r="S55" s="108">
        <v>7</v>
      </c>
    </row>
    <row r="56" spans="1:19" x14ac:dyDescent="0.3">
      <c r="A56" s="272" t="s">
        <v>129</v>
      </c>
      <c r="B56" s="273" t="s">
        <v>130</v>
      </c>
      <c r="C56" s="313" t="s">
        <v>255</v>
      </c>
      <c r="D56" s="1600">
        <v>36</v>
      </c>
      <c r="E56" s="1600">
        <v>57</v>
      </c>
      <c r="F56" s="106">
        <v>31</v>
      </c>
      <c r="G56" s="106">
        <v>46</v>
      </c>
      <c r="H56" s="1545">
        <v>31</v>
      </c>
      <c r="I56" s="1545">
        <v>53</v>
      </c>
      <c r="J56" s="1545">
        <v>16</v>
      </c>
      <c r="K56" s="1545">
        <v>24</v>
      </c>
      <c r="L56" s="1545">
        <v>13</v>
      </c>
      <c r="M56" s="1545">
        <v>22</v>
      </c>
      <c r="N56" s="1545">
        <v>15</v>
      </c>
      <c r="O56" s="108">
        <v>24</v>
      </c>
      <c r="P56" s="1545">
        <v>10</v>
      </c>
      <c r="Q56" s="108">
        <v>15</v>
      </c>
      <c r="R56" s="1545">
        <v>10</v>
      </c>
      <c r="S56" s="108">
        <v>16</v>
      </c>
    </row>
    <row r="57" spans="1:19" x14ac:dyDescent="0.3">
      <c r="A57" s="272" t="s">
        <v>131</v>
      </c>
      <c r="B57" s="273" t="s">
        <v>132</v>
      </c>
      <c r="C57" s="313" t="s">
        <v>254</v>
      </c>
      <c r="D57" s="1600">
        <v>433</v>
      </c>
      <c r="E57" s="1600">
        <v>749</v>
      </c>
      <c r="F57" s="106">
        <v>423</v>
      </c>
      <c r="G57" s="106">
        <v>752</v>
      </c>
      <c r="H57" s="1545">
        <v>385</v>
      </c>
      <c r="I57" s="1545">
        <v>691</v>
      </c>
      <c r="J57" s="1545">
        <v>361</v>
      </c>
      <c r="K57" s="1545">
        <v>664</v>
      </c>
      <c r="L57" s="1545">
        <v>342</v>
      </c>
      <c r="M57" s="1545">
        <v>631</v>
      </c>
      <c r="N57" s="1545">
        <v>297</v>
      </c>
      <c r="O57" s="108">
        <v>541</v>
      </c>
      <c r="P57" s="1545">
        <v>282</v>
      </c>
      <c r="Q57" s="108">
        <v>523</v>
      </c>
      <c r="R57" s="1545">
        <v>317</v>
      </c>
      <c r="S57" s="108">
        <v>593</v>
      </c>
    </row>
    <row r="58" spans="1:19" x14ac:dyDescent="0.3">
      <c r="A58" s="272" t="s">
        <v>133</v>
      </c>
      <c r="B58" s="273" t="s">
        <v>134</v>
      </c>
      <c r="C58" s="313" t="s">
        <v>254</v>
      </c>
      <c r="D58" s="1600">
        <v>58</v>
      </c>
      <c r="E58" s="1600">
        <v>100</v>
      </c>
      <c r="F58" s="106">
        <v>56</v>
      </c>
      <c r="G58" s="106">
        <v>95</v>
      </c>
      <c r="H58" s="1545">
        <v>59</v>
      </c>
      <c r="I58" s="1545">
        <v>91</v>
      </c>
      <c r="J58" s="1545">
        <v>45</v>
      </c>
      <c r="K58" s="1545">
        <v>78</v>
      </c>
      <c r="L58" s="1545">
        <v>34</v>
      </c>
      <c r="M58" s="1545">
        <v>59</v>
      </c>
      <c r="N58" s="1545">
        <v>23</v>
      </c>
      <c r="O58" s="108">
        <v>37</v>
      </c>
      <c r="P58" s="1545">
        <v>20</v>
      </c>
      <c r="Q58" s="108">
        <v>36</v>
      </c>
      <c r="R58" s="1545">
        <v>24</v>
      </c>
      <c r="S58" s="108">
        <v>34</v>
      </c>
    </row>
    <row r="59" spans="1:19" x14ac:dyDescent="0.3">
      <c r="A59" s="272" t="s">
        <v>135</v>
      </c>
      <c r="B59" s="273" t="s">
        <v>136</v>
      </c>
      <c r="C59" s="313" t="s">
        <v>253</v>
      </c>
      <c r="D59" s="1600">
        <v>13</v>
      </c>
      <c r="E59" s="1600">
        <v>19</v>
      </c>
      <c r="F59" s="106">
        <v>10</v>
      </c>
      <c r="G59" s="106">
        <v>15</v>
      </c>
      <c r="H59" s="1545">
        <v>12</v>
      </c>
      <c r="I59" s="1545">
        <v>26</v>
      </c>
      <c r="J59" s="1545">
        <v>9</v>
      </c>
      <c r="K59" s="1545">
        <v>19</v>
      </c>
      <c r="L59" s="1545">
        <v>5</v>
      </c>
      <c r="M59" s="1545">
        <v>9</v>
      </c>
      <c r="N59" s="1545">
        <v>3</v>
      </c>
      <c r="O59" s="108">
        <v>4</v>
      </c>
      <c r="P59" s="1545">
        <v>3</v>
      </c>
      <c r="Q59" s="108">
        <v>5</v>
      </c>
      <c r="R59" s="1545">
        <v>2</v>
      </c>
      <c r="S59" s="108">
        <v>3</v>
      </c>
    </row>
    <row r="60" spans="1:19" x14ac:dyDescent="0.3">
      <c r="A60" s="272" t="s">
        <v>139</v>
      </c>
      <c r="B60" s="273" t="s">
        <v>140</v>
      </c>
      <c r="C60" s="313" t="s">
        <v>254</v>
      </c>
      <c r="D60" s="1600">
        <v>13</v>
      </c>
      <c r="E60" s="1600">
        <v>18</v>
      </c>
      <c r="F60" s="106">
        <v>8</v>
      </c>
      <c r="G60" s="106">
        <v>8</v>
      </c>
      <c r="H60" s="1545">
        <v>14</v>
      </c>
      <c r="I60" s="1545">
        <v>25</v>
      </c>
      <c r="J60" s="1545">
        <v>20</v>
      </c>
      <c r="K60" s="1545">
        <v>36</v>
      </c>
      <c r="L60" s="1545">
        <v>10</v>
      </c>
      <c r="M60" s="1545">
        <v>20</v>
      </c>
      <c r="N60" s="1545">
        <v>14</v>
      </c>
      <c r="O60" s="108">
        <v>24</v>
      </c>
      <c r="P60" s="1545">
        <v>13</v>
      </c>
      <c r="Q60" s="108">
        <v>24</v>
      </c>
      <c r="R60" s="1545">
        <v>11</v>
      </c>
      <c r="S60" s="108">
        <v>17</v>
      </c>
    </row>
    <row r="61" spans="1:19" x14ac:dyDescent="0.3">
      <c r="A61" s="272" t="s">
        <v>145</v>
      </c>
      <c r="B61" s="273" t="s">
        <v>146</v>
      </c>
      <c r="C61" s="313" t="s">
        <v>251</v>
      </c>
      <c r="D61" s="1600">
        <v>22</v>
      </c>
      <c r="E61" s="1600">
        <v>36</v>
      </c>
      <c r="F61" s="106">
        <v>25</v>
      </c>
      <c r="G61" s="106">
        <v>34</v>
      </c>
      <c r="H61" s="1545">
        <v>23</v>
      </c>
      <c r="I61" s="1545">
        <v>34</v>
      </c>
      <c r="J61" s="1545">
        <v>18</v>
      </c>
      <c r="K61" s="1545">
        <v>27</v>
      </c>
      <c r="L61" s="1545">
        <v>11</v>
      </c>
      <c r="M61" s="1545">
        <v>15</v>
      </c>
      <c r="N61" s="1545">
        <v>10</v>
      </c>
      <c r="O61" s="108">
        <v>14</v>
      </c>
      <c r="P61" s="1545">
        <v>11</v>
      </c>
      <c r="Q61" s="108">
        <v>18</v>
      </c>
      <c r="R61" s="1545">
        <v>9</v>
      </c>
      <c r="S61" s="108">
        <v>16</v>
      </c>
    </row>
    <row r="62" spans="1:19" x14ac:dyDescent="0.3">
      <c r="A62" s="272" t="s">
        <v>147</v>
      </c>
      <c r="B62" s="273" t="s">
        <v>148</v>
      </c>
      <c r="C62" s="313" t="s">
        <v>252</v>
      </c>
      <c r="D62" s="1600">
        <v>63</v>
      </c>
      <c r="E62" s="1600">
        <v>104</v>
      </c>
      <c r="F62" s="106">
        <v>65</v>
      </c>
      <c r="G62" s="106">
        <v>106</v>
      </c>
      <c r="H62" s="1545">
        <v>68</v>
      </c>
      <c r="I62" s="1545">
        <v>112</v>
      </c>
      <c r="J62" s="1545">
        <v>53</v>
      </c>
      <c r="K62" s="1545">
        <v>88</v>
      </c>
      <c r="L62" s="1545">
        <v>42</v>
      </c>
      <c r="M62" s="1545">
        <v>69</v>
      </c>
      <c r="N62" s="1545">
        <v>28</v>
      </c>
      <c r="O62" s="108">
        <v>51</v>
      </c>
      <c r="P62" s="1545">
        <v>26</v>
      </c>
      <c r="Q62" s="108">
        <v>44</v>
      </c>
      <c r="R62" s="1545">
        <v>32</v>
      </c>
      <c r="S62" s="108">
        <v>54</v>
      </c>
    </row>
    <row r="63" spans="1:19" x14ac:dyDescent="0.3">
      <c r="A63" s="272" t="s">
        <v>149</v>
      </c>
      <c r="B63" s="273" t="s">
        <v>150</v>
      </c>
      <c r="C63" s="313" t="s">
        <v>253</v>
      </c>
      <c r="D63" s="1600">
        <v>40</v>
      </c>
      <c r="E63" s="1600">
        <v>68</v>
      </c>
      <c r="F63" s="106">
        <v>52</v>
      </c>
      <c r="G63" s="106">
        <v>87</v>
      </c>
      <c r="H63" s="1545">
        <v>57</v>
      </c>
      <c r="I63" s="1545">
        <v>95</v>
      </c>
      <c r="J63" s="1545">
        <v>58</v>
      </c>
      <c r="K63" s="1545">
        <v>102</v>
      </c>
      <c r="L63" s="1545">
        <v>47</v>
      </c>
      <c r="M63" s="1545">
        <v>84</v>
      </c>
      <c r="N63" s="1545">
        <v>29</v>
      </c>
      <c r="O63" s="108">
        <v>58</v>
      </c>
      <c r="P63" s="1545">
        <v>27</v>
      </c>
      <c r="Q63" s="108">
        <v>54</v>
      </c>
      <c r="R63" s="1545">
        <v>38</v>
      </c>
      <c r="S63" s="108">
        <v>69</v>
      </c>
    </row>
    <row r="64" spans="1:19" x14ac:dyDescent="0.3">
      <c r="A64" s="272" t="s">
        <v>151</v>
      </c>
      <c r="B64" s="273" t="s">
        <v>152</v>
      </c>
      <c r="C64" s="313" t="s">
        <v>255</v>
      </c>
      <c r="D64" s="1600">
        <v>302</v>
      </c>
      <c r="E64" s="1600">
        <v>493</v>
      </c>
      <c r="F64" s="106">
        <v>276</v>
      </c>
      <c r="G64" s="106">
        <v>452</v>
      </c>
      <c r="H64" s="1545">
        <v>238</v>
      </c>
      <c r="I64" s="1545">
        <v>386</v>
      </c>
      <c r="J64" s="1545">
        <v>211</v>
      </c>
      <c r="K64" s="1545">
        <v>342</v>
      </c>
      <c r="L64" s="1545">
        <v>198</v>
      </c>
      <c r="M64" s="1545">
        <v>308</v>
      </c>
      <c r="N64" s="1545">
        <v>166</v>
      </c>
      <c r="O64" s="108">
        <v>285</v>
      </c>
      <c r="P64" s="1545">
        <v>181</v>
      </c>
      <c r="Q64" s="108">
        <v>315</v>
      </c>
      <c r="R64" s="1545">
        <v>207</v>
      </c>
      <c r="S64" s="108">
        <v>371</v>
      </c>
    </row>
    <row r="65" spans="1:19" x14ac:dyDescent="0.3">
      <c r="A65" s="272" t="s">
        <v>153</v>
      </c>
      <c r="B65" s="273" t="s">
        <v>154</v>
      </c>
      <c r="C65" s="313" t="s">
        <v>252</v>
      </c>
      <c r="D65" s="1600">
        <v>20</v>
      </c>
      <c r="E65" s="1600">
        <v>39</v>
      </c>
      <c r="F65" s="106">
        <v>21</v>
      </c>
      <c r="G65" s="106">
        <v>35</v>
      </c>
      <c r="H65" s="1545">
        <v>25</v>
      </c>
      <c r="I65" s="1545">
        <v>35</v>
      </c>
      <c r="J65" s="1545">
        <v>21</v>
      </c>
      <c r="K65" s="1545">
        <v>27</v>
      </c>
      <c r="L65" s="1545">
        <v>17</v>
      </c>
      <c r="M65" s="1545">
        <v>26</v>
      </c>
      <c r="N65" s="1545">
        <v>12</v>
      </c>
      <c r="O65" s="108">
        <v>18</v>
      </c>
      <c r="P65" s="1545">
        <v>16</v>
      </c>
      <c r="Q65" s="108">
        <v>21</v>
      </c>
      <c r="R65" s="1545">
        <v>10</v>
      </c>
      <c r="S65" s="108">
        <v>16</v>
      </c>
    </row>
    <row r="66" spans="1:19" x14ac:dyDescent="0.3">
      <c r="A66" s="272" t="s">
        <v>155</v>
      </c>
      <c r="B66" s="273" t="s">
        <v>156</v>
      </c>
      <c r="C66" s="313" t="s">
        <v>253</v>
      </c>
      <c r="D66" s="1600">
        <v>49</v>
      </c>
      <c r="E66" s="1600">
        <v>62</v>
      </c>
      <c r="F66" s="106">
        <v>45</v>
      </c>
      <c r="G66" s="106">
        <v>61</v>
      </c>
      <c r="H66" s="1545">
        <v>51</v>
      </c>
      <c r="I66" s="1545">
        <v>74</v>
      </c>
      <c r="J66" s="1545">
        <v>52</v>
      </c>
      <c r="K66" s="1545">
        <v>84</v>
      </c>
      <c r="L66" s="1545">
        <v>37</v>
      </c>
      <c r="M66" s="1545">
        <v>60</v>
      </c>
      <c r="N66" s="1545">
        <v>28</v>
      </c>
      <c r="O66" s="108">
        <v>44</v>
      </c>
      <c r="P66" s="1545">
        <v>29</v>
      </c>
      <c r="Q66" s="108">
        <v>50</v>
      </c>
      <c r="R66" s="1545">
        <v>29</v>
      </c>
      <c r="S66" s="108">
        <v>48</v>
      </c>
    </row>
    <row r="67" spans="1:19" x14ac:dyDescent="0.3">
      <c r="A67" s="272" t="s">
        <v>161</v>
      </c>
      <c r="B67" s="273" t="s">
        <v>162</v>
      </c>
      <c r="C67" s="313" t="s">
        <v>251</v>
      </c>
      <c r="D67" s="1600">
        <v>80</v>
      </c>
      <c r="E67" s="1600">
        <v>141</v>
      </c>
      <c r="F67" s="106">
        <v>88</v>
      </c>
      <c r="G67" s="106">
        <v>139</v>
      </c>
      <c r="H67" s="1545">
        <v>89</v>
      </c>
      <c r="I67" s="1545">
        <v>145</v>
      </c>
      <c r="J67" s="1545">
        <v>95</v>
      </c>
      <c r="K67" s="1545">
        <v>152</v>
      </c>
      <c r="L67" s="1545">
        <v>67</v>
      </c>
      <c r="M67" s="1545">
        <v>118</v>
      </c>
      <c r="N67" s="1545">
        <v>31</v>
      </c>
      <c r="O67" s="108">
        <v>70</v>
      </c>
      <c r="P67" s="1545">
        <v>29</v>
      </c>
      <c r="Q67" s="108">
        <v>51</v>
      </c>
      <c r="R67" s="1545">
        <v>28</v>
      </c>
      <c r="S67" s="108">
        <v>55</v>
      </c>
    </row>
    <row r="68" spans="1:19" x14ac:dyDescent="0.3">
      <c r="A68" s="272" t="s">
        <v>163</v>
      </c>
      <c r="B68" s="273" t="s">
        <v>164</v>
      </c>
      <c r="C68" s="313" t="s">
        <v>253</v>
      </c>
      <c r="D68" s="1600">
        <v>25</v>
      </c>
      <c r="E68" s="1600">
        <v>38</v>
      </c>
      <c r="F68" s="106">
        <v>26</v>
      </c>
      <c r="G68" s="106">
        <v>47</v>
      </c>
      <c r="H68" s="1545">
        <v>15</v>
      </c>
      <c r="I68" s="1545">
        <v>34</v>
      </c>
      <c r="J68" s="1545">
        <v>9</v>
      </c>
      <c r="K68" s="1545">
        <v>24</v>
      </c>
      <c r="L68" s="1545">
        <v>8</v>
      </c>
      <c r="M68" s="1545">
        <v>21</v>
      </c>
      <c r="N68" s="1545">
        <v>8</v>
      </c>
      <c r="O68" s="108">
        <v>16</v>
      </c>
      <c r="P68" s="1545">
        <v>8</v>
      </c>
      <c r="Q68" s="108">
        <v>17</v>
      </c>
      <c r="R68" s="1545">
        <v>9</v>
      </c>
      <c r="S68" s="108">
        <v>19</v>
      </c>
    </row>
    <row r="69" spans="1:19" x14ac:dyDescent="0.3">
      <c r="A69" s="272" t="s">
        <v>167</v>
      </c>
      <c r="B69" s="273" t="s">
        <v>168</v>
      </c>
      <c r="C69" s="313" t="s">
        <v>253</v>
      </c>
      <c r="D69" s="1600">
        <v>59</v>
      </c>
      <c r="E69" s="1600">
        <v>87</v>
      </c>
      <c r="F69" s="106">
        <v>53</v>
      </c>
      <c r="G69" s="106">
        <v>77</v>
      </c>
      <c r="H69" s="1545">
        <v>49</v>
      </c>
      <c r="I69" s="1545">
        <v>74</v>
      </c>
      <c r="J69" s="1545">
        <v>37</v>
      </c>
      <c r="K69" s="1545">
        <v>60</v>
      </c>
      <c r="L69" s="1545">
        <v>27</v>
      </c>
      <c r="M69" s="1545">
        <v>45</v>
      </c>
      <c r="N69" s="1545">
        <v>23</v>
      </c>
      <c r="O69" s="108">
        <v>45</v>
      </c>
      <c r="P69" s="1545">
        <v>16</v>
      </c>
      <c r="Q69" s="108">
        <v>30</v>
      </c>
      <c r="R69" s="1545">
        <v>9</v>
      </c>
      <c r="S69" s="108">
        <v>15</v>
      </c>
    </row>
    <row r="70" spans="1:19" x14ac:dyDescent="0.3">
      <c r="A70" s="272" t="s">
        <v>169</v>
      </c>
      <c r="B70" s="273" t="s">
        <v>170</v>
      </c>
      <c r="C70" s="313" t="s">
        <v>254</v>
      </c>
      <c r="D70" s="1600">
        <v>106</v>
      </c>
      <c r="E70" s="1600">
        <v>160</v>
      </c>
      <c r="F70" s="106">
        <v>108</v>
      </c>
      <c r="G70" s="106">
        <v>177</v>
      </c>
      <c r="H70" s="1545">
        <v>98</v>
      </c>
      <c r="I70" s="1545">
        <v>170</v>
      </c>
      <c r="J70" s="1545">
        <v>92</v>
      </c>
      <c r="K70" s="1545">
        <v>155</v>
      </c>
      <c r="L70" s="1545">
        <v>90</v>
      </c>
      <c r="M70" s="1545">
        <v>154</v>
      </c>
      <c r="N70" s="1545">
        <v>77</v>
      </c>
      <c r="O70" s="108">
        <v>136</v>
      </c>
      <c r="P70" s="1545">
        <v>76</v>
      </c>
      <c r="Q70" s="108">
        <v>128</v>
      </c>
      <c r="R70" s="1545">
        <v>70</v>
      </c>
      <c r="S70" s="108">
        <v>120</v>
      </c>
    </row>
    <row r="71" spans="1:19" x14ac:dyDescent="0.3">
      <c r="A71" s="272" t="s">
        <v>171</v>
      </c>
      <c r="B71" s="273" t="s">
        <v>172</v>
      </c>
      <c r="C71" s="313" t="s">
        <v>254</v>
      </c>
      <c r="D71" s="1600">
        <v>39</v>
      </c>
      <c r="E71" s="1600">
        <v>68</v>
      </c>
      <c r="F71" s="106">
        <v>42</v>
      </c>
      <c r="G71" s="106">
        <v>70</v>
      </c>
      <c r="H71" s="1545">
        <v>39</v>
      </c>
      <c r="I71" s="1545">
        <v>61</v>
      </c>
      <c r="J71" s="1545">
        <v>21</v>
      </c>
      <c r="K71" s="1545">
        <v>34</v>
      </c>
      <c r="L71" s="1545">
        <v>17</v>
      </c>
      <c r="M71" s="1545">
        <v>31</v>
      </c>
      <c r="N71" s="1545">
        <v>15</v>
      </c>
      <c r="O71" s="108">
        <v>29</v>
      </c>
      <c r="P71" s="1545">
        <v>11</v>
      </c>
      <c r="Q71" s="108">
        <v>19</v>
      </c>
      <c r="R71" s="1545">
        <v>9</v>
      </c>
      <c r="S71" s="108">
        <v>19</v>
      </c>
    </row>
    <row r="72" spans="1:19" x14ac:dyDescent="0.3">
      <c r="A72" s="272" t="s">
        <v>173</v>
      </c>
      <c r="B72" s="273" t="s">
        <v>174</v>
      </c>
      <c r="C72" s="313" t="s">
        <v>255</v>
      </c>
      <c r="D72" s="1600">
        <v>49</v>
      </c>
      <c r="E72" s="1600">
        <v>74</v>
      </c>
      <c r="F72" s="106">
        <v>47</v>
      </c>
      <c r="G72" s="106">
        <v>72</v>
      </c>
      <c r="H72" s="1545">
        <v>54</v>
      </c>
      <c r="I72" s="1545">
        <v>71</v>
      </c>
      <c r="J72" s="1545">
        <v>38</v>
      </c>
      <c r="K72" s="1545">
        <v>55</v>
      </c>
      <c r="L72" s="1545">
        <v>15</v>
      </c>
      <c r="M72" s="1545">
        <v>23</v>
      </c>
      <c r="N72" s="1545">
        <v>7</v>
      </c>
      <c r="O72" s="108">
        <v>12</v>
      </c>
      <c r="P72" s="1545">
        <v>4</v>
      </c>
      <c r="Q72" s="108">
        <v>7</v>
      </c>
      <c r="R72" s="1545">
        <v>1</v>
      </c>
      <c r="S72" s="108">
        <v>1</v>
      </c>
    </row>
    <row r="73" spans="1:19" x14ac:dyDescent="0.3">
      <c r="A73" s="272" t="s">
        <v>177</v>
      </c>
      <c r="B73" s="273" t="s">
        <v>178</v>
      </c>
      <c r="C73" s="313" t="s">
        <v>252</v>
      </c>
      <c r="D73" s="1600">
        <v>157</v>
      </c>
      <c r="E73" s="1600">
        <v>256</v>
      </c>
      <c r="F73" s="106">
        <v>153</v>
      </c>
      <c r="G73" s="106">
        <v>239</v>
      </c>
      <c r="H73" s="1545">
        <v>122</v>
      </c>
      <c r="I73" s="1545">
        <v>198</v>
      </c>
      <c r="J73" s="1545">
        <v>94</v>
      </c>
      <c r="K73" s="1545">
        <v>164</v>
      </c>
      <c r="L73" s="1545">
        <v>77</v>
      </c>
      <c r="M73" s="1545">
        <v>146</v>
      </c>
      <c r="N73" s="1545">
        <v>66</v>
      </c>
      <c r="O73" s="108">
        <v>131</v>
      </c>
      <c r="P73" s="1545">
        <v>67</v>
      </c>
      <c r="Q73" s="108">
        <v>120</v>
      </c>
      <c r="R73" s="1545">
        <v>75</v>
      </c>
      <c r="S73" s="108">
        <v>133</v>
      </c>
    </row>
    <row r="74" spans="1:19" x14ac:dyDescent="0.3">
      <c r="A74" s="272" t="s">
        <v>181</v>
      </c>
      <c r="B74" s="273" t="s">
        <v>182</v>
      </c>
      <c r="C74" s="313" t="s">
        <v>253</v>
      </c>
      <c r="D74" s="1600">
        <v>42</v>
      </c>
      <c r="E74" s="1600">
        <v>67</v>
      </c>
      <c r="F74" s="106">
        <v>51</v>
      </c>
      <c r="G74" s="106">
        <v>80</v>
      </c>
      <c r="H74" s="1545">
        <v>41</v>
      </c>
      <c r="I74" s="1545">
        <v>71</v>
      </c>
      <c r="J74" s="1545">
        <v>39</v>
      </c>
      <c r="K74" s="1545">
        <v>67</v>
      </c>
      <c r="L74" s="1545">
        <v>38</v>
      </c>
      <c r="M74" s="1545">
        <v>59</v>
      </c>
      <c r="N74" s="1545">
        <v>35</v>
      </c>
      <c r="O74" s="108">
        <v>58</v>
      </c>
      <c r="P74" s="1545">
        <v>27</v>
      </c>
      <c r="Q74" s="108">
        <v>45</v>
      </c>
      <c r="R74" s="1545">
        <v>27</v>
      </c>
      <c r="S74" s="108">
        <v>44</v>
      </c>
    </row>
    <row r="75" spans="1:19" x14ac:dyDescent="0.3">
      <c r="A75" s="272" t="s">
        <v>183</v>
      </c>
      <c r="B75" s="273" t="s">
        <v>184</v>
      </c>
      <c r="C75" s="313" t="s">
        <v>253</v>
      </c>
      <c r="D75" s="1600">
        <v>59</v>
      </c>
      <c r="E75" s="1600">
        <v>103</v>
      </c>
      <c r="F75" s="106">
        <v>65</v>
      </c>
      <c r="G75" s="106">
        <v>111</v>
      </c>
      <c r="H75" s="1545">
        <v>68</v>
      </c>
      <c r="I75" s="1545">
        <v>114</v>
      </c>
      <c r="J75" s="1545">
        <v>52</v>
      </c>
      <c r="K75" s="1545">
        <v>87</v>
      </c>
      <c r="L75" s="1545">
        <v>36</v>
      </c>
      <c r="M75" s="1545">
        <v>54</v>
      </c>
      <c r="N75" s="1545">
        <v>19</v>
      </c>
      <c r="O75" s="108">
        <v>30</v>
      </c>
      <c r="P75" s="1545">
        <v>18</v>
      </c>
      <c r="Q75" s="108">
        <v>26</v>
      </c>
      <c r="R75" s="1545">
        <v>17</v>
      </c>
      <c r="S75" s="108">
        <v>27</v>
      </c>
    </row>
    <row r="76" spans="1:19" x14ac:dyDescent="0.3">
      <c r="A76" s="272" t="s">
        <v>185</v>
      </c>
      <c r="B76" s="273" t="s">
        <v>186</v>
      </c>
      <c r="C76" s="313" t="s">
        <v>251</v>
      </c>
      <c r="D76" s="1600">
        <v>44</v>
      </c>
      <c r="E76" s="1600">
        <v>68</v>
      </c>
      <c r="F76" s="106">
        <v>40</v>
      </c>
      <c r="G76" s="106">
        <v>59</v>
      </c>
      <c r="H76" s="1545">
        <v>40</v>
      </c>
      <c r="I76" s="1545">
        <v>63</v>
      </c>
      <c r="J76" s="1545">
        <v>40</v>
      </c>
      <c r="K76" s="1545">
        <v>69</v>
      </c>
      <c r="L76" s="1545">
        <v>30</v>
      </c>
      <c r="M76" s="1545">
        <v>49</v>
      </c>
      <c r="N76" s="1545">
        <v>26</v>
      </c>
      <c r="O76" s="108">
        <v>39</v>
      </c>
      <c r="P76" s="1545">
        <v>28</v>
      </c>
      <c r="Q76" s="108">
        <v>44</v>
      </c>
      <c r="R76" s="1545">
        <v>40</v>
      </c>
      <c r="S76" s="108">
        <v>70</v>
      </c>
    </row>
    <row r="77" spans="1:19" x14ac:dyDescent="0.3">
      <c r="A77" s="272" t="s">
        <v>187</v>
      </c>
      <c r="B77" s="273" t="s">
        <v>188</v>
      </c>
      <c r="C77" s="313" t="s">
        <v>254</v>
      </c>
      <c r="D77" s="1600">
        <v>948</v>
      </c>
      <c r="E77" s="1600">
        <v>1696</v>
      </c>
      <c r="F77" s="106">
        <v>1005</v>
      </c>
      <c r="G77" s="106">
        <v>1787</v>
      </c>
      <c r="H77" s="1545">
        <v>908</v>
      </c>
      <c r="I77" s="1545">
        <v>1639</v>
      </c>
      <c r="J77" s="1545">
        <v>813</v>
      </c>
      <c r="K77" s="1545">
        <v>1486</v>
      </c>
      <c r="L77" s="1545">
        <v>699</v>
      </c>
      <c r="M77" s="1545">
        <v>1290</v>
      </c>
      <c r="N77" s="1545">
        <v>633</v>
      </c>
      <c r="O77" s="108">
        <v>1145</v>
      </c>
      <c r="P77" s="1545">
        <v>610</v>
      </c>
      <c r="Q77" s="108">
        <v>1129</v>
      </c>
      <c r="R77" s="1545">
        <v>757</v>
      </c>
      <c r="S77" s="108">
        <v>1377</v>
      </c>
    </row>
    <row r="78" spans="1:19" x14ac:dyDescent="0.3">
      <c r="A78" s="272" t="s">
        <v>189</v>
      </c>
      <c r="B78" s="273" t="s">
        <v>190</v>
      </c>
      <c r="C78" s="313" t="s">
        <v>255</v>
      </c>
      <c r="D78" s="1600">
        <v>124</v>
      </c>
      <c r="E78" s="1600">
        <v>190</v>
      </c>
      <c r="F78" s="106">
        <v>114</v>
      </c>
      <c r="G78" s="106">
        <v>171</v>
      </c>
      <c r="H78" s="1545">
        <v>90</v>
      </c>
      <c r="I78" s="1545">
        <v>147</v>
      </c>
      <c r="J78" s="1545">
        <v>86</v>
      </c>
      <c r="K78" s="1545">
        <v>148</v>
      </c>
      <c r="L78" s="1545">
        <v>69</v>
      </c>
      <c r="M78" s="1545">
        <v>111</v>
      </c>
      <c r="N78" s="1545">
        <v>43</v>
      </c>
      <c r="O78" s="108">
        <v>71</v>
      </c>
      <c r="P78" s="1545">
        <v>36</v>
      </c>
      <c r="Q78" s="108">
        <v>52</v>
      </c>
      <c r="R78" s="1545">
        <v>29</v>
      </c>
      <c r="S78" s="108">
        <v>43</v>
      </c>
    </row>
    <row r="79" spans="1:19" x14ac:dyDescent="0.3">
      <c r="A79" s="272" t="s">
        <v>193</v>
      </c>
      <c r="B79" s="273" t="s">
        <v>194</v>
      </c>
      <c r="C79" s="313" t="s">
        <v>254</v>
      </c>
      <c r="D79" s="1600">
        <v>20</v>
      </c>
      <c r="E79" s="1600">
        <v>42</v>
      </c>
      <c r="F79" s="106">
        <v>23</v>
      </c>
      <c r="G79" s="106">
        <v>43</v>
      </c>
      <c r="H79" s="1545">
        <v>17</v>
      </c>
      <c r="I79" s="1545">
        <v>29</v>
      </c>
      <c r="J79" s="1545">
        <v>16</v>
      </c>
      <c r="K79" s="1545">
        <v>27</v>
      </c>
      <c r="L79" s="1545">
        <v>9</v>
      </c>
      <c r="M79" s="1545">
        <v>19</v>
      </c>
      <c r="N79" s="1545">
        <v>11</v>
      </c>
      <c r="O79" s="108">
        <v>20</v>
      </c>
      <c r="P79" s="1545">
        <v>14</v>
      </c>
      <c r="Q79" s="108">
        <v>23</v>
      </c>
      <c r="R79" s="1545">
        <v>19</v>
      </c>
      <c r="S79" s="108">
        <v>34</v>
      </c>
    </row>
    <row r="80" spans="1:19" x14ac:dyDescent="0.3">
      <c r="A80" s="272" t="s">
        <v>197</v>
      </c>
      <c r="B80" s="273" t="s">
        <v>259</v>
      </c>
      <c r="C80" s="313" t="s">
        <v>253</v>
      </c>
      <c r="D80" s="1600">
        <v>20</v>
      </c>
      <c r="E80" s="1600">
        <v>40</v>
      </c>
      <c r="F80" s="106">
        <v>23</v>
      </c>
      <c r="G80" s="106">
        <v>43</v>
      </c>
      <c r="H80" s="1545">
        <v>19</v>
      </c>
      <c r="I80" s="1545">
        <v>33</v>
      </c>
      <c r="J80" s="1545">
        <v>14</v>
      </c>
      <c r="K80" s="1545">
        <v>27</v>
      </c>
      <c r="L80" s="1545">
        <v>7</v>
      </c>
      <c r="M80" s="1545">
        <v>12</v>
      </c>
      <c r="N80" s="1545">
        <v>10</v>
      </c>
      <c r="O80" s="108">
        <v>18</v>
      </c>
      <c r="P80" s="1545">
        <v>10</v>
      </c>
      <c r="Q80" s="108">
        <v>19</v>
      </c>
      <c r="R80" s="1545">
        <v>14</v>
      </c>
      <c r="S80" s="108">
        <v>27</v>
      </c>
    </row>
    <row r="81" spans="1:19" x14ac:dyDescent="0.3">
      <c r="A81" s="272" t="s">
        <v>201</v>
      </c>
      <c r="B81" s="273" t="s">
        <v>276</v>
      </c>
      <c r="C81" s="313" t="s">
        <v>252</v>
      </c>
      <c r="D81" s="1600">
        <v>420</v>
      </c>
      <c r="E81" s="1600">
        <v>704</v>
      </c>
      <c r="F81" s="106">
        <v>376</v>
      </c>
      <c r="G81" s="106">
        <v>615</v>
      </c>
      <c r="H81" s="1545">
        <v>404</v>
      </c>
      <c r="I81" s="1545">
        <v>684</v>
      </c>
      <c r="J81" s="1545">
        <v>373</v>
      </c>
      <c r="K81" s="1545">
        <v>655</v>
      </c>
      <c r="L81" s="1545">
        <v>365</v>
      </c>
      <c r="M81" s="1545">
        <v>648</v>
      </c>
      <c r="N81" s="1545">
        <v>295</v>
      </c>
      <c r="O81" s="108">
        <v>540</v>
      </c>
      <c r="P81" s="1545">
        <v>287</v>
      </c>
      <c r="Q81" s="108">
        <v>492</v>
      </c>
      <c r="R81" s="1545">
        <v>296</v>
      </c>
      <c r="S81" s="108">
        <v>501</v>
      </c>
    </row>
    <row r="82" spans="1:19" x14ac:dyDescent="0.3">
      <c r="A82" s="272" t="s">
        <v>203</v>
      </c>
      <c r="B82" s="273" t="s">
        <v>269</v>
      </c>
      <c r="C82" s="313" t="s">
        <v>252</v>
      </c>
      <c r="D82" s="1600">
        <v>35</v>
      </c>
      <c r="E82" s="1600">
        <v>59</v>
      </c>
      <c r="F82" s="106">
        <v>49</v>
      </c>
      <c r="G82" s="106">
        <v>74</v>
      </c>
      <c r="H82" s="1545">
        <v>46</v>
      </c>
      <c r="I82" s="1545">
        <v>75</v>
      </c>
      <c r="J82" s="1545">
        <v>35</v>
      </c>
      <c r="K82" s="1545">
        <v>56</v>
      </c>
      <c r="L82" s="1545">
        <v>21</v>
      </c>
      <c r="M82" s="1545">
        <v>28</v>
      </c>
      <c r="N82" s="1545">
        <v>16</v>
      </c>
      <c r="O82" s="108">
        <v>19</v>
      </c>
      <c r="P82" s="1545">
        <v>30</v>
      </c>
      <c r="Q82" s="108">
        <v>36</v>
      </c>
      <c r="R82" s="1545">
        <v>40</v>
      </c>
      <c r="S82" s="108">
        <v>57</v>
      </c>
    </row>
    <row r="83" spans="1:19" x14ac:dyDescent="0.3">
      <c r="A83" s="272" t="s">
        <v>205</v>
      </c>
      <c r="B83" s="273" t="s">
        <v>270</v>
      </c>
      <c r="C83" s="313" t="s">
        <v>254</v>
      </c>
      <c r="D83" s="1600">
        <v>299</v>
      </c>
      <c r="E83" s="1600">
        <v>518</v>
      </c>
      <c r="F83" s="106">
        <v>287</v>
      </c>
      <c r="G83" s="106">
        <v>502</v>
      </c>
      <c r="H83" s="1545">
        <v>297</v>
      </c>
      <c r="I83" s="1545">
        <v>535</v>
      </c>
      <c r="J83" s="1545">
        <v>222</v>
      </c>
      <c r="K83" s="1545">
        <v>407</v>
      </c>
      <c r="L83" s="1545">
        <v>211</v>
      </c>
      <c r="M83" s="1545">
        <v>377</v>
      </c>
      <c r="N83" s="1545">
        <v>199</v>
      </c>
      <c r="O83" s="108">
        <v>358</v>
      </c>
      <c r="P83" s="1545">
        <v>209</v>
      </c>
      <c r="Q83" s="108">
        <v>360</v>
      </c>
      <c r="R83" s="1545">
        <v>230</v>
      </c>
      <c r="S83" s="108">
        <v>384</v>
      </c>
    </row>
    <row r="84" spans="1:19" x14ac:dyDescent="0.3">
      <c r="A84" s="272" t="s">
        <v>207</v>
      </c>
      <c r="B84" s="273" t="s">
        <v>208</v>
      </c>
      <c r="C84" s="313" t="s">
        <v>255</v>
      </c>
      <c r="D84" s="1600">
        <v>38</v>
      </c>
      <c r="E84" s="1600">
        <v>58</v>
      </c>
      <c r="F84" s="106">
        <v>31</v>
      </c>
      <c r="G84" s="106">
        <v>49</v>
      </c>
      <c r="H84" s="1545">
        <v>34</v>
      </c>
      <c r="I84" s="1545">
        <v>63</v>
      </c>
      <c r="J84" s="1545">
        <v>26</v>
      </c>
      <c r="K84" s="1545">
        <v>47</v>
      </c>
      <c r="L84" s="1545">
        <v>22</v>
      </c>
      <c r="M84" s="1545">
        <v>31</v>
      </c>
      <c r="N84" s="1545">
        <v>18</v>
      </c>
      <c r="O84" s="108">
        <v>29</v>
      </c>
      <c r="P84" s="1545">
        <v>14</v>
      </c>
      <c r="Q84" s="108">
        <v>21</v>
      </c>
      <c r="R84" s="1545">
        <v>23</v>
      </c>
      <c r="S84" s="108">
        <v>34</v>
      </c>
    </row>
    <row r="85" spans="1:19" x14ac:dyDescent="0.3">
      <c r="A85" s="272" t="s">
        <v>209</v>
      </c>
      <c r="B85" s="273" t="s">
        <v>210</v>
      </c>
      <c r="C85" s="313" t="s">
        <v>255</v>
      </c>
      <c r="D85" s="1600">
        <v>17</v>
      </c>
      <c r="E85" s="1600">
        <v>33</v>
      </c>
      <c r="F85" s="106">
        <v>14</v>
      </c>
      <c r="G85" s="106">
        <v>22</v>
      </c>
      <c r="H85" s="1545">
        <v>12</v>
      </c>
      <c r="I85" s="1545">
        <v>21</v>
      </c>
      <c r="J85" s="1545">
        <v>8</v>
      </c>
      <c r="K85" s="1545">
        <v>12</v>
      </c>
      <c r="L85" s="1545">
        <v>3</v>
      </c>
      <c r="M85" s="1545">
        <v>4</v>
      </c>
      <c r="N85" s="1545">
        <v>0</v>
      </c>
      <c r="O85" s="108">
        <v>0</v>
      </c>
      <c r="P85" s="1545">
        <v>1</v>
      </c>
      <c r="Q85" s="108">
        <v>1</v>
      </c>
      <c r="R85" s="1545">
        <v>1</v>
      </c>
      <c r="S85" s="108">
        <v>1</v>
      </c>
    </row>
    <row r="86" spans="1:19" x14ac:dyDescent="0.3">
      <c r="A86" s="272" t="s">
        <v>211</v>
      </c>
      <c r="B86" s="273" t="s">
        <v>212</v>
      </c>
      <c r="C86" s="313" t="s">
        <v>254</v>
      </c>
      <c r="D86" s="1600">
        <v>101</v>
      </c>
      <c r="E86" s="1600">
        <v>170</v>
      </c>
      <c r="F86" s="106">
        <v>104</v>
      </c>
      <c r="G86" s="106">
        <v>177</v>
      </c>
      <c r="H86" s="1545">
        <v>87</v>
      </c>
      <c r="I86" s="1545">
        <v>143</v>
      </c>
      <c r="J86" s="1545">
        <v>85</v>
      </c>
      <c r="K86" s="1545">
        <v>138</v>
      </c>
      <c r="L86" s="1545">
        <v>73</v>
      </c>
      <c r="M86" s="1545">
        <v>123</v>
      </c>
      <c r="N86" s="1545">
        <v>40</v>
      </c>
      <c r="O86" s="108">
        <v>74</v>
      </c>
      <c r="P86" s="1545">
        <v>53</v>
      </c>
      <c r="Q86" s="108">
        <v>97</v>
      </c>
      <c r="R86" s="1545">
        <v>66</v>
      </c>
      <c r="S86" s="108">
        <v>112</v>
      </c>
    </row>
    <row r="87" spans="1:19" x14ac:dyDescent="0.3">
      <c r="A87" s="272" t="s">
        <v>213</v>
      </c>
      <c r="B87" s="273" t="s">
        <v>214</v>
      </c>
      <c r="C87" s="313" t="s">
        <v>255</v>
      </c>
      <c r="D87" s="1600">
        <v>86</v>
      </c>
      <c r="E87" s="1600">
        <v>155</v>
      </c>
      <c r="F87" s="106">
        <v>84</v>
      </c>
      <c r="G87" s="106">
        <v>140</v>
      </c>
      <c r="H87" s="1545">
        <v>89</v>
      </c>
      <c r="I87" s="1545">
        <v>136</v>
      </c>
      <c r="J87" s="1545">
        <v>68</v>
      </c>
      <c r="K87" s="1545">
        <v>103</v>
      </c>
      <c r="L87" s="1545">
        <v>55</v>
      </c>
      <c r="M87" s="1545">
        <v>90</v>
      </c>
      <c r="N87" s="1545">
        <v>52</v>
      </c>
      <c r="O87" s="108">
        <v>101</v>
      </c>
      <c r="P87" s="1545">
        <v>44</v>
      </c>
      <c r="Q87" s="108">
        <v>91</v>
      </c>
      <c r="R87" s="1545">
        <v>48</v>
      </c>
      <c r="S87" s="108">
        <v>99</v>
      </c>
    </row>
    <row r="88" spans="1:19" x14ac:dyDescent="0.3">
      <c r="A88" s="272" t="s">
        <v>215</v>
      </c>
      <c r="B88" s="273" t="s">
        <v>216</v>
      </c>
      <c r="C88" s="313" t="s">
        <v>251</v>
      </c>
      <c r="D88" s="1600">
        <v>47</v>
      </c>
      <c r="E88" s="1600">
        <v>82</v>
      </c>
      <c r="F88" s="106">
        <v>32</v>
      </c>
      <c r="G88" s="106">
        <v>50</v>
      </c>
      <c r="H88" s="1545">
        <v>25</v>
      </c>
      <c r="I88" s="1545">
        <v>35</v>
      </c>
      <c r="J88" s="1545">
        <v>17</v>
      </c>
      <c r="K88" s="1545">
        <v>26</v>
      </c>
      <c r="L88" s="1545">
        <v>17</v>
      </c>
      <c r="M88" s="1545">
        <v>26</v>
      </c>
      <c r="N88" s="1545">
        <v>14</v>
      </c>
      <c r="O88" s="108">
        <v>25</v>
      </c>
      <c r="P88" s="1545">
        <v>13</v>
      </c>
      <c r="Q88" s="108">
        <v>20</v>
      </c>
      <c r="R88" s="1545">
        <v>16</v>
      </c>
      <c r="S88" s="108">
        <v>27</v>
      </c>
    </row>
    <row r="89" spans="1:19" x14ac:dyDescent="0.3">
      <c r="A89" s="272" t="s">
        <v>217</v>
      </c>
      <c r="B89" s="273" t="s">
        <v>218</v>
      </c>
      <c r="C89" s="313" t="s">
        <v>254</v>
      </c>
      <c r="D89" s="1600">
        <v>275</v>
      </c>
      <c r="E89" s="1600">
        <v>467</v>
      </c>
      <c r="F89" s="106">
        <v>268</v>
      </c>
      <c r="G89" s="106">
        <v>475</v>
      </c>
      <c r="H89" s="1545">
        <v>258</v>
      </c>
      <c r="I89" s="1545">
        <v>463</v>
      </c>
      <c r="J89" s="1545">
        <v>204</v>
      </c>
      <c r="K89" s="1545">
        <v>374</v>
      </c>
      <c r="L89" s="1545">
        <v>202</v>
      </c>
      <c r="M89" s="1545">
        <v>363</v>
      </c>
      <c r="N89" s="1545">
        <v>197</v>
      </c>
      <c r="O89" s="108">
        <v>390</v>
      </c>
      <c r="P89" s="1545">
        <v>215</v>
      </c>
      <c r="Q89" s="108">
        <v>393</v>
      </c>
      <c r="R89" s="1545">
        <v>239</v>
      </c>
      <c r="S89" s="108">
        <v>429</v>
      </c>
    </row>
    <row r="90" spans="1:19" x14ac:dyDescent="0.3">
      <c r="A90" s="272" t="s">
        <v>219</v>
      </c>
      <c r="B90" s="273" t="s">
        <v>220</v>
      </c>
      <c r="C90" s="313" t="s">
        <v>254</v>
      </c>
      <c r="D90" s="1600">
        <v>284</v>
      </c>
      <c r="E90" s="1600">
        <v>536</v>
      </c>
      <c r="F90" s="106">
        <v>277</v>
      </c>
      <c r="G90" s="106">
        <v>499</v>
      </c>
      <c r="H90" s="1545">
        <v>260</v>
      </c>
      <c r="I90" s="1545">
        <v>460</v>
      </c>
      <c r="J90" s="1545">
        <v>247</v>
      </c>
      <c r="K90" s="1545">
        <v>437</v>
      </c>
      <c r="L90" s="1545">
        <v>254</v>
      </c>
      <c r="M90" s="1545">
        <v>433</v>
      </c>
      <c r="N90" s="1545">
        <v>261</v>
      </c>
      <c r="O90" s="108">
        <v>450</v>
      </c>
      <c r="P90" s="1545">
        <v>251</v>
      </c>
      <c r="Q90" s="108">
        <v>433</v>
      </c>
      <c r="R90" s="1545">
        <v>338</v>
      </c>
      <c r="S90" s="108">
        <v>581</v>
      </c>
    </row>
    <row r="91" spans="1:19" x14ac:dyDescent="0.3">
      <c r="A91" s="272" t="s">
        <v>223</v>
      </c>
      <c r="B91" s="273" t="s">
        <v>224</v>
      </c>
      <c r="C91" s="313" t="s">
        <v>251</v>
      </c>
      <c r="D91" s="1600">
        <v>40</v>
      </c>
      <c r="E91" s="1600">
        <v>63</v>
      </c>
      <c r="F91" s="106">
        <v>41</v>
      </c>
      <c r="G91" s="106">
        <v>61</v>
      </c>
      <c r="H91" s="1545">
        <v>35</v>
      </c>
      <c r="I91" s="1545">
        <v>61</v>
      </c>
      <c r="J91" s="1545">
        <v>28</v>
      </c>
      <c r="K91" s="1545">
        <v>41</v>
      </c>
      <c r="L91" s="1545">
        <v>21</v>
      </c>
      <c r="M91" s="1545">
        <v>36</v>
      </c>
      <c r="N91" s="1545">
        <v>15</v>
      </c>
      <c r="O91" s="108">
        <v>27</v>
      </c>
      <c r="P91" s="1545">
        <v>11</v>
      </c>
      <c r="Q91" s="108">
        <v>21</v>
      </c>
      <c r="R91" s="1545">
        <v>9</v>
      </c>
      <c r="S91" s="108">
        <v>14</v>
      </c>
    </row>
    <row r="92" spans="1:19" x14ac:dyDescent="0.3">
      <c r="A92" s="272" t="s">
        <v>225</v>
      </c>
      <c r="B92" s="273" t="s">
        <v>226</v>
      </c>
      <c r="C92" s="313" t="s">
        <v>251</v>
      </c>
      <c r="D92" s="1600">
        <v>50</v>
      </c>
      <c r="E92" s="1600">
        <v>74</v>
      </c>
      <c r="F92" s="106">
        <v>52</v>
      </c>
      <c r="G92" s="106">
        <v>85</v>
      </c>
      <c r="H92" s="1545">
        <v>59</v>
      </c>
      <c r="I92" s="1545">
        <v>98</v>
      </c>
      <c r="J92" s="1545">
        <v>43</v>
      </c>
      <c r="K92" s="1545">
        <v>63</v>
      </c>
      <c r="L92" s="1545">
        <v>32</v>
      </c>
      <c r="M92" s="1545">
        <v>53</v>
      </c>
      <c r="N92" s="1545">
        <v>19</v>
      </c>
      <c r="O92" s="108">
        <v>28</v>
      </c>
      <c r="P92" s="1545">
        <v>10</v>
      </c>
      <c r="Q92" s="108">
        <v>18</v>
      </c>
      <c r="R92" s="1545">
        <v>9</v>
      </c>
      <c r="S92" s="108">
        <v>16</v>
      </c>
    </row>
    <row r="93" spans="1:19" x14ac:dyDescent="0.3">
      <c r="A93" s="272" t="s">
        <v>227</v>
      </c>
      <c r="B93" s="273" t="s">
        <v>228</v>
      </c>
      <c r="C93" s="313" t="s">
        <v>255</v>
      </c>
      <c r="D93" s="1600">
        <v>128</v>
      </c>
      <c r="E93" s="1600">
        <v>216</v>
      </c>
      <c r="F93" s="106">
        <v>121</v>
      </c>
      <c r="G93" s="106">
        <v>192</v>
      </c>
      <c r="H93" s="1545">
        <v>97</v>
      </c>
      <c r="I93" s="1545">
        <v>157</v>
      </c>
      <c r="J93" s="1545">
        <v>74</v>
      </c>
      <c r="K93" s="1545">
        <v>126</v>
      </c>
      <c r="L93" s="1545">
        <v>68</v>
      </c>
      <c r="M93" s="1545">
        <v>128</v>
      </c>
      <c r="N93" s="1545">
        <v>57</v>
      </c>
      <c r="O93" s="108">
        <v>101</v>
      </c>
      <c r="P93" s="1545">
        <v>53</v>
      </c>
      <c r="Q93" s="108">
        <v>93</v>
      </c>
      <c r="R93" s="1545">
        <v>42</v>
      </c>
      <c r="S93" s="108">
        <v>72</v>
      </c>
    </row>
    <row r="94" spans="1:19" x14ac:dyDescent="0.3">
      <c r="A94" s="272" t="s">
        <v>231</v>
      </c>
      <c r="B94" s="273" t="s">
        <v>232</v>
      </c>
      <c r="C94" s="313" t="s">
        <v>254</v>
      </c>
      <c r="D94" s="1600">
        <v>112</v>
      </c>
      <c r="E94" s="1600">
        <v>178</v>
      </c>
      <c r="F94" s="106">
        <v>150</v>
      </c>
      <c r="G94" s="106">
        <v>240</v>
      </c>
      <c r="H94" s="1545">
        <v>159</v>
      </c>
      <c r="I94" s="1545">
        <v>265</v>
      </c>
      <c r="J94" s="1545">
        <v>155</v>
      </c>
      <c r="K94" s="1545">
        <v>245</v>
      </c>
      <c r="L94" s="1545">
        <v>145</v>
      </c>
      <c r="M94" s="1545">
        <v>231</v>
      </c>
      <c r="N94" s="1545">
        <v>126</v>
      </c>
      <c r="O94" s="108">
        <v>206</v>
      </c>
      <c r="P94" s="1545">
        <v>113</v>
      </c>
      <c r="Q94" s="108">
        <v>187</v>
      </c>
      <c r="R94" s="1545">
        <v>118</v>
      </c>
      <c r="S94" s="108">
        <v>196</v>
      </c>
    </row>
    <row r="95" spans="1:19" x14ac:dyDescent="0.3">
      <c r="A95" s="272" t="s">
        <v>233</v>
      </c>
      <c r="B95" s="273" t="s">
        <v>234</v>
      </c>
      <c r="C95" s="313" t="s">
        <v>255</v>
      </c>
      <c r="D95" s="1600">
        <v>97</v>
      </c>
      <c r="E95" s="1600">
        <v>150</v>
      </c>
      <c r="F95" s="106">
        <v>71</v>
      </c>
      <c r="G95" s="106">
        <v>115</v>
      </c>
      <c r="H95" s="1545">
        <v>77</v>
      </c>
      <c r="I95" s="1545">
        <v>120</v>
      </c>
      <c r="J95" s="1545">
        <v>63</v>
      </c>
      <c r="K95" s="1545">
        <v>101</v>
      </c>
      <c r="L95" s="1545">
        <v>65</v>
      </c>
      <c r="M95" s="1545">
        <v>101</v>
      </c>
      <c r="N95" s="1545">
        <v>63</v>
      </c>
      <c r="O95" s="108">
        <v>90</v>
      </c>
      <c r="P95" s="1545">
        <v>40</v>
      </c>
      <c r="Q95" s="108">
        <v>65</v>
      </c>
      <c r="R95" s="1545">
        <v>36</v>
      </c>
      <c r="S95" s="108">
        <v>54</v>
      </c>
    </row>
    <row r="96" spans="1:19" x14ac:dyDescent="0.3">
      <c r="A96" s="272" t="s">
        <v>235</v>
      </c>
      <c r="B96" s="273" t="s">
        <v>236</v>
      </c>
      <c r="C96" s="313" t="s">
        <v>253</v>
      </c>
      <c r="D96" s="1600">
        <v>66</v>
      </c>
      <c r="E96" s="1600">
        <v>115</v>
      </c>
      <c r="F96" s="106">
        <v>49</v>
      </c>
      <c r="G96" s="106">
        <v>87</v>
      </c>
      <c r="H96" s="1545">
        <v>59</v>
      </c>
      <c r="I96" s="1545">
        <v>100</v>
      </c>
      <c r="J96" s="1545">
        <v>51</v>
      </c>
      <c r="K96" s="1545">
        <v>89</v>
      </c>
      <c r="L96" s="1545">
        <v>43</v>
      </c>
      <c r="M96" s="1545">
        <v>69</v>
      </c>
      <c r="N96" s="1545">
        <v>37</v>
      </c>
      <c r="O96" s="108">
        <v>59</v>
      </c>
      <c r="P96" s="1545">
        <v>37</v>
      </c>
      <c r="Q96" s="108">
        <v>63</v>
      </c>
      <c r="R96" s="1545">
        <v>47</v>
      </c>
      <c r="S96" s="108">
        <v>89</v>
      </c>
    </row>
    <row r="97" spans="1:19" x14ac:dyDescent="0.3">
      <c r="A97" s="272" t="s">
        <v>241</v>
      </c>
      <c r="B97" s="273" t="s">
        <v>242</v>
      </c>
      <c r="C97" s="313" t="s">
        <v>255</v>
      </c>
      <c r="D97" s="1600">
        <v>61</v>
      </c>
      <c r="E97" s="1600">
        <v>81</v>
      </c>
      <c r="F97" s="106">
        <v>68</v>
      </c>
      <c r="G97" s="106">
        <v>99</v>
      </c>
      <c r="H97" s="1545">
        <v>66</v>
      </c>
      <c r="I97" s="1545">
        <v>90</v>
      </c>
      <c r="J97" s="1545">
        <v>59</v>
      </c>
      <c r="K97" s="1545">
        <v>96</v>
      </c>
      <c r="L97" s="1545">
        <v>51</v>
      </c>
      <c r="M97" s="1545">
        <v>83</v>
      </c>
      <c r="N97" s="1545">
        <v>34</v>
      </c>
      <c r="O97" s="108">
        <v>63</v>
      </c>
      <c r="P97" s="1545">
        <v>33</v>
      </c>
      <c r="Q97" s="108">
        <v>59</v>
      </c>
      <c r="R97" s="1545">
        <v>34</v>
      </c>
      <c r="S97" s="108">
        <v>55</v>
      </c>
    </row>
    <row r="98" spans="1:19" x14ac:dyDescent="0.3">
      <c r="A98" s="274" t="s">
        <v>243</v>
      </c>
      <c r="B98" s="273" t="s">
        <v>244</v>
      </c>
      <c r="C98" s="313" t="s">
        <v>255</v>
      </c>
      <c r="D98" s="1600">
        <v>122</v>
      </c>
      <c r="E98" s="1600">
        <v>204</v>
      </c>
      <c r="F98" s="106">
        <v>122</v>
      </c>
      <c r="G98" s="106">
        <v>196</v>
      </c>
      <c r="H98" s="1545">
        <v>113</v>
      </c>
      <c r="I98" s="1545">
        <v>193</v>
      </c>
      <c r="J98" s="1545">
        <v>96</v>
      </c>
      <c r="K98" s="1545">
        <v>162</v>
      </c>
      <c r="L98" s="1545">
        <v>74</v>
      </c>
      <c r="M98" s="1545">
        <v>123</v>
      </c>
      <c r="N98" s="1545">
        <v>65</v>
      </c>
      <c r="O98" s="108">
        <v>111</v>
      </c>
      <c r="P98" s="1545">
        <v>63</v>
      </c>
      <c r="Q98" s="108">
        <v>108</v>
      </c>
      <c r="R98" s="1545">
        <v>67</v>
      </c>
      <c r="S98" s="108">
        <v>110</v>
      </c>
    </row>
    <row r="99" spans="1:19" x14ac:dyDescent="0.3">
      <c r="A99" s="272" t="s">
        <v>245</v>
      </c>
      <c r="B99" s="273" t="s">
        <v>246</v>
      </c>
      <c r="C99" s="313" t="s">
        <v>251</v>
      </c>
      <c r="D99" s="1600">
        <v>167</v>
      </c>
      <c r="E99" s="1600">
        <v>248</v>
      </c>
      <c r="F99" s="106">
        <v>159</v>
      </c>
      <c r="G99" s="106">
        <v>220</v>
      </c>
      <c r="H99" s="1545">
        <v>161</v>
      </c>
      <c r="I99" s="1545">
        <v>243</v>
      </c>
      <c r="J99" s="1545">
        <v>153</v>
      </c>
      <c r="K99" s="1545">
        <v>236</v>
      </c>
      <c r="L99" s="1545">
        <v>154</v>
      </c>
      <c r="M99" s="1545">
        <v>226</v>
      </c>
      <c r="N99" s="1545">
        <v>117</v>
      </c>
      <c r="O99" s="108">
        <v>179</v>
      </c>
      <c r="P99" s="1545">
        <v>87</v>
      </c>
      <c r="Q99" s="108">
        <v>129</v>
      </c>
      <c r="R99" s="1545">
        <v>76</v>
      </c>
      <c r="S99" s="108">
        <v>124</v>
      </c>
    </row>
    <row r="100" spans="1:19" x14ac:dyDescent="0.3">
      <c r="A100" s="272" t="s">
        <v>13</v>
      </c>
      <c r="B100" s="273" t="s">
        <v>14</v>
      </c>
      <c r="C100" s="313" t="s">
        <v>254</v>
      </c>
      <c r="D100" s="1600">
        <v>579</v>
      </c>
      <c r="E100" s="1600">
        <v>856</v>
      </c>
      <c r="F100" s="106">
        <v>593</v>
      </c>
      <c r="G100" s="106">
        <v>870</v>
      </c>
      <c r="H100" s="1545">
        <v>525</v>
      </c>
      <c r="I100" s="1545">
        <v>778</v>
      </c>
      <c r="J100" s="1545">
        <v>444</v>
      </c>
      <c r="K100" s="1545">
        <v>698</v>
      </c>
      <c r="L100" s="1545">
        <v>472</v>
      </c>
      <c r="M100" s="1545">
        <v>742</v>
      </c>
      <c r="N100" s="1545">
        <v>479</v>
      </c>
      <c r="O100" s="108">
        <v>753</v>
      </c>
      <c r="P100" s="1545">
        <v>499</v>
      </c>
      <c r="Q100" s="108">
        <v>784</v>
      </c>
      <c r="R100" s="1545">
        <v>463</v>
      </c>
      <c r="S100" s="108">
        <v>710</v>
      </c>
    </row>
    <row r="101" spans="1:19" x14ac:dyDescent="0.3">
      <c r="A101" s="272" t="s">
        <v>33</v>
      </c>
      <c r="B101" s="273" t="s">
        <v>34</v>
      </c>
      <c r="C101" s="313" t="s">
        <v>255</v>
      </c>
      <c r="D101" s="1600">
        <v>250</v>
      </c>
      <c r="E101" s="1600">
        <v>387</v>
      </c>
      <c r="F101" s="106">
        <v>241</v>
      </c>
      <c r="G101" s="106">
        <v>390</v>
      </c>
      <c r="H101" s="1545">
        <v>199</v>
      </c>
      <c r="I101" s="1545">
        <v>333</v>
      </c>
      <c r="J101" s="1545">
        <v>209</v>
      </c>
      <c r="K101" s="1545">
        <v>369</v>
      </c>
      <c r="L101" s="1545">
        <v>174</v>
      </c>
      <c r="M101" s="1545">
        <v>309</v>
      </c>
      <c r="N101" s="1545">
        <v>103</v>
      </c>
      <c r="O101" s="108">
        <v>189</v>
      </c>
      <c r="P101" s="1545">
        <v>107</v>
      </c>
      <c r="Q101" s="108">
        <v>199</v>
      </c>
      <c r="R101" s="1545">
        <v>98</v>
      </c>
      <c r="S101" s="108">
        <v>184</v>
      </c>
    </row>
    <row r="102" spans="1:19" x14ac:dyDescent="0.3">
      <c r="A102" s="272" t="s">
        <v>51</v>
      </c>
      <c r="B102" s="273" t="s">
        <v>52</v>
      </c>
      <c r="C102" s="313" t="s">
        <v>252</v>
      </c>
      <c r="D102" s="1600">
        <v>303</v>
      </c>
      <c r="E102" s="1600">
        <v>513</v>
      </c>
      <c r="F102" s="106">
        <v>304</v>
      </c>
      <c r="G102" s="106">
        <v>482</v>
      </c>
      <c r="H102" s="1545">
        <v>283</v>
      </c>
      <c r="I102" s="1545">
        <v>472</v>
      </c>
      <c r="J102" s="1545">
        <v>245</v>
      </c>
      <c r="K102" s="1545">
        <v>409</v>
      </c>
      <c r="L102" s="1545">
        <v>189</v>
      </c>
      <c r="M102" s="1545">
        <v>314</v>
      </c>
      <c r="N102" s="1545">
        <v>141</v>
      </c>
      <c r="O102" s="108">
        <v>222</v>
      </c>
      <c r="P102" s="1545">
        <v>139</v>
      </c>
      <c r="Q102" s="108">
        <v>211</v>
      </c>
      <c r="R102" s="1545">
        <v>118</v>
      </c>
      <c r="S102" s="108">
        <v>175</v>
      </c>
    </row>
    <row r="103" spans="1:19" x14ac:dyDescent="0.3">
      <c r="A103" s="272" t="s">
        <v>53</v>
      </c>
      <c r="B103" s="273" t="s">
        <v>54</v>
      </c>
      <c r="C103" s="313" t="s">
        <v>251</v>
      </c>
      <c r="D103" s="1600">
        <v>951</v>
      </c>
      <c r="E103" s="1600">
        <v>1533</v>
      </c>
      <c r="F103" s="106">
        <v>945</v>
      </c>
      <c r="G103" s="106">
        <v>1503</v>
      </c>
      <c r="H103" s="1545">
        <v>876</v>
      </c>
      <c r="I103" s="1545">
        <v>1437</v>
      </c>
      <c r="J103" s="1545">
        <v>770</v>
      </c>
      <c r="K103" s="1545">
        <v>1308</v>
      </c>
      <c r="L103" s="1545">
        <v>794</v>
      </c>
      <c r="M103" s="1545">
        <v>1326</v>
      </c>
      <c r="N103" s="1545">
        <v>698</v>
      </c>
      <c r="O103" s="108">
        <v>1186</v>
      </c>
      <c r="P103" s="1545">
        <v>778</v>
      </c>
      <c r="Q103" s="108">
        <v>1312</v>
      </c>
      <c r="R103" s="1545">
        <v>830</v>
      </c>
      <c r="S103" s="108">
        <v>1429</v>
      </c>
    </row>
    <row r="104" spans="1:19" x14ac:dyDescent="0.3">
      <c r="A104" s="272" t="s">
        <v>65</v>
      </c>
      <c r="B104" s="273" t="s">
        <v>66</v>
      </c>
      <c r="C104" s="313" t="s">
        <v>252</v>
      </c>
      <c r="D104" s="1600">
        <v>342</v>
      </c>
      <c r="E104" s="1600">
        <v>620</v>
      </c>
      <c r="F104" s="106">
        <v>348</v>
      </c>
      <c r="G104" s="106">
        <v>626</v>
      </c>
      <c r="H104" s="1545">
        <v>367</v>
      </c>
      <c r="I104" s="1545">
        <v>669</v>
      </c>
      <c r="J104" s="1545">
        <v>287</v>
      </c>
      <c r="K104" s="1545">
        <v>551</v>
      </c>
      <c r="L104" s="1545">
        <v>240</v>
      </c>
      <c r="M104" s="1545">
        <v>466</v>
      </c>
      <c r="N104" s="1545">
        <v>199</v>
      </c>
      <c r="O104" s="108">
        <v>376</v>
      </c>
      <c r="P104" s="1545">
        <v>192</v>
      </c>
      <c r="Q104" s="108">
        <v>348</v>
      </c>
      <c r="R104" s="1545">
        <v>185</v>
      </c>
      <c r="S104" s="108">
        <v>344</v>
      </c>
    </row>
    <row r="105" spans="1:19" x14ac:dyDescent="0.3">
      <c r="A105" s="272" t="s">
        <v>81</v>
      </c>
      <c r="B105" s="273" t="s">
        <v>82</v>
      </c>
      <c r="C105" s="313" t="s">
        <v>251</v>
      </c>
      <c r="D105" s="1600">
        <v>51</v>
      </c>
      <c r="E105" s="1600">
        <v>90</v>
      </c>
      <c r="F105" s="106">
        <v>46</v>
      </c>
      <c r="G105" s="106">
        <v>86</v>
      </c>
      <c r="H105" s="1545">
        <v>40</v>
      </c>
      <c r="I105" s="1545">
        <v>67</v>
      </c>
      <c r="J105" s="1545">
        <v>33</v>
      </c>
      <c r="K105" s="1545">
        <v>60</v>
      </c>
      <c r="L105" s="1545">
        <v>28</v>
      </c>
      <c r="M105" s="1545">
        <v>52</v>
      </c>
      <c r="N105" s="1545">
        <v>39</v>
      </c>
      <c r="O105" s="108">
        <v>67</v>
      </c>
      <c r="P105" s="1545">
        <v>34</v>
      </c>
      <c r="Q105" s="108">
        <v>65</v>
      </c>
      <c r="R105" s="1545">
        <v>49</v>
      </c>
      <c r="S105" s="108">
        <v>87</v>
      </c>
    </row>
    <row r="106" spans="1:19" x14ac:dyDescent="0.3">
      <c r="A106" s="272" t="s">
        <v>87</v>
      </c>
      <c r="B106" s="273" t="s">
        <v>88</v>
      </c>
      <c r="C106" s="313" t="s">
        <v>254</v>
      </c>
      <c r="D106" s="1600">
        <v>195</v>
      </c>
      <c r="E106" s="1600">
        <v>360</v>
      </c>
      <c r="F106" s="106">
        <v>192</v>
      </c>
      <c r="G106" s="106">
        <v>373</v>
      </c>
      <c r="H106" s="1545">
        <v>207</v>
      </c>
      <c r="I106" s="1545">
        <v>402</v>
      </c>
      <c r="J106" s="1545">
        <v>188</v>
      </c>
      <c r="K106" s="1545">
        <v>349</v>
      </c>
      <c r="L106" s="1545">
        <v>154</v>
      </c>
      <c r="M106" s="1545">
        <v>300</v>
      </c>
      <c r="N106" s="1545">
        <v>160</v>
      </c>
      <c r="O106" s="108">
        <v>286</v>
      </c>
      <c r="P106" s="1545">
        <v>153</v>
      </c>
      <c r="Q106" s="108">
        <v>257</v>
      </c>
      <c r="R106" s="1545">
        <v>181</v>
      </c>
      <c r="S106" s="108">
        <v>298</v>
      </c>
    </row>
    <row r="107" spans="1:19" x14ac:dyDescent="0.3">
      <c r="A107" s="272" t="s">
        <v>89</v>
      </c>
      <c r="B107" s="273" t="s">
        <v>90</v>
      </c>
      <c r="C107" s="313" t="s">
        <v>255</v>
      </c>
      <c r="D107" s="1600">
        <v>69</v>
      </c>
      <c r="E107" s="1600">
        <v>110</v>
      </c>
      <c r="F107" s="106">
        <v>46</v>
      </c>
      <c r="G107" s="106">
        <v>67</v>
      </c>
      <c r="H107" s="1545">
        <v>37</v>
      </c>
      <c r="I107" s="1545">
        <v>70</v>
      </c>
      <c r="J107" s="1545">
        <v>27</v>
      </c>
      <c r="K107" s="1545">
        <v>54</v>
      </c>
      <c r="L107" s="1545">
        <v>27</v>
      </c>
      <c r="M107" s="1545">
        <v>56</v>
      </c>
      <c r="N107" s="1545">
        <v>13</v>
      </c>
      <c r="O107" s="108">
        <v>30</v>
      </c>
      <c r="P107" s="1545">
        <v>13</v>
      </c>
      <c r="Q107" s="108">
        <v>24</v>
      </c>
      <c r="R107" s="1545">
        <v>5</v>
      </c>
      <c r="S107" s="108">
        <v>10</v>
      </c>
    </row>
    <row r="108" spans="1:19" x14ac:dyDescent="0.3">
      <c r="A108" s="272" t="s">
        <v>105</v>
      </c>
      <c r="B108" s="273" t="s">
        <v>106</v>
      </c>
      <c r="C108" s="313" t="s">
        <v>251</v>
      </c>
      <c r="D108" s="1600">
        <v>741</v>
      </c>
      <c r="E108" s="1600">
        <v>1229</v>
      </c>
      <c r="F108" s="106">
        <v>726</v>
      </c>
      <c r="G108" s="106">
        <v>1226</v>
      </c>
      <c r="H108" s="1545">
        <v>624</v>
      </c>
      <c r="I108" s="1545">
        <v>1089</v>
      </c>
      <c r="J108" s="1545">
        <v>575</v>
      </c>
      <c r="K108" s="1545">
        <v>1058</v>
      </c>
      <c r="L108" s="1545">
        <v>557</v>
      </c>
      <c r="M108" s="1545">
        <v>1016</v>
      </c>
      <c r="N108" s="1545">
        <v>474</v>
      </c>
      <c r="O108" s="108">
        <v>854</v>
      </c>
      <c r="P108" s="1545">
        <v>489</v>
      </c>
      <c r="Q108" s="108">
        <v>878</v>
      </c>
      <c r="R108" s="1545">
        <v>567</v>
      </c>
      <c r="S108" s="108">
        <v>1014</v>
      </c>
    </row>
    <row r="109" spans="1:19" x14ac:dyDescent="0.3">
      <c r="A109" s="272" t="s">
        <v>115</v>
      </c>
      <c r="B109" s="273" t="s">
        <v>116</v>
      </c>
      <c r="C109" s="313" t="s">
        <v>253</v>
      </c>
      <c r="D109" s="1600">
        <v>190</v>
      </c>
      <c r="E109" s="1600">
        <v>370</v>
      </c>
      <c r="F109" s="106">
        <v>185</v>
      </c>
      <c r="G109" s="106">
        <v>347</v>
      </c>
      <c r="H109" s="1545">
        <v>177</v>
      </c>
      <c r="I109" s="1545">
        <v>347</v>
      </c>
      <c r="J109" s="1545">
        <v>166</v>
      </c>
      <c r="K109" s="1545">
        <v>311</v>
      </c>
      <c r="L109" s="1545">
        <v>149</v>
      </c>
      <c r="M109" s="1545">
        <v>270</v>
      </c>
      <c r="N109" s="1545">
        <v>137</v>
      </c>
      <c r="O109" s="108">
        <v>239</v>
      </c>
      <c r="P109" s="1545">
        <v>137</v>
      </c>
      <c r="Q109" s="108">
        <v>239</v>
      </c>
      <c r="R109" s="1545">
        <v>135</v>
      </c>
      <c r="S109" s="108">
        <v>247</v>
      </c>
    </row>
    <row r="110" spans="1:19" x14ac:dyDescent="0.3">
      <c r="A110" s="272" t="s">
        <v>137</v>
      </c>
      <c r="B110" s="273" t="s">
        <v>138</v>
      </c>
      <c r="C110" s="313" t="s">
        <v>252</v>
      </c>
      <c r="D110" s="1600">
        <v>467</v>
      </c>
      <c r="E110" s="1600">
        <v>778</v>
      </c>
      <c r="F110" s="106">
        <v>450</v>
      </c>
      <c r="G110" s="106">
        <v>734</v>
      </c>
      <c r="H110" s="1545">
        <v>456</v>
      </c>
      <c r="I110" s="1545">
        <v>767</v>
      </c>
      <c r="J110" s="1545">
        <v>421</v>
      </c>
      <c r="K110" s="1545">
        <v>719</v>
      </c>
      <c r="L110" s="1545">
        <v>354</v>
      </c>
      <c r="M110" s="1545">
        <v>616</v>
      </c>
      <c r="N110" s="1545">
        <v>263</v>
      </c>
      <c r="O110" s="108">
        <v>470</v>
      </c>
      <c r="P110" s="1545">
        <v>274</v>
      </c>
      <c r="Q110" s="108">
        <v>482</v>
      </c>
      <c r="R110" s="1545">
        <v>308</v>
      </c>
      <c r="S110" s="108">
        <v>559</v>
      </c>
    </row>
    <row r="111" spans="1:19" x14ac:dyDescent="0.3">
      <c r="A111" s="272" t="s">
        <v>141</v>
      </c>
      <c r="B111" s="273" t="s">
        <v>142</v>
      </c>
      <c r="C111" s="313" t="s">
        <v>254</v>
      </c>
      <c r="D111" s="1600">
        <v>175</v>
      </c>
      <c r="E111" s="1600">
        <v>332</v>
      </c>
      <c r="F111" s="106">
        <v>195</v>
      </c>
      <c r="G111" s="106">
        <v>372</v>
      </c>
      <c r="H111" s="1545">
        <v>219</v>
      </c>
      <c r="I111" s="1545">
        <v>403</v>
      </c>
      <c r="J111" s="1545">
        <v>187</v>
      </c>
      <c r="K111" s="1545">
        <v>331</v>
      </c>
      <c r="L111" s="1545">
        <v>138</v>
      </c>
      <c r="M111" s="1545">
        <v>257</v>
      </c>
      <c r="N111" s="1545">
        <v>138</v>
      </c>
      <c r="O111" s="108">
        <v>272</v>
      </c>
      <c r="P111" s="1545">
        <v>134</v>
      </c>
      <c r="Q111" s="108">
        <v>249</v>
      </c>
      <c r="R111" s="1545">
        <v>121</v>
      </c>
      <c r="S111" s="108">
        <v>227</v>
      </c>
    </row>
    <row r="112" spans="1:19" x14ac:dyDescent="0.3">
      <c r="A112" s="272" t="s">
        <v>143</v>
      </c>
      <c r="B112" s="273" t="s">
        <v>144</v>
      </c>
      <c r="C112" s="313" t="s">
        <v>254</v>
      </c>
      <c r="D112" s="1600">
        <v>38</v>
      </c>
      <c r="E112" s="1600">
        <v>54</v>
      </c>
      <c r="F112" s="106">
        <v>35</v>
      </c>
      <c r="G112" s="106">
        <v>55</v>
      </c>
      <c r="H112" s="1545">
        <v>50</v>
      </c>
      <c r="I112" s="1545">
        <v>84</v>
      </c>
      <c r="J112" s="1545">
        <v>38</v>
      </c>
      <c r="K112" s="1545">
        <v>69</v>
      </c>
      <c r="L112" s="1545">
        <v>29</v>
      </c>
      <c r="M112" s="1545">
        <v>50</v>
      </c>
      <c r="N112" s="1545">
        <v>25</v>
      </c>
      <c r="O112" s="108">
        <v>54</v>
      </c>
      <c r="P112" s="1545">
        <v>25</v>
      </c>
      <c r="Q112" s="108">
        <v>51</v>
      </c>
      <c r="R112" s="1545">
        <v>23</v>
      </c>
      <c r="S112" s="108">
        <v>48</v>
      </c>
    </row>
    <row r="113" spans="1:19" x14ac:dyDescent="0.3">
      <c r="A113" s="272" t="s">
        <v>157</v>
      </c>
      <c r="B113" s="273" t="s">
        <v>158</v>
      </c>
      <c r="C113" s="313" t="s">
        <v>251</v>
      </c>
      <c r="D113" s="1600">
        <v>1562</v>
      </c>
      <c r="E113" s="1600">
        <v>2734</v>
      </c>
      <c r="F113" s="106">
        <v>1439</v>
      </c>
      <c r="G113" s="106">
        <v>2515</v>
      </c>
      <c r="H113" s="1545">
        <v>1438</v>
      </c>
      <c r="I113" s="1545">
        <v>2577</v>
      </c>
      <c r="J113" s="1545">
        <v>1255</v>
      </c>
      <c r="K113" s="1545">
        <v>2356</v>
      </c>
      <c r="L113" s="1545">
        <v>1173</v>
      </c>
      <c r="M113" s="1545">
        <v>2152</v>
      </c>
      <c r="N113" s="1545">
        <v>1093</v>
      </c>
      <c r="O113" s="108">
        <v>2002</v>
      </c>
      <c r="P113" s="1545">
        <v>1128</v>
      </c>
      <c r="Q113" s="108">
        <v>2050</v>
      </c>
      <c r="R113" s="1545">
        <v>1162</v>
      </c>
      <c r="S113" s="108">
        <v>2118</v>
      </c>
    </row>
    <row r="114" spans="1:19" x14ac:dyDescent="0.3">
      <c r="A114" s="272" t="s">
        <v>159</v>
      </c>
      <c r="B114" s="273" t="s">
        <v>160</v>
      </c>
      <c r="C114" s="313" t="s">
        <v>251</v>
      </c>
      <c r="D114" s="1600">
        <v>1964</v>
      </c>
      <c r="E114" s="1600">
        <v>3265</v>
      </c>
      <c r="F114" s="106">
        <v>1880</v>
      </c>
      <c r="G114" s="106">
        <v>3179</v>
      </c>
      <c r="H114" s="1545">
        <v>1808</v>
      </c>
      <c r="I114" s="1545">
        <v>3117</v>
      </c>
      <c r="J114" s="1545">
        <v>1442</v>
      </c>
      <c r="K114" s="1545">
        <v>2565</v>
      </c>
      <c r="L114" s="1545">
        <v>1187</v>
      </c>
      <c r="M114" s="1545">
        <v>2160</v>
      </c>
      <c r="N114" s="1545">
        <v>1075</v>
      </c>
      <c r="O114" s="108">
        <v>1942</v>
      </c>
      <c r="P114" s="1545">
        <v>977</v>
      </c>
      <c r="Q114" s="108">
        <v>1798</v>
      </c>
      <c r="R114" s="1545">
        <v>1065</v>
      </c>
      <c r="S114" s="108">
        <v>1962</v>
      </c>
    </row>
    <row r="115" spans="1:19" x14ac:dyDescent="0.3">
      <c r="A115" s="272" t="s">
        <v>165</v>
      </c>
      <c r="B115" s="273" t="s">
        <v>166</v>
      </c>
      <c r="C115" s="313" t="s">
        <v>255</v>
      </c>
      <c r="D115" s="1600">
        <v>15</v>
      </c>
      <c r="E115" s="1600">
        <v>29</v>
      </c>
      <c r="F115" s="106">
        <v>17</v>
      </c>
      <c r="G115" s="106">
        <v>35</v>
      </c>
      <c r="H115" s="1545">
        <v>15</v>
      </c>
      <c r="I115" s="1545">
        <v>30</v>
      </c>
      <c r="J115" s="1545">
        <v>11</v>
      </c>
      <c r="K115" s="1545">
        <v>23</v>
      </c>
      <c r="L115" s="1545">
        <v>7</v>
      </c>
      <c r="M115" s="1545">
        <v>13</v>
      </c>
      <c r="N115" s="1545">
        <v>4</v>
      </c>
      <c r="O115" s="108">
        <v>5</v>
      </c>
      <c r="P115" s="1545">
        <v>1</v>
      </c>
      <c r="Q115" s="108">
        <v>1</v>
      </c>
      <c r="R115" s="1545">
        <v>0</v>
      </c>
      <c r="S115" s="108">
        <v>0</v>
      </c>
    </row>
    <row r="116" spans="1:19" x14ac:dyDescent="0.3">
      <c r="A116" s="272" t="s">
        <v>175</v>
      </c>
      <c r="B116" s="273" t="s">
        <v>176</v>
      </c>
      <c r="C116" s="313" t="s">
        <v>253</v>
      </c>
      <c r="D116" s="1600">
        <v>385</v>
      </c>
      <c r="E116" s="1600">
        <v>636</v>
      </c>
      <c r="F116" s="106">
        <v>447</v>
      </c>
      <c r="G116" s="106">
        <v>741</v>
      </c>
      <c r="H116" s="1545">
        <v>428</v>
      </c>
      <c r="I116" s="1545">
        <v>727</v>
      </c>
      <c r="J116" s="1545">
        <v>303</v>
      </c>
      <c r="K116" s="1545">
        <v>536</v>
      </c>
      <c r="L116" s="1545">
        <v>242</v>
      </c>
      <c r="M116" s="1545">
        <v>424</v>
      </c>
      <c r="N116" s="1545">
        <v>191</v>
      </c>
      <c r="O116" s="108">
        <v>342</v>
      </c>
      <c r="P116" s="1545">
        <v>208</v>
      </c>
      <c r="Q116" s="108">
        <v>362</v>
      </c>
      <c r="R116" s="1545">
        <v>246</v>
      </c>
      <c r="S116" s="108">
        <v>434</v>
      </c>
    </row>
    <row r="117" spans="1:19" x14ac:dyDescent="0.3">
      <c r="A117" s="272" t="s">
        <v>179</v>
      </c>
      <c r="B117" s="273" t="s">
        <v>180</v>
      </c>
      <c r="C117" s="313" t="s">
        <v>251</v>
      </c>
      <c r="D117" s="1600">
        <v>628</v>
      </c>
      <c r="E117" s="1600">
        <v>1085</v>
      </c>
      <c r="F117" s="106">
        <v>607</v>
      </c>
      <c r="G117" s="106">
        <v>1050</v>
      </c>
      <c r="H117" s="1545">
        <v>638</v>
      </c>
      <c r="I117" s="1545">
        <v>1136</v>
      </c>
      <c r="J117" s="1545">
        <v>643</v>
      </c>
      <c r="K117" s="1545">
        <v>1198</v>
      </c>
      <c r="L117" s="1545">
        <v>521</v>
      </c>
      <c r="M117" s="1545">
        <v>947</v>
      </c>
      <c r="N117" s="1545">
        <v>413</v>
      </c>
      <c r="O117" s="108">
        <v>760</v>
      </c>
      <c r="P117" s="1545">
        <v>424</v>
      </c>
      <c r="Q117" s="108">
        <v>802</v>
      </c>
      <c r="R117" s="1545">
        <v>447</v>
      </c>
      <c r="S117" s="108">
        <v>871</v>
      </c>
    </row>
    <row r="118" spans="1:19" x14ac:dyDescent="0.3">
      <c r="A118" s="272" t="s">
        <v>191</v>
      </c>
      <c r="B118" s="273" t="s">
        <v>192</v>
      </c>
      <c r="C118" s="313" t="s">
        <v>255</v>
      </c>
      <c r="D118" s="1600">
        <v>40</v>
      </c>
      <c r="E118" s="1600">
        <v>78</v>
      </c>
      <c r="F118" s="106">
        <v>46</v>
      </c>
      <c r="G118" s="106">
        <v>90</v>
      </c>
      <c r="H118" s="1545">
        <v>46</v>
      </c>
      <c r="I118" s="1545">
        <v>83</v>
      </c>
      <c r="J118" s="1545">
        <v>46</v>
      </c>
      <c r="K118" s="1545">
        <v>79</v>
      </c>
      <c r="L118" s="1545">
        <v>32</v>
      </c>
      <c r="M118" s="1545">
        <v>62</v>
      </c>
      <c r="N118" s="1545">
        <v>34</v>
      </c>
      <c r="O118" s="108">
        <v>62</v>
      </c>
      <c r="P118" s="1545">
        <v>30</v>
      </c>
      <c r="Q118" s="108">
        <v>54</v>
      </c>
      <c r="R118" s="1545">
        <v>36</v>
      </c>
      <c r="S118" s="108">
        <v>61</v>
      </c>
    </row>
    <row r="119" spans="1:19" x14ac:dyDescent="0.3">
      <c r="A119" s="272" t="s">
        <v>195</v>
      </c>
      <c r="B119" s="273" t="s">
        <v>196</v>
      </c>
      <c r="C119" s="313" t="s">
        <v>253</v>
      </c>
      <c r="D119" s="1600">
        <v>2163</v>
      </c>
      <c r="E119" s="1600">
        <v>3732</v>
      </c>
      <c r="F119" s="106">
        <v>1867</v>
      </c>
      <c r="G119" s="106">
        <v>3312</v>
      </c>
      <c r="H119" s="1545">
        <v>1527</v>
      </c>
      <c r="I119" s="1545">
        <v>2707</v>
      </c>
      <c r="J119" s="1545">
        <v>1322</v>
      </c>
      <c r="K119" s="1545">
        <v>2392</v>
      </c>
      <c r="L119" s="1545">
        <v>1079</v>
      </c>
      <c r="M119" s="1545">
        <v>1979</v>
      </c>
      <c r="N119" s="1545">
        <v>892</v>
      </c>
      <c r="O119" s="108">
        <v>1621</v>
      </c>
      <c r="P119" s="1545">
        <v>846</v>
      </c>
      <c r="Q119" s="108">
        <v>1577</v>
      </c>
      <c r="R119" s="1545">
        <v>855</v>
      </c>
      <c r="S119" s="108">
        <v>1589</v>
      </c>
    </row>
    <row r="120" spans="1:19" x14ac:dyDescent="0.3">
      <c r="A120" s="272" t="s">
        <v>199</v>
      </c>
      <c r="B120" s="273" t="s">
        <v>200</v>
      </c>
      <c r="C120" s="313" t="s">
        <v>252</v>
      </c>
      <c r="D120" s="1600">
        <v>954</v>
      </c>
      <c r="E120" s="1600">
        <v>1662</v>
      </c>
      <c r="F120" s="106">
        <v>881</v>
      </c>
      <c r="G120" s="106">
        <v>1531</v>
      </c>
      <c r="H120" s="1545">
        <v>932</v>
      </c>
      <c r="I120" s="1545">
        <v>1653</v>
      </c>
      <c r="J120" s="1545">
        <v>860</v>
      </c>
      <c r="K120" s="1545">
        <v>1541</v>
      </c>
      <c r="L120" s="1545">
        <v>791</v>
      </c>
      <c r="M120" s="1545">
        <v>1454</v>
      </c>
      <c r="N120" s="1545">
        <v>634</v>
      </c>
      <c r="O120" s="108">
        <v>1193</v>
      </c>
      <c r="P120" s="1545">
        <v>620</v>
      </c>
      <c r="Q120" s="108">
        <v>1164</v>
      </c>
      <c r="R120" s="1545">
        <v>673</v>
      </c>
      <c r="S120" s="108">
        <v>1266</v>
      </c>
    </row>
    <row r="121" spans="1:19" x14ac:dyDescent="0.3">
      <c r="A121" s="272" t="s">
        <v>221</v>
      </c>
      <c r="B121" s="273" t="s">
        <v>222</v>
      </c>
      <c r="C121" s="313" t="s">
        <v>251</v>
      </c>
      <c r="D121" s="1600">
        <v>269</v>
      </c>
      <c r="E121" s="1600">
        <v>445</v>
      </c>
      <c r="F121" s="106">
        <v>278</v>
      </c>
      <c r="G121" s="106">
        <v>442</v>
      </c>
      <c r="H121" s="1545">
        <v>289</v>
      </c>
      <c r="I121" s="1545">
        <v>463</v>
      </c>
      <c r="J121" s="1545">
        <v>230</v>
      </c>
      <c r="K121" s="1545">
        <v>400</v>
      </c>
      <c r="L121" s="1545">
        <v>220</v>
      </c>
      <c r="M121" s="1545">
        <v>368</v>
      </c>
      <c r="N121" s="1545">
        <v>177</v>
      </c>
      <c r="O121" s="108">
        <v>296</v>
      </c>
      <c r="P121" s="1545">
        <v>193</v>
      </c>
      <c r="Q121" s="108">
        <v>319</v>
      </c>
      <c r="R121" s="1545">
        <v>194</v>
      </c>
      <c r="S121" s="108">
        <v>342</v>
      </c>
    </row>
    <row r="122" spans="1:19" x14ac:dyDescent="0.3">
      <c r="A122" s="272" t="s">
        <v>229</v>
      </c>
      <c r="B122" s="273" t="s">
        <v>230</v>
      </c>
      <c r="C122" s="313" t="s">
        <v>251</v>
      </c>
      <c r="D122" s="1600">
        <v>1740</v>
      </c>
      <c r="E122" s="1600">
        <v>2807</v>
      </c>
      <c r="F122" s="106">
        <v>1670</v>
      </c>
      <c r="G122" s="106">
        <v>2745</v>
      </c>
      <c r="H122" s="1545">
        <v>1644</v>
      </c>
      <c r="I122" s="1545">
        <v>2742</v>
      </c>
      <c r="J122" s="1545">
        <v>1193</v>
      </c>
      <c r="K122" s="1545">
        <v>2029</v>
      </c>
      <c r="L122" s="1545">
        <v>1101</v>
      </c>
      <c r="M122" s="1545">
        <v>1902</v>
      </c>
      <c r="N122" s="1545">
        <v>1027</v>
      </c>
      <c r="O122" s="108">
        <v>1777</v>
      </c>
      <c r="P122" s="1545">
        <v>936</v>
      </c>
      <c r="Q122" s="108">
        <v>1658</v>
      </c>
      <c r="R122" s="1545">
        <v>952</v>
      </c>
      <c r="S122" s="108">
        <v>1717</v>
      </c>
    </row>
    <row r="123" spans="1:19" x14ac:dyDescent="0.3">
      <c r="A123" s="272" t="s">
        <v>237</v>
      </c>
      <c r="B123" s="273" t="s">
        <v>238</v>
      </c>
      <c r="C123" s="313" t="s">
        <v>251</v>
      </c>
      <c r="D123" s="1600">
        <v>41</v>
      </c>
      <c r="E123" s="1600">
        <v>75</v>
      </c>
      <c r="F123" s="106">
        <v>48</v>
      </c>
      <c r="G123" s="106">
        <v>94</v>
      </c>
      <c r="H123" s="1545">
        <v>63</v>
      </c>
      <c r="I123" s="1545">
        <v>109</v>
      </c>
      <c r="J123" s="1545">
        <v>55</v>
      </c>
      <c r="K123" s="1545">
        <v>92</v>
      </c>
      <c r="L123" s="1545">
        <v>46</v>
      </c>
      <c r="M123" s="1545">
        <v>77</v>
      </c>
      <c r="N123" s="1545">
        <v>34</v>
      </c>
      <c r="O123" s="108">
        <v>63</v>
      </c>
      <c r="P123" s="1545">
        <v>40</v>
      </c>
      <c r="Q123" s="108">
        <v>78</v>
      </c>
      <c r="R123" s="1545">
        <v>33</v>
      </c>
      <c r="S123" s="108">
        <v>61</v>
      </c>
    </row>
    <row r="124" spans="1:19" x14ac:dyDescent="0.3">
      <c r="A124" s="272" t="s">
        <v>239</v>
      </c>
      <c r="B124" s="273" t="s">
        <v>240</v>
      </c>
      <c r="C124" s="313" t="s">
        <v>254</v>
      </c>
      <c r="D124" s="1600">
        <v>136</v>
      </c>
      <c r="E124" s="1600">
        <v>240</v>
      </c>
      <c r="F124" s="106">
        <v>124</v>
      </c>
      <c r="G124" s="106">
        <v>220</v>
      </c>
      <c r="H124" s="1545">
        <v>113</v>
      </c>
      <c r="I124" s="1545">
        <v>185</v>
      </c>
      <c r="J124" s="1545">
        <v>86</v>
      </c>
      <c r="K124" s="1545">
        <v>150</v>
      </c>
      <c r="L124" s="1545">
        <v>77</v>
      </c>
      <c r="M124" s="1545">
        <v>129</v>
      </c>
      <c r="N124" s="1545">
        <v>79</v>
      </c>
      <c r="O124" s="108">
        <v>130</v>
      </c>
      <c r="P124" s="1545">
        <v>73</v>
      </c>
      <c r="Q124" s="108">
        <v>125</v>
      </c>
      <c r="R124" s="1545">
        <v>83</v>
      </c>
      <c r="S124" s="108">
        <v>142</v>
      </c>
    </row>
    <row r="126" spans="1:19" s="275" customFormat="1" ht="32.25" customHeight="1" x14ac:dyDescent="0.3">
      <c r="A126" s="2540" t="s">
        <v>889</v>
      </c>
      <c r="B126" s="2540"/>
      <c r="C126" s="2540"/>
      <c r="D126" s="2540"/>
      <c r="E126" s="2540"/>
      <c r="F126" s="2540"/>
      <c r="G126" s="2540"/>
      <c r="H126" s="2540"/>
      <c r="I126" s="2540"/>
      <c r="J126" s="2540"/>
      <c r="K126" s="1570"/>
      <c r="L126" s="1539"/>
      <c r="M126" s="1570"/>
      <c r="N126" s="1570"/>
      <c r="P126" s="1945"/>
      <c r="R126" s="2084"/>
    </row>
    <row r="127" spans="1:19" s="275" customFormat="1" x14ac:dyDescent="0.3">
      <c r="A127" s="2540"/>
      <c r="B127" s="2540"/>
      <c r="C127" s="2540"/>
      <c r="D127" s="2540"/>
      <c r="E127" s="2540"/>
      <c r="F127" s="2540"/>
      <c r="G127" s="2540"/>
      <c r="H127" s="2540"/>
      <c r="I127" s="2540"/>
      <c r="J127" s="2540"/>
      <c r="K127" s="1570"/>
      <c r="L127" s="1539"/>
      <c r="M127" s="1570"/>
      <c r="N127" s="1570"/>
      <c r="P127" s="1945"/>
      <c r="R127" s="2084"/>
    </row>
    <row r="128" spans="1:19" s="275" customFormat="1" x14ac:dyDescent="0.3">
      <c r="A128" s="1540"/>
      <c r="B128" s="1540"/>
      <c r="C128" s="1540"/>
      <c r="D128" s="1571"/>
      <c r="E128" s="1571"/>
      <c r="F128" s="1540"/>
      <c r="G128" s="1571"/>
    </row>
    <row r="129" spans="1:5" s="193" customFormat="1" x14ac:dyDescent="0.3">
      <c r="A129" s="193" t="s">
        <v>247</v>
      </c>
    </row>
    <row r="130" spans="1:5" s="193" customFormat="1" x14ac:dyDescent="0.3">
      <c r="A130" s="194" t="s">
        <v>248</v>
      </c>
      <c r="B130" s="195" t="s">
        <v>249</v>
      </c>
      <c r="C130" s="195"/>
      <c r="D130" s="195"/>
      <c r="E130" s="195"/>
    </row>
  </sheetData>
  <sortState ref="A5:O124">
    <sortCondition ref="A5:A124"/>
  </sortState>
  <mergeCells count="9">
    <mergeCell ref="R2:S2"/>
    <mergeCell ref="P2:Q2"/>
    <mergeCell ref="A126:J127"/>
    <mergeCell ref="N2:O2"/>
    <mergeCell ref="L2:M2"/>
    <mergeCell ref="J2:K2"/>
    <mergeCell ref="F2:G2"/>
    <mergeCell ref="H2:I2"/>
    <mergeCell ref="D2:E2"/>
  </mergeCells>
  <hyperlinks>
    <hyperlink ref="B130" r:id="rId1"/>
  </hyperlink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1"/>
  <sheetViews>
    <sheetView workbookViewId="0">
      <pane xSplit="3" ySplit="4" topLeftCell="D5" activePane="bottomRight" state="frozen"/>
      <selection pane="topRight" activeCell="D1" sqref="D1"/>
      <selection pane="bottomLeft" activeCell="A5" sqref="A5"/>
      <selection pane="bottomRight" activeCell="M6" sqref="M6"/>
    </sheetView>
  </sheetViews>
  <sheetFormatPr defaultColWidth="9" defaultRowHeight="15.6" x14ac:dyDescent="0.3"/>
  <cols>
    <col min="1" max="1" width="9" style="105"/>
    <col min="2" max="2" width="34.296875" style="105" customWidth="1"/>
    <col min="3" max="3" width="15" style="105" customWidth="1"/>
    <col min="4" max="4" width="11.09765625" style="105" customWidth="1"/>
    <col min="5" max="6" width="11.296875" style="105" customWidth="1"/>
    <col min="7" max="7" width="12.59765625" style="105" bestFit="1" customWidth="1"/>
    <col min="8" max="12" width="12.59765625" style="105" customWidth="1"/>
    <col min="13" max="13" width="9" style="105"/>
    <col min="14" max="14" width="9.19921875" style="105" customWidth="1"/>
    <col min="15" max="16384" width="9" style="105"/>
  </cols>
  <sheetData>
    <row r="1" spans="1:12" x14ac:dyDescent="0.3">
      <c r="A1" s="2" t="s">
        <v>860</v>
      </c>
    </row>
    <row r="3" spans="1:12" x14ac:dyDescent="0.3">
      <c r="A3" s="2" t="s">
        <v>4</v>
      </c>
      <c r="B3" s="2" t="s">
        <v>5</v>
      </c>
      <c r="C3" s="2" t="s">
        <v>250</v>
      </c>
      <c r="D3" s="2">
        <v>2012</v>
      </c>
      <c r="E3" s="2">
        <v>2013</v>
      </c>
      <c r="F3" s="2">
        <v>2014</v>
      </c>
      <c r="G3" s="2">
        <v>2015</v>
      </c>
      <c r="H3" s="2">
        <v>2016</v>
      </c>
      <c r="I3" s="2">
        <v>2017</v>
      </c>
      <c r="J3" s="2">
        <v>2018</v>
      </c>
      <c r="K3" s="2">
        <v>2019</v>
      </c>
      <c r="L3" s="2">
        <v>2020</v>
      </c>
    </row>
    <row r="4" spans="1:12" x14ac:dyDescent="0.3">
      <c r="A4" s="1574">
        <v>999</v>
      </c>
      <c r="B4" s="1572" t="s">
        <v>529</v>
      </c>
      <c r="C4" s="1572"/>
      <c r="D4" s="1573">
        <v>1578627</v>
      </c>
      <c r="E4" s="1573">
        <v>1640832</v>
      </c>
      <c r="F4" s="1573">
        <v>1656128</v>
      </c>
      <c r="G4" s="1573">
        <v>1644999</v>
      </c>
      <c r="H4" s="1573">
        <v>1632743</v>
      </c>
      <c r="I4" s="1573">
        <v>1646126</v>
      </c>
      <c r="J4" s="1573">
        <v>1610356</v>
      </c>
      <c r="K4" s="1573">
        <v>1730211</v>
      </c>
      <c r="L4" s="1573">
        <v>1894268</v>
      </c>
    </row>
    <row r="5" spans="1:12" x14ac:dyDescent="0.3">
      <c r="A5" s="272" t="s">
        <v>9</v>
      </c>
      <c r="B5" s="273" t="s">
        <v>10</v>
      </c>
      <c r="C5" s="308" t="s">
        <v>251</v>
      </c>
      <c r="D5" s="108">
        <v>11400</v>
      </c>
      <c r="E5" s="106">
        <v>12029</v>
      </c>
      <c r="F5" s="106">
        <v>11868</v>
      </c>
      <c r="G5" s="108">
        <v>11785</v>
      </c>
      <c r="H5" s="108">
        <v>11816</v>
      </c>
      <c r="I5" s="108">
        <v>11303</v>
      </c>
      <c r="J5" s="108">
        <v>10951</v>
      </c>
      <c r="K5" s="108">
        <v>11662</v>
      </c>
      <c r="L5" s="108">
        <v>12091</v>
      </c>
    </row>
    <row r="6" spans="1:12" x14ac:dyDescent="0.3">
      <c r="A6" s="272" t="s">
        <v>11</v>
      </c>
      <c r="B6" s="273" t="s">
        <v>12</v>
      </c>
      <c r="C6" s="308" t="s">
        <v>252</v>
      </c>
      <c r="D6" s="108">
        <v>12890</v>
      </c>
      <c r="E6" s="106">
        <v>13764</v>
      </c>
      <c r="F6" s="106">
        <v>13750</v>
      </c>
      <c r="G6" s="108">
        <v>14117</v>
      </c>
      <c r="H6" s="108">
        <v>13595</v>
      </c>
      <c r="I6" s="108">
        <v>13724</v>
      </c>
      <c r="J6" s="108">
        <v>12871</v>
      </c>
      <c r="K6" s="108">
        <v>14317</v>
      </c>
      <c r="L6" s="108">
        <v>16132</v>
      </c>
    </row>
    <row r="7" spans="1:12" x14ac:dyDescent="0.3">
      <c r="A7" s="272" t="s">
        <v>15</v>
      </c>
      <c r="B7" s="273" t="s">
        <v>273</v>
      </c>
      <c r="C7" s="308" t="s">
        <v>252</v>
      </c>
      <c r="D7" s="108">
        <v>6813</v>
      </c>
      <c r="E7" s="106">
        <v>7232</v>
      </c>
      <c r="F7" s="106">
        <v>7042</v>
      </c>
      <c r="G7" s="108">
        <v>7061</v>
      </c>
      <c r="H7" s="108">
        <v>7067</v>
      </c>
      <c r="I7" s="108">
        <v>7172</v>
      </c>
      <c r="J7" s="108">
        <v>6683</v>
      </c>
      <c r="K7" s="108">
        <v>7061</v>
      </c>
      <c r="L7" s="108">
        <v>7469</v>
      </c>
    </row>
    <row r="8" spans="1:12" x14ac:dyDescent="0.3">
      <c r="A8" s="272" t="s">
        <v>17</v>
      </c>
      <c r="B8" s="273" t="s">
        <v>18</v>
      </c>
      <c r="C8" s="308" t="s">
        <v>253</v>
      </c>
      <c r="D8" s="108">
        <v>3728</v>
      </c>
      <c r="E8" s="106">
        <v>3746</v>
      </c>
      <c r="F8" s="106">
        <v>3531</v>
      </c>
      <c r="G8" s="108">
        <v>3458</v>
      </c>
      <c r="H8" s="108">
        <v>3408</v>
      </c>
      <c r="I8" s="108">
        <v>3474</v>
      </c>
      <c r="J8" s="108">
        <v>3211</v>
      </c>
      <c r="K8" s="108">
        <v>3433</v>
      </c>
      <c r="L8" s="108">
        <v>3618</v>
      </c>
    </row>
    <row r="9" spans="1:12" x14ac:dyDescent="0.3">
      <c r="A9" s="272" t="s">
        <v>19</v>
      </c>
      <c r="B9" s="273" t="s">
        <v>20</v>
      </c>
      <c r="C9" s="308" t="s">
        <v>252</v>
      </c>
      <c r="D9" s="108">
        <v>7689</v>
      </c>
      <c r="E9" s="106">
        <v>8189</v>
      </c>
      <c r="F9" s="106">
        <v>7812</v>
      </c>
      <c r="G9" s="108">
        <v>7725</v>
      </c>
      <c r="H9" s="108">
        <v>7939</v>
      </c>
      <c r="I9" s="108">
        <v>8229</v>
      </c>
      <c r="J9" s="108">
        <v>7873</v>
      </c>
      <c r="K9" s="108">
        <v>8290</v>
      </c>
      <c r="L9" s="108">
        <v>8986</v>
      </c>
    </row>
    <row r="10" spans="1:12" x14ac:dyDescent="0.3">
      <c r="A10" s="272" t="s">
        <v>21</v>
      </c>
      <c r="B10" s="273" t="s">
        <v>22</v>
      </c>
      <c r="C10" s="308" t="s">
        <v>252</v>
      </c>
      <c r="D10" s="108">
        <v>4553</v>
      </c>
      <c r="E10" s="106">
        <v>4824</v>
      </c>
      <c r="F10" s="106">
        <v>4717</v>
      </c>
      <c r="G10" s="108">
        <v>4709</v>
      </c>
      <c r="H10" s="108">
        <v>4750</v>
      </c>
      <c r="I10" s="108">
        <v>4818</v>
      </c>
      <c r="J10" s="108">
        <v>4555</v>
      </c>
      <c r="K10" s="108">
        <v>4738</v>
      </c>
      <c r="L10" s="108">
        <v>4985</v>
      </c>
    </row>
    <row r="11" spans="1:12" x14ac:dyDescent="0.3">
      <c r="A11" s="272" t="s">
        <v>23</v>
      </c>
      <c r="B11" s="273" t="s">
        <v>24</v>
      </c>
      <c r="C11" s="308" t="s">
        <v>254</v>
      </c>
      <c r="D11" s="108">
        <v>16343</v>
      </c>
      <c r="E11" s="106">
        <v>17982</v>
      </c>
      <c r="F11" s="106">
        <v>18759</v>
      </c>
      <c r="G11" s="108">
        <v>19669</v>
      </c>
      <c r="H11" s="108">
        <v>19581</v>
      </c>
      <c r="I11" s="108">
        <v>19972</v>
      </c>
      <c r="J11" s="108">
        <v>19372</v>
      </c>
      <c r="K11" s="108">
        <v>21922</v>
      </c>
      <c r="L11" s="108">
        <v>24430</v>
      </c>
    </row>
    <row r="12" spans="1:12" x14ac:dyDescent="0.3">
      <c r="A12" s="272" t="s">
        <v>25</v>
      </c>
      <c r="B12" s="273" t="s">
        <v>444</v>
      </c>
      <c r="C12" s="308" t="s">
        <v>252</v>
      </c>
      <c r="D12" s="108">
        <v>29392</v>
      </c>
      <c r="E12" s="106">
        <v>32975</v>
      </c>
      <c r="F12" s="106">
        <v>30798</v>
      </c>
      <c r="G12" s="108">
        <v>30323</v>
      </c>
      <c r="H12" s="108">
        <v>30029</v>
      </c>
      <c r="I12" s="108">
        <v>30814</v>
      </c>
      <c r="J12" s="108">
        <v>28259</v>
      </c>
      <c r="K12" s="108">
        <v>30184</v>
      </c>
      <c r="L12" s="108">
        <v>33487</v>
      </c>
    </row>
    <row r="13" spans="1:12" x14ac:dyDescent="0.3">
      <c r="A13" s="272" t="s">
        <v>26</v>
      </c>
      <c r="B13" s="273" t="s">
        <v>27</v>
      </c>
      <c r="C13" s="313" t="s">
        <v>252</v>
      </c>
      <c r="D13" s="108">
        <v>952</v>
      </c>
      <c r="E13" s="106">
        <v>1082</v>
      </c>
      <c r="F13" s="106">
        <v>981</v>
      </c>
      <c r="G13" s="108">
        <v>1025</v>
      </c>
      <c r="H13" s="108">
        <v>1003</v>
      </c>
      <c r="I13" s="108">
        <v>945</v>
      </c>
      <c r="J13" s="108">
        <v>910</v>
      </c>
      <c r="K13" s="108">
        <v>1043</v>
      </c>
      <c r="L13" s="108">
        <v>1123</v>
      </c>
    </row>
    <row r="14" spans="1:12" x14ac:dyDescent="0.3">
      <c r="A14" s="272" t="s">
        <v>28</v>
      </c>
      <c r="B14" s="273" t="s">
        <v>568</v>
      </c>
      <c r="C14" s="313" t="s">
        <v>252</v>
      </c>
      <c r="D14" s="108">
        <v>13938</v>
      </c>
      <c r="E14" s="106">
        <v>14879</v>
      </c>
      <c r="F14" s="106">
        <v>15695</v>
      </c>
      <c r="G14" s="108">
        <v>14177</v>
      </c>
      <c r="H14" s="108">
        <v>13795</v>
      </c>
      <c r="I14" s="108">
        <v>13894</v>
      </c>
      <c r="J14" s="108">
        <v>13466</v>
      </c>
      <c r="K14" s="108">
        <v>14608</v>
      </c>
      <c r="L14" s="108">
        <v>15895</v>
      </c>
    </row>
    <row r="15" spans="1:12" x14ac:dyDescent="0.3">
      <c r="A15" s="272" t="s">
        <v>29</v>
      </c>
      <c r="B15" s="273" t="s">
        <v>30</v>
      </c>
      <c r="C15" s="313" t="s">
        <v>255</v>
      </c>
      <c r="D15" s="108">
        <v>1340</v>
      </c>
      <c r="E15" s="106">
        <v>1458</v>
      </c>
      <c r="F15" s="106">
        <v>1363</v>
      </c>
      <c r="G15" s="108">
        <v>1374</v>
      </c>
      <c r="H15" s="108">
        <v>1373</v>
      </c>
      <c r="I15" s="108">
        <v>1316</v>
      </c>
      <c r="J15" s="108">
        <v>1277</v>
      </c>
      <c r="K15" s="108">
        <v>1383</v>
      </c>
      <c r="L15" s="108">
        <v>1815</v>
      </c>
    </row>
    <row r="16" spans="1:12" x14ac:dyDescent="0.3">
      <c r="A16" s="272" t="s">
        <v>31</v>
      </c>
      <c r="B16" s="273" t="s">
        <v>32</v>
      </c>
      <c r="C16" s="313" t="s">
        <v>252</v>
      </c>
      <c r="D16" s="108">
        <v>3786</v>
      </c>
      <c r="E16" s="106">
        <v>4106</v>
      </c>
      <c r="F16" s="106">
        <v>4200</v>
      </c>
      <c r="G16" s="108">
        <v>4453</v>
      </c>
      <c r="H16" s="108">
        <v>4658</v>
      </c>
      <c r="I16" s="108">
        <v>4805</v>
      </c>
      <c r="J16" s="108">
        <v>4524</v>
      </c>
      <c r="K16" s="108">
        <v>4978</v>
      </c>
      <c r="L16" s="108">
        <v>5352</v>
      </c>
    </row>
    <row r="17" spans="1:12" x14ac:dyDescent="0.3">
      <c r="A17" s="272" t="s">
        <v>35</v>
      </c>
      <c r="B17" s="273" t="s">
        <v>36</v>
      </c>
      <c r="C17" s="313" t="s">
        <v>251</v>
      </c>
      <c r="D17" s="108">
        <v>6180</v>
      </c>
      <c r="E17" s="106">
        <v>6360</v>
      </c>
      <c r="F17" s="106">
        <v>6307</v>
      </c>
      <c r="G17" s="108">
        <v>6244</v>
      </c>
      <c r="H17" s="108">
        <v>6261</v>
      </c>
      <c r="I17" s="108">
        <v>6271</v>
      </c>
      <c r="J17" s="108">
        <v>5891</v>
      </c>
      <c r="K17" s="108">
        <v>5991</v>
      </c>
      <c r="L17" s="108">
        <v>7152</v>
      </c>
    </row>
    <row r="18" spans="1:12" x14ac:dyDescent="0.3">
      <c r="A18" s="272" t="s">
        <v>37</v>
      </c>
      <c r="B18" s="273" t="s">
        <v>38</v>
      </c>
      <c r="C18" s="313" t="s">
        <v>255</v>
      </c>
      <c r="D18" s="108">
        <v>8054</v>
      </c>
      <c r="E18" s="106">
        <v>8681</v>
      </c>
      <c r="F18" s="106">
        <v>8496</v>
      </c>
      <c r="G18" s="108">
        <v>8602</v>
      </c>
      <c r="H18" s="108">
        <v>8744</v>
      </c>
      <c r="I18" s="108">
        <v>8731</v>
      </c>
      <c r="J18" s="108">
        <v>8397</v>
      </c>
      <c r="K18" s="108">
        <v>8813</v>
      </c>
      <c r="L18" s="108">
        <v>9556</v>
      </c>
    </row>
    <row r="19" spans="1:12" x14ac:dyDescent="0.3">
      <c r="A19" s="272" t="s">
        <v>39</v>
      </c>
      <c r="B19" s="273" t="s">
        <v>40</v>
      </c>
      <c r="C19" s="313" t="s">
        <v>253</v>
      </c>
      <c r="D19" s="108">
        <v>5580</v>
      </c>
      <c r="E19" s="106">
        <v>5813</v>
      </c>
      <c r="F19" s="106">
        <v>5550</v>
      </c>
      <c r="G19" s="108">
        <v>5544</v>
      </c>
      <c r="H19" s="108">
        <v>5308</v>
      </c>
      <c r="I19" s="108">
        <v>5368</v>
      </c>
      <c r="J19" s="108">
        <v>5072</v>
      </c>
      <c r="K19" s="108">
        <v>5346</v>
      </c>
      <c r="L19" s="108">
        <v>6661</v>
      </c>
    </row>
    <row r="20" spans="1:12" x14ac:dyDescent="0.3">
      <c r="A20" s="272" t="s">
        <v>41</v>
      </c>
      <c r="B20" s="273" t="s">
        <v>42</v>
      </c>
      <c r="C20" s="313" t="s">
        <v>252</v>
      </c>
      <c r="D20" s="108">
        <v>14188</v>
      </c>
      <c r="E20" s="106">
        <v>15002</v>
      </c>
      <c r="F20" s="106">
        <v>14814</v>
      </c>
      <c r="G20" s="108">
        <v>15023</v>
      </c>
      <c r="H20" s="108">
        <v>15061</v>
      </c>
      <c r="I20" s="108">
        <v>14953</v>
      </c>
      <c r="J20" s="108">
        <v>14009</v>
      </c>
      <c r="K20" s="108">
        <v>14989</v>
      </c>
      <c r="L20" s="108">
        <v>16113</v>
      </c>
    </row>
    <row r="21" spans="1:12" x14ac:dyDescent="0.3">
      <c r="A21" s="272" t="s">
        <v>43</v>
      </c>
      <c r="B21" s="273" t="s">
        <v>44</v>
      </c>
      <c r="C21" s="313" t="s">
        <v>253</v>
      </c>
      <c r="D21" s="108">
        <v>8455</v>
      </c>
      <c r="E21" s="106">
        <v>8950</v>
      </c>
      <c r="F21" s="106">
        <v>8601</v>
      </c>
      <c r="G21" s="108">
        <v>8829</v>
      </c>
      <c r="H21" s="108">
        <v>8718</v>
      </c>
      <c r="I21" s="108">
        <v>8527</v>
      </c>
      <c r="J21" s="108">
        <v>7941</v>
      </c>
      <c r="K21" s="108">
        <v>8344</v>
      </c>
      <c r="L21" s="108">
        <v>8999</v>
      </c>
    </row>
    <row r="22" spans="1:12" x14ac:dyDescent="0.3">
      <c r="A22" s="272" t="s">
        <v>45</v>
      </c>
      <c r="B22" s="273" t="s">
        <v>46</v>
      </c>
      <c r="C22" s="313" t="s">
        <v>255</v>
      </c>
      <c r="D22" s="108">
        <v>9725</v>
      </c>
      <c r="E22" s="106">
        <v>10163</v>
      </c>
      <c r="F22" s="106">
        <v>9884</v>
      </c>
      <c r="G22" s="108">
        <v>9765</v>
      </c>
      <c r="H22" s="108">
        <v>9628</v>
      </c>
      <c r="I22" s="108">
        <v>9511</v>
      </c>
      <c r="J22" s="108">
        <v>9059</v>
      </c>
      <c r="K22" s="108">
        <v>9792</v>
      </c>
      <c r="L22" s="108">
        <v>10412</v>
      </c>
    </row>
    <row r="23" spans="1:12" x14ac:dyDescent="0.3">
      <c r="A23" s="272" t="s">
        <v>47</v>
      </c>
      <c r="B23" s="273" t="s">
        <v>256</v>
      </c>
      <c r="C23" s="313" t="s">
        <v>253</v>
      </c>
      <c r="D23" s="108">
        <v>1845</v>
      </c>
      <c r="E23" s="106">
        <v>1978</v>
      </c>
      <c r="F23" s="106">
        <v>1880</v>
      </c>
      <c r="G23" s="108">
        <v>1884</v>
      </c>
      <c r="H23" s="108">
        <v>1923</v>
      </c>
      <c r="I23" s="108">
        <v>1887</v>
      </c>
      <c r="J23" s="108">
        <v>1833</v>
      </c>
      <c r="K23" s="108">
        <v>1914</v>
      </c>
      <c r="L23" s="108">
        <v>2002</v>
      </c>
    </row>
    <row r="24" spans="1:12" x14ac:dyDescent="0.3">
      <c r="A24" s="272" t="s">
        <v>49</v>
      </c>
      <c r="B24" s="273" t="s">
        <v>50</v>
      </c>
      <c r="C24" s="313" t="s">
        <v>252</v>
      </c>
      <c r="D24" s="108">
        <v>4434</v>
      </c>
      <c r="E24" s="106">
        <v>4508</v>
      </c>
      <c r="F24" s="106">
        <v>4263</v>
      </c>
      <c r="G24" s="108">
        <v>4294</v>
      </c>
      <c r="H24" s="108">
        <v>4217</v>
      </c>
      <c r="I24" s="108">
        <v>4228</v>
      </c>
      <c r="J24" s="108">
        <v>3949</v>
      </c>
      <c r="K24" s="108">
        <v>4178</v>
      </c>
      <c r="L24" s="108">
        <v>4354</v>
      </c>
    </row>
    <row r="25" spans="1:12" x14ac:dyDescent="0.3">
      <c r="A25" s="272" t="s">
        <v>55</v>
      </c>
      <c r="B25" s="273" t="s">
        <v>271</v>
      </c>
      <c r="C25" s="313" t="s">
        <v>253</v>
      </c>
      <c r="D25" s="108">
        <v>59614</v>
      </c>
      <c r="E25" s="106">
        <v>64839</v>
      </c>
      <c r="F25" s="106">
        <v>65215</v>
      </c>
      <c r="G25" s="108">
        <v>68440</v>
      </c>
      <c r="H25" s="108">
        <v>71226</v>
      </c>
      <c r="I25" s="108">
        <v>73449</v>
      </c>
      <c r="J25" s="108">
        <v>71227</v>
      </c>
      <c r="K25" s="108">
        <v>76391</v>
      </c>
      <c r="L25" s="108">
        <v>84106</v>
      </c>
    </row>
    <row r="26" spans="1:12" x14ac:dyDescent="0.3">
      <c r="A26" s="272" t="s">
        <v>57</v>
      </c>
      <c r="B26" s="273" t="s">
        <v>58</v>
      </c>
      <c r="C26" s="313" t="s">
        <v>254</v>
      </c>
      <c r="D26" s="108">
        <v>1705</v>
      </c>
      <c r="E26" s="106">
        <v>1810</v>
      </c>
      <c r="F26" s="106">
        <v>1794</v>
      </c>
      <c r="G26" s="108">
        <v>1710</v>
      </c>
      <c r="H26" s="108">
        <v>1665</v>
      </c>
      <c r="I26" s="108">
        <v>1627</v>
      </c>
      <c r="J26" s="108">
        <v>1528</v>
      </c>
      <c r="K26" s="108">
        <v>1748</v>
      </c>
      <c r="L26" s="108">
        <v>1964</v>
      </c>
    </row>
    <row r="27" spans="1:12" x14ac:dyDescent="0.3">
      <c r="A27" s="272" t="s">
        <v>59</v>
      </c>
      <c r="B27" s="273" t="s">
        <v>60</v>
      </c>
      <c r="C27" s="313" t="s">
        <v>252</v>
      </c>
      <c r="D27" s="108">
        <v>1208</v>
      </c>
      <c r="E27" s="106">
        <v>1308</v>
      </c>
      <c r="F27" s="106">
        <v>1285</v>
      </c>
      <c r="G27" s="108">
        <v>1305</v>
      </c>
      <c r="H27" s="108">
        <v>1327</v>
      </c>
      <c r="I27" s="108">
        <v>1344</v>
      </c>
      <c r="J27" s="108">
        <v>1281</v>
      </c>
      <c r="K27" s="108">
        <v>1270</v>
      </c>
      <c r="L27" s="108">
        <v>1327</v>
      </c>
    </row>
    <row r="28" spans="1:12" x14ac:dyDescent="0.3">
      <c r="A28" s="272" t="s">
        <v>61</v>
      </c>
      <c r="B28" s="273" t="s">
        <v>62</v>
      </c>
      <c r="C28" s="313" t="s">
        <v>254</v>
      </c>
      <c r="D28" s="108">
        <v>10623</v>
      </c>
      <c r="E28" s="106">
        <v>11564</v>
      </c>
      <c r="F28" s="106">
        <v>11400</v>
      </c>
      <c r="G28" s="108">
        <v>11714</v>
      </c>
      <c r="H28" s="108">
        <v>11494</v>
      </c>
      <c r="I28" s="108">
        <v>11382</v>
      </c>
      <c r="J28" s="108">
        <v>10878</v>
      </c>
      <c r="K28" s="108">
        <v>11864</v>
      </c>
      <c r="L28" s="108">
        <v>13301</v>
      </c>
    </row>
    <row r="29" spans="1:12" x14ac:dyDescent="0.3">
      <c r="A29" s="272" t="s">
        <v>63</v>
      </c>
      <c r="B29" s="273" t="s">
        <v>64</v>
      </c>
      <c r="C29" s="313" t="s">
        <v>253</v>
      </c>
      <c r="D29" s="108">
        <v>3736</v>
      </c>
      <c r="E29" s="106">
        <v>3881</v>
      </c>
      <c r="F29" s="106">
        <v>3854</v>
      </c>
      <c r="G29" s="108">
        <v>3796</v>
      </c>
      <c r="H29" s="108">
        <v>3616</v>
      </c>
      <c r="I29" s="108">
        <v>3665</v>
      </c>
      <c r="J29" s="108">
        <v>3531</v>
      </c>
      <c r="K29" s="108">
        <v>3667</v>
      </c>
      <c r="L29" s="108">
        <v>3914</v>
      </c>
    </row>
    <row r="30" spans="1:12" x14ac:dyDescent="0.3">
      <c r="A30" s="272" t="s">
        <v>67</v>
      </c>
      <c r="B30" s="273" t="s">
        <v>68</v>
      </c>
      <c r="C30" s="313" t="s">
        <v>255</v>
      </c>
      <c r="D30" s="108">
        <v>6077</v>
      </c>
      <c r="E30" s="106">
        <v>6501</v>
      </c>
      <c r="F30" s="106">
        <v>6315</v>
      </c>
      <c r="G30" s="108">
        <v>6334</v>
      </c>
      <c r="H30" s="108">
        <v>6525</v>
      </c>
      <c r="I30" s="108">
        <v>6563</v>
      </c>
      <c r="J30" s="108">
        <v>6036</v>
      </c>
      <c r="K30" s="108">
        <v>6161</v>
      </c>
      <c r="L30" s="108">
        <v>6317</v>
      </c>
    </row>
    <row r="31" spans="1:12" x14ac:dyDescent="0.3">
      <c r="A31" s="272" t="s">
        <v>69</v>
      </c>
      <c r="B31" s="273" t="s">
        <v>70</v>
      </c>
      <c r="C31" s="313" t="s">
        <v>251</v>
      </c>
      <c r="D31" s="108">
        <v>8101</v>
      </c>
      <c r="E31" s="106">
        <v>8409</v>
      </c>
      <c r="F31" s="106">
        <v>8183</v>
      </c>
      <c r="G31" s="108">
        <v>8432</v>
      </c>
      <c r="H31" s="108">
        <v>8375</v>
      </c>
      <c r="I31" s="108">
        <v>8374</v>
      </c>
      <c r="J31" s="108">
        <v>7806</v>
      </c>
      <c r="K31" s="108">
        <v>8341</v>
      </c>
      <c r="L31" s="108">
        <v>8888</v>
      </c>
    </row>
    <row r="32" spans="1:12" x14ac:dyDescent="0.3">
      <c r="A32" s="272" t="s">
        <v>71</v>
      </c>
      <c r="B32" s="273" t="s">
        <v>72</v>
      </c>
      <c r="C32" s="313" t="s">
        <v>253</v>
      </c>
      <c r="D32" s="108">
        <v>4066</v>
      </c>
      <c r="E32" s="106">
        <v>4208</v>
      </c>
      <c r="F32" s="106">
        <v>4081</v>
      </c>
      <c r="G32" s="108">
        <v>4052</v>
      </c>
      <c r="H32" s="108">
        <v>3943</v>
      </c>
      <c r="I32" s="108">
        <v>3918</v>
      </c>
      <c r="J32" s="108">
        <v>3715</v>
      </c>
      <c r="K32" s="108">
        <v>3886</v>
      </c>
      <c r="L32" s="108">
        <v>4095</v>
      </c>
    </row>
    <row r="33" spans="1:12" x14ac:dyDescent="0.3">
      <c r="A33" s="272" t="s">
        <v>73</v>
      </c>
      <c r="B33" s="273" t="s">
        <v>272</v>
      </c>
      <c r="C33" s="313" t="s">
        <v>254</v>
      </c>
      <c r="D33" s="108">
        <v>106610</v>
      </c>
      <c r="E33" s="106">
        <v>118448</v>
      </c>
      <c r="F33" s="106">
        <v>120167</v>
      </c>
      <c r="G33" s="108">
        <v>128977</v>
      </c>
      <c r="H33" s="108">
        <v>127118</v>
      </c>
      <c r="I33" s="108">
        <v>133993</v>
      </c>
      <c r="J33" s="108">
        <v>129390</v>
      </c>
      <c r="K33" s="108">
        <v>143564</v>
      </c>
      <c r="L33" s="108">
        <v>159062</v>
      </c>
    </row>
    <row r="34" spans="1:12" x14ac:dyDescent="0.3">
      <c r="A34" s="272" t="s">
        <v>75</v>
      </c>
      <c r="B34" s="273" t="s">
        <v>76</v>
      </c>
      <c r="C34" s="313" t="s">
        <v>254</v>
      </c>
      <c r="D34" s="108">
        <v>8954</v>
      </c>
      <c r="E34" s="106">
        <v>9595</v>
      </c>
      <c r="F34" s="106">
        <v>9415</v>
      </c>
      <c r="G34" s="108">
        <v>9654</v>
      </c>
      <c r="H34" s="108">
        <v>9188</v>
      </c>
      <c r="I34" s="108">
        <v>9280</v>
      </c>
      <c r="J34" s="108">
        <v>8707</v>
      </c>
      <c r="K34" s="108">
        <v>9819</v>
      </c>
      <c r="L34" s="108">
        <v>10661</v>
      </c>
    </row>
    <row r="35" spans="1:12" x14ac:dyDescent="0.3">
      <c r="A35" s="272" t="s">
        <v>77</v>
      </c>
      <c r="B35" s="273" t="s">
        <v>78</v>
      </c>
      <c r="C35" s="313" t="s">
        <v>255</v>
      </c>
      <c r="D35" s="108">
        <v>3857</v>
      </c>
      <c r="E35" s="106">
        <v>4009</v>
      </c>
      <c r="F35" s="106">
        <v>3893</v>
      </c>
      <c r="G35" s="108">
        <v>3872</v>
      </c>
      <c r="H35" s="108">
        <v>3780</v>
      </c>
      <c r="I35" s="108">
        <v>3986</v>
      </c>
      <c r="J35" s="108">
        <v>3884</v>
      </c>
      <c r="K35" s="108">
        <v>4128</v>
      </c>
      <c r="L35" s="108">
        <v>4420</v>
      </c>
    </row>
    <row r="36" spans="1:12" x14ac:dyDescent="0.3">
      <c r="A36" s="272" t="s">
        <v>79</v>
      </c>
      <c r="B36" s="273" t="s">
        <v>80</v>
      </c>
      <c r="C36" s="313" t="s">
        <v>253</v>
      </c>
      <c r="D36" s="108">
        <v>3860</v>
      </c>
      <c r="E36" s="106">
        <v>4110</v>
      </c>
      <c r="F36" s="106">
        <v>4040</v>
      </c>
      <c r="G36" s="108">
        <v>4103</v>
      </c>
      <c r="H36" s="108">
        <v>4128</v>
      </c>
      <c r="I36" s="108">
        <v>4275</v>
      </c>
      <c r="J36" s="108">
        <v>4227</v>
      </c>
      <c r="K36" s="108">
        <v>4483</v>
      </c>
      <c r="L36" s="108">
        <v>5200</v>
      </c>
    </row>
    <row r="37" spans="1:12" x14ac:dyDescent="0.3">
      <c r="A37" s="272" t="s">
        <v>83</v>
      </c>
      <c r="B37" s="273" t="s">
        <v>84</v>
      </c>
      <c r="C37" s="313" t="s">
        <v>252</v>
      </c>
      <c r="D37" s="108">
        <v>14191</v>
      </c>
      <c r="E37" s="106">
        <v>14814</v>
      </c>
      <c r="F37" s="106">
        <v>14405</v>
      </c>
      <c r="G37" s="108">
        <v>14326</v>
      </c>
      <c r="H37" s="108">
        <v>14131</v>
      </c>
      <c r="I37" s="108">
        <v>13968</v>
      </c>
      <c r="J37" s="108">
        <v>13222</v>
      </c>
      <c r="K37" s="108">
        <v>14085</v>
      </c>
      <c r="L37" s="108">
        <v>14946</v>
      </c>
    </row>
    <row r="38" spans="1:12" x14ac:dyDescent="0.3">
      <c r="A38" s="272" t="s">
        <v>85</v>
      </c>
      <c r="B38" s="273" t="s">
        <v>86</v>
      </c>
      <c r="C38" s="313" t="s">
        <v>254</v>
      </c>
      <c r="D38" s="108">
        <v>14340</v>
      </c>
      <c r="E38" s="106">
        <v>15395</v>
      </c>
      <c r="F38" s="106">
        <v>14685</v>
      </c>
      <c r="G38" s="108">
        <v>14771</v>
      </c>
      <c r="H38" s="108">
        <v>14649</v>
      </c>
      <c r="I38" s="108">
        <v>14520</v>
      </c>
      <c r="J38" s="108">
        <v>13947</v>
      </c>
      <c r="K38" s="108">
        <v>15263</v>
      </c>
      <c r="L38" s="108">
        <v>16654</v>
      </c>
    </row>
    <row r="39" spans="1:12" x14ac:dyDescent="0.3">
      <c r="A39" s="272" t="s">
        <v>91</v>
      </c>
      <c r="B39" s="273" t="s">
        <v>92</v>
      </c>
      <c r="C39" s="313" t="s">
        <v>255</v>
      </c>
      <c r="D39" s="108">
        <v>4639</v>
      </c>
      <c r="E39" s="106">
        <v>4756</v>
      </c>
      <c r="F39" s="106">
        <v>4759</v>
      </c>
      <c r="G39" s="108">
        <v>4773</v>
      </c>
      <c r="H39" s="108">
        <v>4780</v>
      </c>
      <c r="I39" s="108">
        <v>4719</v>
      </c>
      <c r="J39" s="108">
        <v>4553</v>
      </c>
      <c r="K39" s="108">
        <v>4741</v>
      </c>
      <c r="L39" s="108">
        <v>5066</v>
      </c>
    </row>
    <row r="40" spans="1:12" x14ac:dyDescent="0.3">
      <c r="A40" s="272" t="s">
        <v>93</v>
      </c>
      <c r="B40" s="273" t="s">
        <v>94</v>
      </c>
      <c r="C40" s="313" t="s">
        <v>251</v>
      </c>
      <c r="D40" s="108">
        <v>7870</v>
      </c>
      <c r="E40" s="106">
        <v>8205</v>
      </c>
      <c r="F40" s="106">
        <v>8047</v>
      </c>
      <c r="G40" s="108">
        <v>8093</v>
      </c>
      <c r="H40" s="108">
        <v>7980</v>
      </c>
      <c r="I40" s="108">
        <v>7910</v>
      </c>
      <c r="J40" s="108">
        <v>7559</v>
      </c>
      <c r="K40" s="108">
        <v>8224</v>
      </c>
      <c r="L40" s="108">
        <v>8828</v>
      </c>
    </row>
    <row r="41" spans="1:12" x14ac:dyDescent="0.3">
      <c r="A41" s="272" t="s">
        <v>95</v>
      </c>
      <c r="B41" s="273" t="s">
        <v>96</v>
      </c>
      <c r="C41" s="313" t="s">
        <v>253</v>
      </c>
      <c r="D41" s="108">
        <v>2543</v>
      </c>
      <c r="E41" s="106">
        <v>2693</v>
      </c>
      <c r="F41" s="106">
        <v>2706</v>
      </c>
      <c r="G41" s="108">
        <v>2792</v>
      </c>
      <c r="H41" s="108">
        <v>2728</v>
      </c>
      <c r="I41" s="108">
        <v>2691</v>
      </c>
      <c r="J41" s="108">
        <v>2553</v>
      </c>
      <c r="K41" s="108">
        <v>2990</v>
      </c>
      <c r="L41" s="108">
        <v>3641</v>
      </c>
    </row>
    <row r="42" spans="1:12" x14ac:dyDescent="0.3">
      <c r="A42" s="272" t="s">
        <v>97</v>
      </c>
      <c r="B42" s="273" t="s">
        <v>98</v>
      </c>
      <c r="C42" s="313" t="s">
        <v>255</v>
      </c>
      <c r="D42" s="108">
        <v>5204</v>
      </c>
      <c r="E42" s="106">
        <v>5493</v>
      </c>
      <c r="F42" s="106">
        <v>5333</v>
      </c>
      <c r="G42" s="108">
        <v>5276</v>
      </c>
      <c r="H42" s="108">
        <v>5181</v>
      </c>
      <c r="I42" s="108">
        <v>5144</v>
      </c>
      <c r="J42" s="108">
        <v>4825</v>
      </c>
      <c r="K42" s="108">
        <v>5034</v>
      </c>
      <c r="L42" s="108">
        <v>5745</v>
      </c>
    </row>
    <row r="43" spans="1:12" x14ac:dyDescent="0.3">
      <c r="A43" s="272" t="s">
        <v>99</v>
      </c>
      <c r="B43" s="273" t="s">
        <v>100</v>
      </c>
      <c r="C43" s="313" t="s">
        <v>254</v>
      </c>
      <c r="D43" s="108">
        <v>3959</v>
      </c>
      <c r="E43" s="106">
        <v>4257</v>
      </c>
      <c r="F43" s="106">
        <v>4244</v>
      </c>
      <c r="G43" s="108">
        <v>4324</v>
      </c>
      <c r="H43" s="108">
        <v>4374</v>
      </c>
      <c r="I43" s="108">
        <v>4461</v>
      </c>
      <c r="J43" s="108">
        <v>4081</v>
      </c>
      <c r="K43" s="108">
        <v>4457</v>
      </c>
      <c r="L43" s="108">
        <v>4699</v>
      </c>
    </row>
    <row r="44" spans="1:12" x14ac:dyDescent="0.3">
      <c r="A44" s="272" t="s">
        <v>101</v>
      </c>
      <c r="B44" s="273" t="s">
        <v>263</v>
      </c>
      <c r="C44" s="313" t="s">
        <v>251</v>
      </c>
      <c r="D44" s="108">
        <v>6858</v>
      </c>
      <c r="E44" s="106">
        <v>7620</v>
      </c>
      <c r="F44" s="106">
        <v>7247</v>
      </c>
      <c r="G44" s="108">
        <v>7693</v>
      </c>
      <c r="H44" s="108">
        <v>7603</v>
      </c>
      <c r="I44" s="108">
        <v>7694</v>
      </c>
      <c r="J44" s="108">
        <v>6887</v>
      </c>
      <c r="K44" s="108">
        <v>6980</v>
      </c>
      <c r="L44" s="108">
        <v>9480</v>
      </c>
    </row>
    <row r="45" spans="1:12" x14ac:dyDescent="0.3">
      <c r="A45" s="272" t="s">
        <v>103</v>
      </c>
      <c r="B45" s="273" t="s">
        <v>104</v>
      </c>
      <c r="C45" s="313" t="s">
        <v>252</v>
      </c>
      <c r="D45" s="108">
        <v>12168</v>
      </c>
      <c r="E45" s="106">
        <v>12512</v>
      </c>
      <c r="F45" s="106">
        <v>12293</v>
      </c>
      <c r="G45" s="108">
        <v>12421</v>
      </c>
      <c r="H45" s="108">
        <v>12363</v>
      </c>
      <c r="I45" s="108">
        <v>12193</v>
      </c>
      <c r="J45" s="108">
        <v>11804</v>
      </c>
      <c r="K45" s="108">
        <v>12342</v>
      </c>
      <c r="L45" s="108">
        <v>13249</v>
      </c>
    </row>
    <row r="46" spans="1:12" x14ac:dyDescent="0.3">
      <c r="A46" s="272" t="s">
        <v>107</v>
      </c>
      <c r="B46" s="273" t="s">
        <v>108</v>
      </c>
      <c r="C46" s="313" t="s">
        <v>253</v>
      </c>
      <c r="D46" s="108">
        <v>11496</v>
      </c>
      <c r="E46" s="106">
        <v>12204</v>
      </c>
      <c r="F46" s="106">
        <v>12170</v>
      </c>
      <c r="G46" s="108">
        <v>12517</v>
      </c>
      <c r="H46" s="108">
        <v>12433</v>
      </c>
      <c r="I46" s="108">
        <v>12571</v>
      </c>
      <c r="J46" s="108">
        <v>11905</v>
      </c>
      <c r="K46" s="108">
        <v>13180</v>
      </c>
      <c r="L46" s="108">
        <v>14664</v>
      </c>
    </row>
    <row r="47" spans="1:12" x14ac:dyDescent="0.3">
      <c r="A47" s="272" t="s">
        <v>109</v>
      </c>
      <c r="B47" s="273" t="s">
        <v>110</v>
      </c>
      <c r="C47" s="313" t="s">
        <v>253</v>
      </c>
      <c r="D47" s="108">
        <v>60188</v>
      </c>
      <c r="E47" s="106">
        <v>64927</v>
      </c>
      <c r="F47" s="106">
        <v>64583</v>
      </c>
      <c r="G47" s="108">
        <v>66505</v>
      </c>
      <c r="H47" s="108">
        <v>67849</v>
      </c>
      <c r="I47" s="108">
        <v>70047</v>
      </c>
      <c r="J47" s="108">
        <v>67948</v>
      </c>
      <c r="K47" s="108">
        <v>72519</v>
      </c>
      <c r="L47" s="108">
        <v>80277</v>
      </c>
    </row>
    <row r="48" spans="1:12" x14ac:dyDescent="0.3">
      <c r="A48" s="272" t="s">
        <v>111</v>
      </c>
      <c r="B48" s="273" t="s">
        <v>275</v>
      </c>
      <c r="C48" s="313" t="s">
        <v>252</v>
      </c>
      <c r="D48" s="108">
        <v>27516</v>
      </c>
      <c r="E48" s="106">
        <v>29273</v>
      </c>
      <c r="F48" s="106">
        <v>28051</v>
      </c>
      <c r="G48" s="108">
        <v>28500</v>
      </c>
      <c r="H48" s="108">
        <v>28576</v>
      </c>
      <c r="I48" s="108">
        <v>28175</v>
      </c>
      <c r="J48" s="108">
        <v>26085</v>
      </c>
      <c r="K48" s="108">
        <v>26943</v>
      </c>
      <c r="L48" s="108">
        <v>28339</v>
      </c>
    </row>
    <row r="49" spans="1:12" x14ac:dyDescent="0.3">
      <c r="A49" s="272" t="s">
        <v>113</v>
      </c>
      <c r="B49" s="273" t="s">
        <v>114</v>
      </c>
      <c r="C49" s="313" t="s">
        <v>252</v>
      </c>
      <c r="D49" s="108">
        <v>390</v>
      </c>
      <c r="E49" s="106">
        <v>384</v>
      </c>
      <c r="F49" s="106">
        <v>470</v>
      </c>
      <c r="G49" s="108">
        <v>524</v>
      </c>
      <c r="H49" s="108">
        <v>399</v>
      </c>
      <c r="I49" s="108">
        <v>459</v>
      </c>
      <c r="J49" s="108">
        <v>368</v>
      </c>
      <c r="K49" s="108">
        <v>423</v>
      </c>
      <c r="L49" s="108">
        <v>491</v>
      </c>
    </row>
    <row r="50" spans="1:12" x14ac:dyDescent="0.3">
      <c r="A50" s="272" t="s">
        <v>117</v>
      </c>
      <c r="B50" s="273" t="s">
        <v>257</v>
      </c>
      <c r="C50" s="313" t="s">
        <v>251</v>
      </c>
      <c r="D50" s="108">
        <v>7269</v>
      </c>
      <c r="E50" s="106">
        <v>7692</v>
      </c>
      <c r="F50" s="106">
        <v>7343</v>
      </c>
      <c r="G50" s="108">
        <v>7515</v>
      </c>
      <c r="H50" s="108">
        <v>7385</v>
      </c>
      <c r="I50" s="108">
        <v>7505</v>
      </c>
      <c r="J50" s="108">
        <v>7038</v>
      </c>
      <c r="K50" s="108">
        <v>7378</v>
      </c>
      <c r="L50" s="108">
        <v>7795</v>
      </c>
    </row>
    <row r="51" spans="1:12" x14ac:dyDescent="0.3">
      <c r="A51" s="272" t="s">
        <v>119</v>
      </c>
      <c r="B51" s="273" t="s">
        <v>120</v>
      </c>
      <c r="C51" s="313" t="s">
        <v>251</v>
      </c>
      <c r="D51" s="108">
        <v>8956</v>
      </c>
      <c r="E51" s="106">
        <v>9807</v>
      </c>
      <c r="F51" s="106">
        <v>9688</v>
      </c>
      <c r="G51" s="108">
        <v>9944</v>
      </c>
      <c r="H51" s="108">
        <v>10103</v>
      </c>
      <c r="I51" s="108">
        <v>10217</v>
      </c>
      <c r="J51" s="108">
        <v>9506</v>
      </c>
      <c r="K51" s="108">
        <v>10293</v>
      </c>
      <c r="L51" s="108">
        <v>11493</v>
      </c>
    </row>
    <row r="52" spans="1:12" x14ac:dyDescent="0.3">
      <c r="A52" s="272" t="s">
        <v>121</v>
      </c>
      <c r="B52" s="273" t="s">
        <v>268</v>
      </c>
      <c r="C52" s="313" t="s">
        <v>253</v>
      </c>
      <c r="D52" s="108">
        <v>2092</v>
      </c>
      <c r="E52" s="106">
        <v>2301</v>
      </c>
      <c r="F52" s="106">
        <v>2281</v>
      </c>
      <c r="G52" s="108">
        <v>2263</v>
      </c>
      <c r="H52" s="108">
        <v>2170</v>
      </c>
      <c r="I52" s="108">
        <v>2228</v>
      </c>
      <c r="J52" s="108">
        <v>2031</v>
      </c>
      <c r="K52" s="108">
        <v>2095</v>
      </c>
      <c r="L52" s="108">
        <v>2167</v>
      </c>
    </row>
    <row r="53" spans="1:12" x14ac:dyDescent="0.3">
      <c r="A53" s="272" t="s">
        <v>123</v>
      </c>
      <c r="B53" s="273" t="s">
        <v>124</v>
      </c>
      <c r="C53" s="313" t="s">
        <v>254</v>
      </c>
      <c r="D53" s="108">
        <v>5029</v>
      </c>
      <c r="E53" s="106">
        <v>5384</v>
      </c>
      <c r="F53" s="106">
        <v>5381</v>
      </c>
      <c r="G53" s="108">
        <v>5411</v>
      </c>
      <c r="H53" s="108">
        <v>5207</v>
      </c>
      <c r="I53" s="108">
        <v>5174</v>
      </c>
      <c r="J53" s="108">
        <v>4793</v>
      </c>
      <c r="K53" s="108">
        <v>4863</v>
      </c>
      <c r="L53" s="108">
        <v>5101</v>
      </c>
    </row>
    <row r="54" spans="1:12" x14ac:dyDescent="0.3">
      <c r="A54" s="272" t="s">
        <v>125</v>
      </c>
      <c r="B54" s="273" t="s">
        <v>126</v>
      </c>
      <c r="C54" s="313" t="s">
        <v>253</v>
      </c>
      <c r="D54" s="108">
        <v>3497</v>
      </c>
      <c r="E54" s="106">
        <v>3645</v>
      </c>
      <c r="F54" s="106">
        <v>3550</v>
      </c>
      <c r="G54" s="108">
        <v>3529</v>
      </c>
      <c r="H54" s="108">
        <v>3519</v>
      </c>
      <c r="I54" s="108">
        <v>3405</v>
      </c>
      <c r="J54" s="108">
        <v>3232</v>
      </c>
      <c r="K54" s="108">
        <v>3561</v>
      </c>
      <c r="L54" s="108">
        <v>3832</v>
      </c>
    </row>
    <row r="55" spans="1:12" x14ac:dyDescent="0.3">
      <c r="A55" s="272" t="s">
        <v>127</v>
      </c>
      <c r="B55" s="273" t="s">
        <v>128</v>
      </c>
      <c r="C55" s="313" t="s">
        <v>253</v>
      </c>
      <c r="D55" s="108">
        <v>3017</v>
      </c>
      <c r="E55" s="106">
        <v>3166</v>
      </c>
      <c r="F55" s="106">
        <v>3078</v>
      </c>
      <c r="G55" s="108">
        <v>3045</v>
      </c>
      <c r="H55" s="108">
        <v>2907</v>
      </c>
      <c r="I55" s="108">
        <v>3001</v>
      </c>
      <c r="J55" s="108">
        <v>2849</v>
      </c>
      <c r="K55" s="108">
        <v>2992</v>
      </c>
      <c r="L55" s="108">
        <v>3122</v>
      </c>
    </row>
    <row r="56" spans="1:12" x14ac:dyDescent="0.3">
      <c r="A56" s="272" t="s">
        <v>129</v>
      </c>
      <c r="B56" s="273" t="s">
        <v>130</v>
      </c>
      <c r="C56" s="313" t="s">
        <v>255</v>
      </c>
      <c r="D56" s="108">
        <v>10255</v>
      </c>
      <c r="E56" s="106">
        <v>10651</v>
      </c>
      <c r="F56" s="106">
        <v>10597</v>
      </c>
      <c r="G56" s="108">
        <v>10372</v>
      </c>
      <c r="H56" s="108">
        <v>10438</v>
      </c>
      <c r="I56" s="108">
        <v>10321</v>
      </c>
      <c r="J56" s="108">
        <v>9877</v>
      </c>
      <c r="K56" s="108">
        <v>10520</v>
      </c>
      <c r="L56" s="108">
        <v>10985</v>
      </c>
    </row>
    <row r="57" spans="1:12" x14ac:dyDescent="0.3">
      <c r="A57" s="272" t="s">
        <v>131</v>
      </c>
      <c r="B57" s="273" t="s">
        <v>132</v>
      </c>
      <c r="C57" s="313" t="s">
        <v>254</v>
      </c>
      <c r="D57" s="108">
        <v>22211</v>
      </c>
      <c r="E57" s="106">
        <v>25069</v>
      </c>
      <c r="F57" s="106">
        <v>25981</v>
      </c>
      <c r="G57" s="108">
        <v>28995</v>
      </c>
      <c r="H57" s="108">
        <v>31478</v>
      </c>
      <c r="I57" s="108">
        <v>32366</v>
      </c>
      <c r="J57" s="108">
        <v>30729</v>
      </c>
      <c r="K57" s="108">
        <v>35909</v>
      </c>
      <c r="L57" s="108">
        <v>42098</v>
      </c>
    </row>
    <row r="58" spans="1:12" x14ac:dyDescent="0.3">
      <c r="A58" s="272" t="s">
        <v>133</v>
      </c>
      <c r="B58" s="273" t="s">
        <v>134</v>
      </c>
      <c r="C58" s="313" t="s">
        <v>254</v>
      </c>
      <c r="D58" s="108">
        <v>8044</v>
      </c>
      <c r="E58" s="106">
        <v>8661</v>
      </c>
      <c r="F58" s="106">
        <v>8699</v>
      </c>
      <c r="G58" s="108">
        <v>8922</v>
      </c>
      <c r="H58" s="108">
        <v>8719</v>
      </c>
      <c r="I58" s="108">
        <v>8639</v>
      </c>
      <c r="J58" s="108">
        <v>7904</v>
      </c>
      <c r="K58" s="108">
        <v>8716</v>
      </c>
      <c r="L58" s="108">
        <v>9437</v>
      </c>
    </row>
    <row r="59" spans="1:12" x14ac:dyDescent="0.3">
      <c r="A59" s="272" t="s">
        <v>135</v>
      </c>
      <c r="B59" s="273" t="s">
        <v>136</v>
      </c>
      <c r="C59" s="313" t="s">
        <v>253</v>
      </c>
      <c r="D59" s="108">
        <v>4311</v>
      </c>
      <c r="E59" s="106">
        <v>4344</v>
      </c>
      <c r="F59" s="106">
        <v>4364</v>
      </c>
      <c r="G59" s="108">
        <v>4390</v>
      </c>
      <c r="H59" s="108">
        <v>4257</v>
      </c>
      <c r="I59" s="108">
        <v>4145</v>
      </c>
      <c r="J59" s="108">
        <v>3937</v>
      </c>
      <c r="K59" s="108">
        <v>4270</v>
      </c>
      <c r="L59" s="108">
        <v>5413</v>
      </c>
    </row>
    <row r="60" spans="1:12" x14ac:dyDescent="0.3">
      <c r="A60" s="272" t="s">
        <v>139</v>
      </c>
      <c r="B60" s="273" t="s">
        <v>140</v>
      </c>
      <c r="C60" s="313" t="s">
        <v>254</v>
      </c>
      <c r="D60" s="108">
        <v>2993</v>
      </c>
      <c r="E60" s="106">
        <v>3291</v>
      </c>
      <c r="F60" s="106">
        <v>3240</v>
      </c>
      <c r="G60" s="108">
        <v>3318</v>
      </c>
      <c r="H60" s="108">
        <v>3217</v>
      </c>
      <c r="I60" s="108">
        <v>3122</v>
      </c>
      <c r="J60" s="108">
        <v>2858</v>
      </c>
      <c r="K60" s="108">
        <v>3082</v>
      </c>
      <c r="L60" s="108">
        <v>3373</v>
      </c>
    </row>
    <row r="61" spans="1:12" x14ac:dyDescent="0.3">
      <c r="A61" s="272" t="s">
        <v>145</v>
      </c>
      <c r="B61" s="273" t="s">
        <v>146</v>
      </c>
      <c r="C61" s="313" t="s">
        <v>251</v>
      </c>
      <c r="D61" s="108">
        <v>1788</v>
      </c>
      <c r="E61" s="106">
        <v>1911</v>
      </c>
      <c r="F61" s="106">
        <v>1850</v>
      </c>
      <c r="G61" s="108">
        <v>1895</v>
      </c>
      <c r="H61" s="108">
        <v>1858</v>
      </c>
      <c r="I61" s="108">
        <v>1817</v>
      </c>
      <c r="J61" s="108">
        <v>1676</v>
      </c>
      <c r="K61" s="108">
        <v>1916</v>
      </c>
      <c r="L61" s="108">
        <v>2041</v>
      </c>
    </row>
    <row r="62" spans="1:12" x14ac:dyDescent="0.3">
      <c r="A62" s="272" t="s">
        <v>147</v>
      </c>
      <c r="B62" s="273" t="s">
        <v>148</v>
      </c>
      <c r="C62" s="313" t="s">
        <v>252</v>
      </c>
      <c r="D62" s="108">
        <v>9761</v>
      </c>
      <c r="E62" s="106">
        <v>10341</v>
      </c>
      <c r="F62" s="106">
        <v>10168</v>
      </c>
      <c r="G62" s="108">
        <v>10082</v>
      </c>
      <c r="H62" s="108">
        <v>9729</v>
      </c>
      <c r="I62" s="108">
        <v>9681</v>
      </c>
      <c r="J62" s="108">
        <v>9324</v>
      </c>
      <c r="K62" s="108">
        <v>9735</v>
      </c>
      <c r="L62" s="108">
        <v>10503</v>
      </c>
    </row>
    <row r="63" spans="1:12" x14ac:dyDescent="0.3">
      <c r="A63" s="272" t="s">
        <v>149</v>
      </c>
      <c r="B63" s="273" t="s">
        <v>150</v>
      </c>
      <c r="C63" s="313" t="s">
        <v>253</v>
      </c>
      <c r="D63" s="108">
        <v>2811</v>
      </c>
      <c r="E63" s="106">
        <v>2979</v>
      </c>
      <c r="F63" s="106">
        <v>2919</v>
      </c>
      <c r="G63" s="108">
        <v>2970</v>
      </c>
      <c r="H63" s="108">
        <v>2972</v>
      </c>
      <c r="I63" s="108">
        <v>3066</v>
      </c>
      <c r="J63" s="108">
        <v>2931</v>
      </c>
      <c r="K63" s="108">
        <v>3084</v>
      </c>
      <c r="L63" s="108">
        <v>3286</v>
      </c>
    </row>
    <row r="64" spans="1:12" x14ac:dyDescent="0.3">
      <c r="A64" s="272" t="s">
        <v>151</v>
      </c>
      <c r="B64" s="273" t="s">
        <v>152</v>
      </c>
      <c r="C64" s="313" t="s">
        <v>255</v>
      </c>
      <c r="D64" s="108">
        <v>14119</v>
      </c>
      <c r="E64" s="106">
        <v>15037</v>
      </c>
      <c r="F64" s="106">
        <v>14615</v>
      </c>
      <c r="G64" s="108">
        <v>14424</v>
      </c>
      <c r="H64" s="108">
        <v>13952</v>
      </c>
      <c r="I64" s="108">
        <v>13943</v>
      </c>
      <c r="J64" s="108">
        <v>13114</v>
      </c>
      <c r="K64" s="108">
        <v>14352</v>
      </c>
      <c r="L64" s="108">
        <v>15527</v>
      </c>
    </row>
    <row r="65" spans="1:12" x14ac:dyDescent="0.3">
      <c r="A65" s="272" t="s">
        <v>153</v>
      </c>
      <c r="B65" s="273" t="s">
        <v>154</v>
      </c>
      <c r="C65" s="313" t="s">
        <v>252</v>
      </c>
      <c r="D65" s="108">
        <v>4108</v>
      </c>
      <c r="E65" s="106">
        <v>4365</v>
      </c>
      <c r="F65" s="106">
        <v>4317</v>
      </c>
      <c r="G65" s="108">
        <v>4223</v>
      </c>
      <c r="H65" s="108">
        <v>3977</v>
      </c>
      <c r="I65" s="108">
        <v>3981</v>
      </c>
      <c r="J65" s="108">
        <v>3758</v>
      </c>
      <c r="K65" s="108">
        <v>3947</v>
      </c>
      <c r="L65" s="108">
        <v>4226</v>
      </c>
    </row>
    <row r="66" spans="1:12" x14ac:dyDescent="0.3">
      <c r="A66" s="272" t="s">
        <v>155</v>
      </c>
      <c r="B66" s="273" t="s">
        <v>156</v>
      </c>
      <c r="C66" s="313" t="s">
        <v>253</v>
      </c>
      <c r="D66" s="108">
        <v>2487</v>
      </c>
      <c r="E66" s="106">
        <v>2653</v>
      </c>
      <c r="F66" s="106">
        <v>2571</v>
      </c>
      <c r="G66" s="108">
        <v>2851</v>
      </c>
      <c r="H66" s="108">
        <v>2846</v>
      </c>
      <c r="I66" s="108">
        <v>2879</v>
      </c>
      <c r="J66" s="108">
        <v>2648</v>
      </c>
      <c r="K66" s="108">
        <v>2845</v>
      </c>
      <c r="L66" s="108">
        <v>3229</v>
      </c>
    </row>
    <row r="67" spans="1:12" x14ac:dyDescent="0.3">
      <c r="A67" s="272" t="s">
        <v>161</v>
      </c>
      <c r="B67" s="273" t="s">
        <v>162</v>
      </c>
      <c r="C67" s="313" t="s">
        <v>251</v>
      </c>
      <c r="D67" s="108">
        <v>4913</v>
      </c>
      <c r="E67" s="106">
        <v>5127</v>
      </c>
      <c r="F67" s="106">
        <v>5026</v>
      </c>
      <c r="G67" s="108">
        <v>4957</v>
      </c>
      <c r="H67" s="108">
        <v>4777</v>
      </c>
      <c r="I67" s="108">
        <v>4747</v>
      </c>
      <c r="J67" s="108">
        <v>4497</v>
      </c>
      <c r="K67" s="108">
        <v>4781</v>
      </c>
      <c r="L67" s="108">
        <v>5060</v>
      </c>
    </row>
    <row r="68" spans="1:12" x14ac:dyDescent="0.3">
      <c r="A68" s="272" t="s">
        <v>163</v>
      </c>
      <c r="B68" s="273" t="s">
        <v>164</v>
      </c>
      <c r="C68" s="313" t="s">
        <v>253</v>
      </c>
      <c r="D68" s="108">
        <v>2906</v>
      </c>
      <c r="E68" s="106">
        <v>3257</v>
      </c>
      <c r="F68" s="106">
        <v>3236</v>
      </c>
      <c r="G68" s="108">
        <v>3245</v>
      </c>
      <c r="H68" s="108">
        <v>3264</v>
      </c>
      <c r="I68" s="108">
        <v>3220</v>
      </c>
      <c r="J68" s="108">
        <v>2994</v>
      </c>
      <c r="K68" s="108">
        <v>3173</v>
      </c>
      <c r="L68" s="108">
        <v>3365</v>
      </c>
    </row>
    <row r="69" spans="1:12" x14ac:dyDescent="0.3">
      <c r="A69" s="272" t="s">
        <v>167</v>
      </c>
      <c r="B69" s="273" t="s">
        <v>168</v>
      </c>
      <c r="C69" s="313" t="s">
        <v>253</v>
      </c>
      <c r="D69" s="108">
        <v>5671</v>
      </c>
      <c r="E69" s="106">
        <v>5857</v>
      </c>
      <c r="F69" s="106">
        <v>5833</v>
      </c>
      <c r="G69" s="108">
        <v>5791</v>
      </c>
      <c r="H69" s="108">
        <v>5704</v>
      </c>
      <c r="I69" s="108">
        <v>5657</v>
      </c>
      <c r="J69" s="108">
        <v>5439</v>
      </c>
      <c r="K69" s="108">
        <v>5551</v>
      </c>
      <c r="L69" s="108">
        <v>6170</v>
      </c>
    </row>
    <row r="70" spans="1:12" x14ac:dyDescent="0.3">
      <c r="A70" s="272" t="s">
        <v>169</v>
      </c>
      <c r="B70" s="273" t="s">
        <v>170</v>
      </c>
      <c r="C70" s="313" t="s">
        <v>254</v>
      </c>
      <c r="D70" s="108">
        <v>6895</v>
      </c>
      <c r="E70" s="106">
        <v>7450</v>
      </c>
      <c r="F70" s="106">
        <v>7477</v>
      </c>
      <c r="G70" s="108">
        <v>7649</v>
      </c>
      <c r="H70" s="108">
        <v>7596</v>
      </c>
      <c r="I70" s="108">
        <v>7617</v>
      </c>
      <c r="J70" s="108">
        <v>7408</v>
      </c>
      <c r="K70" s="108">
        <v>8173</v>
      </c>
      <c r="L70" s="108">
        <v>8998</v>
      </c>
    </row>
    <row r="71" spans="1:12" x14ac:dyDescent="0.3">
      <c r="A71" s="272" t="s">
        <v>171</v>
      </c>
      <c r="B71" s="273" t="s">
        <v>172</v>
      </c>
      <c r="C71" s="313" t="s">
        <v>254</v>
      </c>
      <c r="D71" s="108">
        <v>7041</v>
      </c>
      <c r="E71" s="106">
        <v>7374</v>
      </c>
      <c r="F71" s="106">
        <v>7302</v>
      </c>
      <c r="G71" s="108">
        <v>7238</v>
      </c>
      <c r="H71" s="108">
        <v>7116</v>
      </c>
      <c r="I71" s="108">
        <v>6873</v>
      </c>
      <c r="J71" s="108">
        <v>6501</v>
      </c>
      <c r="K71" s="108">
        <v>7080</v>
      </c>
      <c r="L71" s="108">
        <v>7562</v>
      </c>
    </row>
    <row r="72" spans="1:12" x14ac:dyDescent="0.3">
      <c r="A72" s="272" t="s">
        <v>173</v>
      </c>
      <c r="B72" s="273" t="s">
        <v>174</v>
      </c>
      <c r="C72" s="313" t="s">
        <v>255</v>
      </c>
      <c r="D72" s="108">
        <v>6234</v>
      </c>
      <c r="E72" s="106">
        <v>6321</v>
      </c>
      <c r="F72" s="106">
        <v>6037</v>
      </c>
      <c r="G72" s="108">
        <v>5979</v>
      </c>
      <c r="H72" s="108">
        <v>5908</v>
      </c>
      <c r="I72" s="108">
        <v>5886</v>
      </c>
      <c r="J72" s="108">
        <v>5486</v>
      </c>
      <c r="K72" s="108">
        <v>5749</v>
      </c>
      <c r="L72" s="108">
        <v>5865</v>
      </c>
    </row>
    <row r="73" spans="1:12" x14ac:dyDescent="0.3">
      <c r="A73" s="272" t="s">
        <v>177</v>
      </c>
      <c r="B73" s="273" t="s">
        <v>178</v>
      </c>
      <c r="C73" s="313" t="s">
        <v>252</v>
      </c>
      <c r="D73" s="108">
        <v>18022</v>
      </c>
      <c r="E73" s="106">
        <v>19040</v>
      </c>
      <c r="F73" s="106">
        <v>19116</v>
      </c>
      <c r="G73" s="108">
        <v>19050</v>
      </c>
      <c r="H73" s="108">
        <v>18849</v>
      </c>
      <c r="I73" s="108">
        <v>19013</v>
      </c>
      <c r="J73" s="108">
        <v>18144</v>
      </c>
      <c r="K73" s="108">
        <v>19065</v>
      </c>
      <c r="L73" s="108">
        <v>20481</v>
      </c>
    </row>
    <row r="74" spans="1:12" x14ac:dyDescent="0.3">
      <c r="A74" s="272" t="s">
        <v>181</v>
      </c>
      <c r="B74" s="273" t="s">
        <v>182</v>
      </c>
      <c r="C74" s="313" t="s">
        <v>253</v>
      </c>
      <c r="D74" s="108">
        <v>3076</v>
      </c>
      <c r="E74" s="106">
        <v>3267</v>
      </c>
      <c r="F74" s="106">
        <v>3190</v>
      </c>
      <c r="G74" s="108">
        <v>3245</v>
      </c>
      <c r="H74" s="108">
        <v>3205</v>
      </c>
      <c r="I74" s="108">
        <v>3276</v>
      </c>
      <c r="J74" s="108">
        <v>3092</v>
      </c>
      <c r="K74" s="108">
        <v>3472</v>
      </c>
      <c r="L74" s="108">
        <v>4504</v>
      </c>
    </row>
    <row r="75" spans="1:12" x14ac:dyDescent="0.3">
      <c r="A75" s="272" t="s">
        <v>183</v>
      </c>
      <c r="B75" s="273" t="s">
        <v>184</v>
      </c>
      <c r="C75" s="313" t="s">
        <v>253</v>
      </c>
      <c r="D75" s="108">
        <v>6436</v>
      </c>
      <c r="E75" s="106">
        <v>6709</v>
      </c>
      <c r="F75" s="106">
        <v>6596</v>
      </c>
      <c r="G75" s="108">
        <v>6532</v>
      </c>
      <c r="H75" s="108">
        <v>6493</v>
      </c>
      <c r="I75" s="108">
        <v>6473</v>
      </c>
      <c r="J75" s="108">
        <v>6032</v>
      </c>
      <c r="K75" s="108">
        <v>6376</v>
      </c>
      <c r="L75" s="108">
        <v>6678</v>
      </c>
    </row>
    <row r="76" spans="1:12" x14ac:dyDescent="0.3">
      <c r="A76" s="272" t="s">
        <v>185</v>
      </c>
      <c r="B76" s="273" t="s">
        <v>186</v>
      </c>
      <c r="C76" s="313" t="s">
        <v>251</v>
      </c>
      <c r="D76" s="108">
        <v>5378</v>
      </c>
      <c r="E76" s="106">
        <v>5951</v>
      </c>
      <c r="F76" s="106">
        <v>6208</v>
      </c>
      <c r="G76" s="108">
        <v>6596</v>
      </c>
      <c r="H76" s="108">
        <v>6895</v>
      </c>
      <c r="I76" s="108">
        <v>7237</v>
      </c>
      <c r="J76" s="108">
        <v>6596</v>
      </c>
      <c r="K76" s="108">
        <v>7398</v>
      </c>
      <c r="L76" s="108">
        <v>8265</v>
      </c>
    </row>
    <row r="77" spans="1:12" x14ac:dyDescent="0.3">
      <c r="A77" s="272" t="s">
        <v>187</v>
      </c>
      <c r="B77" s="273" t="s">
        <v>188</v>
      </c>
      <c r="C77" s="313" t="s">
        <v>254</v>
      </c>
      <c r="D77" s="108">
        <v>62835</v>
      </c>
      <c r="E77" s="106">
        <v>69625</v>
      </c>
      <c r="F77" s="106">
        <v>69829</v>
      </c>
      <c r="G77" s="108">
        <v>74151</v>
      </c>
      <c r="H77" s="108">
        <v>75745</v>
      </c>
      <c r="I77" s="108">
        <v>78301</v>
      </c>
      <c r="J77" s="108">
        <v>74737</v>
      </c>
      <c r="K77" s="108">
        <v>82324</v>
      </c>
      <c r="L77" s="108">
        <v>91388</v>
      </c>
    </row>
    <row r="78" spans="1:12" x14ac:dyDescent="0.3">
      <c r="A78" s="272" t="s">
        <v>189</v>
      </c>
      <c r="B78" s="273" t="s">
        <v>190</v>
      </c>
      <c r="C78" s="313" t="s">
        <v>255</v>
      </c>
      <c r="D78" s="108">
        <v>10186</v>
      </c>
      <c r="E78" s="106">
        <v>10793</v>
      </c>
      <c r="F78" s="106">
        <v>10612</v>
      </c>
      <c r="G78" s="108">
        <v>10370</v>
      </c>
      <c r="H78" s="108">
        <v>10192</v>
      </c>
      <c r="I78" s="108">
        <v>10445</v>
      </c>
      <c r="J78" s="108">
        <v>10033</v>
      </c>
      <c r="K78" s="108">
        <v>10264</v>
      </c>
      <c r="L78" s="108">
        <v>10781</v>
      </c>
    </row>
    <row r="79" spans="1:12" x14ac:dyDescent="0.3">
      <c r="A79" s="272" t="s">
        <v>193</v>
      </c>
      <c r="B79" s="273" t="s">
        <v>194</v>
      </c>
      <c r="C79" s="313" t="s">
        <v>254</v>
      </c>
      <c r="D79" s="108">
        <v>1257</v>
      </c>
      <c r="E79" s="106">
        <v>1264</v>
      </c>
      <c r="F79" s="106">
        <v>1201</v>
      </c>
      <c r="G79" s="108">
        <v>1188</v>
      </c>
      <c r="H79" s="108">
        <v>1165</v>
      </c>
      <c r="I79" s="108">
        <v>1157</v>
      </c>
      <c r="J79" s="108">
        <v>1098</v>
      </c>
      <c r="K79" s="108">
        <v>1257</v>
      </c>
      <c r="L79" s="108">
        <v>1437</v>
      </c>
    </row>
    <row r="80" spans="1:12" x14ac:dyDescent="0.3">
      <c r="A80" s="272" t="s">
        <v>197</v>
      </c>
      <c r="B80" s="273" t="s">
        <v>259</v>
      </c>
      <c r="C80" s="313" t="s">
        <v>253</v>
      </c>
      <c r="D80" s="108">
        <v>2553</v>
      </c>
      <c r="E80" s="106">
        <v>2766</v>
      </c>
      <c r="F80" s="106">
        <v>2745</v>
      </c>
      <c r="G80" s="108">
        <v>2824</v>
      </c>
      <c r="H80" s="108">
        <v>2849</v>
      </c>
      <c r="I80" s="108">
        <v>2818</v>
      </c>
      <c r="J80" s="108">
        <v>2594</v>
      </c>
      <c r="K80" s="108">
        <v>2717</v>
      </c>
      <c r="L80" s="108">
        <v>3179</v>
      </c>
    </row>
    <row r="81" spans="1:12" x14ac:dyDescent="0.3">
      <c r="A81" s="272" t="s">
        <v>201</v>
      </c>
      <c r="B81" s="273" t="s">
        <v>276</v>
      </c>
      <c r="C81" s="313" t="s">
        <v>252</v>
      </c>
      <c r="D81" s="108">
        <v>17074</v>
      </c>
      <c r="E81" s="106">
        <v>18639</v>
      </c>
      <c r="F81" s="106">
        <v>18682</v>
      </c>
      <c r="G81" s="108">
        <v>19343</v>
      </c>
      <c r="H81" s="108">
        <v>18808</v>
      </c>
      <c r="I81" s="108">
        <v>19139</v>
      </c>
      <c r="J81" s="108">
        <v>18248</v>
      </c>
      <c r="K81" s="108">
        <v>19815</v>
      </c>
      <c r="L81" s="108">
        <v>21758</v>
      </c>
    </row>
    <row r="82" spans="1:12" x14ac:dyDescent="0.3">
      <c r="A82" s="272" t="s">
        <v>203</v>
      </c>
      <c r="B82" s="273" t="s">
        <v>269</v>
      </c>
      <c r="C82" s="313" t="s">
        <v>252</v>
      </c>
      <c r="D82" s="108">
        <v>7789</v>
      </c>
      <c r="E82" s="106">
        <v>8595</v>
      </c>
      <c r="F82" s="106">
        <v>8478</v>
      </c>
      <c r="G82" s="108">
        <v>8558</v>
      </c>
      <c r="H82" s="108">
        <v>8818</v>
      </c>
      <c r="I82" s="108">
        <v>8810</v>
      </c>
      <c r="J82" s="108">
        <v>8047</v>
      </c>
      <c r="K82" s="108">
        <v>8814</v>
      </c>
      <c r="L82" s="108">
        <v>9407</v>
      </c>
    </row>
    <row r="83" spans="1:12" x14ac:dyDescent="0.3">
      <c r="A83" s="272" t="s">
        <v>205</v>
      </c>
      <c r="B83" s="273" t="s">
        <v>270</v>
      </c>
      <c r="C83" s="313" t="s">
        <v>254</v>
      </c>
      <c r="D83" s="108">
        <v>23605</v>
      </c>
      <c r="E83" s="106">
        <v>25976</v>
      </c>
      <c r="F83" s="106">
        <v>25431</v>
      </c>
      <c r="G83" s="108">
        <v>25746</v>
      </c>
      <c r="H83" s="108">
        <v>26018</v>
      </c>
      <c r="I83" s="108">
        <v>26546</v>
      </c>
      <c r="J83" s="108">
        <v>24529</v>
      </c>
      <c r="K83" s="108">
        <v>26970</v>
      </c>
      <c r="L83" s="108">
        <v>28793</v>
      </c>
    </row>
    <row r="84" spans="1:12" x14ac:dyDescent="0.3">
      <c r="A84" s="272" t="s">
        <v>207</v>
      </c>
      <c r="B84" s="273" t="s">
        <v>208</v>
      </c>
      <c r="C84" s="313" t="s">
        <v>255</v>
      </c>
      <c r="D84" s="108">
        <v>9980</v>
      </c>
      <c r="E84" s="106">
        <v>10460</v>
      </c>
      <c r="F84" s="106">
        <v>10546</v>
      </c>
      <c r="G84" s="108">
        <v>10382</v>
      </c>
      <c r="H84" s="108">
        <v>10367</v>
      </c>
      <c r="I84" s="108">
        <v>10323</v>
      </c>
      <c r="J84" s="108">
        <v>9684</v>
      </c>
      <c r="K84" s="108">
        <v>10098</v>
      </c>
      <c r="L84" s="108">
        <v>10843</v>
      </c>
    </row>
    <row r="85" spans="1:12" x14ac:dyDescent="0.3">
      <c r="A85" s="272" t="s">
        <v>209</v>
      </c>
      <c r="B85" s="273" t="s">
        <v>210</v>
      </c>
      <c r="C85" s="313" t="s">
        <v>255</v>
      </c>
      <c r="D85" s="108">
        <v>7259</v>
      </c>
      <c r="E85" s="106">
        <v>7706</v>
      </c>
      <c r="F85" s="106">
        <v>7617</v>
      </c>
      <c r="G85" s="108">
        <v>7479</v>
      </c>
      <c r="H85" s="108">
        <v>7416</v>
      </c>
      <c r="I85" s="108">
        <v>7391</v>
      </c>
      <c r="J85" s="108">
        <v>7082</v>
      </c>
      <c r="K85" s="108">
        <v>7341</v>
      </c>
      <c r="L85" s="108">
        <v>7670</v>
      </c>
    </row>
    <row r="86" spans="1:12" x14ac:dyDescent="0.3">
      <c r="A86" s="272" t="s">
        <v>211</v>
      </c>
      <c r="B86" s="273" t="s">
        <v>212</v>
      </c>
      <c r="C86" s="313" t="s">
        <v>254</v>
      </c>
      <c r="D86" s="108">
        <v>9929</v>
      </c>
      <c r="E86" s="106">
        <v>10619</v>
      </c>
      <c r="F86" s="106">
        <v>10511</v>
      </c>
      <c r="G86" s="108">
        <v>10486</v>
      </c>
      <c r="H86" s="108">
        <v>10564</v>
      </c>
      <c r="I86" s="108">
        <v>10446</v>
      </c>
      <c r="J86" s="108">
        <v>9953</v>
      </c>
      <c r="K86" s="108">
        <v>10729</v>
      </c>
      <c r="L86" s="108">
        <v>11793</v>
      </c>
    </row>
    <row r="87" spans="1:12" x14ac:dyDescent="0.3">
      <c r="A87" s="272" t="s">
        <v>213</v>
      </c>
      <c r="B87" s="273" t="s">
        <v>214</v>
      </c>
      <c r="C87" s="313" t="s">
        <v>255</v>
      </c>
      <c r="D87" s="108">
        <v>11107</v>
      </c>
      <c r="E87" s="106">
        <v>11659</v>
      </c>
      <c r="F87" s="106">
        <v>11340</v>
      </c>
      <c r="G87" s="108">
        <v>11223</v>
      </c>
      <c r="H87" s="108">
        <v>11100</v>
      </c>
      <c r="I87" s="108">
        <v>11048</v>
      </c>
      <c r="J87" s="108">
        <v>10710</v>
      </c>
      <c r="K87" s="108">
        <v>11168</v>
      </c>
      <c r="L87" s="108">
        <v>12027</v>
      </c>
    </row>
    <row r="88" spans="1:12" x14ac:dyDescent="0.3">
      <c r="A88" s="272" t="s">
        <v>215</v>
      </c>
      <c r="B88" s="273" t="s">
        <v>216</v>
      </c>
      <c r="C88" s="313" t="s">
        <v>251</v>
      </c>
      <c r="D88" s="108">
        <v>5217</v>
      </c>
      <c r="E88" s="106">
        <v>5484</v>
      </c>
      <c r="F88" s="106">
        <v>5406</v>
      </c>
      <c r="G88" s="108">
        <v>5433</v>
      </c>
      <c r="H88" s="108">
        <v>5336</v>
      </c>
      <c r="I88" s="108">
        <v>5375</v>
      </c>
      <c r="J88" s="108">
        <v>4999</v>
      </c>
      <c r="K88" s="108">
        <v>5227</v>
      </c>
      <c r="L88" s="108">
        <v>6110</v>
      </c>
    </row>
    <row r="89" spans="1:12" x14ac:dyDescent="0.3">
      <c r="A89" s="272" t="s">
        <v>217</v>
      </c>
      <c r="B89" s="273" t="s">
        <v>218</v>
      </c>
      <c r="C89" s="313" t="s">
        <v>254</v>
      </c>
      <c r="D89" s="108">
        <v>22492</v>
      </c>
      <c r="E89" s="106">
        <v>24207</v>
      </c>
      <c r="F89" s="106">
        <v>24647</v>
      </c>
      <c r="G89" s="108">
        <v>25907</v>
      </c>
      <c r="H89" s="108">
        <v>26628</v>
      </c>
      <c r="I89" s="108">
        <v>27119</v>
      </c>
      <c r="J89" s="108">
        <v>25950</v>
      </c>
      <c r="K89" s="108">
        <v>28465</v>
      </c>
      <c r="L89" s="108">
        <v>31484</v>
      </c>
    </row>
    <row r="90" spans="1:12" x14ac:dyDescent="0.3">
      <c r="A90" s="272" t="s">
        <v>219</v>
      </c>
      <c r="B90" s="273" t="s">
        <v>220</v>
      </c>
      <c r="C90" s="313" t="s">
        <v>254</v>
      </c>
      <c r="D90" s="108">
        <v>18509</v>
      </c>
      <c r="E90" s="106">
        <v>20137</v>
      </c>
      <c r="F90" s="106">
        <v>20516</v>
      </c>
      <c r="G90" s="108">
        <v>21743</v>
      </c>
      <c r="H90" s="108">
        <v>22548</v>
      </c>
      <c r="I90" s="108">
        <v>22947</v>
      </c>
      <c r="J90" s="108">
        <v>21694</v>
      </c>
      <c r="K90" s="108">
        <v>24644</v>
      </c>
      <c r="L90" s="108">
        <v>27922</v>
      </c>
    </row>
    <row r="91" spans="1:12" x14ac:dyDescent="0.3">
      <c r="A91" s="272" t="s">
        <v>223</v>
      </c>
      <c r="B91" s="273" t="s">
        <v>224</v>
      </c>
      <c r="C91" s="313" t="s">
        <v>251</v>
      </c>
      <c r="D91" s="108">
        <v>1793</v>
      </c>
      <c r="E91" s="106">
        <v>1980</v>
      </c>
      <c r="F91" s="106">
        <v>1912</v>
      </c>
      <c r="G91" s="108">
        <v>1902</v>
      </c>
      <c r="H91" s="108">
        <v>1896</v>
      </c>
      <c r="I91" s="108">
        <v>1863</v>
      </c>
      <c r="J91" s="108">
        <v>1707</v>
      </c>
      <c r="K91" s="108">
        <v>1801</v>
      </c>
      <c r="L91" s="108">
        <v>1884</v>
      </c>
    </row>
    <row r="92" spans="1:12" x14ac:dyDescent="0.3">
      <c r="A92" s="272" t="s">
        <v>225</v>
      </c>
      <c r="B92" s="273" t="s">
        <v>226</v>
      </c>
      <c r="C92" s="313" t="s">
        <v>251</v>
      </c>
      <c r="D92" s="108">
        <v>3372</v>
      </c>
      <c r="E92" s="106">
        <v>3614</v>
      </c>
      <c r="F92" s="106">
        <v>3562</v>
      </c>
      <c r="G92" s="108">
        <v>3591</v>
      </c>
      <c r="H92" s="108">
        <v>3572</v>
      </c>
      <c r="I92" s="108">
        <v>3547</v>
      </c>
      <c r="J92" s="108">
        <v>3202</v>
      </c>
      <c r="K92" s="108">
        <v>3391</v>
      </c>
      <c r="L92" s="108">
        <v>5263</v>
      </c>
    </row>
    <row r="93" spans="1:12" x14ac:dyDescent="0.3">
      <c r="A93" s="272" t="s">
        <v>227</v>
      </c>
      <c r="B93" s="273" t="s">
        <v>228</v>
      </c>
      <c r="C93" s="313" t="s">
        <v>255</v>
      </c>
      <c r="D93" s="108">
        <v>13576</v>
      </c>
      <c r="E93" s="106">
        <v>14800</v>
      </c>
      <c r="F93" s="106">
        <v>14921</v>
      </c>
      <c r="G93" s="108">
        <v>15172</v>
      </c>
      <c r="H93" s="108">
        <v>15114</v>
      </c>
      <c r="I93" s="108">
        <v>15270</v>
      </c>
      <c r="J93" s="108">
        <v>14339</v>
      </c>
      <c r="K93" s="108">
        <v>14935</v>
      </c>
      <c r="L93" s="108">
        <v>16424</v>
      </c>
    </row>
    <row r="94" spans="1:12" x14ac:dyDescent="0.3">
      <c r="A94" s="272" t="s">
        <v>231</v>
      </c>
      <c r="B94" s="273" t="s">
        <v>232</v>
      </c>
      <c r="C94" s="313" t="s">
        <v>254</v>
      </c>
      <c r="D94" s="108">
        <v>8881</v>
      </c>
      <c r="E94" s="106">
        <v>9625</v>
      </c>
      <c r="F94" s="106">
        <v>9389</v>
      </c>
      <c r="G94" s="108">
        <v>9584</v>
      </c>
      <c r="H94" s="108">
        <v>9337</v>
      </c>
      <c r="I94" s="108">
        <v>9326</v>
      </c>
      <c r="J94" s="108">
        <v>8899</v>
      </c>
      <c r="K94" s="108">
        <v>9391</v>
      </c>
      <c r="L94" s="108">
        <v>10220</v>
      </c>
    </row>
    <row r="95" spans="1:12" x14ac:dyDescent="0.3">
      <c r="A95" s="272" t="s">
        <v>233</v>
      </c>
      <c r="B95" s="273" t="s">
        <v>234</v>
      </c>
      <c r="C95" s="313" t="s">
        <v>255</v>
      </c>
      <c r="D95" s="108">
        <v>13859</v>
      </c>
      <c r="E95" s="106">
        <v>14710</v>
      </c>
      <c r="F95" s="106">
        <v>14720</v>
      </c>
      <c r="G95" s="108">
        <v>14759</v>
      </c>
      <c r="H95" s="108">
        <v>14578</v>
      </c>
      <c r="I95" s="108">
        <v>14700</v>
      </c>
      <c r="J95" s="108">
        <v>14166</v>
      </c>
      <c r="K95" s="108">
        <v>14985</v>
      </c>
      <c r="L95" s="108">
        <v>15835</v>
      </c>
    </row>
    <row r="96" spans="1:12" x14ac:dyDescent="0.3">
      <c r="A96" s="272" t="s">
        <v>235</v>
      </c>
      <c r="B96" s="273" t="s">
        <v>236</v>
      </c>
      <c r="C96" s="313" t="s">
        <v>253</v>
      </c>
      <c r="D96" s="108">
        <v>5537</v>
      </c>
      <c r="E96" s="106">
        <v>5890</v>
      </c>
      <c r="F96" s="106">
        <v>5666</v>
      </c>
      <c r="G96" s="108">
        <v>5925</v>
      </c>
      <c r="H96" s="108">
        <v>6025</v>
      </c>
      <c r="I96" s="108">
        <v>6036</v>
      </c>
      <c r="J96" s="108">
        <v>5885</v>
      </c>
      <c r="K96" s="108">
        <v>6085</v>
      </c>
      <c r="L96" s="108">
        <v>6375</v>
      </c>
    </row>
    <row r="97" spans="1:12" x14ac:dyDescent="0.3">
      <c r="A97" s="272" t="s">
        <v>241</v>
      </c>
      <c r="B97" s="273" t="s">
        <v>242</v>
      </c>
      <c r="C97" s="313" t="s">
        <v>255</v>
      </c>
      <c r="D97" s="108">
        <v>14811</v>
      </c>
      <c r="E97" s="106">
        <v>15880</v>
      </c>
      <c r="F97" s="106">
        <v>15881</v>
      </c>
      <c r="G97" s="108">
        <v>15297</v>
      </c>
      <c r="H97" s="108">
        <v>15289</v>
      </c>
      <c r="I97" s="108">
        <v>15388</v>
      </c>
      <c r="J97" s="108">
        <v>14402</v>
      </c>
      <c r="K97" s="108">
        <v>15071</v>
      </c>
      <c r="L97" s="108">
        <v>16323</v>
      </c>
    </row>
    <row r="98" spans="1:12" x14ac:dyDescent="0.3">
      <c r="A98" s="274" t="s">
        <v>243</v>
      </c>
      <c r="B98" s="273" t="s">
        <v>244</v>
      </c>
      <c r="C98" s="313" t="s">
        <v>255</v>
      </c>
      <c r="D98" s="108">
        <v>8584</v>
      </c>
      <c r="E98" s="106">
        <v>8879</v>
      </c>
      <c r="F98" s="106">
        <v>8648</v>
      </c>
      <c r="G98" s="108">
        <v>8593</v>
      </c>
      <c r="H98" s="108">
        <v>8349</v>
      </c>
      <c r="I98" s="108">
        <v>8381</v>
      </c>
      <c r="J98" s="108">
        <v>8314</v>
      </c>
      <c r="K98" s="108">
        <v>8875</v>
      </c>
      <c r="L98" s="108">
        <v>9676</v>
      </c>
    </row>
    <row r="99" spans="1:12" x14ac:dyDescent="0.3">
      <c r="A99" s="272" t="s">
        <v>245</v>
      </c>
      <c r="B99" s="273" t="s">
        <v>246</v>
      </c>
      <c r="C99" s="313" t="s">
        <v>251</v>
      </c>
      <c r="D99" s="108">
        <v>6978</v>
      </c>
      <c r="E99" s="106">
        <v>7574</v>
      </c>
      <c r="F99" s="106">
        <v>7685</v>
      </c>
      <c r="G99" s="108">
        <v>7961</v>
      </c>
      <c r="H99" s="108">
        <v>7891</v>
      </c>
      <c r="I99" s="108">
        <v>8041</v>
      </c>
      <c r="J99" s="108">
        <v>7634</v>
      </c>
      <c r="K99" s="108">
        <v>8425</v>
      </c>
      <c r="L99" s="108">
        <v>9613</v>
      </c>
    </row>
    <row r="100" spans="1:12" x14ac:dyDescent="0.3">
      <c r="A100" s="272" t="s">
        <v>13</v>
      </c>
      <c r="B100" s="273" t="s">
        <v>14</v>
      </c>
      <c r="C100" s="313" t="s">
        <v>254</v>
      </c>
      <c r="D100" s="108">
        <v>18462</v>
      </c>
      <c r="E100" s="106">
        <v>20208</v>
      </c>
      <c r="F100" s="106">
        <v>20215</v>
      </c>
      <c r="G100" s="108">
        <v>21904</v>
      </c>
      <c r="H100" s="108">
        <v>22934</v>
      </c>
      <c r="I100" s="108">
        <v>24079</v>
      </c>
      <c r="J100" s="108">
        <v>23683</v>
      </c>
      <c r="K100" s="108">
        <v>25748</v>
      </c>
      <c r="L100" s="108">
        <v>28231</v>
      </c>
    </row>
    <row r="101" spans="1:12" x14ac:dyDescent="0.3">
      <c r="A101" s="272" t="s">
        <v>33</v>
      </c>
      <c r="B101" s="273" t="s">
        <v>34</v>
      </c>
      <c r="C101" s="313" t="s">
        <v>255</v>
      </c>
      <c r="D101" s="108">
        <v>7773</v>
      </c>
      <c r="E101" s="106">
        <v>8331</v>
      </c>
      <c r="F101" s="106">
        <v>8071</v>
      </c>
      <c r="G101" s="108">
        <v>7913</v>
      </c>
      <c r="H101" s="108">
        <v>7728</v>
      </c>
      <c r="I101" s="108">
        <v>7741</v>
      </c>
      <c r="J101" s="108">
        <v>7474</v>
      </c>
      <c r="K101" s="108">
        <v>7995</v>
      </c>
      <c r="L101" s="108">
        <v>8707</v>
      </c>
    </row>
    <row r="102" spans="1:12" x14ac:dyDescent="0.3">
      <c r="A102" s="272" t="s">
        <v>51</v>
      </c>
      <c r="B102" s="273" t="s">
        <v>52</v>
      </c>
      <c r="C102" s="313" t="s">
        <v>252</v>
      </c>
      <c r="D102" s="108">
        <v>10175</v>
      </c>
      <c r="E102" s="106">
        <v>10594</v>
      </c>
      <c r="F102" s="106">
        <v>9993</v>
      </c>
      <c r="G102" s="108">
        <v>9960</v>
      </c>
      <c r="H102" s="108">
        <v>9638</v>
      </c>
      <c r="I102" s="108">
        <v>9380</v>
      </c>
      <c r="J102" s="108">
        <v>8701</v>
      </c>
      <c r="K102" s="108">
        <v>9367</v>
      </c>
      <c r="L102" s="108">
        <v>10226</v>
      </c>
    </row>
    <row r="103" spans="1:12" x14ac:dyDescent="0.3">
      <c r="A103" s="272" t="s">
        <v>53</v>
      </c>
      <c r="B103" s="273" t="s">
        <v>54</v>
      </c>
      <c r="C103" s="313" t="s">
        <v>251</v>
      </c>
      <c r="D103" s="108">
        <v>42145</v>
      </c>
      <c r="E103" s="106">
        <v>45511</v>
      </c>
      <c r="F103" s="106">
        <v>45653</v>
      </c>
      <c r="G103" s="108">
        <v>46581</v>
      </c>
      <c r="H103" s="108">
        <v>47023</v>
      </c>
      <c r="I103" s="108">
        <v>48384</v>
      </c>
      <c r="J103" s="108">
        <v>45593</v>
      </c>
      <c r="K103" s="108">
        <v>49322</v>
      </c>
      <c r="L103" s="108">
        <v>54523</v>
      </c>
    </row>
    <row r="104" spans="1:12" x14ac:dyDescent="0.3">
      <c r="A104" s="272" t="s">
        <v>65</v>
      </c>
      <c r="B104" s="273" t="s">
        <v>66</v>
      </c>
      <c r="C104" s="313" t="s">
        <v>252</v>
      </c>
      <c r="D104" s="108">
        <v>21090</v>
      </c>
      <c r="E104" s="106">
        <v>21903</v>
      </c>
      <c r="F104" s="106">
        <v>21590</v>
      </c>
      <c r="G104" s="108">
        <v>21805</v>
      </c>
      <c r="H104" s="108">
        <v>21464</v>
      </c>
      <c r="I104" s="108">
        <v>21492</v>
      </c>
      <c r="J104" s="108">
        <v>20904</v>
      </c>
      <c r="K104" s="108">
        <v>21880</v>
      </c>
      <c r="L104" s="108">
        <v>23240</v>
      </c>
    </row>
    <row r="105" spans="1:12" x14ac:dyDescent="0.3">
      <c r="A105" s="272" t="s">
        <v>81</v>
      </c>
      <c r="B105" s="273" t="s">
        <v>82</v>
      </c>
      <c r="C105" s="313" t="s">
        <v>251</v>
      </c>
      <c r="D105" s="108">
        <v>4238</v>
      </c>
      <c r="E105" s="106">
        <v>4434</v>
      </c>
      <c r="F105" s="106">
        <v>4257</v>
      </c>
      <c r="G105" s="108">
        <v>4322</v>
      </c>
      <c r="H105" s="108">
        <v>4286</v>
      </c>
      <c r="I105" s="108">
        <v>4364</v>
      </c>
      <c r="J105" s="108">
        <v>4242</v>
      </c>
      <c r="K105" s="108">
        <v>4221</v>
      </c>
      <c r="L105" s="108">
        <v>4372</v>
      </c>
    </row>
    <row r="106" spans="1:12" x14ac:dyDescent="0.3">
      <c r="A106" s="272" t="s">
        <v>87</v>
      </c>
      <c r="B106" s="273" t="s">
        <v>88</v>
      </c>
      <c r="C106" s="313" t="s">
        <v>254</v>
      </c>
      <c r="D106" s="108">
        <v>8271</v>
      </c>
      <c r="E106" s="106">
        <v>8697</v>
      </c>
      <c r="F106" s="106">
        <v>8650</v>
      </c>
      <c r="G106" s="108">
        <v>8849</v>
      </c>
      <c r="H106" s="108">
        <v>8366</v>
      </c>
      <c r="I106" s="108">
        <v>8862</v>
      </c>
      <c r="J106" s="108">
        <v>8331</v>
      </c>
      <c r="K106" s="108">
        <v>9025</v>
      </c>
      <c r="L106" s="108">
        <v>9917</v>
      </c>
    </row>
    <row r="107" spans="1:12" x14ac:dyDescent="0.3">
      <c r="A107" s="272" t="s">
        <v>89</v>
      </c>
      <c r="B107" s="273" t="s">
        <v>90</v>
      </c>
      <c r="C107" s="313" t="s">
        <v>255</v>
      </c>
      <c r="D107" s="108">
        <v>3278</v>
      </c>
      <c r="E107" s="106">
        <v>3428</v>
      </c>
      <c r="F107" s="106">
        <v>3451</v>
      </c>
      <c r="G107" s="108">
        <v>3339</v>
      </c>
      <c r="H107" s="108">
        <v>3316</v>
      </c>
      <c r="I107" s="108">
        <v>3436</v>
      </c>
      <c r="J107" s="108">
        <v>3200</v>
      </c>
      <c r="K107" s="108">
        <v>3341</v>
      </c>
      <c r="L107" s="108">
        <v>3365</v>
      </c>
    </row>
    <row r="108" spans="1:12" x14ac:dyDescent="0.3">
      <c r="A108" s="272" t="s">
        <v>105</v>
      </c>
      <c r="B108" s="273" t="s">
        <v>106</v>
      </c>
      <c r="C108" s="313" t="s">
        <v>251</v>
      </c>
      <c r="D108" s="108">
        <v>38528</v>
      </c>
      <c r="E108" s="106">
        <v>41337</v>
      </c>
      <c r="F108" s="106">
        <v>41061</v>
      </c>
      <c r="G108" s="108">
        <v>41471</v>
      </c>
      <c r="H108" s="108">
        <v>40796</v>
      </c>
      <c r="I108" s="108">
        <v>41316</v>
      </c>
      <c r="J108" s="108">
        <v>38637</v>
      </c>
      <c r="K108" s="108">
        <v>41073</v>
      </c>
      <c r="L108" s="108">
        <v>44062</v>
      </c>
    </row>
    <row r="109" spans="1:12" x14ac:dyDescent="0.3">
      <c r="A109" s="272" t="s">
        <v>115</v>
      </c>
      <c r="B109" s="273" t="s">
        <v>116</v>
      </c>
      <c r="C109" s="313" t="s">
        <v>253</v>
      </c>
      <c r="D109" s="108">
        <v>10904</v>
      </c>
      <c r="E109" s="106">
        <v>11434</v>
      </c>
      <c r="F109" s="106">
        <v>11517</v>
      </c>
      <c r="G109" s="108">
        <v>11988</v>
      </c>
      <c r="H109" s="108">
        <v>12065</v>
      </c>
      <c r="I109" s="108">
        <v>12382</v>
      </c>
      <c r="J109" s="108">
        <v>11797</v>
      </c>
      <c r="K109" s="108">
        <v>12265</v>
      </c>
      <c r="L109" s="108">
        <v>12928</v>
      </c>
    </row>
    <row r="110" spans="1:12" x14ac:dyDescent="0.3">
      <c r="A110" s="272" t="s">
        <v>137</v>
      </c>
      <c r="B110" s="273" t="s">
        <v>138</v>
      </c>
      <c r="C110" s="313" t="s">
        <v>252</v>
      </c>
      <c r="D110" s="108">
        <v>22397</v>
      </c>
      <c r="E110" s="106">
        <v>23819</v>
      </c>
      <c r="F110" s="106">
        <v>23693</v>
      </c>
      <c r="G110" s="108">
        <v>23659</v>
      </c>
      <c r="H110" s="108">
        <v>22935</v>
      </c>
      <c r="I110" s="108">
        <v>22285</v>
      </c>
      <c r="J110" s="108">
        <v>21696</v>
      </c>
      <c r="K110" s="108">
        <v>23021</v>
      </c>
      <c r="L110" s="108">
        <v>25315</v>
      </c>
    </row>
    <row r="111" spans="1:12" x14ac:dyDescent="0.3">
      <c r="A111" s="272" t="s">
        <v>141</v>
      </c>
      <c r="B111" s="273" t="s">
        <v>142</v>
      </c>
      <c r="C111" s="313" t="s">
        <v>254</v>
      </c>
      <c r="D111" s="108">
        <v>8925</v>
      </c>
      <c r="E111" s="106">
        <v>9893</v>
      </c>
      <c r="F111" s="106">
        <v>10100</v>
      </c>
      <c r="G111" s="108">
        <v>10575</v>
      </c>
      <c r="H111" s="108">
        <v>10493</v>
      </c>
      <c r="I111" s="108">
        <v>10701</v>
      </c>
      <c r="J111" s="108">
        <v>9986</v>
      </c>
      <c r="K111" s="108">
        <v>10579</v>
      </c>
      <c r="L111" s="108">
        <v>11091</v>
      </c>
    </row>
    <row r="112" spans="1:12" x14ac:dyDescent="0.3">
      <c r="A112" s="272" t="s">
        <v>143</v>
      </c>
      <c r="B112" s="273" t="s">
        <v>144</v>
      </c>
      <c r="C112" s="313" t="s">
        <v>254</v>
      </c>
      <c r="D112" s="108">
        <v>3006</v>
      </c>
      <c r="E112" s="106">
        <v>3433</v>
      </c>
      <c r="F112" s="106">
        <v>3317</v>
      </c>
      <c r="G112" s="108">
        <v>3707</v>
      </c>
      <c r="H112" s="108">
        <v>3886</v>
      </c>
      <c r="I112" s="108">
        <v>4155</v>
      </c>
      <c r="J112" s="108">
        <v>3794</v>
      </c>
      <c r="K112" s="108">
        <v>4173</v>
      </c>
      <c r="L112" s="108">
        <v>4421</v>
      </c>
    </row>
    <row r="113" spans="1:12" x14ac:dyDescent="0.3">
      <c r="A113" s="272" t="s">
        <v>157</v>
      </c>
      <c r="B113" s="273" t="s">
        <v>158</v>
      </c>
      <c r="C113" s="313" t="s">
        <v>251</v>
      </c>
      <c r="D113" s="108">
        <v>58855</v>
      </c>
      <c r="E113" s="106">
        <v>62727</v>
      </c>
      <c r="F113" s="106">
        <v>61457</v>
      </c>
      <c r="G113" s="108">
        <v>62157</v>
      </c>
      <c r="H113" s="108">
        <v>61934</v>
      </c>
      <c r="I113" s="108">
        <v>63089</v>
      </c>
      <c r="J113" s="108">
        <v>59065</v>
      </c>
      <c r="K113" s="108">
        <v>62654</v>
      </c>
      <c r="L113" s="108">
        <v>67054</v>
      </c>
    </row>
    <row r="114" spans="1:12" x14ac:dyDescent="0.3">
      <c r="A114" s="272" t="s">
        <v>159</v>
      </c>
      <c r="B114" s="273" t="s">
        <v>160</v>
      </c>
      <c r="C114" s="313" t="s">
        <v>251</v>
      </c>
      <c r="D114" s="108">
        <v>78218</v>
      </c>
      <c r="E114" s="106">
        <v>82672</v>
      </c>
      <c r="F114" s="106">
        <v>81555</v>
      </c>
      <c r="G114" s="108">
        <v>81381</v>
      </c>
      <c r="H114" s="108">
        <v>79024</v>
      </c>
      <c r="I114" s="108">
        <v>77555</v>
      </c>
      <c r="J114" s="108">
        <v>72329</v>
      </c>
      <c r="K114" s="108">
        <v>75866</v>
      </c>
      <c r="L114" s="108">
        <v>81344</v>
      </c>
    </row>
    <row r="115" spans="1:12" x14ac:dyDescent="0.3">
      <c r="A115" s="272" t="s">
        <v>165</v>
      </c>
      <c r="B115" s="273" t="s">
        <v>166</v>
      </c>
      <c r="C115" s="313" t="s">
        <v>255</v>
      </c>
      <c r="D115" s="108">
        <v>1906</v>
      </c>
      <c r="E115" s="106">
        <v>1956</v>
      </c>
      <c r="F115" s="106">
        <v>1886</v>
      </c>
      <c r="G115" s="108">
        <v>1842</v>
      </c>
      <c r="H115" s="108">
        <v>1925</v>
      </c>
      <c r="I115" s="108">
        <v>1893</v>
      </c>
      <c r="J115" s="108">
        <v>1672</v>
      </c>
      <c r="K115" s="108">
        <v>1799</v>
      </c>
      <c r="L115" s="108">
        <v>1929</v>
      </c>
    </row>
    <row r="116" spans="1:12" x14ac:dyDescent="0.3">
      <c r="A116" s="272" t="s">
        <v>175</v>
      </c>
      <c r="B116" s="273" t="s">
        <v>176</v>
      </c>
      <c r="C116" s="313" t="s">
        <v>253</v>
      </c>
      <c r="D116" s="108">
        <v>17376</v>
      </c>
      <c r="E116" s="106">
        <v>18148</v>
      </c>
      <c r="F116" s="106">
        <v>17994</v>
      </c>
      <c r="G116" s="108">
        <v>18493</v>
      </c>
      <c r="H116" s="108">
        <v>18847</v>
      </c>
      <c r="I116" s="108">
        <v>18724</v>
      </c>
      <c r="J116" s="108">
        <v>17956</v>
      </c>
      <c r="K116" s="108">
        <v>18880</v>
      </c>
      <c r="L116" s="108">
        <v>20206</v>
      </c>
    </row>
    <row r="117" spans="1:12" x14ac:dyDescent="0.3">
      <c r="A117" s="272" t="s">
        <v>179</v>
      </c>
      <c r="B117" s="273" t="s">
        <v>180</v>
      </c>
      <c r="C117" s="313" t="s">
        <v>251</v>
      </c>
      <c r="D117" s="108">
        <v>37597</v>
      </c>
      <c r="E117" s="106">
        <v>40008</v>
      </c>
      <c r="F117" s="106">
        <v>39301</v>
      </c>
      <c r="G117" s="108">
        <v>39957</v>
      </c>
      <c r="H117" s="108">
        <v>39584</v>
      </c>
      <c r="I117" s="108">
        <v>40189</v>
      </c>
      <c r="J117" s="108">
        <v>37837</v>
      </c>
      <c r="K117" s="108">
        <v>39709</v>
      </c>
      <c r="L117" s="108">
        <v>43103</v>
      </c>
    </row>
    <row r="118" spans="1:12" x14ac:dyDescent="0.3">
      <c r="A118" s="272" t="s">
        <v>191</v>
      </c>
      <c r="B118" s="273" t="s">
        <v>192</v>
      </c>
      <c r="C118" s="313" t="s">
        <v>255</v>
      </c>
      <c r="D118" s="108">
        <v>3130</v>
      </c>
      <c r="E118" s="106">
        <v>3352</v>
      </c>
      <c r="F118" s="106">
        <v>3377</v>
      </c>
      <c r="G118" s="108">
        <v>3386</v>
      </c>
      <c r="H118" s="108">
        <v>3247</v>
      </c>
      <c r="I118" s="108">
        <v>3245</v>
      </c>
      <c r="J118" s="108">
        <v>2999</v>
      </c>
      <c r="K118" s="108">
        <v>3284</v>
      </c>
      <c r="L118" s="108">
        <v>3636</v>
      </c>
    </row>
    <row r="119" spans="1:12" x14ac:dyDescent="0.3">
      <c r="A119" s="272" t="s">
        <v>195</v>
      </c>
      <c r="B119" s="273" t="s">
        <v>196</v>
      </c>
      <c r="C119" s="313" t="s">
        <v>253</v>
      </c>
      <c r="D119" s="108">
        <v>81906</v>
      </c>
      <c r="E119" s="106">
        <v>86276</v>
      </c>
      <c r="F119" s="106">
        <v>84263</v>
      </c>
      <c r="G119" s="108">
        <v>84729</v>
      </c>
      <c r="H119" s="108">
        <v>84567</v>
      </c>
      <c r="I119" s="108">
        <v>81812</v>
      </c>
      <c r="J119" s="108">
        <v>75312</v>
      </c>
      <c r="K119" s="108">
        <v>79310</v>
      </c>
      <c r="L119" s="108">
        <v>86057</v>
      </c>
    </row>
    <row r="120" spans="1:12" x14ac:dyDescent="0.3">
      <c r="A120" s="272" t="s">
        <v>199</v>
      </c>
      <c r="B120" s="273" t="s">
        <v>200</v>
      </c>
      <c r="C120" s="313" t="s">
        <v>252</v>
      </c>
      <c r="D120" s="108">
        <v>39164</v>
      </c>
      <c r="E120" s="106">
        <v>42145</v>
      </c>
      <c r="F120" s="106">
        <v>41750</v>
      </c>
      <c r="G120" s="108">
        <v>41785</v>
      </c>
      <c r="H120" s="108">
        <v>40375</v>
      </c>
      <c r="I120" s="108">
        <v>40378</v>
      </c>
      <c r="J120" s="108">
        <v>39175</v>
      </c>
      <c r="K120" s="108">
        <v>41309</v>
      </c>
      <c r="L120" s="108">
        <v>43785</v>
      </c>
    </row>
    <row r="121" spans="1:12" x14ac:dyDescent="0.3">
      <c r="A121" s="272" t="s">
        <v>221</v>
      </c>
      <c r="B121" s="273" t="s">
        <v>222</v>
      </c>
      <c r="C121" s="313" t="s">
        <v>251</v>
      </c>
      <c r="D121" s="108">
        <v>21190</v>
      </c>
      <c r="E121" s="106">
        <v>22550</v>
      </c>
      <c r="F121" s="106">
        <v>22422</v>
      </c>
      <c r="G121" s="108">
        <v>22343</v>
      </c>
      <c r="H121" s="108">
        <v>22309</v>
      </c>
      <c r="I121" s="108">
        <v>22621</v>
      </c>
      <c r="J121" s="108">
        <v>21308</v>
      </c>
      <c r="K121" s="108">
        <v>22602</v>
      </c>
      <c r="L121" s="108">
        <v>24098</v>
      </c>
    </row>
    <row r="122" spans="1:12" x14ac:dyDescent="0.3">
      <c r="A122" s="272" t="s">
        <v>229</v>
      </c>
      <c r="B122" s="273" t="s">
        <v>230</v>
      </c>
      <c r="C122" s="313" t="s">
        <v>251</v>
      </c>
      <c r="D122" s="108">
        <v>67274</v>
      </c>
      <c r="E122" s="106">
        <v>72106</v>
      </c>
      <c r="F122" s="106">
        <v>72688</v>
      </c>
      <c r="G122" s="108">
        <v>75989</v>
      </c>
      <c r="H122" s="108">
        <v>73761</v>
      </c>
      <c r="I122" s="108">
        <v>74630</v>
      </c>
      <c r="J122" s="108">
        <v>70689</v>
      </c>
      <c r="K122" s="108">
        <v>76974</v>
      </c>
      <c r="L122" s="108">
        <v>85630</v>
      </c>
    </row>
    <row r="123" spans="1:12" x14ac:dyDescent="0.3">
      <c r="A123" s="272" t="s">
        <v>237</v>
      </c>
      <c r="B123" s="273" t="s">
        <v>238</v>
      </c>
      <c r="C123" s="313" t="s">
        <v>251</v>
      </c>
      <c r="D123" s="108">
        <v>2203</v>
      </c>
      <c r="E123" s="106">
        <v>2402</v>
      </c>
      <c r="F123" s="106">
        <v>2454</v>
      </c>
      <c r="G123" s="108">
        <v>2495</v>
      </c>
      <c r="H123" s="108">
        <v>2413</v>
      </c>
      <c r="I123" s="108">
        <v>2690</v>
      </c>
      <c r="J123" s="108">
        <v>2452</v>
      </c>
      <c r="K123" s="108">
        <v>2689</v>
      </c>
      <c r="L123" s="108">
        <v>2948</v>
      </c>
    </row>
    <row r="124" spans="1:12" x14ac:dyDescent="0.3">
      <c r="A124" s="272" t="s">
        <v>239</v>
      </c>
      <c r="B124" s="273" t="s">
        <v>240</v>
      </c>
      <c r="C124" s="313" t="s">
        <v>254</v>
      </c>
      <c r="D124" s="108">
        <v>8349</v>
      </c>
      <c r="E124" s="106">
        <v>8979</v>
      </c>
      <c r="F124" s="106">
        <v>8740</v>
      </c>
      <c r="G124" s="108">
        <v>8821</v>
      </c>
      <c r="H124" s="108">
        <v>8794</v>
      </c>
      <c r="I124" s="108">
        <v>8836</v>
      </c>
      <c r="J124" s="108">
        <v>8083</v>
      </c>
      <c r="K124" s="108">
        <v>8703</v>
      </c>
      <c r="L124" s="108">
        <v>9260</v>
      </c>
    </row>
    <row r="126" spans="1:12" s="275" customFormat="1" x14ac:dyDescent="0.3">
      <c r="A126" s="2540" t="s">
        <v>861</v>
      </c>
      <c r="B126" s="2540"/>
      <c r="C126" s="2540"/>
      <c r="D126" s="2540"/>
      <c r="E126" s="2540"/>
      <c r="F126" s="2540"/>
      <c r="G126" s="2540"/>
      <c r="H126" s="2540"/>
      <c r="I126" s="1525"/>
      <c r="J126" s="1567"/>
      <c r="K126" s="1938"/>
      <c r="L126" s="2082"/>
    </row>
    <row r="127" spans="1:12" s="275" customFormat="1" x14ac:dyDescent="0.3">
      <c r="A127" s="2540"/>
      <c r="B127" s="2540"/>
      <c r="C127" s="2540"/>
      <c r="D127" s="2540"/>
      <c r="E127" s="2540"/>
      <c r="F127" s="2540"/>
      <c r="G127" s="2540"/>
      <c r="H127" s="2540"/>
      <c r="I127" s="1525"/>
      <c r="J127" s="1567"/>
      <c r="K127" s="1938"/>
      <c r="L127" s="2082"/>
    </row>
    <row r="128" spans="1:12" s="275" customFormat="1" ht="49.2" customHeight="1" x14ac:dyDescent="0.3">
      <c r="A128" s="2540"/>
      <c r="B128" s="2540"/>
      <c r="C128" s="2540"/>
      <c r="D128" s="2540"/>
      <c r="E128" s="2540"/>
      <c r="F128" s="2540"/>
      <c r="G128" s="2540"/>
      <c r="H128" s="2540"/>
      <c r="I128" s="1525"/>
      <c r="J128" s="1567"/>
      <c r="K128" s="1938"/>
      <c r="L128" s="2082"/>
    </row>
    <row r="129" spans="1:6" s="275" customFormat="1" x14ac:dyDescent="0.3">
      <c r="A129" s="290"/>
      <c r="B129" s="290"/>
      <c r="C129" s="290"/>
      <c r="D129" s="290"/>
      <c r="E129" s="290"/>
      <c r="F129" s="639"/>
    </row>
    <row r="130" spans="1:6" s="193" customFormat="1" x14ac:dyDescent="0.3">
      <c r="A130" s="193" t="s">
        <v>247</v>
      </c>
    </row>
    <row r="131" spans="1:6" s="193" customFormat="1" x14ac:dyDescent="0.3">
      <c r="A131" s="194" t="s">
        <v>248</v>
      </c>
      <c r="B131" s="195" t="s">
        <v>249</v>
      </c>
      <c r="C131" s="195"/>
    </row>
  </sheetData>
  <autoFilter ref="A3:C3"/>
  <sortState ref="A5:N124">
    <sortCondition ref="A5:A124"/>
  </sortState>
  <mergeCells count="1">
    <mergeCell ref="A126:H128"/>
  </mergeCells>
  <hyperlinks>
    <hyperlink ref="B131" r:id="rId1"/>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xSplit="8" ySplit="4" topLeftCell="I5" activePane="bottomRight" state="frozen"/>
      <selection pane="topRight" activeCell="I1" sqref="I1"/>
      <selection pane="bottomLeft" activeCell="A5" sqref="A5"/>
      <selection pane="bottomRight" activeCell="P7" sqref="P7"/>
    </sheetView>
  </sheetViews>
  <sheetFormatPr defaultColWidth="9" defaultRowHeight="15.6" x14ac:dyDescent="0.3"/>
  <cols>
    <col min="1" max="1" width="5.796875" style="275" customWidth="1"/>
    <col min="2" max="2" width="30.19921875" style="275" customWidth="1"/>
    <col min="3" max="3" width="12.296875" style="275" customWidth="1"/>
    <col min="4" max="4" width="11.09765625" style="275" customWidth="1"/>
    <col min="5" max="5" width="10.796875" style="275" customWidth="1"/>
    <col min="6" max="6" width="10.8984375" style="275" customWidth="1"/>
    <col min="7" max="7" width="10.69921875" style="275" customWidth="1"/>
    <col min="8" max="11" width="10.796875" style="275" customWidth="1"/>
    <col min="12" max="14" width="9.5" style="275" customWidth="1"/>
    <col min="15" max="15" width="2.5" style="275" customWidth="1"/>
    <col min="16" max="16384" width="9" style="275"/>
  </cols>
  <sheetData>
    <row r="1" spans="1:14" x14ac:dyDescent="0.3">
      <c r="A1" s="95" t="s">
        <v>778</v>
      </c>
    </row>
    <row r="3" spans="1:14" x14ac:dyDescent="0.3">
      <c r="A3" s="351" t="s">
        <v>4</v>
      </c>
      <c r="B3" s="322" t="s">
        <v>5</v>
      </c>
      <c r="C3" s="322" t="s">
        <v>250</v>
      </c>
      <c r="D3" s="352" t="s">
        <v>779</v>
      </c>
      <c r="E3" s="352" t="s">
        <v>780</v>
      </c>
      <c r="F3" s="352" t="s">
        <v>781</v>
      </c>
      <c r="G3" s="352" t="s">
        <v>782</v>
      </c>
      <c r="H3" s="352" t="s">
        <v>538</v>
      </c>
      <c r="I3" s="864" t="s">
        <v>628</v>
      </c>
      <c r="J3" s="864" t="s">
        <v>704</v>
      </c>
      <c r="K3" s="1414" t="s">
        <v>830</v>
      </c>
      <c r="L3" s="1903" t="s">
        <v>827</v>
      </c>
      <c r="M3" s="1903" t="s">
        <v>841</v>
      </c>
      <c r="N3" s="1903" t="s">
        <v>932</v>
      </c>
    </row>
    <row r="4" spans="1:14" x14ac:dyDescent="0.3">
      <c r="A4" s="325">
        <v>999</v>
      </c>
      <c r="B4" s="346" t="s">
        <v>8</v>
      </c>
      <c r="C4" s="323"/>
      <c r="D4" s="289">
        <v>63077</v>
      </c>
      <c r="E4" s="289">
        <v>63449</v>
      </c>
      <c r="F4" s="289">
        <v>59998</v>
      </c>
      <c r="G4" s="289">
        <v>56160</v>
      </c>
      <c r="H4" s="289">
        <v>50841</v>
      </c>
      <c r="I4" s="880">
        <v>47911</v>
      </c>
      <c r="J4" s="880">
        <v>43366</v>
      </c>
      <c r="K4" s="1551">
        <v>28812</v>
      </c>
      <c r="L4" s="1904">
        <v>33213</v>
      </c>
      <c r="M4" s="1904">
        <v>29262</v>
      </c>
      <c r="N4" s="1904">
        <v>26331</v>
      </c>
    </row>
    <row r="5" spans="1:14" x14ac:dyDescent="0.3">
      <c r="A5" s="285" t="s">
        <v>9</v>
      </c>
      <c r="B5" s="324" t="s">
        <v>10</v>
      </c>
      <c r="C5" s="324" t="s">
        <v>251</v>
      </c>
      <c r="D5" s="283">
        <v>375</v>
      </c>
      <c r="E5" s="283">
        <v>374</v>
      </c>
      <c r="F5" s="283">
        <v>387</v>
      </c>
      <c r="G5" s="283">
        <v>379</v>
      </c>
      <c r="H5" s="283">
        <v>321</v>
      </c>
      <c r="I5" s="878">
        <v>275</v>
      </c>
      <c r="J5" s="1042">
        <v>245</v>
      </c>
      <c r="K5" s="1552">
        <v>141</v>
      </c>
      <c r="L5" s="1902">
        <v>150</v>
      </c>
      <c r="M5" s="2077">
        <v>151</v>
      </c>
      <c r="N5" s="1902">
        <v>129</v>
      </c>
    </row>
    <row r="6" spans="1:14" x14ac:dyDescent="0.3">
      <c r="A6" s="347" t="s">
        <v>11</v>
      </c>
      <c r="B6" s="348" t="s">
        <v>12</v>
      </c>
      <c r="C6" s="348" t="s">
        <v>252</v>
      </c>
      <c r="D6" s="349">
        <v>333</v>
      </c>
      <c r="E6" s="349">
        <v>309</v>
      </c>
      <c r="F6" s="349">
        <v>271</v>
      </c>
      <c r="G6" s="349">
        <v>292</v>
      </c>
      <c r="H6" s="349">
        <v>280</v>
      </c>
      <c r="I6" s="878">
        <v>230</v>
      </c>
      <c r="J6" s="1042">
        <v>225</v>
      </c>
      <c r="K6" s="1552">
        <v>158</v>
      </c>
      <c r="L6" s="1902">
        <v>181</v>
      </c>
      <c r="M6" s="1902">
        <v>177</v>
      </c>
      <c r="N6" s="1902">
        <v>191</v>
      </c>
    </row>
    <row r="7" spans="1:14" x14ac:dyDescent="0.3">
      <c r="A7" s="347" t="s">
        <v>15</v>
      </c>
      <c r="B7" s="348" t="s">
        <v>273</v>
      </c>
      <c r="C7" s="348" t="s">
        <v>252</v>
      </c>
      <c r="D7" s="349">
        <v>228</v>
      </c>
      <c r="E7" s="349">
        <v>220</v>
      </c>
      <c r="F7" s="349">
        <v>187</v>
      </c>
      <c r="G7" s="349">
        <v>188</v>
      </c>
      <c r="H7" s="349">
        <v>171</v>
      </c>
      <c r="I7" s="878">
        <v>156</v>
      </c>
      <c r="J7" s="1042">
        <v>145</v>
      </c>
      <c r="K7" s="1552">
        <v>96</v>
      </c>
      <c r="L7" s="1902">
        <v>96</v>
      </c>
      <c r="M7" s="1902">
        <v>89</v>
      </c>
      <c r="N7" s="1902">
        <v>73</v>
      </c>
    </row>
    <row r="8" spans="1:14" x14ac:dyDescent="0.3">
      <c r="A8" s="347" t="s">
        <v>17</v>
      </c>
      <c r="B8" s="348" t="s">
        <v>18</v>
      </c>
      <c r="C8" s="348" t="s">
        <v>253</v>
      </c>
      <c r="D8" s="349">
        <v>152</v>
      </c>
      <c r="E8" s="349">
        <v>147</v>
      </c>
      <c r="F8" s="349">
        <v>142</v>
      </c>
      <c r="G8" s="349">
        <v>129</v>
      </c>
      <c r="H8" s="349">
        <v>96</v>
      </c>
      <c r="I8" s="878">
        <v>72</v>
      </c>
      <c r="J8" s="1042">
        <v>50</v>
      </c>
      <c r="K8" s="1552">
        <v>34</v>
      </c>
      <c r="L8" s="1902">
        <v>47</v>
      </c>
      <c r="M8" s="1902">
        <v>50</v>
      </c>
      <c r="N8" s="1902">
        <v>39</v>
      </c>
    </row>
    <row r="9" spans="1:14" x14ac:dyDescent="0.3">
      <c r="A9" s="347" t="s">
        <v>19</v>
      </c>
      <c r="B9" s="348" t="s">
        <v>20</v>
      </c>
      <c r="C9" s="348" t="s">
        <v>252</v>
      </c>
      <c r="D9" s="349">
        <v>219</v>
      </c>
      <c r="E9" s="349">
        <v>196</v>
      </c>
      <c r="F9" s="349">
        <v>187</v>
      </c>
      <c r="G9" s="349">
        <v>192</v>
      </c>
      <c r="H9" s="349">
        <v>166</v>
      </c>
      <c r="I9" s="878">
        <v>158</v>
      </c>
      <c r="J9" s="1042">
        <v>147</v>
      </c>
      <c r="K9" s="1552">
        <v>96</v>
      </c>
      <c r="L9" s="1902">
        <v>129</v>
      </c>
      <c r="M9" s="1902">
        <v>112</v>
      </c>
      <c r="N9" s="1902">
        <v>108</v>
      </c>
    </row>
    <row r="10" spans="1:14" x14ac:dyDescent="0.3">
      <c r="A10" s="347" t="s">
        <v>21</v>
      </c>
      <c r="B10" s="348" t="s">
        <v>22</v>
      </c>
      <c r="C10" s="348" t="s">
        <v>252</v>
      </c>
      <c r="D10" s="349">
        <v>174</v>
      </c>
      <c r="E10" s="349">
        <v>162</v>
      </c>
      <c r="F10" s="349">
        <v>167</v>
      </c>
      <c r="G10" s="349">
        <v>177</v>
      </c>
      <c r="H10" s="349">
        <v>171</v>
      </c>
      <c r="I10" s="878">
        <v>140</v>
      </c>
      <c r="J10" s="1042">
        <v>115</v>
      </c>
      <c r="K10" s="1552">
        <v>53</v>
      </c>
      <c r="L10" s="1902">
        <v>69</v>
      </c>
      <c r="M10" s="1902">
        <v>70</v>
      </c>
      <c r="N10" s="1902">
        <v>57</v>
      </c>
    </row>
    <row r="11" spans="1:14" x14ac:dyDescent="0.3">
      <c r="A11" s="347" t="s">
        <v>23</v>
      </c>
      <c r="B11" s="348" t="s">
        <v>24</v>
      </c>
      <c r="C11" s="348" t="s">
        <v>254</v>
      </c>
      <c r="D11" s="349">
        <v>605</v>
      </c>
      <c r="E11" s="349">
        <v>574</v>
      </c>
      <c r="F11" s="349">
        <v>535</v>
      </c>
      <c r="G11" s="349">
        <v>478</v>
      </c>
      <c r="H11" s="349">
        <v>416</v>
      </c>
      <c r="I11" s="878">
        <v>374</v>
      </c>
      <c r="J11" s="1042">
        <v>352</v>
      </c>
      <c r="K11" s="1552">
        <v>224</v>
      </c>
      <c r="L11" s="1902">
        <v>278</v>
      </c>
      <c r="M11" s="1902">
        <v>223</v>
      </c>
      <c r="N11" s="1902">
        <v>193</v>
      </c>
    </row>
    <row r="12" spans="1:14" x14ac:dyDescent="0.3">
      <c r="A12" s="347" t="s">
        <v>25</v>
      </c>
      <c r="B12" s="348" t="s">
        <v>444</v>
      </c>
      <c r="C12" s="348" t="s">
        <v>252</v>
      </c>
      <c r="D12" s="349">
        <v>1272</v>
      </c>
      <c r="E12" s="349">
        <v>1224</v>
      </c>
      <c r="F12" s="349">
        <v>1139</v>
      </c>
      <c r="G12" s="349">
        <v>1087</v>
      </c>
      <c r="H12" s="349">
        <v>934</v>
      </c>
      <c r="I12" s="878">
        <v>738</v>
      </c>
      <c r="J12" s="1042">
        <v>668</v>
      </c>
      <c r="K12" s="1552">
        <v>489</v>
      </c>
      <c r="L12" s="1902">
        <v>662</v>
      </c>
      <c r="M12" s="1902">
        <v>606</v>
      </c>
      <c r="N12" s="1902">
        <v>549</v>
      </c>
    </row>
    <row r="13" spans="1:14" x14ac:dyDescent="0.3">
      <c r="A13" s="347" t="s">
        <v>26</v>
      </c>
      <c r="B13" s="348" t="s">
        <v>27</v>
      </c>
      <c r="C13" s="348" t="s">
        <v>252</v>
      </c>
      <c r="D13" s="349">
        <v>18</v>
      </c>
      <c r="E13" s="349">
        <v>15</v>
      </c>
      <c r="F13" s="349">
        <v>14</v>
      </c>
      <c r="G13" s="349">
        <v>9</v>
      </c>
      <c r="H13" s="349">
        <v>9</v>
      </c>
      <c r="I13" s="878">
        <v>7</v>
      </c>
      <c r="J13" s="1042">
        <v>7</v>
      </c>
      <c r="K13" s="1552">
        <v>8</v>
      </c>
      <c r="L13" s="1902">
        <v>14</v>
      </c>
      <c r="M13" s="1902">
        <v>15</v>
      </c>
      <c r="N13" s="1902">
        <v>9</v>
      </c>
    </row>
    <row r="14" spans="1:14" x14ac:dyDescent="0.3">
      <c r="A14" s="347" t="s">
        <v>28</v>
      </c>
      <c r="B14" s="348" t="s">
        <v>568</v>
      </c>
      <c r="C14" s="348" t="s">
        <v>252</v>
      </c>
      <c r="D14" s="349">
        <v>431</v>
      </c>
      <c r="E14" s="349">
        <v>470</v>
      </c>
      <c r="F14" s="349">
        <v>427</v>
      </c>
      <c r="G14" s="349">
        <v>387</v>
      </c>
      <c r="H14" s="349">
        <v>405</v>
      </c>
      <c r="I14" s="878">
        <v>325</v>
      </c>
      <c r="J14" s="1042">
        <v>288</v>
      </c>
      <c r="K14" s="1552">
        <v>175</v>
      </c>
      <c r="L14" s="1902">
        <v>213</v>
      </c>
      <c r="M14" s="1902">
        <v>208</v>
      </c>
      <c r="N14" s="1902">
        <v>212</v>
      </c>
    </row>
    <row r="15" spans="1:14" x14ac:dyDescent="0.3">
      <c r="A15" s="347" t="s">
        <v>29</v>
      </c>
      <c r="B15" s="348" t="s">
        <v>30</v>
      </c>
      <c r="C15" s="348" t="s">
        <v>255</v>
      </c>
      <c r="D15" s="349">
        <v>27</v>
      </c>
      <c r="E15" s="349">
        <v>41</v>
      </c>
      <c r="F15" s="349">
        <v>37</v>
      </c>
      <c r="G15" s="349">
        <v>30</v>
      </c>
      <c r="H15" s="349">
        <v>29</v>
      </c>
      <c r="I15" s="878">
        <v>24</v>
      </c>
      <c r="J15" s="1042">
        <v>27</v>
      </c>
      <c r="K15" s="1552">
        <v>19</v>
      </c>
      <c r="L15" s="1902">
        <v>21</v>
      </c>
      <c r="M15" s="1902">
        <v>20</v>
      </c>
      <c r="N15" s="1902">
        <v>17</v>
      </c>
    </row>
    <row r="16" spans="1:14" x14ac:dyDescent="0.3">
      <c r="A16" s="347" t="s">
        <v>31</v>
      </c>
      <c r="B16" s="348" t="s">
        <v>32</v>
      </c>
      <c r="C16" s="348" t="s">
        <v>252</v>
      </c>
      <c r="D16" s="349">
        <v>88</v>
      </c>
      <c r="E16" s="349">
        <v>90</v>
      </c>
      <c r="F16" s="349">
        <v>90</v>
      </c>
      <c r="G16" s="349">
        <v>80</v>
      </c>
      <c r="H16" s="349">
        <v>70</v>
      </c>
      <c r="I16" s="878">
        <v>66</v>
      </c>
      <c r="J16" s="1042">
        <v>73</v>
      </c>
      <c r="K16" s="1552">
        <v>48</v>
      </c>
      <c r="L16" s="1902">
        <v>69</v>
      </c>
      <c r="M16" s="1902">
        <v>66</v>
      </c>
      <c r="N16" s="1902">
        <v>49</v>
      </c>
    </row>
    <row r="17" spans="1:14" x14ac:dyDescent="0.3">
      <c r="A17" s="347" t="s">
        <v>35</v>
      </c>
      <c r="B17" s="348" t="s">
        <v>36</v>
      </c>
      <c r="C17" s="348" t="s">
        <v>251</v>
      </c>
      <c r="D17" s="349">
        <v>233</v>
      </c>
      <c r="E17" s="349">
        <v>220</v>
      </c>
      <c r="F17" s="349">
        <v>214</v>
      </c>
      <c r="G17" s="349">
        <v>194</v>
      </c>
      <c r="H17" s="349">
        <v>180</v>
      </c>
      <c r="I17" s="878">
        <v>155</v>
      </c>
      <c r="J17" s="1042">
        <v>131</v>
      </c>
      <c r="K17" s="1552">
        <v>86</v>
      </c>
      <c r="L17" s="1902">
        <v>105</v>
      </c>
      <c r="M17" s="1902">
        <v>102</v>
      </c>
      <c r="N17" s="1902">
        <v>77</v>
      </c>
    </row>
    <row r="18" spans="1:14" x14ac:dyDescent="0.3">
      <c r="A18" s="347" t="s">
        <v>37</v>
      </c>
      <c r="B18" s="348" t="s">
        <v>38</v>
      </c>
      <c r="C18" s="348" t="s">
        <v>255</v>
      </c>
      <c r="D18" s="349">
        <v>310</v>
      </c>
      <c r="E18" s="349">
        <v>261</v>
      </c>
      <c r="F18" s="349">
        <v>223</v>
      </c>
      <c r="G18" s="349">
        <v>263</v>
      </c>
      <c r="H18" s="349">
        <v>254</v>
      </c>
      <c r="I18" s="878">
        <v>247</v>
      </c>
      <c r="J18" s="1042">
        <v>209</v>
      </c>
      <c r="K18" s="1552">
        <v>142</v>
      </c>
      <c r="L18" s="1902">
        <v>156</v>
      </c>
      <c r="M18" s="1902">
        <v>157</v>
      </c>
      <c r="N18" s="1902">
        <v>134</v>
      </c>
    </row>
    <row r="19" spans="1:14" x14ac:dyDescent="0.3">
      <c r="A19" s="347" t="s">
        <v>39</v>
      </c>
      <c r="B19" s="348" t="s">
        <v>40</v>
      </c>
      <c r="C19" s="348" t="s">
        <v>253</v>
      </c>
      <c r="D19" s="349">
        <v>178</v>
      </c>
      <c r="E19" s="349">
        <v>142</v>
      </c>
      <c r="F19" s="349">
        <v>137</v>
      </c>
      <c r="G19" s="349">
        <v>135</v>
      </c>
      <c r="H19" s="349">
        <v>117</v>
      </c>
      <c r="I19" s="878">
        <v>109</v>
      </c>
      <c r="J19" s="1042">
        <v>98</v>
      </c>
      <c r="K19" s="1552">
        <v>64</v>
      </c>
      <c r="L19" s="1902">
        <v>70</v>
      </c>
      <c r="M19" s="1902">
        <v>63</v>
      </c>
      <c r="N19" s="1902">
        <v>52</v>
      </c>
    </row>
    <row r="20" spans="1:14" x14ac:dyDescent="0.3">
      <c r="A20" s="347" t="s">
        <v>41</v>
      </c>
      <c r="B20" s="348" t="s">
        <v>42</v>
      </c>
      <c r="C20" s="348" t="s">
        <v>252</v>
      </c>
      <c r="D20" s="349">
        <v>540</v>
      </c>
      <c r="E20" s="349">
        <v>544</v>
      </c>
      <c r="F20" s="349">
        <v>560</v>
      </c>
      <c r="G20" s="349">
        <v>498</v>
      </c>
      <c r="H20" s="349">
        <v>437</v>
      </c>
      <c r="I20" s="878">
        <v>392</v>
      </c>
      <c r="J20" s="1042">
        <v>358</v>
      </c>
      <c r="K20" s="1552">
        <v>216</v>
      </c>
      <c r="L20" s="1902">
        <v>245</v>
      </c>
      <c r="M20" s="1902">
        <v>219</v>
      </c>
      <c r="N20" s="1902">
        <v>224</v>
      </c>
    </row>
    <row r="21" spans="1:14" x14ac:dyDescent="0.3">
      <c r="A21" s="347" t="s">
        <v>43</v>
      </c>
      <c r="B21" s="348" t="s">
        <v>44</v>
      </c>
      <c r="C21" s="348" t="s">
        <v>253</v>
      </c>
      <c r="D21" s="349">
        <v>380</v>
      </c>
      <c r="E21" s="349">
        <v>390</v>
      </c>
      <c r="F21" s="349">
        <v>355</v>
      </c>
      <c r="G21" s="349">
        <v>332</v>
      </c>
      <c r="H21" s="349">
        <v>295</v>
      </c>
      <c r="I21" s="878">
        <v>258</v>
      </c>
      <c r="J21" s="1042">
        <v>219</v>
      </c>
      <c r="K21" s="1552">
        <v>141</v>
      </c>
      <c r="L21" s="1902">
        <v>144</v>
      </c>
      <c r="M21" s="1902">
        <v>129</v>
      </c>
      <c r="N21" s="1902">
        <v>130</v>
      </c>
    </row>
    <row r="22" spans="1:14" x14ac:dyDescent="0.3">
      <c r="A22" s="347" t="s">
        <v>45</v>
      </c>
      <c r="B22" s="348" t="s">
        <v>46</v>
      </c>
      <c r="C22" s="348" t="s">
        <v>255</v>
      </c>
      <c r="D22" s="349">
        <v>258</v>
      </c>
      <c r="E22" s="349">
        <v>233</v>
      </c>
      <c r="F22" s="349">
        <v>242</v>
      </c>
      <c r="G22" s="349">
        <v>205</v>
      </c>
      <c r="H22" s="349">
        <v>174</v>
      </c>
      <c r="I22" s="878">
        <v>156</v>
      </c>
      <c r="J22" s="1042">
        <v>137</v>
      </c>
      <c r="K22" s="1552">
        <v>126</v>
      </c>
      <c r="L22" s="1902">
        <v>130</v>
      </c>
      <c r="M22" s="1902">
        <v>136</v>
      </c>
      <c r="N22" s="1902">
        <v>121</v>
      </c>
    </row>
    <row r="23" spans="1:14" x14ac:dyDescent="0.3">
      <c r="A23" s="347" t="s">
        <v>47</v>
      </c>
      <c r="B23" s="348" t="s">
        <v>256</v>
      </c>
      <c r="C23" s="348" t="s">
        <v>253</v>
      </c>
      <c r="D23" s="349">
        <v>38</v>
      </c>
      <c r="E23" s="349">
        <v>53</v>
      </c>
      <c r="F23" s="349">
        <v>46</v>
      </c>
      <c r="G23" s="349">
        <v>38</v>
      </c>
      <c r="H23" s="349">
        <v>31</v>
      </c>
      <c r="I23" s="878">
        <v>34</v>
      </c>
      <c r="J23" s="1042">
        <v>32</v>
      </c>
      <c r="K23" s="1552">
        <v>14</v>
      </c>
      <c r="L23" s="1902">
        <v>18</v>
      </c>
      <c r="M23" s="1902">
        <v>19</v>
      </c>
      <c r="N23" s="1902">
        <v>14</v>
      </c>
    </row>
    <row r="24" spans="1:14" x14ac:dyDescent="0.3">
      <c r="A24" s="347" t="s">
        <v>49</v>
      </c>
      <c r="B24" s="348" t="s">
        <v>50</v>
      </c>
      <c r="C24" s="348" t="s">
        <v>252</v>
      </c>
      <c r="D24" s="349">
        <v>152</v>
      </c>
      <c r="E24" s="349">
        <v>150</v>
      </c>
      <c r="F24" s="349">
        <v>157</v>
      </c>
      <c r="G24" s="349">
        <v>158</v>
      </c>
      <c r="H24" s="349">
        <v>129</v>
      </c>
      <c r="I24" s="878">
        <v>112</v>
      </c>
      <c r="J24" s="1042">
        <v>89</v>
      </c>
      <c r="K24" s="1552">
        <v>73</v>
      </c>
      <c r="L24" s="1902">
        <v>80</v>
      </c>
      <c r="M24" s="1902">
        <v>74</v>
      </c>
      <c r="N24" s="1902">
        <v>66</v>
      </c>
    </row>
    <row r="25" spans="1:14" x14ac:dyDescent="0.3">
      <c r="A25" s="347" t="s">
        <v>55</v>
      </c>
      <c r="B25" s="348" t="s">
        <v>271</v>
      </c>
      <c r="C25" s="348" t="s">
        <v>253</v>
      </c>
      <c r="D25" s="349">
        <v>2119</v>
      </c>
      <c r="E25" s="349">
        <v>2155</v>
      </c>
      <c r="F25" s="349">
        <v>2054</v>
      </c>
      <c r="G25" s="349">
        <v>1901</v>
      </c>
      <c r="H25" s="349">
        <v>1640</v>
      </c>
      <c r="I25" s="878">
        <v>1328</v>
      </c>
      <c r="J25" s="1042">
        <v>1146</v>
      </c>
      <c r="K25" s="1552">
        <v>821</v>
      </c>
      <c r="L25" s="1902">
        <v>988</v>
      </c>
      <c r="M25" s="1902">
        <v>919</v>
      </c>
      <c r="N25" s="1902">
        <v>810</v>
      </c>
    </row>
    <row r="26" spans="1:14" x14ac:dyDescent="0.3">
      <c r="A26" s="347" t="s">
        <v>57</v>
      </c>
      <c r="B26" s="348" t="s">
        <v>58</v>
      </c>
      <c r="C26" s="348" t="s">
        <v>254</v>
      </c>
      <c r="D26" s="349">
        <v>41</v>
      </c>
      <c r="E26" s="349">
        <v>43</v>
      </c>
      <c r="F26" s="349">
        <v>40</v>
      </c>
      <c r="G26" s="349">
        <v>38</v>
      </c>
      <c r="H26" s="349">
        <v>29</v>
      </c>
      <c r="I26" s="878">
        <v>21</v>
      </c>
      <c r="J26" s="1042">
        <v>17</v>
      </c>
      <c r="K26" s="1552">
        <v>14</v>
      </c>
      <c r="L26" s="1902">
        <v>18</v>
      </c>
      <c r="M26" s="1902">
        <v>17</v>
      </c>
      <c r="N26" s="1902">
        <v>15</v>
      </c>
    </row>
    <row r="27" spans="1:14" x14ac:dyDescent="0.3">
      <c r="A27" s="347" t="s">
        <v>59</v>
      </c>
      <c r="B27" s="348" t="s">
        <v>60</v>
      </c>
      <c r="C27" s="348" t="s">
        <v>252</v>
      </c>
      <c r="D27" s="349">
        <v>21</v>
      </c>
      <c r="E27" s="349">
        <v>24</v>
      </c>
      <c r="F27" s="349">
        <v>26</v>
      </c>
      <c r="G27" s="349">
        <v>21</v>
      </c>
      <c r="H27" s="349">
        <v>22</v>
      </c>
      <c r="I27" s="878">
        <v>26</v>
      </c>
      <c r="J27" s="1042">
        <v>24</v>
      </c>
      <c r="K27" s="1552">
        <v>15</v>
      </c>
      <c r="L27" s="1902">
        <v>17</v>
      </c>
      <c r="M27" s="1902">
        <v>17</v>
      </c>
      <c r="N27" s="1902">
        <v>17</v>
      </c>
    </row>
    <row r="28" spans="1:14" x14ac:dyDescent="0.3">
      <c r="A28" s="347" t="s">
        <v>61</v>
      </c>
      <c r="B28" s="348" t="s">
        <v>62</v>
      </c>
      <c r="C28" s="348" t="s">
        <v>254</v>
      </c>
      <c r="D28" s="349">
        <v>386</v>
      </c>
      <c r="E28" s="349">
        <v>364</v>
      </c>
      <c r="F28" s="349">
        <v>338</v>
      </c>
      <c r="G28" s="349">
        <v>337</v>
      </c>
      <c r="H28" s="349">
        <v>291</v>
      </c>
      <c r="I28" s="878">
        <v>241</v>
      </c>
      <c r="J28" s="1042">
        <v>227</v>
      </c>
      <c r="K28" s="1552">
        <v>151</v>
      </c>
      <c r="L28" s="1902">
        <v>177</v>
      </c>
      <c r="M28" s="1902">
        <v>172</v>
      </c>
      <c r="N28" s="1902">
        <v>140</v>
      </c>
    </row>
    <row r="29" spans="1:14" x14ac:dyDescent="0.3">
      <c r="A29" s="347" t="s">
        <v>63</v>
      </c>
      <c r="B29" s="348" t="s">
        <v>64</v>
      </c>
      <c r="C29" s="348" t="s">
        <v>253</v>
      </c>
      <c r="D29" s="349">
        <v>122</v>
      </c>
      <c r="E29" s="349">
        <v>123</v>
      </c>
      <c r="F29" s="349">
        <v>115</v>
      </c>
      <c r="G29" s="349">
        <v>131</v>
      </c>
      <c r="H29" s="349">
        <v>105</v>
      </c>
      <c r="I29" s="878">
        <v>102</v>
      </c>
      <c r="J29" s="1042">
        <v>86</v>
      </c>
      <c r="K29" s="1552">
        <v>49</v>
      </c>
      <c r="L29" s="1902">
        <v>64</v>
      </c>
      <c r="M29" s="1902">
        <v>75</v>
      </c>
      <c r="N29" s="1902">
        <v>63</v>
      </c>
    </row>
    <row r="30" spans="1:14" x14ac:dyDescent="0.3">
      <c r="A30" s="347" t="s">
        <v>67</v>
      </c>
      <c r="B30" s="348" t="s">
        <v>68</v>
      </c>
      <c r="C30" s="348" t="s">
        <v>255</v>
      </c>
      <c r="D30" s="349">
        <v>195</v>
      </c>
      <c r="E30" s="349">
        <v>174</v>
      </c>
      <c r="F30" s="349">
        <v>158</v>
      </c>
      <c r="G30" s="349">
        <v>132</v>
      </c>
      <c r="H30" s="349">
        <v>129</v>
      </c>
      <c r="I30" s="878">
        <v>110</v>
      </c>
      <c r="J30" s="1042">
        <v>90</v>
      </c>
      <c r="K30" s="1552">
        <v>63</v>
      </c>
      <c r="L30" s="1902">
        <v>75</v>
      </c>
      <c r="M30" s="1902">
        <v>62</v>
      </c>
      <c r="N30" s="1902">
        <v>63</v>
      </c>
    </row>
    <row r="31" spans="1:14" x14ac:dyDescent="0.3">
      <c r="A31" s="347" t="s">
        <v>69</v>
      </c>
      <c r="B31" s="348" t="s">
        <v>70</v>
      </c>
      <c r="C31" s="348" t="s">
        <v>251</v>
      </c>
      <c r="D31" s="349">
        <v>282</v>
      </c>
      <c r="E31" s="349">
        <v>269</v>
      </c>
      <c r="F31" s="349">
        <v>258</v>
      </c>
      <c r="G31" s="349">
        <v>252</v>
      </c>
      <c r="H31" s="349">
        <v>253</v>
      </c>
      <c r="I31" s="878">
        <v>208</v>
      </c>
      <c r="J31" s="1042">
        <v>178</v>
      </c>
      <c r="K31" s="1552">
        <v>100</v>
      </c>
      <c r="L31" s="1902">
        <v>102</v>
      </c>
      <c r="M31" s="1902">
        <v>94</v>
      </c>
      <c r="N31" s="1902">
        <v>80</v>
      </c>
    </row>
    <row r="32" spans="1:14" x14ac:dyDescent="0.3">
      <c r="A32" s="347" t="s">
        <v>71</v>
      </c>
      <c r="B32" s="348" t="s">
        <v>72</v>
      </c>
      <c r="C32" s="348" t="s">
        <v>253</v>
      </c>
      <c r="D32" s="349">
        <v>174</v>
      </c>
      <c r="E32" s="349">
        <v>153</v>
      </c>
      <c r="F32" s="349">
        <v>157</v>
      </c>
      <c r="G32" s="349">
        <v>132</v>
      </c>
      <c r="H32" s="349">
        <v>122</v>
      </c>
      <c r="I32" s="878">
        <v>117</v>
      </c>
      <c r="J32" s="1042">
        <v>108</v>
      </c>
      <c r="K32" s="1552">
        <v>76</v>
      </c>
      <c r="L32" s="1902">
        <v>94</v>
      </c>
      <c r="M32" s="1902">
        <v>95</v>
      </c>
      <c r="N32" s="1902">
        <v>74</v>
      </c>
    </row>
    <row r="33" spans="1:14" x14ac:dyDescent="0.3">
      <c r="A33" s="347" t="s">
        <v>73</v>
      </c>
      <c r="B33" s="348" t="s">
        <v>272</v>
      </c>
      <c r="C33" s="348" t="s">
        <v>254</v>
      </c>
      <c r="D33" s="349">
        <v>2998</v>
      </c>
      <c r="E33" s="349">
        <v>3111</v>
      </c>
      <c r="F33" s="349">
        <v>2893</v>
      </c>
      <c r="G33" s="349">
        <v>2797</v>
      </c>
      <c r="H33" s="349">
        <v>2474</v>
      </c>
      <c r="I33" s="878">
        <v>2061</v>
      </c>
      <c r="J33" s="1042">
        <v>1878</v>
      </c>
      <c r="K33" s="1552">
        <v>1284</v>
      </c>
      <c r="L33" s="1902">
        <v>1411</v>
      </c>
      <c r="M33" s="1902">
        <v>1268</v>
      </c>
      <c r="N33" s="1902">
        <v>1162</v>
      </c>
    </row>
    <row r="34" spans="1:14" x14ac:dyDescent="0.3">
      <c r="A34" s="347" t="s">
        <v>75</v>
      </c>
      <c r="B34" s="348" t="s">
        <v>76</v>
      </c>
      <c r="C34" s="348" t="s">
        <v>254</v>
      </c>
      <c r="D34" s="349">
        <v>240</v>
      </c>
      <c r="E34" s="349">
        <v>228</v>
      </c>
      <c r="F34" s="349">
        <v>219</v>
      </c>
      <c r="G34" s="349">
        <v>186</v>
      </c>
      <c r="H34" s="349">
        <v>158</v>
      </c>
      <c r="I34" s="878">
        <v>143</v>
      </c>
      <c r="J34" s="1042">
        <v>134</v>
      </c>
      <c r="K34" s="1552">
        <v>91</v>
      </c>
      <c r="L34" s="1902">
        <v>117</v>
      </c>
      <c r="M34" s="1902">
        <v>105</v>
      </c>
      <c r="N34" s="1902">
        <v>105</v>
      </c>
    </row>
    <row r="35" spans="1:14" x14ac:dyDescent="0.3">
      <c r="A35" s="347" t="s">
        <v>77</v>
      </c>
      <c r="B35" s="348" t="s">
        <v>78</v>
      </c>
      <c r="C35" s="348" t="s">
        <v>255</v>
      </c>
      <c r="D35" s="349">
        <v>96</v>
      </c>
      <c r="E35" s="349">
        <v>112</v>
      </c>
      <c r="F35" s="349">
        <v>118</v>
      </c>
      <c r="G35" s="349">
        <v>118</v>
      </c>
      <c r="H35" s="349">
        <v>92</v>
      </c>
      <c r="I35" s="878">
        <v>73</v>
      </c>
      <c r="J35" s="1042">
        <v>79</v>
      </c>
      <c r="K35" s="1552">
        <v>64</v>
      </c>
      <c r="L35" s="1902">
        <v>75</v>
      </c>
      <c r="M35" s="1902">
        <v>65</v>
      </c>
      <c r="N35" s="1902">
        <v>50</v>
      </c>
    </row>
    <row r="36" spans="1:14" x14ac:dyDescent="0.3">
      <c r="A36" s="347" t="s">
        <v>79</v>
      </c>
      <c r="B36" s="348" t="s">
        <v>80</v>
      </c>
      <c r="C36" s="348" t="s">
        <v>253</v>
      </c>
      <c r="D36" s="349">
        <v>75</v>
      </c>
      <c r="E36" s="349">
        <v>99</v>
      </c>
      <c r="F36" s="349">
        <v>109</v>
      </c>
      <c r="G36" s="349">
        <v>105</v>
      </c>
      <c r="H36" s="349">
        <v>87</v>
      </c>
      <c r="I36" s="878">
        <v>90</v>
      </c>
      <c r="J36" s="1042">
        <v>78</v>
      </c>
      <c r="K36" s="1552">
        <v>53</v>
      </c>
      <c r="L36" s="1902">
        <v>58</v>
      </c>
      <c r="M36" s="1902">
        <v>49</v>
      </c>
      <c r="N36" s="1902">
        <v>46</v>
      </c>
    </row>
    <row r="37" spans="1:14" x14ac:dyDescent="0.3">
      <c r="A37" s="347" t="s">
        <v>83</v>
      </c>
      <c r="B37" s="348" t="s">
        <v>84</v>
      </c>
      <c r="C37" s="348" t="s">
        <v>252</v>
      </c>
      <c r="D37" s="349">
        <v>469</v>
      </c>
      <c r="E37" s="349">
        <v>501</v>
      </c>
      <c r="F37" s="349">
        <v>449</v>
      </c>
      <c r="G37" s="349">
        <v>422</v>
      </c>
      <c r="H37" s="349">
        <v>387</v>
      </c>
      <c r="I37" s="878">
        <v>326</v>
      </c>
      <c r="J37" s="1042">
        <v>305</v>
      </c>
      <c r="K37" s="1552">
        <v>193</v>
      </c>
      <c r="L37" s="1902">
        <v>233</v>
      </c>
      <c r="M37" s="1902">
        <v>244</v>
      </c>
      <c r="N37" s="1902">
        <v>198</v>
      </c>
    </row>
    <row r="38" spans="1:14" x14ac:dyDescent="0.3">
      <c r="A38" s="347" t="s">
        <v>85</v>
      </c>
      <c r="B38" s="348" t="s">
        <v>86</v>
      </c>
      <c r="C38" s="348" t="s">
        <v>254</v>
      </c>
      <c r="D38" s="349">
        <v>350</v>
      </c>
      <c r="E38" s="349">
        <v>385</v>
      </c>
      <c r="F38" s="349">
        <v>362</v>
      </c>
      <c r="G38" s="349">
        <v>326</v>
      </c>
      <c r="H38" s="349">
        <v>218</v>
      </c>
      <c r="I38" s="878">
        <v>142</v>
      </c>
      <c r="J38" s="1042">
        <v>155</v>
      </c>
      <c r="K38" s="1552">
        <v>116</v>
      </c>
      <c r="L38" s="1902">
        <v>151</v>
      </c>
      <c r="M38" s="1902">
        <v>124</v>
      </c>
      <c r="N38" s="1902">
        <v>151</v>
      </c>
    </row>
    <row r="39" spans="1:14" x14ac:dyDescent="0.3">
      <c r="A39" s="347" t="s">
        <v>91</v>
      </c>
      <c r="B39" s="348" t="s">
        <v>92</v>
      </c>
      <c r="C39" s="348" t="s">
        <v>255</v>
      </c>
      <c r="D39" s="349">
        <v>95</v>
      </c>
      <c r="E39" s="349">
        <v>115</v>
      </c>
      <c r="F39" s="349">
        <v>105</v>
      </c>
      <c r="G39" s="349">
        <v>121</v>
      </c>
      <c r="H39" s="349">
        <v>87</v>
      </c>
      <c r="I39" s="878">
        <v>73</v>
      </c>
      <c r="J39" s="1042">
        <v>85</v>
      </c>
      <c r="K39" s="1552">
        <v>60</v>
      </c>
      <c r="L39" s="1902">
        <v>74</v>
      </c>
      <c r="M39" s="1902">
        <v>82</v>
      </c>
      <c r="N39" s="1902">
        <v>74</v>
      </c>
    </row>
    <row r="40" spans="1:14" x14ac:dyDescent="0.3">
      <c r="A40" s="347" t="s">
        <v>93</v>
      </c>
      <c r="B40" s="348" t="s">
        <v>94</v>
      </c>
      <c r="C40" s="348" t="s">
        <v>251</v>
      </c>
      <c r="D40" s="349">
        <v>249</v>
      </c>
      <c r="E40" s="349">
        <v>219</v>
      </c>
      <c r="F40" s="349">
        <v>204</v>
      </c>
      <c r="G40" s="349">
        <v>184</v>
      </c>
      <c r="H40" s="349">
        <v>200</v>
      </c>
      <c r="I40" s="878">
        <v>194</v>
      </c>
      <c r="J40" s="1042">
        <v>176</v>
      </c>
      <c r="K40" s="1552">
        <v>105</v>
      </c>
      <c r="L40" s="1902">
        <v>125</v>
      </c>
      <c r="M40" s="1902">
        <v>132</v>
      </c>
      <c r="N40" s="1902">
        <v>132</v>
      </c>
    </row>
    <row r="41" spans="1:14" x14ac:dyDescent="0.3">
      <c r="A41" s="347" t="s">
        <v>95</v>
      </c>
      <c r="B41" s="348" t="s">
        <v>96</v>
      </c>
      <c r="C41" s="348" t="s">
        <v>253</v>
      </c>
      <c r="D41" s="349">
        <v>81</v>
      </c>
      <c r="E41" s="349">
        <v>94</v>
      </c>
      <c r="F41" s="349">
        <v>79</v>
      </c>
      <c r="G41" s="349">
        <v>66</v>
      </c>
      <c r="H41" s="349">
        <v>47</v>
      </c>
      <c r="I41" s="878">
        <v>49</v>
      </c>
      <c r="J41" s="1042">
        <v>46</v>
      </c>
      <c r="K41" s="1552">
        <v>32</v>
      </c>
      <c r="L41" s="1902">
        <v>29</v>
      </c>
      <c r="M41" s="1902">
        <v>25</v>
      </c>
      <c r="N41" s="1902">
        <v>19</v>
      </c>
    </row>
    <row r="42" spans="1:14" x14ac:dyDescent="0.3">
      <c r="A42" s="347" t="s">
        <v>97</v>
      </c>
      <c r="B42" s="348" t="s">
        <v>98</v>
      </c>
      <c r="C42" s="348" t="s">
        <v>255</v>
      </c>
      <c r="D42" s="349">
        <v>106</v>
      </c>
      <c r="E42" s="349">
        <v>95</v>
      </c>
      <c r="F42" s="349">
        <v>97</v>
      </c>
      <c r="G42" s="349">
        <v>90</v>
      </c>
      <c r="H42" s="349">
        <v>86</v>
      </c>
      <c r="I42" s="878">
        <v>67</v>
      </c>
      <c r="J42" s="1042">
        <v>53</v>
      </c>
      <c r="K42" s="1552">
        <v>33</v>
      </c>
      <c r="L42" s="1902">
        <v>43</v>
      </c>
      <c r="M42" s="1902">
        <v>54</v>
      </c>
      <c r="N42" s="1902">
        <v>43</v>
      </c>
    </row>
    <row r="43" spans="1:14" x14ac:dyDescent="0.3">
      <c r="A43" s="347" t="s">
        <v>99</v>
      </c>
      <c r="B43" s="348" t="s">
        <v>100</v>
      </c>
      <c r="C43" s="348" t="s">
        <v>254</v>
      </c>
      <c r="D43" s="349">
        <v>117</v>
      </c>
      <c r="E43" s="349">
        <v>114</v>
      </c>
      <c r="F43" s="349">
        <v>105</v>
      </c>
      <c r="G43" s="349">
        <v>81</v>
      </c>
      <c r="H43" s="349">
        <v>72</v>
      </c>
      <c r="I43" s="878">
        <v>85</v>
      </c>
      <c r="J43" s="1042">
        <v>96</v>
      </c>
      <c r="K43" s="1552">
        <v>59</v>
      </c>
      <c r="L43" s="1902">
        <v>72</v>
      </c>
      <c r="M43" s="1902">
        <v>62</v>
      </c>
      <c r="N43" s="1902">
        <v>52</v>
      </c>
    </row>
    <row r="44" spans="1:14" x14ac:dyDescent="0.3">
      <c r="A44" s="347" t="s">
        <v>101</v>
      </c>
      <c r="B44" s="348" t="s">
        <v>263</v>
      </c>
      <c r="C44" s="348" t="s">
        <v>251</v>
      </c>
      <c r="D44" s="349">
        <v>268</v>
      </c>
      <c r="E44" s="349">
        <v>301</v>
      </c>
      <c r="F44" s="349">
        <v>275</v>
      </c>
      <c r="G44" s="349">
        <v>282</v>
      </c>
      <c r="H44" s="349">
        <v>279</v>
      </c>
      <c r="I44" s="878">
        <v>241</v>
      </c>
      <c r="J44" s="1042">
        <v>192</v>
      </c>
      <c r="K44" s="1552">
        <v>132</v>
      </c>
      <c r="L44" s="1902">
        <v>144</v>
      </c>
      <c r="M44" s="1902">
        <v>142</v>
      </c>
      <c r="N44" s="1902">
        <v>130</v>
      </c>
    </row>
    <row r="45" spans="1:14" x14ac:dyDescent="0.3">
      <c r="A45" s="347" t="s">
        <v>103</v>
      </c>
      <c r="B45" s="348" t="s">
        <v>104</v>
      </c>
      <c r="C45" s="348" t="s">
        <v>252</v>
      </c>
      <c r="D45" s="349">
        <v>482</v>
      </c>
      <c r="E45" s="349">
        <v>454</v>
      </c>
      <c r="F45" s="349">
        <v>403</v>
      </c>
      <c r="G45" s="349">
        <v>370</v>
      </c>
      <c r="H45" s="349">
        <v>336</v>
      </c>
      <c r="I45" s="878">
        <v>299</v>
      </c>
      <c r="J45" s="1042">
        <v>268</v>
      </c>
      <c r="K45" s="1552">
        <v>175</v>
      </c>
      <c r="L45" s="1902">
        <v>184</v>
      </c>
      <c r="M45" s="1902">
        <v>160</v>
      </c>
      <c r="N45" s="1902">
        <v>147</v>
      </c>
    </row>
    <row r="46" spans="1:14" x14ac:dyDescent="0.3">
      <c r="A46" s="347" t="s">
        <v>107</v>
      </c>
      <c r="B46" s="348" t="s">
        <v>108</v>
      </c>
      <c r="C46" s="348" t="s">
        <v>253</v>
      </c>
      <c r="D46" s="349">
        <v>345</v>
      </c>
      <c r="E46" s="349">
        <v>359</v>
      </c>
      <c r="F46" s="349">
        <v>315</v>
      </c>
      <c r="G46" s="349">
        <v>280</v>
      </c>
      <c r="H46" s="349">
        <v>264</v>
      </c>
      <c r="I46" s="878">
        <v>201</v>
      </c>
      <c r="J46" s="1042">
        <v>181</v>
      </c>
      <c r="K46" s="1552">
        <v>156</v>
      </c>
      <c r="L46" s="1902">
        <v>163</v>
      </c>
      <c r="M46" s="1902">
        <v>152</v>
      </c>
      <c r="N46" s="1902">
        <v>136</v>
      </c>
    </row>
    <row r="47" spans="1:14" x14ac:dyDescent="0.3">
      <c r="A47" s="347" t="s">
        <v>109</v>
      </c>
      <c r="B47" s="348" t="s">
        <v>110</v>
      </c>
      <c r="C47" s="348" t="s">
        <v>253</v>
      </c>
      <c r="D47" s="349">
        <v>2779</v>
      </c>
      <c r="E47" s="349">
        <v>2873</v>
      </c>
      <c r="F47" s="349">
        <v>2760</v>
      </c>
      <c r="G47" s="349">
        <v>2452</v>
      </c>
      <c r="H47" s="349">
        <v>2188</v>
      </c>
      <c r="I47" s="878">
        <v>1957</v>
      </c>
      <c r="J47" s="1042">
        <v>1701</v>
      </c>
      <c r="K47" s="1552">
        <v>1240</v>
      </c>
      <c r="L47" s="1902">
        <v>1420</v>
      </c>
      <c r="M47" s="1902">
        <v>1332</v>
      </c>
      <c r="N47" s="1902">
        <v>1146</v>
      </c>
    </row>
    <row r="48" spans="1:14" x14ac:dyDescent="0.3">
      <c r="A48" s="347" t="s">
        <v>111</v>
      </c>
      <c r="B48" s="348" t="s">
        <v>275</v>
      </c>
      <c r="C48" s="348" t="s">
        <v>252</v>
      </c>
      <c r="D48" s="349">
        <v>1049</v>
      </c>
      <c r="E48" s="349">
        <v>1036</v>
      </c>
      <c r="F48" s="349">
        <v>921</v>
      </c>
      <c r="G48" s="349">
        <v>831</v>
      </c>
      <c r="H48" s="349">
        <v>766</v>
      </c>
      <c r="I48" s="878">
        <v>714</v>
      </c>
      <c r="J48" s="1042">
        <v>617</v>
      </c>
      <c r="K48" s="1552">
        <v>436</v>
      </c>
      <c r="L48" s="1902">
        <v>449</v>
      </c>
      <c r="M48" s="1902">
        <v>418</v>
      </c>
      <c r="N48" s="1902">
        <v>377</v>
      </c>
    </row>
    <row r="49" spans="1:14" x14ac:dyDescent="0.3">
      <c r="A49" s="347" t="s">
        <v>113</v>
      </c>
      <c r="B49" s="348" t="s">
        <v>114</v>
      </c>
      <c r="C49" s="348" t="s">
        <v>252</v>
      </c>
      <c r="D49" s="349">
        <v>1</v>
      </c>
      <c r="E49" s="349">
        <v>3</v>
      </c>
      <c r="F49" s="349">
        <v>3</v>
      </c>
      <c r="G49" s="349">
        <v>4</v>
      </c>
      <c r="H49" s="349">
        <v>5</v>
      </c>
      <c r="I49" s="878">
        <v>6</v>
      </c>
      <c r="J49" s="1042">
        <v>6</v>
      </c>
      <c r="K49" s="1552">
        <v>3</v>
      </c>
      <c r="L49" s="1902">
        <v>7</v>
      </c>
      <c r="M49" s="1902">
        <v>3</v>
      </c>
      <c r="N49" s="1902">
        <v>2</v>
      </c>
    </row>
    <row r="50" spans="1:14" x14ac:dyDescent="0.3">
      <c r="A50" s="347" t="s">
        <v>117</v>
      </c>
      <c r="B50" s="348" t="s">
        <v>257</v>
      </c>
      <c r="C50" s="348" t="s">
        <v>251</v>
      </c>
      <c r="D50" s="349">
        <v>296</v>
      </c>
      <c r="E50" s="349">
        <v>298</v>
      </c>
      <c r="F50" s="349">
        <v>255</v>
      </c>
      <c r="G50" s="349">
        <v>234</v>
      </c>
      <c r="H50" s="349">
        <v>203</v>
      </c>
      <c r="I50" s="878">
        <v>176</v>
      </c>
      <c r="J50" s="1042">
        <v>179</v>
      </c>
      <c r="K50" s="1552">
        <v>115</v>
      </c>
      <c r="L50" s="1902">
        <v>117</v>
      </c>
      <c r="M50" s="1902">
        <v>112</v>
      </c>
      <c r="N50" s="1902">
        <v>94</v>
      </c>
    </row>
    <row r="51" spans="1:14" x14ac:dyDescent="0.3">
      <c r="A51" s="347" t="s">
        <v>119</v>
      </c>
      <c r="B51" s="348" t="s">
        <v>120</v>
      </c>
      <c r="C51" s="348" t="s">
        <v>251</v>
      </c>
      <c r="D51" s="349">
        <v>285</v>
      </c>
      <c r="E51" s="349">
        <v>306</v>
      </c>
      <c r="F51" s="349">
        <v>303</v>
      </c>
      <c r="G51" s="349">
        <v>318</v>
      </c>
      <c r="H51" s="349">
        <v>276</v>
      </c>
      <c r="I51" s="878">
        <v>264</v>
      </c>
      <c r="J51" s="1042">
        <v>264</v>
      </c>
      <c r="K51" s="1552">
        <v>162</v>
      </c>
      <c r="L51" s="1902">
        <v>202</v>
      </c>
      <c r="M51" s="1902">
        <v>161</v>
      </c>
      <c r="N51" s="1902">
        <v>152</v>
      </c>
    </row>
    <row r="52" spans="1:14" x14ac:dyDescent="0.3">
      <c r="A52" s="347" t="s">
        <v>121</v>
      </c>
      <c r="B52" s="348" t="s">
        <v>268</v>
      </c>
      <c r="C52" s="348" t="s">
        <v>253</v>
      </c>
      <c r="D52" s="349">
        <v>62</v>
      </c>
      <c r="E52" s="349">
        <v>59</v>
      </c>
      <c r="F52" s="349">
        <v>55</v>
      </c>
      <c r="G52" s="349">
        <v>48</v>
      </c>
      <c r="H52" s="349">
        <v>49</v>
      </c>
      <c r="I52" s="878">
        <v>64</v>
      </c>
      <c r="J52" s="1042">
        <v>103</v>
      </c>
      <c r="K52" s="1552">
        <v>38</v>
      </c>
      <c r="L52" s="1902">
        <v>45</v>
      </c>
      <c r="M52" s="1902">
        <v>36</v>
      </c>
      <c r="N52" s="1902">
        <v>33</v>
      </c>
    </row>
    <row r="53" spans="1:14" x14ac:dyDescent="0.3">
      <c r="A53" s="347" t="s">
        <v>123</v>
      </c>
      <c r="B53" s="348" t="s">
        <v>124</v>
      </c>
      <c r="C53" s="348" t="s">
        <v>254</v>
      </c>
      <c r="D53" s="349">
        <v>105</v>
      </c>
      <c r="E53" s="349">
        <v>113</v>
      </c>
      <c r="F53" s="349">
        <v>111</v>
      </c>
      <c r="G53" s="349">
        <v>118</v>
      </c>
      <c r="H53" s="349">
        <v>114</v>
      </c>
      <c r="I53" s="878">
        <v>89</v>
      </c>
      <c r="J53" s="1042">
        <v>46</v>
      </c>
      <c r="K53" s="1552">
        <v>67</v>
      </c>
      <c r="L53" s="1902">
        <v>69</v>
      </c>
      <c r="M53" s="1902">
        <v>70</v>
      </c>
      <c r="N53" s="1902">
        <v>59</v>
      </c>
    </row>
    <row r="54" spans="1:14" x14ac:dyDescent="0.3">
      <c r="A54" s="347" t="s">
        <v>125</v>
      </c>
      <c r="B54" s="348" t="s">
        <v>126</v>
      </c>
      <c r="C54" s="348" t="s">
        <v>253</v>
      </c>
      <c r="D54" s="349">
        <v>107</v>
      </c>
      <c r="E54" s="349">
        <v>106</v>
      </c>
      <c r="F54" s="349">
        <v>88</v>
      </c>
      <c r="G54" s="349">
        <v>79</v>
      </c>
      <c r="H54" s="349">
        <v>76</v>
      </c>
      <c r="I54" s="878">
        <v>57</v>
      </c>
      <c r="J54" s="1042">
        <v>47</v>
      </c>
      <c r="K54" s="1552">
        <v>32</v>
      </c>
      <c r="L54" s="1902">
        <v>44</v>
      </c>
      <c r="M54" s="1902">
        <v>41</v>
      </c>
      <c r="N54" s="1902">
        <v>40</v>
      </c>
    </row>
    <row r="55" spans="1:14" x14ac:dyDescent="0.3">
      <c r="A55" s="347" t="s">
        <v>127</v>
      </c>
      <c r="B55" s="348" t="s">
        <v>128</v>
      </c>
      <c r="C55" s="348" t="s">
        <v>253</v>
      </c>
      <c r="D55" s="349">
        <v>81</v>
      </c>
      <c r="E55" s="349">
        <v>86</v>
      </c>
      <c r="F55" s="349">
        <v>92</v>
      </c>
      <c r="G55" s="349">
        <v>73</v>
      </c>
      <c r="H55" s="349">
        <v>73</v>
      </c>
      <c r="I55" s="878">
        <v>71</v>
      </c>
      <c r="J55" s="1042">
        <v>72</v>
      </c>
      <c r="K55" s="1552">
        <v>48</v>
      </c>
      <c r="L55" s="1902">
        <v>50</v>
      </c>
      <c r="M55" s="1902">
        <v>48</v>
      </c>
      <c r="N55" s="1902">
        <v>52</v>
      </c>
    </row>
    <row r="56" spans="1:14" x14ac:dyDescent="0.3">
      <c r="A56" s="347" t="s">
        <v>129</v>
      </c>
      <c r="B56" s="348" t="s">
        <v>130</v>
      </c>
      <c r="C56" s="348" t="s">
        <v>255</v>
      </c>
      <c r="D56" s="349">
        <v>482</v>
      </c>
      <c r="E56" s="349">
        <v>507</v>
      </c>
      <c r="F56" s="349">
        <v>503</v>
      </c>
      <c r="G56" s="349">
        <v>500</v>
      </c>
      <c r="H56" s="349">
        <v>445</v>
      </c>
      <c r="I56" s="878">
        <v>409</v>
      </c>
      <c r="J56" s="1042">
        <v>383</v>
      </c>
      <c r="K56" s="1552">
        <v>275</v>
      </c>
      <c r="L56" s="1902">
        <v>316</v>
      </c>
      <c r="M56" s="1902">
        <v>291</v>
      </c>
      <c r="N56" s="1902">
        <v>278</v>
      </c>
    </row>
    <row r="57" spans="1:14" x14ac:dyDescent="0.3">
      <c r="A57" s="347" t="s">
        <v>131</v>
      </c>
      <c r="B57" s="348" t="s">
        <v>132</v>
      </c>
      <c r="C57" s="348" t="s">
        <v>254</v>
      </c>
      <c r="D57" s="349">
        <v>599</v>
      </c>
      <c r="E57" s="349">
        <v>514</v>
      </c>
      <c r="F57" s="349">
        <v>513</v>
      </c>
      <c r="G57" s="349">
        <v>481</v>
      </c>
      <c r="H57" s="349">
        <v>415</v>
      </c>
      <c r="I57" s="878">
        <v>401</v>
      </c>
      <c r="J57" s="1042">
        <v>412</v>
      </c>
      <c r="K57" s="1552">
        <v>245</v>
      </c>
      <c r="L57" s="1902">
        <v>294</v>
      </c>
      <c r="M57" s="1902">
        <v>252</v>
      </c>
      <c r="N57" s="1902">
        <v>257</v>
      </c>
    </row>
    <row r="58" spans="1:14" x14ac:dyDescent="0.3">
      <c r="A58" s="347" t="s">
        <v>133</v>
      </c>
      <c r="B58" s="348" t="s">
        <v>134</v>
      </c>
      <c r="C58" s="348" t="s">
        <v>254</v>
      </c>
      <c r="D58" s="349">
        <v>218</v>
      </c>
      <c r="E58" s="349">
        <v>221</v>
      </c>
      <c r="F58" s="349">
        <v>189</v>
      </c>
      <c r="G58" s="349">
        <v>200</v>
      </c>
      <c r="H58" s="349">
        <v>194</v>
      </c>
      <c r="I58" s="878">
        <v>181</v>
      </c>
      <c r="J58" s="1042">
        <v>153</v>
      </c>
      <c r="K58" s="1552">
        <v>106</v>
      </c>
      <c r="L58" s="1902">
        <v>121</v>
      </c>
      <c r="M58" s="1902">
        <v>112</v>
      </c>
      <c r="N58" s="1902">
        <v>85</v>
      </c>
    </row>
    <row r="59" spans="1:14" x14ac:dyDescent="0.3">
      <c r="A59" s="347" t="s">
        <v>135</v>
      </c>
      <c r="B59" s="348" t="s">
        <v>136</v>
      </c>
      <c r="C59" s="348" t="s">
        <v>253</v>
      </c>
      <c r="D59" s="349">
        <v>99</v>
      </c>
      <c r="E59" s="349">
        <v>120</v>
      </c>
      <c r="F59" s="349">
        <v>132</v>
      </c>
      <c r="G59" s="349">
        <v>115</v>
      </c>
      <c r="H59" s="349">
        <v>101</v>
      </c>
      <c r="I59" s="878">
        <v>70</v>
      </c>
      <c r="J59" s="1042">
        <v>61</v>
      </c>
      <c r="K59" s="1552">
        <v>46</v>
      </c>
      <c r="L59" s="1902">
        <v>66</v>
      </c>
      <c r="M59" s="1902">
        <v>80</v>
      </c>
      <c r="N59" s="1902">
        <v>78</v>
      </c>
    </row>
    <row r="60" spans="1:14" x14ac:dyDescent="0.3">
      <c r="A60" s="347" t="s">
        <v>139</v>
      </c>
      <c r="B60" s="348" t="s">
        <v>140</v>
      </c>
      <c r="C60" s="348" t="s">
        <v>254</v>
      </c>
      <c r="D60" s="349">
        <v>61</v>
      </c>
      <c r="E60" s="349">
        <v>59</v>
      </c>
      <c r="F60" s="349">
        <v>55</v>
      </c>
      <c r="G60" s="349">
        <v>55</v>
      </c>
      <c r="H60" s="349">
        <v>52</v>
      </c>
      <c r="I60" s="878">
        <v>49</v>
      </c>
      <c r="J60" s="1042">
        <v>42</v>
      </c>
      <c r="K60" s="1552">
        <v>26</v>
      </c>
      <c r="L60" s="1902">
        <v>37</v>
      </c>
      <c r="M60" s="1902">
        <v>30</v>
      </c>
      <c r="N60" s="1902">
        <v>23</v>
      </c>
    </row>
    <row r="61" spans="1:14" x14ac:dyDescent="0.3">
      <c r="A61" s="347" t="s">
        <v>145</v>
      </c>
      <c r="B61" s="348" t="s">
        <v>146</v>
      </c>
      <c r="C61" s="348" t="s">
        <v>251</v>
      </c>
      <c r="D61" s="349">
        <v>46</v>
      </c>
      <c r="E61" s="349">
        <v>45</v>
      </c>
      <c r="F61" s="349">
        <v>41</v>
      </c>
      <c r="G61" s="349">
        <v>48</v>
      </c>
      <c r="H61" s="349">
        <v>40</v>
      </c>
      <c r="I61" s="878">
        <v>35</v>
      </c>
      <c r="J61" s="1042">
        <v>30</v>
      </c>
      <c r="K61" s="1552">
        <v>27</v>
      </c>
      <c r="L61" s="1902">
        <v>29</v>
      </c>
      <c r="M61" s="1902">
        <v>26</v>
      </c>
      <c r="N61" s="1902">
        <v>28</v>
      </c>
    </row>
    <row r="62" spans="1:14" x14ac:dyDescent="0.3">
      <c r="A62" s="347" t="s">
        <v>147</v>
      </c>
      <c r="B62" s="348" t="s">
        <v>148</v>
      </c>
      <c r="C62" s="348" t="s">
        <v>252</v>
      </c>
      <c r="D62" s="349">
        <v>348</v>
      </c>
      <c r="E62" s="349">
        <v>322</v>
      </c>
      <c r="F62" s="349">
        <v>300</v>
      </c>
      <c r="G62" s="349">
        <v>299</v>
      </c>
      <c r="H62" s="349">
        <v>298</v>
      </c>
      <c r="I62" s="878">
        <v>241</v>
      </c>
      <c r="J62" s="1042">
        <v>193</v>
      </c>
      <c r="K62" s="1552">
        <v>141</v>
      </c>
      <c r="L62" s="1902">
        <v>171</v>
      </c>
      <c r="M62" s="1902">
        <v>147</v>
      </c>
      <c r="N62" s="1902">
        <v>130</v>
      </c>
    </row>
    <row r="63" spans="1:14" x14ac:dyDescent="0.3">
      <c r="A63" s="347" t="s">
        <v>149</v>
      </c>
      <c r="B63" s="348" t="s">
        <v>150</v>
      </c>
      <c r="C63" s="348" t="s">
        <v>253</v>
      </c>
      <c r="D63" s="349">
        <v>85</v>
      </c>
      <c r="E63" s="349">
        <v>77</v>
      </c>
      <c r="F63" s="349">
        <v>87</v>
      </c>
      <c r="G63" s="349">
        <v>94</v>
      </c>
      <c r="H63" s="349">
        <v>111</v>
      </c>
      <c r="I63" s="878">
        <v>88</v>
      </c>
      <c r="J63" s="1042">
        <v>77</v>
      </c>
      <c r="K63" s="1552">
        <v>60</v>
      </c>
      <c r="L63" s="1902">
        <v>64</v>
      </c>
      <c r="M63" s="1902">
        <v>62</v>
      </c>
      <c r="N63" s="1902">
        <v>67</v>
      </c>
    </row>
    <row r="64" spans="1:14" x14ac:dyDescent="0.3">
      <c r="A64" s="347" t="s">
        <v>151</v>
      </c>
      <c r="B64" s="348" t="s">
        <v>152</v>
      </c>
      <c r="C64" s="348" t="s">
        <v>255</v>
      </c>
      <c r="D64" s="349">
        <v>720</v>
      </c>
      <c r="E64" s="349">
        <v>731</v>
      </c>
      <c r="F64" s="349">
        <v>659</v>
      </c>
      <c r="G64" s="349">
        <v>570</v>
      </c>
      <c r="H64" s="349">
        <v>517</v>
      </c>
      <c r="I64" s="878">
        <v>433</v>
      </c>
      <c r="J64" s="1042">
        <v>418</v>
      </c>
      <c r="K64" s="1552">
        <v>300</v>
      </c>
      <c r="L64" s="1902">
        <v>349</v>
      </c>
      <c r="M64" s="1902">
        <v>343</v>
      </c>
      <c r="N64" s="1902">
        <v>280</v>
      </c>
    </row>
    <row r="65" spans="1:14" x14ac:dyDescent="0.3">
      <c r="A65" s="347" t="s">
        <v>153</v>
      </c>
      <c r="B65" s="348" t="s">
        <v>154</v>
      </c>
      <c r="C65" s="348" t="s">
        <v>252</v>
      </c>
      <c r="D65" s="349">
        <v>84</v>
      </c>
      <c r="E65" s="349">
        <v>76</v>
      </c>
      <c r="F65" s="349">
        <v>80</v>
      </c>
      <c r="G65" s="349">
        <v>74</v>
      </c>
      <c r="H65" s="349">
        <v>67</v>
      </c>
      <c r="I65" s="878">
        <v>73</v>
      </c>
      <c r="J65" s="1042">
        <v>86</v>
      </c>
      <c r="K65" s="1552">
        <v>46</v>
      </c>
      <c r="L65" s="1902">
        <v>52</v>
      </c>
      <c r="M65" s="1902">
        <v>52</v>
      </c>
      <c r="N65" s="1902">
        <v>40</v>
      </c>
    </row>
    <row r="66" spans="1:14" x14ac:dyDescent="0.3">
      <c r="A66" s="347" t="s">
        <v>155</v>
      </c>
      <c r="B66" s="348" t="s">
        <v>156</v>
      </c>
      <c r="C66" s="348" t="s">
        <v>253</v>
      </c>
      <c r="D66" s="349">
        <v>83</v>
      </c>
      <c r="E66" s="349">
        <v>91</v>
      </c>
      <c r="F66" s="349">
        <v>97</v>
      </c>
      <c r="G66" s="349">
        <v>81</v>
      </c>
      <c r="H66" s="349">
        <v>78</v>
      </c>
      <c r="I66" s="878">
        <v>74</v>
      </c>
      <c r="J66" s="1042">
        <v>79</v>
      </c>
      <c r="K66" s="1552">
        <v>40</v>
      </c>
      <c r="L66" s="1902">
        <v>44</v>
      </c>
      <c r="M66" s="1902">
        <v>31</v>
      </c>
      <c r="N66" s="1902">
        <v>50</v>
      </c>
    </row>
    <row r="67" spans="1:14" x14ac:dyDescent="0.3">
      <c r="A67" s="347" t="s">
        <v>161</v>
      </c>
      <c r="B67" s="348" t="s">
        <v>162</v>
      </c>
      <c r="C67" s="348" t="s">
        <v>251</v>
      </c>
      <c r="D67" s="349">
        <v>191</v>
      </c>
      <c r="E67" s="349">
        <v>205</v>
      </c>
      <c r="F67" s="349">
        <v>188</v>
      </c>
      <c r="G67" s="349">
        <v>173</v>
      </c>
      <c r="H67" s="349">
        <v>151</v>
      </c>
      <c r="I67" s="878">
        <v>126</v>
      </c>
      <c r="J67" s="1042">
        <v>90</v>
      </c>
      <c r="K67" s="1552">
        <v>63</v>
      </c>
      <c r="L67" s="1902">
        <v>69</v>
      </c>
      <c r="M67" s="1902">
        <v>62</v>
      </c>
      <c r="N67" s="1902">
        <v>41</v>
      </c>
    </row>
    <row r="68" spans="1:14" x14ac:dyDescent="0.3">
      <c r="A68" s="347" t="s">
        <v>163</v>
      </c>
      <c r="B68" s="348" t="s">
        <v>164</v>
      </c>
      <c r="C68" s="348" t="s">
        <v>253</v>
      </c>
      <c r="D68" s="349">
        <v>60</v>
      </c>
      <c r="E68" s="349">
        <v>67</v>
      </c>
      <c r="F68" s="349">
        <v>57</v>
      </c>
      <c r="G68" s="349">
        <v>67</v>
      </c>
      <c r="H68" s="349">
        <v>64</v>
      </c>
      <c r="I68" s="878">
        <v>66</v>
      </c>
      <c r="J68" s="1042">
        <v>55</v>
      </c>
      <c r="K68" s="1552">
        <v>39</v>
      </c>
      <c r="L68" s="1902">
        <v>48</v>
      </c>
      <c r="M68" s="1902">
        <v>51</v>
      </c>
      <c r="N68" s="1902">
        <v>44</v>
      </c>
    </row>
    <row r="69" spans="1:14" x14ac:dyDescent="0.3">
      <c r="A69" s="347" t="s">
        <v>167</v>
      </c>
      <c r="B69" s="348" t="s">
        <v>168</v>
      </c>
      <c r="C69" s="348" t="s">
        <v>253</v>
      </c>
      <c r="D69" s="349">
        <v>221</v>
      </c>
      <c r="E69" s="349">
        <v>235</v>
      </c>
      <c r="F69" s="349">
        <v>243</v>
      </c>
      <c r="G69" s="349">
        <v>249</v>
      </c>
      <c r="H69" s="349">
        <v>224</v>
      </c>
      <c r="I69" s="878">
        <v>183</v>
      </c>
      <c r="J69" s="1042">
        <v>144</v>
      </c>
      <c r="K69" s="1552">
        <v>81</v>
      </c>
      <c r="L69" s="1902">
        <v>109</v>
      </c>
      <c r="M69" s="1902">
        <v>120</v>
      </c>
      <c r="N69" s="1902">
        <v>99</v>
      </c>
    </row>
    <row r="70" spans="1:14" x14ac:dyDescent="0.3">
      <c r="A70" s="347" t="s">
        <v>169</v>
      </c>
      <c r="B70" s="348" t="s">
        <v>170</v>
      </c>
      <c r="C70" s="348" t="s">
        <v>254</v>
      </c>
      <c r="D70" s="349">
        <v>175</v>
      </c>
      <c r="E70" s="349">
        <v>173</v>
      </c>
      <c r="F70" s="349">
        <v>162</v>
      </c>
      <c r="G70" s="349">
        <v>156</v>
      </c>
      <c r="H70" s="349">
        <v>156</v>
      </c>
      <c r="I70" s="878">
        <v>166</v>
      </c>
      <c r="J70" s="1042">
        <v>160</v>
      </c>
      <c r="K70" s="1552">
        <v>103</v>
      </c>
      <c r="L70" s="1902">
        <v>100</v>
      </c>
      <c r="M70" s="1902">
        <v>91</v>
      </c>
      <c r="N70" s="1902">
        <v>80</v>
      </c>
    </row>
    <row r="71" spans="1:14" x14ac:dyDescent="0.3">
      <c r="A71" s="347" t="s">
        <v>171</v>
      </c>
      <c r="B71" s="348" t="s">
        <v>172</v>
      </c>
      <c r="C71" s="348" t="s">
        <v>254</v>
      </c>
      <c r="D71" s="349">
        <v>179</v>
      </c>
      <c r="E71" s="349">
        <v>172</v>
      </c>
      <c r="F71" s="349">
        <v>143</v>
      </c>
      <c r="G71" s="349">
        <v>124</v>
      </c>
      <c r="H71" s="349">
        <v>105</v>
      </c>
      <c r="I71" s="878">
        <v>80</v>
      </c>
      <c r="J71" s="1042">
        <v>70</v>
      </c>
      <c r="K71" s="1552">
        <v>44</v>
      </c>
      <c r="L71" s="1902">
        <v>45</v>
      </c>
      <c r="M71" s="1902">
        <v>40</v>
      </c>
      <c r="N71" s="1902">
        <v>42</v>
      </c>
    </row>
    <row r="72" spans="1:14" x14ac:dyDescent="0.3">
      <c r="A72" s="347" t="s">
        <v>173</v>
      </c>
      <c r="B72" s="348" t="s">
        <v>174</v>
      </c>
      <c r="C72" s="348" t="s">
        <v>255</v>
      </c>
      <c r="D72" s="349">
        <v>195</v>
      </c>
      <c r="E72" s="349">
        <v>203</v>
      </c>
      <c r="F72" s="349">
        <v>214</v>
      </c>
      <c r="G72" s="349">
        <v>172</v>
      </c>
      <c r="H72" s="349">
        <v>171</v>
      </c>
      <c r="I72" s="878">
        <v>151</v>
      </c>
      <c r="J72" s="1042">
        <v>139</v>
      </c>
      <c r="K72" s="1552">
        <v>79</v>
      </c>
      <c r="L72" s="1902">
        <v>113</v>
      </c>
      <c r="M72" s="1902">
        <v>96</v>
      </c>
      <c r="N72" s="1902">
        <v>97</v>
      </c>
    </row>
    <row r="73" spans="1:14" x14ac:dyDescent="0.3">
      <c r="A73" s="347" t="s">
        <v>177</v>
      </c>
      <c r="B73" s="348" t="s">
        <v>178</v>
      </c>
      <c r="C73" s="348" t="s">
        <v>252</v>
      </c>
      <c r="D73" s="349">
        <v>496</v>
      </c>
      <c r="E73" s="349">
        <v>476</v>
      </c>
      <c r="F73" s="349">
        <v>442</v>
      </c>
      <c r="G73" s="349">
        <v>415</v>
      </c>
      <c r="H73" s="349">
        <v>404</v>
      </c>
      <c r="I73" s="878">
        <v>333</v>
      </c>
      <c r="J73" s="1042">
        <v>310</v>
      </c>
      <c r="K73" s="1552">
        <v>194</v>
      </c>
      <c r="L73" s="1902">
        <v>217</v>
      </c>
      <c r="M73" s="1902">
        <v>223</v>
      </c>
      <c r="N73" s="1902">
        <v>212</v>
      </c>
    </row>
    <row r="74" spans="1:14" x14ac:dyDescent="0.3">
      <c r="A74" s="347" t="s">
        <v>181</v>
      </c>
      <c r="B74" s="348" t="s">
        <v>182</v>
      </c>
      <c r="C74" s="348" t="s">
        <v>253</v>
      </c>
      <c r="D74" s="349">
        <v>73</v>
      </c>
      <c r="E74" s="349">
        <v>99</v>
      </c>
      <c r="F74" s="349">
        <v>95</v>
      </c>
      <c r="G74" s="349">
        <v>92</v>
      </c>
      <c r="H74" s="349">
        <v>75</v>
      </c>
      <c r="I74" s="878">
        <v>76</v>
      </c>
      <c r="J74" s="1042">
        <v>66</v>
      </c>
      <c r="K74" s="1552">
        <v>36</v>
      </c>
      <c r="L74" s="1902">
        <v>46</v>
      </c>
      <c r="M74" s="1902">
        <v>50</v>
      </c>
      <c r="N74" s="1902">
        <v>39</v>
      </c>
    </row>
    <row r="75" spans="1:14" x14ac:dyDescent="0.3">
      <c r="A75" s="347" t="s">
        <v>183</v>
      </c>
      <c r="B75" s="348" t="s">
        <v>184</v>
      </c>
      <c r="C75" s="348" t="s">
        <v>253</v>
      </c>
      <c r="D75" s="349">
        <v>276</v>
      </c>
      <c r="E75" s="349">
        <v>269</v>
      </c>
      <c r="F75" s="349">
        <v>247</v>
      </c>
      <c r="G75" s="349">
        <v>264</v>
      </c>
      <c r="H75" s="349">
        <v>233</v>
      </c>
      <c r="I75" s="878">
        <v>202</v>
      </c>
      <c r="J75" s="1042">
        <v>171</v>
      </c>
      <c r="K75" s="1552">
        <v>109</v>
      </c>
      <c r="L75" s="1902">
        <v>132</v>
      </c>
      <c r="M75" s="1902">
        <v>118</v>
      </c>
      <c r="N75" s="1902">
        <v>104</v>
      </c>
    </row>
    <row r="76" spans="1:14" x14ac:dyDescent="0.3">
      <c r="A76" s="347" t="s">
        <v>185</v>
      </c>
      <c r="B76" s="348" t="s">
        <v>186</v>
      </c>
      <c r="C76" s="348" t="s">
        <v>251</v>
      </c>
      <c r="D76" s="349">
        <v>196</v>
      </c>
      <c r="E76" s="349">
        <v>183</v>
      </c>
      <c r="F76" s="349">
        <v>176</v>
      </c>
      <c r="G76" s="349">
        <v>173</v>
      </c>
      <c r="H76" s="349">
        <v>162</v>
      </c>
      <c r="I76" s="878">
        <v>172</v>
      </c>
      <c r="J76" s="1042">
        <v>161</v>
      </c>
      <c r="K76" s="1552">
        <v>85</v>
      </c>
      <c r="L76" s="1902">
        <v>110</v>
      </c>
      <c r="M76" s="1902">
        <v>115</v>
      </c>
      <c r="N76" s="1902">
        <v>99</v>
      </c>
    </row>
    <row r="77" spans="1:14" x14ac:dyDescent="0.3">
      <c r="A77" s="347" t="s">
        <v>187</v>
      </c>
      <c r="B77" s="348" t="s">
        <v>188</v>
      </c>
      <c r="C77" s="348" t="s">
        <v>254</v>
      </c>
      <c r="D77" s="349">
        <v>2635</v>
      </c>
      <c r="E77" s="349">
        <v>2632</v>
      </c>
      <c r="F77" s="349">
        <v>2370</v>
      </c>
      <c r="G77" s="349">
        <v>2131</v>
      </c>
      <c r="H77" s="349">
        <v>1907</v>
      </c>
      <c r="I77" s="878">
        <v>1639</v>
      </c>
      <c r="J77" s="1042">
        <v>1472</v>
      </c>
      <c r="K77" s="1552">
        <v>978</v>
      </c>
      <c r="L77" s="1902">
        <v>1114</v>
      </c>
      <c r="M77" s="1902">
        <v>1001</v>
      </c>
      <c r="N77" s="1902">
        <v>864</v>
      </c>
    </row>
    <row r="78" spans="1:14" x14ac:dyDescent="0.3">
      <c r="A78" s="347" t="s">
        <v>189</v>
      </c>
      <c r="B78" s="348" t="s">
        <v>190</v>
      </c>
      <c r="C78" s="348" t="s">
        <v>255</v>
      </c>
      <c r="D78" s="349">
        <v>384</v>
      </c>
      <c r="E78" s="349">
        <v>394</v>
      </c>
      <c r="F78" s="349">
        <v>368</v>
      </c>
      <c r="G78" s="349">
        <v>333</v>
      </c>
      <c r="H78" s="349">
        <v>319</v>
      </c>
      <c r="I78" s="878">
        <v>260</v>
      </c>
      <c r="J78" s="1042">
        <v>225</v>
      </c>
      <c r="K78" s="1552">
        <v>145</v>
      </c>
      <c r="L78" s="1902">
        <v>197</v>
      </c>
      <c r="M78" s="1902">
        <v>168</v>
      </c>
      <c r="N78" s="1902">
        <v>157</v>
      </c>
    </row>
    <row r="79" spans="1:14" x14ac:dyDescent="0.3">
      <c r="A79" s="347" t="s">
        <v>193</v>
      </c>
      <c r="B79" s="348" t="s">
        <v>194</v>
      </c>
      <c r="C79" s="348" t="s">
        <v>254</v>
      </c>
      <c r="D79" s="349">
        <v>10</v>
      </c>
      <c r="E79" s="349">
        <v>13</v>
      </c>
      <c r="F79" s="349">
        <v>14</v>
      </c>
      <c r="G79" s="349">
        <v>28</v>
      </c>
      <c r="H79" s="349">
        <v>26</v>
      </c>
      <c r="I79" s="878">
        <v>22</v>
      </c>
      <c r="J79" s="1042">
        <v>17</v>
      </c>
      <c r="K79" s="1552">
        <v>6</v>
      </c>
      <c r="L79" s="1902">
        <v>5</v>
      </c>
      <c r="M79" s="1902">
        <v>4</v>
      </c>
      <c r="N79" s="1902">
        <v>3</v>
      </c>
    </row>
    <row r="80" spans="1:14" x14ac:dyDescent="0.3">
      <c r="A80" s="347" t="s">
        <v>197</v>
      </c>
      <c r="B80" s="348" t="s">
        <v>259</v>
      </c>
      <c r="C80" s="348" t="s">
        <v>253</v>
      </c>
      <c r="D80" s="349">
        <v>72</v>
      </c>
      <c r="E80" s="349">
        <v>66</v>
      </c>
      <c r="F80" s="349">
        <v>65</v>
      </c>
      <c r="G80" s="349">
        <v>70</v>
      </c>
      <c r="H80" s="349">
        <v>65</v>
      </c>
      <c r="I80" s="878">
        <v>63</v>
      </c>
      <c r="J80" s="1042">
        <v>66</v>
      </c>
      <c r="K80" s="1552">
        <v>28</v>
      </c>
      <c r="L80" s="1902">
        <v>48</v>
      </c>
      <c r="M80" s="1902">
        <v>38</v>
      </c>
      <c r="N80" s="1902">
        <v>32</v>
      </c>
    </row>
    <row r="81" spans="1:14" x14ac:dyDescent="0.3">
      <c r="A81" s="347" t="s">
        <v>201</v>
      </c>
      <c r="B81" s="348" t="s">
        <v>276</v>
      </c>
      <c r="C81" s="348" t="s">
        <v>252</v>
      </c>
      <c r="D81" s="349">
        <v>653</v>
      </c>
      <c r="E81" s="349">
        <v>641</v>
      </c>
      <c r="F81" s="349">
        <v>566</v>
      </c>
      <c r="G81" s="349">
        <v>520</v>
      </c>
      <c r="H81" s="349">
        <v>491</v>
      </c>
      <c r="I81" s="878">
        <v>415</v>
      </c>
      <c r="J81" s="1042">
        <v>382</v>
      </c>
      <c r="K81" s="1552">
        <v>290</v>
      </c>
      <c r="L81" s="1902">
        <v>322</v>
      </c>
      <c r="M81" s="1902">
        <v>308</v>
      </c>
      <c r="N81" s="1902">
        <v>287</v>
      </c>
    </row>
    <row r="82" spans="1:14" x14ac:dyDescent="0.3">
      <c r="A82" s="347" t="s">
        <v>203</v>
      </c>
      <c r="B82" s="348" t="s">
        <v>269</v>
      </c>
      <c r="C82" s="348" t="s">
        <v>252</v>
      </c>
      <c r="D82" s="349">
        <v>165</v>
      </c>
      <c r="E82" s="349">
        <v>188</v>
      </c>
      <c r="F82" s="349">
        <v>156</v>
      </c>
      <c r="G82" s="349">
        <v>135</v>
      </c>
      <c r="H82" s="349">
        <v>139</v>
      </c>
      <c r="I82" s="878">
        <v>105</v>
      </c>
      <c r="J82" s="1042">
        <v>106</v>
      </c>
      <c r="K82" s="1552">
        <v>68</v>
      </c>
      <c r="L82" s="1902">
        <v>100</v>
      </c>
      <c r="M82" s="1902">
        <v>123</v>
      </c>
      <c r="N82" s="1902">
        <v>108</v>
      </c>
    </row>
    <row r="83" spans="1:14" x14ac:dyDescent="0.3">
      <c r="A83" s="347" t="s">
        <v>205</v>
      </c>
      <c r="B83" s="348" t="s">
        <v>270</v>
      </c>
      <c r="C83" s="348" t="s">
        <v>254</v>
      </c>
      <c r="D83" s="349">
        <v>695</v>
      </c>
      <c r="E83" s="349">
        <v>711</v>
      </c>
      <c r="F83" s="349">
        <v>654</v>
      </c>
      <c r="G83" s="349">
        <v>612</v>
      </c>
      <c r="H83" s="349">
        <v>548</v>
      </c>
      <c r="I83" s="878">
        <v>466</v>
      </c>
      <c r="J83" s="1042">
        <v>429</v>
      </c>
      <c r="K83" s="1552">
        <v>341</v>
      </c>
      <c r="L83" s="1902">
        <v>409</v>
      </c>
      <c r="M83" s="1902">
        <v>384</v>
      </c>
      <c r="N83" s="1902">
        <v>331</v>
      </c>
    </row>
    <row r="84" spans="1:14" x14ac:dyDescent="0.3">
      <c r="A84" s="347" t="s">
        <v>207</v>
      </c>
      <c r="B84" s="348" t="s">
        <v>208</v>
      </c>
      <c r="C84" s="348" t="s">
        <v>255</v>
      </c>
      <c r="D84" s="349">
        <v>480</v>
      </c>
      <c r="E84" s="349">
        <v>436</v>
      </c>
      <c r="F84" s="349">
        <v>384</v>
      </c>
      <c r="G84" s="349">
        <v>379</v>
      </c>
      <c r="H84" s="349">
        <v>359</v>
      </c>
      <c r="I84" s="878">
        <v>300</v>
      </c>
      <c r="J84" s="1042">
        <v>256</v>
      </c>
      <c r="K84" s="1552">
        <v>178</v>
      </c>
      <c r="L84" s="1902">
        <v>195</v>
      </c>
      <c r="M84" s="1902">
        <v>178</v>
      </c>
      <c r="N84" s="1902">
        <v>145</v>
      </c>
    </row>
    <row r="85" spans="1:14" x14ac:dyDescent="0.3">
      <c r="A85" s="347" t="s">
        <v>209</v>
      </c>
      <c r="B85" s="348" t="s">
        <v>210</v>
      </c>
      <c r="C85" s="348" t="s">
        <v>255</v>
      </c>
      <c r="D85" s="349">
        <v>372</v>
      </c>
      <c r="E85" s="349">
        <v>352</v>
      </c>
      <c r="F85" s="349">
        <v>324</v>
      </c>
      <c r="G85" s="349">
        <v>275</v>
      </c>
      <c r="H85" s="349">
        <v>259</v>
      </c>
      <c r="I85" s="878">
        <v>247</v>
      </c>
      <c r="J85" s="1042">
        <v>214</v>
      </c>
      <c r="K85" s="1552">
        <v>141</v>
      </c>
      <c r="L85" s="1902">
        <v>171</v>
      </c>
      <c r="M85" s="1902">
        <v>148</v>
      </c>
      <c r="N85" s="1902">
        <v>145</v>
      </c>
    </row>
    <row r="86" spans="1:14" x14ac:dyDescent="0.3">
      <c r="A86" s="347" t="s">
        <v>211</v>
      </c>
      <c r="B86" s="348" t="s">
        <v>212</v>
      </c>
      <c r="C86" s="348" t="s">
        <v>254</v>
      </c>
      <c r="D86" s="349">
        <v>103</v>
      </c>
      <c r="E86" s="349">
        <v>125</v>
      </c>
      <c r="F86" s="349">
        <v>126</v>
      </c>
      <c r="G86" s="349">
        <v>104</v>
      </c>
      <c r="H86" s="349">
        <v>98</v>
      </c>
      <c r="I86" s="878">
        <v>101</v>
      </c>
      <c r="J86" s="1042">
        <v>95</v>
      </c>
      <c r="K86" s="1552">
        <v>83</v>
      </c>
      <c r="L86" s="1902">
        <v>123</v>
      </c>
      <c r="M86" s="1902">
        <v>155</v>
      </c>
      <c r="N86" s="1902">
        <v>140</v>
      </c>
    </row>
    <row r="87" spans="1:14" x14ac:dyDescent="0.3">
      <c r="A87" s="347" t="s">
        <v>213</v>
      </c>
      <c r="B87" s="348" t="s">
        <v>214</v>
      </c>
      <c r="C87" s="348" t="s">
        <v>255</v>
      </c>
      <c r="D87" s="349">
        <v>397</v>
      </c>
      <c r="E87" s="349">
        <v>415</v>
      </c>
      <c r="F87" s="349">
        <v>388</v>
      </c>
      <c r="G87" s="349">
        <v>369</v>
      </c>
      <c r="H87" s="349">
        <v>348</v>
      </c>
      <c r="I87" s="878">
        <v>335</v>
      </c>
      <c r="J87" s="1042">
        <v>285</v>
      </c>
      <c r="K87" s="1552">
        <v>198</v>
      </c>
      <c r="L87" s="1902">
        <v>240</v>
      </c>
      <c r="M87" s="1902">
        <v>235</v>
      </c>
      <c r="N87" s="1902">
        <v>212</v>
      </c>
    </row>
    <row r="88" spans="1:14" x14ac:dyDescent="0.3">
      <c r="A88" s="347" t="s">
        <v>215</v>
      </c>
      <c r="B88" s="348" t="s">
        <v>216</v>
      </c>
      <c r="C88" s="348" t="s">
        <v>251</v>
      </c>
      <c r="D88" s="349">
        <v>236</v>
      </c>
      <c r="E88" s="349">
        <v>244</v>
      </c>
      <c r="F88" s="349">
        <v>228</v>
      </c>
      <c r="G88" s="349">
        <v>190</v>
      </c>
      <c r="H88" s="349">
        <v>163</v>
      </c>
      <c r="I88" s="878">
        <v>128</v>
      </c>
      <c r="J88" s="1042">
        <v>133</v>
      </c>
      <c r="K88" s="1552">
        <v>86</v>
      </c>
      <c r="L88" s="1902">
        <v>103</v>
      </c>
      <c r="M88" s="1902">
        <v>100</v>
      </c>
      <c r="N88" s="1902">
        <v>102</v>
      </c>
    </row>
    <row r="89" spans="1:14" x14ac:dyDescent="0.3">
      <c r="A89" s="347" t="s">
        <v>217</v>
      </c>
      <c r="B89" s="348" t="s">
        <v>218</v>
      </c>
      <c r="C89" s="348" t="s">
        <v>254</v>
      </c>
      <c r="D89" s="349">
        <v>772</v>
      </c>
      <c r="E89" s="349">
        <v>852</v>
      </c>
      <c r="F89" s="349">
        <v>837</v>
      </c>
      <c r="G89" s="349">
        <v>772</v>
      </c>
      <c r="H89" s="349">
        <v>735</v>
      </c>
      <c r="I89" s="878">
        <v>695</v>
      </c>
      <c r="J89" s="1042">
        <v>648</v>
      </c>
      <c r="K89" s="1552">
        <v>441</v>
      </c>
      <c r="L89" s="1902">
        <v>571</v>
      </c>
      <c r="M89" s="1902">
        <v>579</v>
      </c>
      <c r="N89" s="1902">
        <v>475</v>
      </c>
    </row>
    <row r="90" spans="1:14" x14ac:dyDescent="0.3">
      <c r="A90" s="347" t="s">
        <v>219</v>
      </c>
      <c r="B90" s="348" t="s">
        <v>220</v>
      </c>
      <c r="C90" s="348" t="s">
        <v>254</v>
      </c>
      <c r="D90" s="349">
        <v>637</v>
      </c>
      <c r="E90" s="349">
        <v>623</v>
      </c>
      <c r="F90" s="349">
        <v>645</v>
      </c>
      <c r="G90" s="349">
        <v>610</v>
      </c>
      <c r="H90" s="349">
        <v>559</v>
      </c>
      <c r="I90" s="878">
        <v>536</v>
      </c>
      <c r="J90" s="1042">
        <v>533</v>
      </c>
      <c r="K90" s="1552">
        <v>370</v>
      </c>
      <c r="L90" s="1902">
        <v>460</v>
      </c>
      <c r="M90" s="1902">
        <v>497</v>
      </c>
      <c r="N90" s="1902">
        <v>436</v>
      </c>
    </row>
    <row r="91" spans="1:14" x14ac:dyDescent="0.3">
      <c r="A91" s="347" t="s">
        <v>223</v>
      </c>
      <c r="B91" s="348" t="s">
        <v>224</v>
      </c>
      <c r="C91" s="348" t="s">
        <v>251</v>
      </c>
      <c r="D91" s="349">
        <v>110</v>
      </c>
      <c r="E91" s="349">
        <v>99</v>
      </c>
      <c r="F91" s="349">
        <v>87</v>
      </c>
      <c r="G91" s="349">
        <v>86</v>
      </c>
      <c r="H91" s="349">
        <v>76</v>
      </c>
      <c r="I91" s="878">
        <v>59</v>
      </c>
      <c r="J91" s="1042">
        <v>52</v>
      </c>
      <c r="K91" s="1552">
        <v>26</v>
      </c>
      <c r="L91" s="1902">
        <v>34</v>
      </c>
      <c r="M91" s="1902">
        <v>34</v>
      </c>
      <c r="N91" s="1902">
        <v>21</v>
      </c>
    </row>
    <row r="92" spans="1:14" x14ac:dyDescent="0.3">
      <c r="A92" s="347" t="s">
        <v>225</v>
      </c>
      <c r="B92" s="348" t="s">
        <v>226</v>
      </c>
      <c r="C92" s="348" t="s">
        <v>251</v>
      </c>
      <c r="D92" s="349">
        <v>148</v>
      </c>
      <c r="E92" s="349">
        <v>154</v>
      </c>
      <c r="F92" s="349">
        <v>145</v>
      </c>
      <c r="G92" s="349">
        <v>127</v>
      </c>
      <c r="H92" s="349">
        <v>141</v>
      </c>
      <c r="I92" s="878">
        <v>134</v>
      </c>
      <c r="J92" s="1042">
        <v>122</v>
      </c>
      <c r="K92" s="1552">
        <v>73</v>
      </c>
      <c r="L92" s="1902">
        <v>89</v>
      </c>
      <c r="M92" s="1902">
        <v>90</v>
      </c>
      <c r="N92" s="1902">
        <v>81</v>
      </c>
    </row>
    <row r="93" spans="1:14" x14ac:dyDescent="0.3">
      <c r="A93" s="347" t="s">
        <v>227</v>
      </c>
      <c r="B93" s="348" t="s">
        <v>228</v>
      </c>
      <c r="C93" s="348" t="s">
        <v>255</v>
      </c>
      <c r="D93" s="349">
        <v>595</v>
      </c>
      <c r="E93" s="349">
        <v>523</v>
      </c>
      <c r="F93" s="349">
        <v>493</v>
      </c>
      <c r="G93" s="349">
        <v>455</v>
      </c>
      <c r="H93" s="349">
        <v>421</v>
      </c>
      <c r="I93" s="878">
        <v>367</v>
      </c>
      <c r="J93" s="1042">
        <v>338</v>
      </c>
      <c r="K93" s="1552">
        <v>240</v>
      </c>
      <c r="L93" s="1902">
        <v>255</v>
      </c>
      <c r="M93" s="1902">
        <v>235</v>
      </c>
      <c r="N93" s="1902">
        <v>208</v>
      </c>
    </row>
    <row r="94" spans="1:14" x14ac:dyDescent="0.3">
      <c r="A94" s="347" t="s">
        <v>231</v>
      </c>
      <c r="B94" s="348" t="s">
        <v>232</v>
      </c>
      <c r="C94" s="348" t="s">
        <v>254</v>
      </c>
      <c r="D94" s="349">
        <v>267</v>
      </c>
      <c r="E94" s="349">
        <v>263</v>
      </c>
      <c r="F94" s="349">
        <v>254</v>
      </c>
      <c r="G94" s="349">
        <v>249</v>
      </c>
      <c r="H94" s="349">
        <v>243</v>
      </c>
      <c r="I94" s="878">
        <v>205</v>
      </c>
      <c r="J94" s="1042">
        <v>192</v>
      </c>
      <c r="K94" s="1552">
        <v>124</v>
      </c>
      <c r="L94" s="1902">
        <v>155</v>
      </c>
      <c r="M94" s="1902">
        <v>157</v>
      </c>
      <c r="N94" s="1902">
        <v>137</v>
      </c>
    </row>
    <row r="95" spans="1:14" x14ac:dyDescent="0.3">
      <c r="A95" s="347" t="s">
        <v>233</v>
      </c>
      <c r="B95" s="348" t="s">
        <v>234</v>
      </c>
      <c r="C95" s="348" t="s">
        <v>255</v>
      </c>
      <c r="D95" s="349">
        <v>451</v>
      </c>
      <c r="E95" s="349">
        <v>426</v>
      </c>
      <c r="F95" s="349">
        <v>389</v>
      </c>
      <c r="G95" s="349">
        <v>376</v>
      </c>
      <c r="H95" s="349">
        <v>372</v>
      </c>
      <c r="I95" s="878">
        <v>341</v>
      </c>
      <c r="J95" s="1042">
        <v>322</v>
      </c>
      <c r="K95" s="1552">
        <v>226</v>
      </c>
      <c r="L95" s="1902">
        <v>262</v>
      </c>
      <c r="M95" s="1902">
        <v>262</v>
      </c>
      <c r="N95" s="1902">
        <v>240</v>
      </c>
    </row>
    <row r="96" spans="1:14" x14ac:dyDescent="0.3">
      <c r="A96" s="347" t="s">
        <v>235</v>
      </c>
      <c r="B96" s="348" t="s">
        <v>236</v>
      </c>
      <c r="C96" s="348" t="s">
        <v>253</v>
      </c>
      <c r="D96" s="349">
        <v>154</v>
      </c>
      <c r="E96" s="349">
        <v>190</v>
      </c>
      <c r="F96" s="349">
        <v>152</v>
      </c>
      <c r="G96" s="349">
        <v>141</v>
      </c>
      <c r="H96" s="349">
        <v>122</v>
      </c>
      <c r="I96" s="878">
        <v>136</v>
      </c>
      <c r="J96" s="1042">
        <v>147</v>
      </c>
      <c r="K96" s="1552">
        <v>94</v>
      </c>
      <c r="L96" s="1902">
        <v>114</v>
      </c>
      <c r="M96" s="1902">
        <v>105</v>
      </c>
      <c r="N96" s="1902">
        <v>114</v>
      </c>
    </row>
    <row r="97" spans="1:14" x14ac:dyDescent="0.3">
      <c r="A97" s="347" t="s">
        <v>241</v>
      </c>
      <c r="B97" s="348" t="s">
        <v>242</v>
      </c>
      <c r="C97" s="348" t="s">
        <v>255</v>
      </c>
      <c r="D97" s="349">
        <v>828</v>
      </c>
      <c r="E97" s="349">
        <v>764</v>
      </c>
      <c r="F97" s="349">
        <v>752</v>
      </c>
      <c r="G97" s="349">
        <v>721</v>
      </c>
      <c r="H97" s="349">
        <v>649</v>
      </c>
      <c r="I97" s="878">
        <v>532</v>
      </c>
      <c r="J97" s="1042">
        <v>525</v>
      </c>
      <c r="K97" s="1552">
        <v>390</v>
      </c>
      <c r="L97" s="1902">
        <v>433</v>
      </c>
      <c r="M97" s="1902">
        <v>413</v>
      </c>
      <c r="N97" s="1902">
        <v>357</v>
      </c>
    </row>
    <row r="98" spans="1:14" x14ac:dyDescent="0.3">
      <c r="A98" s="347" t="s">
        <v>243</v>
      </c>
      <c r="B98" s="348" t="s">
        <v>244</v>
      </c>
      <c r="C98" s="348" t="s">
        <v>255</v>
      </c>
      <c r="D98" s="349">
        <v>288</v>
      </c>
      <c r="E98" s="349">
        <v>284</v>
      </c>
      <c r="F98" s="349">
        <v>246</v>
      </c>
      <c r="G98" s="349">
        <v>200</v>
      </c>
      <c r="H98" s="349">
        <v>203</v>
      </c>
      <c r="I98" s="878">
        <v>186</v>
      </c>
      <c r="J98" s="1042">
        <v>148</v>
      </c>
      <c r="K98" s="1552">
        <v>122</v>
      </c>
      <c r="L98" s="1902">
        <v>135</v>
      </c>
      <c r="M98" s="1902">
        <v>146</v>
      </c>
      <c r="N98" s="1902">
        <v>144</v>
      </c>
    </row>
    <row r="99" spans="1:14" x14ac:dyDescent="0.3">
      <c r="A99" s="347" t="s">
        <v>245</v>
      </c>
      <c r="B99" s="348" t="s">
        <v>246</v>
      </c>
      <c r="C99" s="348" t="s">
        <v>251</v>
      </c>
      <c r="D99" s="349">
        <v>232</v>
      </c>
      <c r="E99" s="349">
        <v>281</v>
      </c>
      <c r="F99" s="349">
        <v>273</v>
      </c>
      <c r="G99" s="349">
        <v>258</v>
      </c>
      <c r="H99" s="349">
        <v>235</v>
      </c>
      <c r="I99" s="878">
        <v>205</v>
      </c>
      <c r="J99" s="1042">
        <v>207</v>
      </c>
      <c r="K99" s="1552">
        <v>115</v>
      </c>
      <c r="L99" s="1902">
        <v>157</v>
      </c>
      <c r="M99" s="1902">
        <v>133</v>
      </c>
      <c r="N99" s="1902">
        <v>113</v>
      </c>
    </row>
    <row r="100" spans="1:14" x14ac:dyDescent="0.3">
      <c r="A100" s="347" t="s">
        <v>13</v>
      </c>
      <c r="B100" s="348" t="s">
        <v>14</v>
      </c>
      <c r="C100" s="348" t="s">
        <v>254</v>
      </c>
      <c r="D100" s="349">
        <v>871</v>
      </c>
      <c r="E100" s="349">
        <v>894</v>
      </c>
      <c r="F100" s="349">
        <v>790</v>
      </c>
      <c r="G100" s="349">
        <v>735</v>
      </c>
      <c r="H100" s="349">
        <v>687</v>
      </c>
      <c r="I100" s="878">
        <v>722</v>
      </c>
      <c r="J100" s="1042">
        <v>697</v>
      </c>
      <c r="K100" s="1552">
        <v>563</v>
      </c>
      <c r="L100" s="1902">
        <v>651</v>
      </c>
      <c r="M100" s="1902">
        <v>565</v>
      </c>
      <c r="N100" s="1902">
        <v>499</v>
      </c>
    </row>
    <row r="101" spans="1:14" x14ac:dyDescent="0.3">
      <c r="A101" s="347" t="s">
        <v>33</v>
      </c>
      <c r="B101" s="348" t="s">
        <v>34</v>
      </c>
      <c r="C101" s="348" t="s">
        <v>255</v>
      </c>
      <c r="D101" s="349">
        <v>489</v>
      </c>
      <c r="E101" s="349">
        <v>525</v>
      </c>
      <c r="F101" s="349">
        <v>531</v>
      </c>
      <c r="G101" s="349">
        <v>505</v>
      </c>
      <c r="H101" s="349">
        <v>418</v>
      </c>
      <c r="I101" s="878">
        <v>352</v>
      </c>
      <c r="J101" s="1042">
        <v>317</v>
      </c>
      <c r="K101" s="1552">
        <v>198</v>
      </c>
      <c r="L101" s="1902">
        <v>250</v>
      </c>
      <c r="M101" s="1902">
        <v>240</v>
      </c>
      <c r="N101" s="1902">
        <v>232</v>
      </c>
    </row>
    <row r="102" spans="1:14" x14ac:dyDescent="0.3">
      <c r="A102" s="347" t="s">
        <v>51</v>
      </c>
      <c r="B102" s="348" t="s">
        <v>52</v>
      </c>
      <c r="C102" s="348" t="s">
        <v>252</v>
      </c>
      <c r="D102" s="349">
        <v>602</v>
      </c>
      <c r="E102" s="349">
        <v>595</v>
      </c>
      <c r="F102" s="349">
        <v>552</v>
      </c>
      <c r="G102" s="349">
        <v>505</v>
      </c>
      <c r="H102" s="349">
        <v>442</v>
      </c>
      <c r="I102" s="878">
        <v>392</v>
      </c>
      <c r="J102" s="1042">
        <v>377</v>
      </c>
      <c r="K102" s="1552">
        <v>249</v>
      </c>
      <c r="L102" s="1902">
        <v>273</v>
      </c>
      <c r="M102" s="1902">
        <v>257</v>
      </c>
      <c r="N102" s="1902">
        <v>261</v>
      </c>
    </row>
    <row r="103" spans="1:14" x14ac:dyDescent="0.3">
      <c r="A103" s="347" t="s">
        <v>53</v>
      </c>
      <c r="B103" s="348" t="s">
        <v>54</v>
      </c>
      <c r="C103" s="348" t="s">
        <v>251</v>
      </c>
      <c r="D103" s="349">
        <v>2211</v>
      </c>
      <c r="E103" s="349">
        <v>2165</v>
      </c>
      <c r="F103" s="349">
        <v>1980</v>
      </c>
      <c r="G103" s="349">
        <v>1822</v>
      </c>
      <c r="H103" s="349">
        <v>1684</v>
      </c>
      <c r="I103" s="878">
        <v>1498</v>
      </c>
      <c r="J103" s="1042">
        <v>1325</v>
      </c>
      <c r="K103" s="1552">
        <v>812</v>
      </c>
      <c r="L103" s="1902">
        <v>944</v>
      </c>
      <c r="M103" s="1902">
        <v>833</v>
      </c>
      <c r="N103" s="1902">
        <v>750</v>
      </c>
    </row>
    <row r="104" spans="1:14" x14ac:dyDescent="0.3">
      <c r="A104" s="347" t="s">
        <v>65</v>
      </c>
      <c r="B104" s="348" t="s">
        <v>66</v>
      </c>
      <c r="C104" s="348" t="s">
        <v>252</v>
      </c>
      <c r="D104" s="349">
        <v>998</v>
      </c>
      <c r="E104" s="349">
        <v>930</v>
      </c>
      <c r="F104" s="349">
        <v>868</v>
      </c>
      <c r="G104" s="349">
        <v>829</v>
      </c>
      <c r="H104" s="349">
        <v>753</v>
      </c>
      <c r="I104" s="878">
        <v>705</v>
      </c>
      <c r="J104" s="1042">
        <v>600</v>
      </c>
      <c r="K104" s="1552">
        <v>362</v>
      </c>
      <c r="L104" s="1902">
        <v>443</v>
      </c>
      <c r="M104" s="1902">
        <v>446</v>
      </c>
      <c r="N104" s="1902">
        <v>368</v>
      </c>
    </row>
    <row r="105" spans="1:14" x14ac:dyDescent="0.3">
      <c r="A105" s="347" t="s">
        <v>81</v>
      </c>
      <c r="B105" s="348" t="s">
        <v>82</v>
      </c>
      <c r="C105" s="348" t="s">
        <v>251</v>
      </c>
      <c r="D105" s="349">
        <v>202</v>
      </c>
      <c r="E105" s="349">
        <v>216</v>
      </c>
      <c r="F105" s="349">
        <v>243</v>
      </c>
      <c r="G105" s="349">
        <v>217</v>
      </c>
      <c r="H105" s="349">
        <v>167</v>
      </c>
      <c r="I105" s="878">
        <v>145</v>
      </c>
      <c r="J105" s="1042">
        <v>117</v>
      </c>
      <c r="K105" s="1552">
        <v>82</v>
      </c>
      <c r="L105" s="1902">
        <v>91</v>
      </c>
      <c r="M105" s="1902">
        <v>97</v>
      </c>
      <c r="N105" s="1902">
        <v>97</v>
      </c>
    </row>
    <row r="106" spans="1:14" x14ac:dyDescent="0.3">
      <c r="A106" s="347" t="s">
        <v>87</v>
      </c>
      <c r="B106" s="348" t="s">
        <v>88</v>
      </c>
      <c r="C106" s="348" t="s">
        <v>254</v>
      </c>
      <c r="D106" s="349">
        <v>403</v>
      </c>
      <c r="E106" s="349">
        <v>407</v>
      </c>
      <c r="F106" s="349">
        <v>388</v>
      </c>
      <c r="G106" s="349">
        <v>367</v>
      </c>
      <c r="H106" s="349">
        <v>345</v>
      </c>
      <c r="I106" s="878">
        <v>322</v>
      </c>
      <c r="J106" s="1042">
        <v>285</v>
      </c>
      <c r="K106" s="1552">
        <v>187</v>
      </c>
      <c r="L106" s="1902">
        <v>265</v>
      </c>
      <c r="M106" s="1902">
        <v>250</v>
      </c>
      <c r="N106" s="1902">
        <v>231</v>
      </c>
    </row>
    <row r="107" spans="1:14" x14ac:dyDescent="0.3">
      <c r="A107" s="347" t="s">
        <v>89</v>
      </c>
      <c r="B107" s="348" t="s">
        <v>90</v>
      </c>
      <c r="C107" s="348" t="s">
        <v>255</v>
      </c>
      <c r="D107" s="349">
        <v>187</v>
      </c>
      <c r="E107" s="349">
        <v>155</v>
      </c>
      <c r="F107" s="349">
        <v>135</v>
      </c>
      <c r="G107" s="349">
        <v>114</v>
      </c>
      <c r="H107" s="349">
        <v>92</v>
      </c>
      <c r="I107" s="878">
        <v>70</v>
      </c>
      <c r="J107" s="1042">
        <v>71</v>
      </c>
      <c r="K107" s="1552">
        <v>42</v>
      </c>
      <c r="L107" s="1902">
        <v>45</v>
      </c>
      <c r="M107" s="1902">
        <v>36</v>
      </c>
      <c r="N107" s="1902">
        <v>29</v>
      </c>
    </row>
    <row r="108" spans="1:14" x14ac:dyDescent="0.3">
      <c r="A108" s="347" t="s">
        <v>105</v>
      </c>
      <c r="B108" s="348" t="s">
        <v>106</v>
      </c>
      <c r="C108" s="348" t="s">
        <v>251</v>
      </c>
      <c r="D108" s="349">
        <v>2236</v>
      </c>
      <c r="E108" s="349">
        <v>2346</v>
      </c>
      <c r="F108" s="349">
        <v>2323</v>
      </c>
      <c r="G108" s="349">
        <v>2190</v>
      </c>
      <c r="H108" s="349">
        <v>2005</v>
      </c>
      <c r="I108" s="878">
        <v>1745</v>
      </c>
      <c r="J108" s="1042">
        <v>1617</v>
      </c>
      <c r="K108" s="1552">
        <v>1042</v>
      </c>
      <c r="L108" s="1902">
        <v>1224</v>
      </c>
      <c r="M108" s="1902">
        <v>1103</v>
      </c>
      <c r="N108" s="1902">
        <v>959</v>
      </c>
    </row>
    <row r="109" spans="1:14" x14ac:dyDescent="0.3">
      <c r="A109" s="347" t="s">
        <v>115</v>
      </c>
      <c r="B109" s="348" t="s">
        <v>116</v>
      </c>
      <c r="C109" s="348" t="s">
        <v>253</v>
      </c>
      <c r="D109" s="349">
        <v>614</v>
      </c>
      <c r="E109" s="349">
        <v>605</v>
      </c>
      <c r="F109" s="349">
        <v>549</v>
      </c>
      <c r="G109" s="349">
        <v>554</v>
      </c>
      <c r="H109" s="349">
        <v>517</v>
      </c>
      <c r="I109" s="878">
        <v>497</v>
      </c>
      <c r="J109" s="1042">
        <v>457</v>
      </c>
      <c r="K109" s="1552">
        <v>319</v>
      </c>
      <c r="L109" s="1902">
        <v>376</v>
      </c>
      <c r="M109" s="1902">
        <v>353</v>
      </c>
      <c r="N109" s="1902">
        <v>278</v>
      </c>
    </row>
    <row r="110" spans="1:14" x14ac:dyDescent="0.3">
      <c r="A110" s="347" t="s">
        <v>137</v>
      </c>
      <c r="B110" s="348" t="s">
        <v>138</v>
      </c>
      <c r="C110" s="348" t="s">
        <v>252</v>
      </c>
      <c r="D110" s="349">
        <v>1153</v>
      </c>
      <c r="E110" s="349">
        <v>1168</v>
      </c>
      <c r="F110" s="349">
        <v>1118</v>
      </c>
      <c r="G110" s="349">
        <v>999</v>
      </c>
      <c r="H110" s="349">
        <v>907</v>
      </c>
      <c r="I110" s="878">
        <v>814</v>
      </c>
      <c r="J110" s="1042">
        <v>703</v>
      </c>
      <c r="K110" s="1552">
        <v>419</v>
      </c>
      <c r="L110" s="1902">
        <v>455</v>
      </c>
      <c r="M110" s="1902">
        <v>391</v>
      </c>
      <c r="N110" s="1902">
        <v>410</v>
      </c>
    </row>
    <row r="111" spans="1:14" x14ac:dyDescent="0.3">
      <c r="A111" s="347" t="s">
        <v>141</v>
      </c>
      <c r="B111" s="348" t="s">
        <v>142</v>
      </c>
      <c r="C111" s="348" t="s">
        <v>254</v>
      </c>
      <c r="D111" s="349">
        <v>400</v>
      </c>
      <c r="E111" s="349">
        <v>414</v>
      </c>
      <c r="F111" s="349">
        <v>369</v>
      </c>
      <c r="G111" s="349">
        <v>291</v>
      </c>
      <c r="H111" s="349">
        <v>291</v>
      </c>
      <c r="I111" s="878">
        <v>245</v>
      </c>
      <c r="J111" s="1042">
        <v>183</v>
      </c>
      <c r="K111" s="1552">
        <v>111</v>
      </c>
      <c r="L111" s="1902">
        <v>140</v>
      </c>
      <c r="M111" s="1902">
        <v>120</v>
      </c>
      <c r="N111" s="1902">
        <v>109</v>
      </c>
    </row>
    <row r="112" spans="1:14" x14ac:dyDescent="0.3">
      <c r="A112" s="347" t="s">
        <v>143</v>
      </c>
      <c r="B112" s="348" t="s">
        <v>144</v>
      </c>
      <c r="C112" s="348" t="s">
        <v>254</v>
      </c>
      <c r="D112" s="349">
        <v>114</v>
      </c>
      <c r="E112" s="349">
        <v>82</v>
      </c>
      <c r="F112" s="349">
        <v>93</v>
      </c>
      <c r="G112" s="349">
        <v>85</v>
      </c>
      <c r="H112" s="349">
        <v>83</v>
      </c>
      <c r="I112" s="878">
        <v>66</v>
      </c>
      <c r="J112" s="1042">
        <v>48</v>
      </c>
      <c r="K112" s="1552">
        <v>33</v>
      </c>
      <c r="L112" s="1902">
        <v>34</v>
      </c>
      <c r="M112" s="1902">
        <v>30</v>
      </c>
      <c r="N112" s="1902">
        <v>27</v>
      </c>
    </row>
    <row r="113" spans="1:14" x14ac:dyDescent="0.3">
      <c r="A113" s="347" t="s">
        <v>157</v>
      </c>
      <c r="B113" s="348" t="s">
        <v>158</v>
      </c>
      <c r="C113" s="348" t="s">
        <v>251</v>
      </c>
      <c r="D113" s="349">
        <v>3296</v>
      </c>
      <c r="E113" s="349">
        <v>3418</v>
      </c>
      <c r="F113" s="349">
        <v>3322</v>
      </c>
      <c r="G113" s="349">
        <v>3168</v>
      </c>
      <c r="H113" s="349">
        <v>2800</v>
      </c>
      <c r="I113" s="878">
        <v>2499</v>
      </c>
      <c r="J113" s="1042">
        <v>2418</v>
      </c>
      <c r="K113" s="1552">
        <v>1675</v>
      </c>
      <c r="L113" s="1902">
        <v>1936</v>
      </c>
      <c r="M113" s="1902">
        <v>1704</v>
      </c>
      <c r="N113" s="1902">
        <v>1494</v>
      </c>
    </row>
    <row r="114" spans="1:14" x14ac:dyDescent="0.3">
      <c r="A114" s="347" t="s">
        <v>159</v>
      </c>
      <c r="B114" s="348" t="s">
        <v>160</v>
      </c>
      <c r="C114" s="348" t="s">
        <v>251</v>
      </c>
      <c r="D114" s="349">
        <v>4169</v>
      </c>
      <c r="E114" s="349">
        <v>4235</v>
      </c>
      <c r="F114" s="349">
        <v>4056</v>
      </c>
      <c r="G114" s="349">
        <v>3769</v>
      </c>
      <c r="H114" s="349">
        <v>3426</v>
      </c>
      <c r="I114" s="878">
        <v>2884</v>
      </c>
      <c r="J114" s="1042">
        <v>2538</v>
      </c>
      <c r="K114" s="1552">
        <v>1612</v>
      </c>
      <c r="L114" s="1902">
        <v>1812</v>
      </c>
      <c r="M114" s="1902">
        <v>1599</v>
      </c>
      <c r="N114" s="1902">
        <v>1460</v>
      </c>
    </row>
    <row r="115" spans="1:14" x14ac:dyDescent="0.3">
      <c r="A115" s="347" t="s">
        <v>165</v>
      </c>
      <c r="B115" s="348" t="s">
        <v>166</v>
      </c>
      <c r="C115" s="348" t="s">
        <v>255</v>
      </c>
      <c r="D115" s="349">
        <v>110</v>
      </c>
      <c r="E115" s="349">
        <v>98</v>
      </c>
      <c r="F115" s="349">
        <v>89</v>
      </c>
      <c r="G115" s="349">
        <v>87</v>
      </c>
      <c r="H115" s="349">
        <v>89</v>
      </c>
      <c r="I115" s="878">
        <v>86</v>
      </c>
      <c r="J115" s="1042">
        <v>75</v>
      </c>
      <c r="K115" s="1552">
        <v>54</v>
      </c>
      <c r="L115" s="1902">
        <v>47</v>
      </c>
      <c r="M115" s="1902">
        <v>59</v>
      </c>
      <c r="N115" s="1902">
        <v>53</v>
      </c>
    </row>
    <row r="116" spans="1:14" x14ac:dyDescent="0.3">
      <c r="A116" s="347" t="s">
        <v>175</v>
      </c>
      <c r="B116" s="348" t="s">
        <v>176</v>
      </c>
      <c r="C116" s="348" t="s">
        <v>253</v>
      </c>
      <c r="D116" s="349">
        <v>1116</v>
      </c>
      <c r="E116" s="349">
        <v>1117</v>
      </c>
      <c r="F116" s="349">
        <v>1004</v>
      </c>
      <c r="G116" s="349">
        <v>943</v>
      </c>
      <c r="H116" s="349">
        <v>878</v>
      </c>
      <c r="I116" s="878">
        <v>840</v>
      </c>
      <c r="J116" s="1042">
        <v>758</v>
      </c>
      <c r="K116" s="1552">
        <v>419</v>
      </c>
      <c r="L116" s="1902">
        <v>509</v>
      </c>
      <c r="M116" s="1902">
        <v>475</v>
      </c>
      <c r="N116" s="1902">
        <v>402</v>
      </c>
    </row>
    <row r="117" spans="1:14" x14ac:dyDescent="0.3">
      <c r="A117" s="347" t="s">
        <v>179</v>
      </c>
      <c r="B117" s="348" t="s">
        <v>180</v>
      </c>
      <c r="C117" s="348" t="s">
        <v>251</v>
      </c>
      <c r="D117" s="349">
        <v>2242</v>
      </c>
      <c r="E117" s="349">
        <v>2185</v>
      </c>
      <c r="F117" s="349">
        <v>2096</v>
      </c>
      <c r="G117" s="349">
        <v>1961</v>
      </c>
      <c r="H117" s="349">
        <v>1771</v>
      </c>
      <c r="I117" s="878">
        <v>1632</v>
      </c>
      <c r="J117" s="1042">
        <v>1467</v>
      </c>
      <c r="K117" s="1552">
        <v>911</v>
      </c>
      <c r="L117" s="1902">
        <v>999</v>
      </c>
      <c r="M117" s="1902">
        <v>1018</v>
      </c>
      <c r="N117" s="1902">
        <v>927</v>
      </c>
    </row>
    <row r="118" spans="1:14" x14ac:dyDescent="0.3">
      <c r="A118" s="347" t="s">
        <v>191</v>
      </c>
      <c r="B118" s="348" t="s">
        <v>192</v>
      </c>
      <c r="C118" s="348" t="s">
        <v>255</v>
      </c>
      <c r="D118" s="349">
        <v>152</v>
      </c>
      <c r="E118" s="349">
        <v>151</v>
      </c>
      <c r="F118" s="349">
        <v>144</v>
      </c>
      <c r="G118" s="349">
        <v>140</v>
      </c>
      <c r="H118" s="349">
        <v>150</v>
      </c>
      <c r="I118" s="878">
        <v>118</v>
      </c>
      <c r="J118" s="1042">
        <v>103</v>
      </c>
      <c r="K118" s="1552">
        <v>77</v>
      </c>
      <c r="L118" s="1902">
        <v>91</v>
      </c>
      <c r="M118" s="1902">
        <v>75</v>
      </c>
      <c r="N118" s="1902">
        <v>59</v>
      </c>
    </row>
    <row r="119" spans="1:14" x14ac:dyDescent="0.3">
      <c r="A119" s="347" t="s">
        <v>195</v>
      </c>
      <c r="B119" s="348" t="s">
        <v>196</v>
      </c>
      <c r="C119" s="348" t="s">
        <v>253</v>
      </c>
      <c r="D119" s="349">
        <v>4869</v>
      </c>
      <c r="E119" s="349">
        <v>4996</v>
      </c>
      <c r="F119" s="349">
        <v>4720</v>
      </c>
      <c r="G119" s="349">
        <v>4362</v>
      </c>
      <c r="H119" s="349">
        <v>3909</v>
      </c>
      <c r="I119" s="878">
        <v>3505</v>
      </c>
      <c r="J119" s="1042">
        <v>3098</v>
      </c>
      <c r="K119" s="1552">
        <v>2015</v>
      </c>
      <c r="L119" s="1902">
        <v>2360</v>
      </c>
      <c r="M119" s="1902">
        <v>2024</v>
      </c>
      <c r="N119" s="1902">
        <v>1730</v>
      </c>
    </row>
    <row r="120" spans="1:14" x14ac:dyDescent="0.3">
      <c r="A120" s="347" t="s">
        <v>199</v>
      </c>
      <c r="B120" s="348" t="s">
        <v>200</v>
      </c>
      <c r="C120" s="348" t="s">
        <v>252</v>
      </c>
      <c r="D120" s="349">
        <v>2320</v>
      </c>
      <c r="E120" s="349">
        <v>2356</v>
      </c>
      <c r="F120" s="349">
        <v>2283</v>
      </c>
      <c r="G120" s="349">
        <v>2089</v>
      </c>
      <c r="H120" s="349">
        <v>1920</v>
      </c>
      <c r="I120" s="878">
        <v>1708</v>
      </c>
      <c r="J120" s="1042">
        <v>1546</v>
      </c>
      <c r="K120" s="1552">
        <v>1053</v>
      </c>
      <c r="L120" s="1902">
        <v>1102</v>
      </c>
      <c r="M120" s="1902">
        <v>947</v>
      </c>
      <c r="N120" s="1902">
        <v>854</v>
      </c>
    </row>
    <row r="121" spans="1:14" x14ac:dyDescent="0.3">
      <c r="A121" s="347" t="s">
        <v>221</v>
      </c>
      <c r="B121" s="348" t="s">
        <v>222</v>
      </c>
      <c r="C121" s="348" t="s">
        <v>251</v>
      </c>
      <c r="D121" s="349">
        <v>836</v>
      </c>
      <c r="E121" s="349">
        <v>819</v>
      </c>
      <c r="F121" s="349">
        <v>743</v>
      </c>
      <c r="G121" s="349">
        <v>723</v>
      </c>
      <c r="H121" s="349">
        <v>713</v>
      </c>
      <c r="I121" s="878">
        <v>625</v>
      </c>
      <c r="J121" s="1042">
        <v>603</v>
      </c>
      <c r="K121" s="1552">
        <v>401</v>
      </c>
      <c r="L121" s="1902">
        <v>461</v>
      </c>
      <c r="M121" s="1902">
        <v>439</v>
      </c>
      <c r="N121" s="1902">
        <v>404</v>
      </c>
    </row>
    <row r="122" spans="1:14" x14ac:dyDescent="0.3">
      <c r="A122" s="347" t="s">
        <v>229</v>
      </c>
      <c r="B122" s="348" t="s">
        <v>230</v>
      </c>
      <c r="C122" s="348" t="s">
        <v>251</v>
      </c>
      <c r="D122" s="349">
        <v>2301</v>
      </c>
      <c r="E122" s="349">
        <v>2317</v>
      </c>
      <c r="F122" s="349">
        <v>2203</v>
      </c>
      <c r="G122" s="349">
        <v>1980</v>
      </c>
      <c r="H122" s="349">
        <v>1766</v>
      </c>
      <c r="I122" s="878">
        <v>1502</v>
      </c>
      <c r="J122" s="1042">
        <v>1268</v>
      </c>
      <c r="K122" s="1552">
        <v>756</v>
      </c>
      <c r="L122" s="1902">
        <v>871</v>
      </c>
      <c r="M122" s="1902">
        <v>746</v>
      </c>
      <c r="N122" s="1902">
        <v>673</v>
      </c>
    </row>
    <row r="123" spans="1:14" x14ac:dyDescent="0.3">
      <c r="A123" s="347" t="s">
        <v>237</v>
      </c>
      <c r="B123" s="348" t="s">
        <v>238</v>
      </c>
      <c r="C123" s="348" t="s">
        <v>251</v>
      </c>
      <c r="D123" s="349">
        <v>83</v>
      </c>
      <c r="E123" s="349">
        <v>87</v>
      </c>
      <c r="F123" s="349">
        <v>93</v>
      </c>
      <c r="G123" s="349">
        <v>81</v>
      </c>
      <c r="H123" s="349">
        <v>71</v>
      </c>
      <c r="I123" s="878">
        <v>59</v>
      </c>
      <c r="J123" s="1042">
        <v>51</v>
      </c>
      <c r="K123" s="1552">
        <v>36</v>
      </c>
      <c r="L123" s="1902">
        <v>47</v>
      </c>
      <c r="M123" s="1902">
        <v>43</v>
      </c>
      <c r="N123" s="1902">
        <v>36</v>
      </c>
    </row>
    <row r="124" spans="1:14" x14ac:dyDescent="0.3">
      <c r="A124" s="287" t="s">
        <v>239</v>
      </c>
      <c r="B124" s="282" t="s">
        <v>240</v>
      </c>
      <c r="C124" s="282" t="s">
        <v>254</v>
      </c>
      <c r="D124" s="284">
        <v>300</v>
      </c>
      <c r="E124" s="284">
        <v>318</v>
      </c>
      <c r="F124" s="284">
        <v>290</v>
      </c>
      <c r="G124" s="284">
        <v>256</v>
      </c>
      <c r="H124" s="284">
        <v>206</v>
      </c>
      <c r="I124" s="879">
        <v>169</v>
      </c>
      <c r="J124" s="879">
        <v>177</v>
      </c>
      <c r="K124" s="1553">
        <v>113</v>
      </c>
      <c r="L124" s="1905">
        <v>131</v>
      </c>
      <c r="M124" s="1905">
        <v>121</v>
      </c>
      <c r="N124" s="1905">
        <v>114</v>
      </c>
    </row>
    <row r="125" spans="1:14" x14ac:dyDescent="0.3">
      <c r="L125" s="350"/>
      <c r="M125" s="350"/>
      <c r="N125" s="350"/>
    </row>
    <row r="126" spans="1:14" ht="63.75" customHeight="1" x14ac:dyDescent="0.3">
      <c r="A126" s="2540" t="s">
        <v>934</v>
      </c>
      <c r="B126" s="2540"/>
      <c r="C126" s="2540"/>
      <c r="D126" s="2540"/>
      <c r="E126" s="2540"/>
      <c r="F126" s="2540"/>
      <c r="G126" s="2540"/>
      <c r="H126" s="2540"/>
      <c r="I126" s="2540"/>
      <c r="J126" s="2540"/>
      <c r="K126" s="2540"/>
      <c r="L126" s="2540"/>
      <c r="M126" s="1979"/>
      <c r="N126" s="2106"/>
    </row>
    <row r="128" spans="1:14" s="193" customFormat="1" x14ac:dyDescent="0.3">
      <c r="A128" s="193" t="s">
        <v>247</v>
      </c>
    </row>
    <row r="129" spans="1:3" s="193" customFormat="1" x14ac:dyDescent="0.3">
      <c r="A129" s="194" t="s">
        <v>248</v>
      </c>
      <c r="B129" s="195" t="s">
        <v>249</v>
      </c>
      <c r="C129" s="195"/>
    </row>
  </sheetData>
  <autoFilter ref="A3:C3"/>
  <sortState ref="A5:L124">
    <sortCondition ref="A5:A124"/>
  </sortState>
  <mergeCells count="1">
    <mergeCell ref="A126:L126"/>
  </mergeCells>
  <hyperlinks>
    <hyperlink ref="B129" r:id="rId1"/>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xSplit="3" ySplit="4" topLeftCell="D5" activePane="bottomRight" state="frozen"/>
      <selection pane="topRight" activeCell="D1" sqref="D1"/>
      <selection pane="bottomLeft" activeCell="A5" sqref="A5"/>
      <selection pane="bottomRight" activeCell="N118" sqref="N118"/>
    </sheetView>
  </sheetViews>
  <sheetFormatPr defaultColWidth="9" defaultRowHeight="15.6" x14ac:dyDescent="0.3"/>
  <cols>
    <col min="1" max="1" width="5.796875" style="275" customWidth="1"/>
    <col min="2" max="2" width="30.19921875" style="275" customWidth="1"/>
    <col min="3" max="3" width="12.296875" style="275" customWidth="1"/>
    <col min="4" max="8" width="10.796875" style="275" customWidth="1"/>
    <col min="9" max="11" width="8.69921875" style="275" customWidth="1"/>
    <col min="12" max="12" width="8.19921875" style="275" bestFit="1" customWidth="1"/>
    <col min="13" max="14" width="8.19921875" style="275" customWidth="1"/>
    <col min="15" max="16384" width="9" style="275"/>
  </cols>
  <sheetData>
    <row r="1" spans="1:14" x14ac:dyDescent="0.3">
      <c r="A1" s="95" t="s">
        <v>776</v>
      </c>
    </row>
    <row r="3" spans="1:14" x14ac:dyDescent="0.3">
      <c r="A3" s="351" t="s">
        <v>4</v>
      </c>
      <c r="B3" s="322" t="s">
        <v>5</v>
      </c>
      <c r="C3" s="322" t="s">
        <v>250</v>
      </c>
      <c r="D3" s="352" t="s">
        <v>779</v>
      </c>
      <c r="E3" s="352" t="s">
        <v>780</v>
      </c>
      <c r="F3" s="352" t="s">
        <v>781</v>
      </c>
      <c r="G3" s="352" t="s">
        <v>782</v>
      </c>
      <c r="H3" s="352" t="s">
        <v>538</v>
      </c>
      <c r="I3" s="883" t="s">
        <v>628</v>
      </c>
      <c r="J3" s="883" t="s">
        <v>704</v>
      </c>
      <c r="K3" s="1556" t="s">
        <v>830</v>
      </c>
      <c r="L3" s="1900" t="s">
        <v>827</v>
      </c>
      <c r="M3" s="1900" t="s">
        <v>841</v>
      </c>
      <c r="N3" s="1900" t="s">
        <v>932</v>
      </c>
    </row>
    <row r="4" spans="1:14" x14ac:dyDescent="0.3">
      <c r="A4" s="325">
        <v>999</v>
      </c>
      <c r="B4" s="346" t="s">
        <v>8</v>
      </c>
      <c r="C4" s="323"/>
      <c r="D4" s="289">
        <v>481661</v>
      </c>
      <c r="E4" s="289">
        <v>536848</v>
      </c>
      <c r="F4" s="289">
        <v>572326</v>
      </c>
      <c r="G4" s="289">
        <v>593243</v>
      </c>
      <c r="H4" s="289">
        <v>594156</v>
      </c>
      <c r="I4" s="884">
        <v>592941</v>
      </c>
      <c r="J4" s="884">
        <v>554503</v>
      </c>
      <c r="K4" s="1557">
        <v>520571</v>
      </c>
      <c r="L4" s="1901">
        <v>477350</v>
      </c>
      <c r="M4" s="1901">
        <v>466691</v>
      </c>
      <c r="N4" s="1901">
        <v>477520</v>
      </c>
    </row>
    <row r="5" spans="1:14" x14ac:dyDescent="0.3">
      <c r="A5" s="285" t="s">
        <v>9</v>
      </c>
      <c r="B5" s="324" t="s">
        <v>10</v>
      </c>
      <c r="C5" s="324" t="s">
        <v>251</v>
      </c>
      <c r="D5" s="283">
        <v>3524</v>
      </c>
      <c r="E5" s="283">
        <v>3901</v>
      </c>
      <c r="F5" s="283">
        <v>4257</v>
      </c>
      <c r="G5" s="283">
        <v>4419</v>
      </c>
      <c r="H5" s="283">
        <v>4404</v>
      </c>
      <c r="I5" s="881">
        <v>4081</v>
      </c>
      <c r="J5" s="1043">
        <v>3754</v>
      </c>
      <c r="K5" s="1554">
        <v>3482</v>
      </c>
      <c r="L5" s="1898">
        <v>3191</v>
      </c>
      <c r="M5" s="1898">
        <v>3160</v>
      </c>
      <c r="N5" s="1898">
        <v>3121</v>
      </c>
    </row>
    <row r="6" spans="1:14" x14ac:dyDescent="0.3">
      <c r="A6" s="347" t="s">
        <v>11</v>
      </c>
      <c r="B6" s="348" t="s">
        <v>12</v>
      </c>
      <c r="C6" s="348" t="s">
        <v>252</v>
      </c>
      <c r="D6" s="349">
        <v>3792</v>
      </c>
      <c r="E6" s="349">
        <v>4360</v>
      </c>
      <c r="F6" s="349">
        <v>4624</v>
      </c>
      <c r="G6" s="349">
        <v>4746</v>
      </c>
      <c r="H6" s="349">
        <v>4656</v>
      </c>
      <c r="I6" s="881">
        <v>4327</v>
      </c>
      <c r="J6" s="1043">
        <v>3736</v>
      </c>
      <c r="K6" s="1554">
        <v>3548</v>
      </c>
      <c r="L6" s="1898">
        <v>3183</v>
      </c>
      <c r="M6" s="1898">
        <v>3151</v>
      </c>
      <c r="N6" s="1898">
        <v>3359</v>
      </c>
    </row>
    <row r="7" spans="1:14" x14ac:dyDescent="0.3">
      <c r="A7" s="347" t="s">
        <v>15</v>
      </c>
      <c r="B7" s="348" t="s">
        <v>273</v>
      </c>
      <c r="C7" s="348" t="s">
        <v>252</v>
      </c>
      <c r="D7" s="349">
        <v>2015</v>
      </c>
      <c r="E7" s="349">
        <v>2129</v>
      </c>
      <c r="F7" s="349">
        <v>2328</v>
      </c>
      <c r="G7" s="349">
        <v>2383</v>
      </c>
      <c r="H7" s="349">
        <v>2374</v>
      </c>
      <c r="I7" s="881">
        <v>2272</v>
      </c>
      <c r="J7" s="1043">
        <v>2098</v>
      </c>
      <c r="K7" s="1554">
        <v>2055</v>
      </c>
      <c r="L7" s="1898">
        <v>1935</v>
      </c>
      <c r="M7" s="1898">
        <v>1876</v>
      </c>
      <c r="N7" s="1898">
        <v>1865</v>
      </c>
    </row>
    <row r="8" spans="1:14" x14ac:dyDescent="0.3">
      <c r="A8" s="347" t="s">
        <v>17</v>
      </c>
      <c r="B8" s="348" t="s">
        <v>18</v>
      </c>
      <c r="C8" s="348" t="s">
        <v>253</v>
      </c>
      <c r="D8" s="349">
        <v>1184</v>
      </c>
      <c r="E8" s="349">
        <v>1311</v>
      </c>
      <c r="F8" s="349">
        <v>1373</v>
      </c>
      <c r="G8" s="349">
        <v>1367</v>
      </c>
      <c r="H8" s="349">
        <v>1318</v>
      </c>
      <c r="I8" s="881">
        <v>1206</v>
      </c>
      <c r="J8" s="1043">
        <v>1120</v>
      </c>
      <c r="K8" s="1554">
        <v>1089</v>
      </c>
      <c r="L8" s="1898">
        <v>980</v>
      </c>
      <c r="M8" s="1898">
        <v>994</v>
      </c>
      <c r="N8" s="1898">
        <v>929</v>
      </c>
    </row>
    <row r="9" spans="1:14" x14ac:dyDescent="0.3">
      <c r="A9" s="347" t="s">
        <v>19</v>
      </c>
      <c r="B9" s="348" t="s">
        <v>20</v>
      </c>
      <c r="C9" s="348" t="s">
        <v>252</v>
      </c>
      <c r="D9" s="349">
        <v>2446</v>
      </c>
      <c r="E9" s="349">
        <v>2616</v>
      </c>
      <c r="F9" s="349">
        <v>2687</v>
      </c>
      <c r="G9" s="349">
        <v>2738</v>
      </c>
      <c r="H9" s="349">
        <v>2599</v>
      </c>
      <c r="I9" s="881">
        <v>2366</v>
      </c>
      <c r="J9" s="1043">
        <v>2291</v>
      </c>
      <c r="K9" s="1554">
        <v>2319</v>
      </c>
      <c r="L9" s="1898">
        <v>2148</v>
      </c>
      <c r="M9" s="1898">
        <v>2130</v>
      </c>
      <c r="N9" s="1898">
        <v>2149</v>
      </c>
    </row>
    <row r="10" spans="1:14" x14ac:dyDescent="0.3">
      <c r="A10" s="347" t="s">
        <v>21</v>
      </c>
      <c r="B10" s="348" t="s">
        <v>22</v>
      </c>
      <c r="C10" s="348" t="s">
        <v>252</v>
      </c>
      <c r="D10" s="349">
        <v>1380</v>
      </c>
      <c r="E10" s="349">
        <v>1514</v>
      </c>
      <c r="F10" s="349">
        <v>1624</v>
      </c>
      <c r="G10" s="349">
        <v>1678</v>
      </c>
      <c r="H10" s="349">
        <v>1680</v>
      </c>
      <c r="I10" s="881">
        <v>1603</v>
      </c>
      <c r="J10" s="1043">
        <v>1516</v>
      </c>
      <c r="K10" s="1554">
        <v>1523</v>
      </c>
      <c r="L10" s="1898">
        <v>1416</v>
      </c>
      <c r="M10" s="1898">
        <v>1393</v>
      </c>
      <c r="N10" s="1898">
        <v>1346</v>
      </c>
    </row>
    <row r="11" spans="1:14" x14ac:dyDescent="0.3">
      <c r="A11" s="347" t="s">
        <v>23</v>
      </c>
      <c r="B11" s="348" t="s">
        <v>24</v>
      </c>
      <c r="C11" s="348" t="s">
        <v>254</v>
      </c>
      <c r="D11" s="349">
        <v>4996</v>
      </c>
      <c r="E11" s="349">
        <v>5712</v>
      </c>
      <c r="F11" s="349">
        <v>6180</v>
      </c>
      <c r="G11" s="349">
        <v>6608</v>
      </c>
      <c r="H11" s="349">
        <v>6745</v>
      </c>
      <c r="I11" s="881">
        <v>6451</v>
      </c>
      <c r="J11" s="1043">
        <v>6202</v>
      </c>
      <c r="K11" s="1554">
        <v>6117</v>
      </c>
      <c r="L11" s="1898">
        <v>5334</v>
      </c>
      <c r="M11" s="1898">
        <v>5022</v>
      </c>
      <c r="N11" s="1898">
        <v>5080</v>
      </c>
    </row>
    <row r="12" spans="1:14" x14ac:dyDescent="0.3">
      <c r="A12" s="347" t="s">
        <v>25</v>
      </c>
      <c r="B12" s="348" t="s">
        <v>444</v>
      </c>
      <c r="C12" s="348" t="s">
        <v>252</v>
      </c>
      <c r="D12" s="349">
        <v>8589</v>
      </c>
      <c r="E12" s="349">
        <v>9796</v>
      </c>
      <c r="F12" s="349">
        <v>10423</v>
      </c>
      <c r="G12" s="349">
        <v>11300</v>
      </c>
      <c r="H12" s="349">
        <v>10452</v>
      </c>
      <c r="I12" s="881">
        <v>9420</v>
      </c>
      <c r="J12" s="1043">
        <v>8278</v>
      </c>
      <c r="K12" s="1554">
        <v>7928</v>
      </c>
      <c r="L12" s="1898">
        <v>7331</v>
      </c>
      <c r="M12" s="1898">
        <v>7032</v>
      </c>
      <c r="N12" s="1898">
        <v>7073</v>
      </c>
    </row>
    <row r="13" spans="1:14" x14ac:dyDescent="0.3">
      <c r="A13" s="347" t="s">
        <v>26</v>
      </c>
      <c r="B13" s="348" t="s">
        <v>27</v>
      </c>
      <c r="C13" s="348" t="s">
        <v>252</v>
      </c>
      <c r="D13" s="349">
        <v>252</v>
      </c>
      <c r="E13" s="349">
        <v>251</v>
      </c>
      <c r="F13" s="349">
        <v>291</v>
      </c>
      <c r="G13" s="349">
        <v>308</v>
      </c>
      <c r="H13" s="349">
        <v>279</v>
      </c>
      <c r="I13" s="881">
        <v>261</v>
      </c>
      <c r="J13" s="1043">
        <v>244</v>
      </c>
      <c r="K13" s="1554">
        <v>217</v>
      </c>
      <c r="L13" s="1898">
        <v>190</v>
      </c>
      <c r="M13" s="1898">
        <v>198</v>
      </c>
      <c r="N13" s="1898">
        <v>195</v>
      </c>
    </row>
    <row r="14" spans="1:14" x14ac:dyDescent="0.3">
      <c r="A14" s="347" t="s">
        <v>28</v>
      </c>
      <c r="B14" s="348" t="s">
        <v>568</v>
      </c>
      <c r="C14" s="348" t="s">
        <v>252</v>
      </c>
      <c r="D14" s="349">
        <v>3967</v>
      </c>
      <c r="E14" s="349">
        <v>4436</v>
      </c>
      <c r="F14" s="349">
        <v>4623</v>
      </c>
      <c r="G14" s="349">
        <v>4705</v>
      </c>
      <c r="H14" s="349">
        <v>5028</v>
      </c>
      <c r="I14" s="881">
        <v>4159</v>
      </c>
      <c r="J14" s="1043">
        <v>3755</v>
      </c>
      <c r="K14" s="1554">
        <v>3802</v>
      </c>
      <c r="L14" s="1898">
        <v>3533</v>
      </c>
      <c r="M14" s="1898">
        <v>3554</v>
      </c>
      <c r="N14" s="1898">
        <v>3455</v>
      </c>
    </row>
    <row r="15" spans="1:14" x14ac:dyDescent="0.3">
      <c r="A15" s="347" t="s">
        <v>29</v>
      </c>
      <c r="B15" s="348" t="s">
        <v>30</v>
      </c>
      <c r="C15" s="348" t="s">
        <v>255</v>
      </c>
      <c r="D15" s="349">
        <v>377</v>
      </c>
      <c r="E15" s="349">
        <v>418</v>
      </c>
      <c r="F15" s="349">
        <v>424</v>
      </c>
      <c r="G15" s="349">
        <v>436</v>
      </c>
      <c r="H15" s="349">
        <v>422</v>
      </c>
      <c r="I15" s="881">
        <v>392</v>
      </c>
      <c r="J15" s="1043">
        <v>380</v>
      </c>
      <c r="K15" s="1554">
        <v>357</v>
      </c>
      <c r="L15" s="1898">
        <v>334</v>
      </c>
      <c r="M15" s="1898">
        <v>327</v>
      </c>
      <c r="N15" s="1898">
        <v>341</v>
      </c>
    </row>
    <row r="16" spans="1:14" x14ac:dyDescent="0.3">
      <c r="A16" s="347" t="s">
        <v>31</v>
      </c>
      <c r="B16" s="348" t="s">
        <v>32</v>
      </c>
      <c r="C16" s="348" t="s">
        <v>252</v>
      </c>
      <c r="D16" s="349">
        <v>1020</v>
      </c>
      <c r="E16" s="349">
        <v>1074</v>
      </c>
      <c r="F16" s="349">
        <v>1195</v>
      </c>
      <c r="G16" s="349">
        <v>1236</v>
      </c>
      <c r="H16" s="349">
        <v>1230</v>
      </c>
      <c r="I16" s="881">
        <v>1167</v>
      </c>
      <c r="J16" s="1043">
        <v>1162</v>
      </c>
      <c r="K16" s="1554">
        <v>1155</v>
      </c>
      <c r="L16" s="1898">
        <v>1037</v>
      </c>
      <c r="M16" s="1898">
        <v>980</v>
      </c>
      <c r="N16" s="1898">
        <v>985</v>
      </c>
    </row>
    <row r="17" spans="1:14" x14ac:dyDescent="0.3">
      <c r="A17" s="347" t="s">
        <v>35</v>
      </c>
      <c r="B17" s="348" t="s">
        <v>36</v>
      </c>
      <c r="C17" s="348" t="s">
        <v>251</v>
      </c>
      <c r="D17" s="349">
        <v>2390</v>
      </c>
      <c r="E17" s="349">
        <v>2565</v>
      </c>
      <c r="F17" s="349">
        <v>2653</v>
      </c>
      <c r="G17" s="349">
        <v>2699</v>
      </c>
      <c r="H17" s="349">
        <v>2712</v>
      </c>
      <c r="I17" s="881">
        <v>2537</v>
      </c>
      <c r="J17" s="1043">
        <v>2498</v>
      </c>
      <c r="K17" s="1554">
        <v>2497</v>
      </c>
      <c r="L17" s="1898">
        <v>2311</v>
      </c>
      <c r="M17" s="1898">
        <v>2164</v>
      </c>
      <c r="N17" s="1898">
        <v>2165</v>
      </c>
    </row>
    <row r="18" spans="1:14" x14ac:dyDescent="0.3">
      <c r="A18" s="347" t="s">
        <v>37</v>
      </c>
      <c r="B18" s="348" t="s">
        <v>38</v>
      </c>
      <c r="C18" s="348" t="s">
        <v>255</v>
      </c>
      <c r="D18" s="349">
        <v>2919</v>
      </c>
      <c r="E18" s="349">
        <v>2937</v>
      </c>
      <c r="F18" s="349">
        <v>3010</v>
      </c>
      <c r="G18" s="349">
        <v>3154</v>
      </c>
      <c r="H18" s="349">
        <v>3154</v>
      </c>
      <c r="I18" s="881">
        <v>3136</v>
      </c>
      <c r="J18" s="1043">
        <v>3157</v>
      </c>
      <c r="K18" s="1554">
        <v>3223</v>
      </c>
      <c r="L18" s="1898">
        <v>3014</v>
      </c>
      <c r="M18" s="1898">
        <v>2995</v>
      </c>
      <c r="N18" s="1898">
        <v>3071</v>
      </c>
    </row>
    <row r="19" spans="1:14" x14ac:dyDescent="0.3">
      <c r="A19" s="347" t="s">
        <v>39</v>
      </c>
      <c r="B19" s="348" t="s">
        <v>40</v>
      </c>
      <c r="C19" s="348" t="s">
        <v>253</v>
      </c>
      <c r="D19" s="349">
        <v>1907</v>
      </c>
      <c r="E19" s="349">
        <v>2125</v>
      </c>
      <c r="F19" s="349">
        <v>2280</v>
      </c>
      <c r="G19" s="349">
        <v>2301</v>
      </c>
      <c r="H19" s="349">
        <v>2190</v>
      </c>
      <c r="I19" s="881">
        <v>2087</v>
      </c>
      <c r="J19" s="1043">
        <v>1834</v>
      </c>
      <c r="K19" s="1554">
        <v>1822</v>
      </c>
      <c r="L19" s="1898">
        <v>1700</v>
      </c>
      <c r="M19" s="1898">
        <v>1666</v>
      </c>
      <c r="N19" s="1898">
        <v>1706</v>
      </c>
    </row>
    <row r="20" spans="1:14" x14ac:dyDescent="0.3">
      <c r="A20" s="347" t="s">
        <v>41</v>
      </c>
      <c r="B20" s="348" t="s">
        <v>42</v>
      </c>
      <c r="C20" s="348" t="s">
        <v>252</v>
      </c>
      <c r="D20" s="349">
        <v>4370</v>
      </c>
      <c r="E20" s="349">
        <v>4808</v>
      </c>
      <c r="F20" s="349">
        <v>5024</v>
      </c>
      <c r="G20" s="349">
        <v>5136</v>
      </c>
      <c r="H20" s="349">
        <v>5151</v>
      </c>
      <c r="I20" s="881">
        <v>5016</v>
      </c>
      <c r="J20" s="1043">
        <v>4628</v>
      </c>
      <c r="K20" s="1554">
        <v>4427</v>
      </c>
      <c r="L20" s="1898">
        <v>4056</v>
      </c>
      <c r="M20" s="1898">
        <v>3980</v>
      </c>
      <c r="N20" s="1898">
        <v>3943</v>
      </c>
    </row>
    <row r="21" spans="1:14" x14ac:dyDescent="0.3">
      <c r="A21" s="347" t="s">
        <v>43</v>
      </c>
      <c r="B21" s="348" t="s">
        <v>44</v>
      </c>
      <c r="C21" s="348" t="s">
        <v>253</v>
      </c>
      <c r="D21" s="349">
        <v>2757</v>
      </c>
      <c r="E21" s="349">
        <v>3010</v>
      </c>
      <c r="F21" s="349">
        <v>3234</v>
      </c>
      <c r="G21" s="349">
        <v>3337</v>
      </c>
      <c r="H21" s="349">
        <v>3257</v>
      </c>
      <c r="I21" s="881">
        <v>3122</v>
      </c>
      <c r="J21" s="1043">
        <v>2850</v>
      </c>
      <c r="K21" s="1554">
        <v>2644</v>
      </c>
      <c r="L21" s="1898">
        <v>2320</v>
      </c>
      <c r="M21" s="1898">
        <v>2304</v>
      </c>
      <c r="N21" s="1898">
        <v>2337</v>
      </c>
    </row>
    <row r="22" spans="1:14" x14ac:dyDescent="0.3">
      <c r="A22" s="347" t="s">
        <v>45</v>
      </c>
      <c r="B22" s="348" t="s">
        <v>46</v>
      </c>
      <c r="C22" s="348" t="s">
        <v>255</v>
      </c>
      <c r="D22" s="349">
        <v>3174</v>
      </c>
      <c r="E22" s="349">
        <v>3435</v>
      </c>
      <c r="F22" s="349">
        <v>3542</v>
      </c>
      <c r="G22" s="349">
        <v>3590</v>
      </c>
      <c r="H22" s="349">
        <v>3562</v>
      </c>
      <c r="I22" s="881">
        <v>3310</v>
      </c>
      <c r="J22" s="1043">
        <v>3153</v>
      </c>
      <c r="K22" s="1554">
        <v>3045</v>
      </c>
      <c r="L22" s="1898">
        <v>2707</v>
      </c>
      <c r="M22" s="1898">
        <v>2708</v>
      </c>
      <c r="N22" s="1898">
        <v>2711</v>
      </c>
    </row>
    <row r="23" spans="1:14" x14ac:dyDescent="0.3">
      <c r="A23" s="347" t="s">
        <v>47</v>
      </c>
      <c r="B23" s="348" t="s">
        <v>256</v>
      </c>
      <c r="C23" s="348" t="s">
        <v>253</v>
      </c>
      <c r="D23" s="349">
        <v>663</v>
      </c>
      <c r="E23" s="349">
        <v>691</v>
      </c>
      <c r="F23" s="349">
        <v>754</v>
      </c>
      <c r="G23" s="349">
        <v>798</v>
      </c>
      <c r="H23" s="349">
        <v>774</v>
      </c>
      <c r="I23" s="881">
        <v>722</v>
      </c>
      <c r="J23" s="1043">
        <v>674</v>
      </c>
      <c r="K23" s="1554">
        <v>635</v>
      </c>
      <c r="L23" s="1898">
        <v>604</v>
      </c>
      <c r="M23" s="1898">
        <v>587</v>
      </c>
      <c r="N23" s="1898">
        <v>586</v>
      </c>
    </row>
    <row r="24" spans="1:14" x14ac:dyDescent="0.3">
      <c r="A24" s="347" t="s">
        <v>49</v>
      </c>
      <c r="B24" s="348" t="s">
        <v>50</v>
      </c>
      <c r="C24" s="348" t="s">
        <v>252</v>
      </c>
      <c r="D24" s="349">
        <v>1445</v>
      </c>
      <c r="E24" s="349">
        <v>1503</v>
      </c>
      <c r="F24" s="349">
        <v>1587</v>
      </c>
      <c r="G24" s="349">
        <v>1576</v>
      </c>
      <c r="H24" s="349">
        <v>1504</v>
      </c>
      <c r="I24" s="881">
        <v>1453</v>
      </c>
      <c r="J24" s="1043">
        <v>1426</v>
      </c>
      <c r="K24" s="1554">
        <v>1402</v>
      </c>
      <c r="L24" s="1898">
        <v>1290</v>
      </c>
      <c r="M24" s="1898">
        <v>1249</v>
      </c>
      <c r="N24" s="1898">
        <v>1228</v>
      </c>
    </row>
    <row r="25" spans="1:14" x14ac:dyDescent="0.3">
      <c r="A25" s="347" t="s">
        <v>55</v>
      </c>
      <c r="B25" s="348" t="s">
        <v>271</v>
      </c>
      <c r="C25" s="348" t="s">
        <v>253</v>
      </c>
      <c r="D25" s="349">
        <v>16443</v>
      </c>
      <c r="E25" s="349">
        <v>18880</v>
      </c>
      <c r="F25" s="349">
        <v>20382</v>
      </c>
      <c r="G25" s="349">
        <v>21584</v>
      </c>
      <c r="H25" s="349">
        <v>21498</v>
      </c>
      <c r="I25" s="881">
        <v>20069</v>
      </c>
      <c r="J25" s="1043">
        <v>18416</v>
      </c>
      <c r="K25" s="1554">
        <v>17974</v>
      </c>
      <c r="L25" s="1898">
        <v>16795</v>
      </c>
      <c r="M25" s="1898">
        <v>17166</v>
      </c>
      <c r="N25" s="1898">
        <v>18026</v>
      </c>
    </row>
    <row r="26" spans="1:14" x14ac:dyDescent="0.3">
      <c r="A26" s="347" t="s">
        <v>57</v>
      </c>
      <c r="B26" s="348" t="s">
        <v>58</v>
      </c>
      <c r="C26" s="348" t="s">
        <v>254</v>
      </c>
      <c r="D26" s="349">
        <v>532</v>
      </c>
      <c r="E26" s="349">
        <v>618</v>
      </c>
      <c r="F26" s="349">
        <v>623</v>
      </c>
      <c r="G26" s="349">
        <v>600</v>
      </c>
      <c r="H26" s="349">
        <v>561</v>
      </c>
      <c r="I26" s="881">
        <v>473</v>
      </c>
      <c r="J26" s="1043">
        <v>431</v>
      </c>
      <c r="K26" s="1554">
        <v>400</v>
      </c>
      <c r="L26" s="1898">
        <v>366</v>
      </c>
      <c r="M26" s="1898">
        <v>357</v>
      </c>
      <c r="N26" s="1898">
        <v>370</v>
      </c>
    </row>
    <row r="27" spans="1:14" x14ac:dyDescent="0.3">
      <c r="A27" s="347" t="s">
        <v>59</v>
      </c>
      <c r="B27" s="348" t="s">
        <v>60</v>
      </c>
      <c r="C27" s="348" t="s">
        <v>252</v>
      </c>
      <c r="D27" s="349">
        <v>319</v>
      </c>
      <c r="E27" s="349">
        <v>340</v>
      </c>
      <c r="F27" s="349">
        <v>371</v>
      </c>
      <c r="G27" s="349">
        <v>381</v>
      </c>
      <c r="H27" s="349">
        <v>363</v>
      </c>
      <c r="I27" s="881">
        <v>377</v>
      </c>
      <c r="J27" s="1043">
        <v>377</v>
      </c>
      <c r="K27" s="1554">
        <v>399</v>
      </c>
      <c r="L27" s="1898">
        <v>359</v>
      </c>
      <c r="M27" s="1898">
        <v>315</v>
      </c>
      <c r="N27" s="1898">
        <v>284</v>
      </c>
    </row>
    <row r="28" spans="1:14" x14ac:dyDescent="0.3">
      <c r="A28" s="347" t="s">
        <v>61</v>
      </c>
      <c r="B28" s="348" t="s">
        <v>62</v>
      </c>
      <c r="C28" s="348" t="s">
        <v>254</v>
      </c>
      <c r="D28" s="349">
        <v>3108</v>
      </c>
      <c r="E28" s="349">
        <v>3414</v>
      </c>
      <c r="F28" s="349">
        <v>3535</v>
      </c>
      <c r="G28" s="349">
        <v>3723</v>
      </c>
      <c r="H28" s="349">
        <v>3603</v>
      </c>
      <c r="I28" s="881">
        <v>3467</v>
      </c>
      <c r="J28" s="1043">
        <v>3149</v>
      </c>
      <c r="K28" s="1554">
        <v>3069</v>
      </c>
      <c r="L28" s="1898">
        <v>2811</v>
      </c>
      <c r="M28" s="1898">
        <v>2704</v>
      </c>
      <c r="N28" s="1898">
        <v>2614</v>
      </c>
    </row>
    <row r="29" spans="1:14" x14ac:dyDescent="0.3">
      <c r="A29" s="347" t="s">
        <v>63</v>
      </c>
      <c r="B29" s="348" t="s">
        <v>64</v>
      </c>
      <c r="C29" s="348" t="s">
        <v>253</v>
      </c>
      <c r="D29" s="349">
        <v>1202</v>
      </c>
      <c r="E29" s="349">
        <v>1301</v>
      </c>
      <c r="F29" s="349">
        <v>1386</v>
      </c>
      <c r="G29" s="349">
        <v>1410</v>
      </c>
      <c r="H29" s="349">
        <v>1413</v>
      </c>
      <c r="I29" s="881">
        <v>1345</v>
      </c>
      <c r="J29" s="1043">
        <v>1164</v>
      </c>
      <c r="K29" s="1554">
        <v>1190</v>
      </c>
      <c r="L29" s="1898">
        <v>1126</v>
      </c>
      <c r="M29" s="1898">
        <v>1122</v>
      </c>
      <c r="N29" s="1898">
        <v>1161</v>
      </c>
    </row>
    <row r="30" spans="1:14" x14ac:dyDescent="0.3">
      <c r="A30" s="347" t="s">
        <v>67</v>
      </c>
      <c r="B30" s="348" t="s">
        <v>68</v>
      </c>
      <c r="C30" s="348" t="s">
        <v>255</v>
      </c>
      <c r="D30" s="349">
        <v>2015</v>
      </c>
      <c r="E30" s="349">
        <v>2080</v>
      </c>
      <c r="F30" s="349">
        <v>2150</v>
      </c>
      <c r="G30" s="349">
        <v>2226</v>
      </c>
      <c r="H30" s="349">
        <v>2211</v>
      </c>
      <c r="I30" s="881">
        <v>2086</v>
      </c>
      <c r="J30" s="1043">
        <v>2136</v>
      </c>
      <c r="K30" s="1554">
        <v>2173</v>
      </c>
      <c r="L30" s="1898">
        <v>1920</v>
      </c>
      <c r="M30" s="1898">
        <v>1842</v>
      </c>
      <c r="N30" s="1898">
        <v>1824</v>
      </c>
    </row>
    <row r="31" spans="1:14" x14ac:dyDescent="0.3">
      <c r="A31" s="347" t="s">
        <v>69</v>
      </c>
      <c r="B31" s="348" t="s">
        <v>70</v>
      </c>
      <c r="C31" s="348" t="s">
        <v>251</v>
      </c>
      <c r="D31" s="349">
        <v>2738</v>
      </c>
      <c r="E31" s="349">
        <v>2936</v>
      </c>
      <c r="F31" s="349">
        <v>3112</v>
      </c>
      <c r="G31" s="349">
        <v>3114</v>
      </c>
      <c r="H31" s="349">
        <v>3058</v>
      </c>
      <c r="I31" s="881">
        <v>3008</v>
      </c>
      <c r="J31" s="1043">
        <v>2879</v>
      </c>
      <c r="K31" s="1554">
        <v>2720</v>
      </c>
      <c r="L31" s="1898">
        <v>2495</v>
      </c>
      <c r="M31" s="1898">
        <v>2561</v>
      </c>
      <c r="N31" s="1898">
        <v>2601</v>
      </c>
    </row>
    <row r="32" spans="1:14" x14ac:dyDescent="0.3">
      <c r="A32" s="347" t="s">
        <v>71</v>
      </c>
      <c r="B32" s="348" t="s">
        <v>72</v>
      </c>
      <c r="C32" s="348" t="s">
        <v>253</v>
      </c>
      <c r="D32" s="349">
        <v>1244</v>
      </c>
      <c r="E32" s="349">
        <v>1365</v>
      </c>
      <c r="F32" s="349">
        <v>1503</v>
      </c>
      <c r="G32" s="349">
        <v>1541</v>
      </c>
      <c r="H32" s="349">
        <v>1498</v>
      </c>
      <c r="I32" s="881">
        <v>1434</v>
      </c>
      <c r="J32" s="1043">
        <v>1300</v>
      </c>
      <c r="K32" s="1554">
        <v>1259</v>
      </c>
      <c r="L32" s="1898">
        <v>1170</v>
      </c>
      <c r="M32" s="1898">
        <v>1158</v>
      </c>
      <c r="N32" s="1898">
        <v>1133</v>
      </c>
    </row>
    <row r="33" spans="1:14" x14ac:dyDescent="0.3">
      <c r="A33" s="347" t="s">
        <v>73</v>
      </c>
      <c r="B33" s="348" t="s">
        <v>272</v>
      </c>
      <c r="C33" s="348" t="s">
        <v>254</v>
      </c>
      <c r="D33" s="349">
        <v>25410</v>
      </c>
      <c r="E33" s="349">
        <v>29341</v>
      </c>
      <c r="F33" s="349">
        <v>32354</v>
      </c>
      <c r="G33" s="349">
        <v>34720</v>
      </c>
      <c r="H33" s="349">
        <v>34788</v>
      </c>
      <c r="I33" s="881">
        <v>32818</v>
      </c>
      <c r="J33" s="1043">
        <v>32659</v>
      </c>
      <c r="K33" s="1554">
        <v>32561</v>
      </c>
      <c r="L33" s="1898">
        <v>29333</v>
      </c>
      <c r="M33" s="1898">
        <v>27604</v>
      </c>
      <c r="N33" s="1898">
        <v>27839</v>
      </c>
    </row>
    <row r="34" spans="1:14" x14ac:dyDescent="0.3">
      <c r="A34" s="347" t="s">
        <v>75</v>
      </c>
      <c r="B34" s="348" t="s">
        <v>76</v>
      </c>
      <c r="C34" s="348" t="s">
        <v>254</v>
      </c>
      <c r="D34" s="349">
        <v>2526</v>
      </c>
      <c r="E34" s="349">
        <v>2780</v>
      </c>
      <c r="F34" s="349">
        <v>2956</v>
      </c>
      <c r="G34" s="349">
        <v>2999</v>
      </c>
      <c r="H34" s="349">
        <v>2906</v>
      </c>
      <c r="I34" s="881">
        <v>2599</v>
      </c>
      <c r="J34" s="1043">
        <v>2337</v>
      </c>
      <c r="K34" s="1554">
        <v>2269</v>
      </c>
      <c r="L34" s="1898">
        <v>2043</v>
      </c>
      <c r="M34" s="1898">
        <v>1991</v>
      </c>
      <c r="N34" s="1898">
        <v>1947</v>
      </c>
    </row>
    <row r="35" spans="1:14" x14ac:dyDescent="0.3">
      <c r="A35" s="347" t="s">
        <v>77</v>
      </c>
      <c r="B35" s="348" t="s">
        <v>78</v>
      </c>
      <c r="C35" s="348" t="s">
        <v>255</v>
      </c>
      <c r="D35" s="349">
        <v>1135</v>
      </c>
      <c r="E35" s="349">
        <v>1262</v>
      </c>
      <c r="F35" s="349">
        <v>1341</v>
      </c>
      <c r="G35" s="349">
        <v>1335</v>
      </c>
      <c r="H35" s="349">
        <v>1275</v>
      </c>
      <c r="I35" s="881">
        <v>1162</v>
      </c>
      <c r="J35" s="1043">
        <v>1109</v>
      </c>
      <c r="K35" s="1554">
        <v>1188</v>
      </c>
      <c r="L35" s="1898">
        <v>1141</v>
      </c>
      <c r="M35" s="1898">
        <v>1099</v>
      </c>
      <c r="N35" s="1898">
        <v>1059</v>
      </c>
    </row>
    <row r="36" spans="1:14" x14ac:dyDescent="0.3">
      <c r="A36" s="347" t="s">
        <v>79</v>
      </c>
      <c r="B36" s="348" t="s">
        <v>80</v>
      </c>
      <c r="C36" s="348" t="s">
        <v>253</v>
      </c>
      <c r="D36" s="349">
        <v>881</v>
      </c>
      <c r="E36" s="349">
        <v>1041</v>
      </c>
      <c r="F36" s="349">
        <v>1178</v>
      </c>
      <c r="G36" s="349">
        <v>1204</v>
      </c>
      <c r="H36" s="349">
        <v>1173</v>
      </c>
      <c r="I36" s="881">
        <v>1119</v>
      </c>
      <c r="J36" s="1043">
        <v>1009</v>
      </c>
      <c r="K36" s="1554">
        <v>990</v>
      </c>
      <c r="L36" s="1898">
        <v>929</v>
      </c>
      <c r="M36" s="1898">
        <v>891</v>
      </c>
      <c r="N36" s="1898">
        <v>935</v>
      </c>
    </row>
    <row r="37" spans="1:14" x14ac:dyDescent="0.3">
      <c r="A37" s="347" t="s">
        <v>83</v>
      </c>
      <c r="B37" s="348" t="s">
        <v>84</v>
      </c>
      <c r="C37" s="348" t="s">
        <v>252</v>
      </c>
      <c r="D37" s="349">
        <v>4567</v>
      </c>
      <c r="E37" s="349">
        <v>4924</v>
      </c>
      <c r="F37" s="349">
        <v>5105</v>
      </c>
      <c r="G37" s="349">
        <v>5156</v>
      </c>
      <c r="H37" s="349">
        <v>5106</v>
      </c>
      <c r="I37" s="881">
        <v>4760</v>
      </c>
      <c r="J37" s="1043">
        <v>4341</v>
      </c>
      <c r="K37" s="1554">
        <v>4232</v>
      </c>
      <c r="L37" s="1898">
        <v>3864</v>
      </c>
      <c r="M37" s="1898">
        <v>3774</v>
      </c>
      <c r="N37" s="1898">
        <v>3738</v>
      </c>
    </row>
    <row r="38" spans="1:14" x14ac:dyDescent="0.3">
      <c r="A38" s="347" t="s">
        <v>85</v>
      </c>
      <c r="B38" s="348" t="s">
        <v>86</v>
      </c>
      <c r="C38" s="348" t="s">
        <v>254</v>
      </c>
      <c r="D38" s="349">
        <v>3781</v>
      </c>
      <c r="E38" s="349">
        <v>4301</v>
      </c>
      <c r="F38" s="349">
        <v>4597</v>
      </c>
      <c r="G38" s="349">
        <v>4722</v>
      </c>
      <c r="H38" s="349">
        <v>4335</v>
      </c>
      <c r="I38" s="881">
        <v>3995</v>
      </c>
      <c r="J38" s="1043">
        <v>3674</v>
      </c>
      <c r="K38" s="1554">
        <v>3485</v>
      </c>
      <c r="L38" s="1898">
        <v>3189</v>
      </c>
      <c r="M38" s="1898">
        <v>3109</v>
      </c>
      <c r="N38" s="1898">
        <v>3076</v>
      </c>
    </row>
    <row r="39" spans="1:14" x14ac:dyDescent="0.3">
      <c r="A39" s="347" t="s">
        <v>91</v>
      </c>
      <c r="B39" s="348" t="s">
        <v>92</v>
      </c>
      <c r="C39" s="348" t="s">
        <v>255</v>
      </c>
      <c r="D39" s="349">
        <v>1491</v>
      </c>
      <c r="E39" s="349">
        <v>1628</v>
      </c>
      <c r="F39" s="349">
        <v>1598</v>
      </c>
      <c r="G39" s="349">
        <v>1599</v>
      </c>
      <c r="H39" s="349">
        <v>1662</v>
      </c>
      <c r="I39" s="881">
        <v>1517</v>
      </c>
      <c r="J39" s="1043">
        <v>1459</v>
      </c>
      <c r="K39" s="1554">
        <v>1440</v>
      </c>
      <c r="L39" s="1898">
        <v>1318</v>
      </c>
      <c r="M39" s="1898">
        <v>1261</v>
      </c>
      <c r="N39" s="1898">
        <v>1254</v>
      </c>
    </row>
    <row r="40" spans="1:14" x14ac:dyDescent="0.3">
      <c r="A40" s="347" t="s">
        <v>93</v>
      </c>
      <c r="B40" s="348" t="s">
        <v>94</v>
      </c>
      <c r="C40" s="348" t="s">
        <v>251</v>
      </c>
      <c r="D40" s="349">
        <v>2395</v>
      </c>
      <c r="E40" s="349">
        <v>2709</v>
      </c>
      <c r="F40" s="349">
        <v>2914</v>
      </c>
      <c r="G40" s="349">
        <v>2922</v>
      </c>
      <c r="H40" s="349">
        <v>2877</v>
      </c>
      <c r="I40" s="881">
        <v>2719</v>
      </c>
      <c r="J40" s="1043">
        <v>2508</v>
      </c>
      <c r="K40" s="1554">
        <v>2398</v>
      </c>
      <c r="L40" s="1898">
        <v>2155</v>
      </c>
      <c r="M40" s="1898">
        <v>2200</v>
      </c>
      <c r="N40" s="1898">
        <v>2238</v>
      </c>
    </row>
    <row r="41" spans="1:14" x14ac:dyDescent="0.3">
      <c r="A41" s="347" t="s">
        <v>95</v>
      </c>
      <c r="B41" s="348" t="s">
        <v>96</v>
      </c>
      <c r="C41" s="348" t="s">
        <v>253</v>
      </c>
      <c r="D41" s="349">
        <v>794</v>
      </c>
      <c r="E41" s="349">
        <v>902</v>
      </c>
      <c r="F41" s="349">
        <v>918</v>
      </c>
      <c r="G41" s="349">
        <v>950</v>
      </c>
      <c r="H41" s="349">
        <v>942</v>
      </c>
      <c r="I41" s="881">
        <v>884</v>
      </c>
      <c r="J41" s="1043">
        <v>797</v>
      </c>
      <c r="K41" s="1554">
        <v>782</v>
      </c>
      <c r="L41" s="1898">
        <v>744</v>
      </c>
      <c r="M41" s="1898">
        <v>721</v>
      </c>
      <c r="N41" s="1898">
        <v>743</v>
      </c>
    </row>
    <row r="42" spans="1:14" x14ac:dyDescent="0.3">
      <c r="A42" s="347" t="s">
        <v>97</v>
      </c>
      <c r="B42" s="348" t="s">
        <v>98</v>
      </c>
      <c r="C42" s="348" t="s">
        <v>255</v>
      </c>
      <c r="D42" s="349">
        <v>1672</v>
      </c>
      <c r="E42" s="349">
        <v>1798</v>
      </c>
      <c r="F42" s="349">
        <v>1830</v>
      </c>
      <c r="G42" s="349">
        <v>1903</v>
      </c>
      <c r="H42" s="349">
        <v>1845</v>
      </c>
      <c r="I42" s="881">
        <v>1720</v>
      </c>
      <c r="J42" s="1043">
        <v>1667</v>
      </c>
      <c r="K42" s="1554">
        <v>1620</v>
      </c>
      <c r="L42" s="1898">
        <v>1478</v>
      </c>
      <c r="M42" s="1898">
        <v>1433</v>
      </c>
      <c r="N42" s="1898">
        <v>1436</v>
      </c>
    </row>
    <row r="43" spans="1:14" x14ac:dyDescent="0.3">
      <c r="A43" s="347" t="s">
        <v>99</v>
      </c>
      <c r="B43" s="348" t="s">
        <v>100</v>
      </c>
      <c r="C43" s="348" t="s">
        <v>254</v>
      </c>
      <c r="D43" s="349">
        <v>1096</v>
      </c>
      <c r="E43" s="349">
        <v>1215</v>
      </c>
      <c r="F43" s="349">
        <v>1303</v>
      </c>
      <c r="G43" s="349">
        <v>1342</v>
      </c>
      <c r="H43" s="349">
        <v>1356</v>
      </c>
      <c r="I43" s="881">
        <v>1293</v>
      </c>
      <c r="J43" s="1043">
        <v>1263</v>
      </c>
      <c r="K43" s="1554">
        <v>1201</v>
      </c>
      <c r="L43" s="1898">
        <v>1047</v>
      </c>
      <c r="M43" s="1898">
        <v>1032</v>
      </c>
      <c r="N43" s="1898">
        <v>997</v>
      </c>
    </row>
    <row r="44" spans="1:14" x14ac:dyDescent="0.3">
      <c r="A44" s="347" t="s">
        <v>101</v>
      </c>
      <c r="B44" s="348" t="s">
        <v>263</v>
      </c>
      <c r="C44" s="348" t="s">
        <v>251</v>
      </c>
      <c r="D44" s="349">
        <v>2397</v>
      </c>
      <c r="E44" s="349">
        <v>2657</v>
      </c>
      <c r="F44" s="349">
        <v>2795</v>
      </c>
      <c r="G44" s="349">
        <v>3050</v>
      </c>
      <c r="H44" s="349">
        <v>2914</v>
      </c>
      <c r="I44" s="881">
        <v>2835</v>
      </c>
      <c r="J44" s="1043">
        <v>2551</v>
      </c>
      <c r="K44" s="1554">
        <v>2483</v>
      </c>
      <c r="L44" s="1898">
        <v>2183</v>
      </c>
      <c r="M44" s="1898">
        <v>2144</v>
      </c>
      <c r="N44" s="1898">
        <v>2273</v>
      </c>
    </row>
    <row r="45" spans="1:14" x14ac:dyDescent="0.3">
      <c r="A45" s="347" t="s">
        <v>103</v>
      </c>
      <c r="B45" s="348" t="s">
        <v>104</v>
      </c>
      <c r="C45" s="348" t="s">
        <v>252</v>
      </c>
      <c r="D45" s="349">
        <v>4069</v>
      </c>
      <c r="E45" s="349">
        <v>4318</v>
      </c>
      <c r="F45" s="349">
        <v>4442</v>
      </c>
      <c r="G45" s="349">
        <v>4466</v>
      </c>
      <c r="H45" s="349">
        <v>4515</v>
      </c>
      <c r="I45" s="881">
        <v>4364</v>
      </c>
      <c r="J45" s="1043">
        <v>4230</v>
      </c>
      <c r="K45" s="1554">
        <v>4254</v>
      </c>
      <c r="L45" s="1898">
        <v>3892</v>
      </c>
      <c r="M45" s="1898">
        <v>3851</v>
      </c>
      <c r="N45" s="1898">
        <v>3920</v>
      </c>
    </row>
    <row r="46" spans="1:14" x14ac:dyDescent="0.3">
      <c r="A46" s="347" t="s">
        <v>107</v>
      </c>
      <c r="B46" s="348" t="s">
        <v>108</v>
      </c>
      <c r="C46" s="348" t="s">
        <v>253</v>
      </c>
      <c r="D46" s="349">
        <v>3249</v>
      </c>
      <c r="E46" s="349">
        <v>3702</v>
      </c>
      <c r="F46" s="349">
        <v>3999</v>
      </c>
      <c r="G46" s="349">
        <v>4064</v>
      </c>
      <c r="H46" s="349">
        <v>4029</v>
      </c>
      <c r="I46" s="881">
        <v>3768</v>
      </c>
      <c r="J46" s="1043">
        <v>3431</v>
      </c>
      <c r="K46" s="1554">
        <v>3461</v>
      </c>
      <c r="L46" s="1898">
        <v>3198</v>
      </c>
      <c r="M46" s="1898">
        <v>3060</v>
      </c>
      <c r="N46" s="1898">
        <v>3124</v>
      </c>
    </row>
    <row r="47" spans="1:14" x14ac:dyDescent="0.3">
      <c r="A47" s="347" t="s">
        <v>109</v>
      </c>
      <c r="B47" s="348" t="s">
        <v>110</v>
      </c>
      <c r="C47" s="348" t="s">
        <v>253</v>
      </c>
      <c r="D47" s="349">
        <v>17705</v>
      </c>
      <c r="E47" s="349">
        <v>20583</v>
      </c>
      <c r="F47" s="349">
        <v>22430</v>
      </c>
      <c r="G47" s="349">
        <v>23611</v>
      </c>
      <c r="H47" s="349">
        <v>23261</v>
      </c>
      <c r="I47" s="881">
        <v>21858</v>
      </c>
      <c r="J47" s="1043">
        <v>20855</v>
      </c>
      <c r="K47" s="1554">
        <v>20708</v>
      </c>
      <c r="L47" s="1898">
        <v>19293</v>
      </c>
      <c r="M47" s="1898">
        <v>19343</v>
      </c>
      <c r="N47" s="1898">
        <v>20309</v>
      </c>
    </row>
    <row r="48" spans="1:14" x14ac:dyDescent="0.3">
      <c r="A48" s="347" t="s">
        <v>111</v>
      </c>
      <c r="B48" s="348" t="s">
        <v>275</v>
      </c>
      <c r="C48" s="348" t="s">
        <v>252</v>
      </c>
      <c r="D48" s="349">
        <v>9882</v>
      </c>
      <c r="E48" s="349">
        <v>10439</v>
      </c>
      <c r="F48" s="349">
        <v>10999</v>
      </c>
      <c r="G48" s="349">
        <v>11352</v>
      </c>
      <c r="H48" s="349">
        <v>10899</v>
      </c>
      <c r="I48" s="881">
        <v>10394</v>
      </c>
      <c r="J48" s="1043">
        <v>9673</v>
      </c>
      <c r="K48" s="1554">
        <v>9487</v>
      </c>
      <c r="L48" s="1898">
        <v>8637</v>
      </c>
      <c r="M48" s="1898">
        <v>8436</v>
      </c>
      <c r="N48" s="1898">
        <v>8570</v>
      </c>
    </row>
    <row r="49" spans="1:14" x14ac:dyDescent="0.3">
      <c r="A49" s="347" t="s">
        <v>113</v>
      </c>
      <c r="B49" s="348" t="s">
        <v>114</v>
      </c>
      <c r="C49" s="348" t="s">
        <v>252</v>
      </c>
      <c r="D49" s="349">
        <v>101</v>
      </c>
      <c r="E49" s="349">
        <v>116</v>
      </c>
      <c r="F49" s="349">
        <v>121</v>
      </c>
      <c r="G49" s="349">
        <v>112</v>
      </c>
      <c r="H49" s="349">
        <v>110</v>
      </c>
      <c r="I49" s="881">
        <v>104</v>
      </c>
      <c r="J49" s="1043">
        <v>91</v>
      </c>
      <c r="K49" s="1554">
        <v>85</v>
      </c>
      <c r="L49" s="1898">
        <v>74</v>
      </c>
      <c r="M49" s="1898">
        <v>78</v>
      </c>
      <c r="N49" s="1898">
        <v>95</v>
      </c>
    </row>
    <row r="50" spans="1:14" x14ac:dyDescent="0.3">
      <c r="A50" s="347" t="s">
        <v>117</v>
      </c>
      <c r="B50" s="348" t="s">
        <v>257</v>
      </c>
      <c r="C50" s="348" t="s">
        <v>251</v>
      </c>
      <c r="D50" s="349">
        <v>2462</v>
      </c>
      <c r="E50" s="349">
        <v>2692</v>
      </c>
      <c r="F50" s="349">
        <v>2872</v>
      </c>
      <c r="G50" s="349">
        <v>2956</v>
      </c>
      <c r="H50" s="349">
        <v>2862</v>
      </c>
      <c r="I50" s="881">
        <v>2777</v>
      </c>
      <c r="J50" s="1043">
        <v>2548</v>
      </c>
      <c r="K50" s="1554">
        <v>2460</v>
      </c>
      <c r="L50" s="1898">
        <v>2271</v>
      </c>
      <c r="M50" s="1898">
        <v>2231</v>
      </c>
      <c r="N50" s="1898">
        <v>2231</v>
      </c>
    </row>
    <row r="51" spans="1:14" x14ac:dyDescent="0.3">
      <c r="A51" s="347" t="s">
        <v>119</v>
      </c>
      <c r="B51" s="348" t="s">
        <v>120</v>
      </c>
      <c r="C51" s="348" t="s">
        <v>251</v>
      </c>
      <c r="D51" s="349">
        <v>2476</v>
      </c>
      <c r="E51" s="349">
        <v>2852</v>
      </c>
      <c r="F51" s="349">
        <v>3074</v>
      </c>
      <c r="G51" s="349">
        <v>3252</v>
      </c>
      <c r="H51" s="349">
        <v>3210</v>
      </c>
      <c r="I51" s="881">
        <v>3073</v>
      </c>
      <c r="J51" s="1043">
        <v>2940</v>
      </c>
      <c r="K51" s="1554">
        <v>2820</v>
      </c>
      <c r="L51" s="1898">
        <v>2552</v>
      </c>
      <c r="M51" s="1898">
        <v>2502</v>
      </c>
      <c r="N51" s="1898">
        <v>2600</v>
      </c>
    </row>
    <row r="52" spans="1:14" x14ac:dyDescent="0.3">
      <c r="A52" s="347" t="s">
        <v>121</v>
      </c>
      <c r="B52" s="348" t="s">
        <v>268</v>
      </c>
      <c r="C52" s="348" t="s">
        <v>253</v>
      </c>
      <c r="D52" s="349">
        <v>609</v>
      </c>
      <c r="E52" s="349">
        <v>687</v>
      </c>
      <c r="F52" s="349">
        <v>754</v>
      </c>
      <c r="G52" s="349">
        <v>813</v>
      </c>
      <c r="H52" s="349">
        <v>806</v>
      </c>
      <c r="I52" s="881">
        <v>776</v>
      </c>
      <c r="J52" s="1043">
        <v>1605</v>
      </c>
      <c r="K52" s="1554">
        <v>655</v>
      </c>
      <c r="L52" s="1898">
        <v>609</v>
      </c>
      <c r="M52" s="1898">
        <v>614</v>
      </c>
      <c r="N52" s="1898">
        <v>645</v>
      </c>
    </row>
    <row r="53" spans="1:14" x14ac:dyDescent="0.3">
      <c r="A53" s="347" t="s">
        <v>123</v>
      </c>
      <c r="B53" s="348" t="s">
        <v>124</v>
      </c>
      <c r="C53" s="348" t="s">
        <v>254</v>
      </c>
      <c r="D53" s="349">
        <v>1364</v>
      </c>
      <c r="E53" s="349">
        <v>1609</v>
      </c>
      <c r="F53" s="349">
        <v>1807</v>
      </c>
      <c r="G53" s="349">
        <v>1905</v>
      </c>
      <c r="H53" s="349">
        <v>1925</v>
      </c>
      <c r="I53" s="881">
        <v>1804</v>
      </c>
      <c r="J53" s="1043">
        <v>1014</v>
      </c>
      <c r="K53" s="1554">
        <v>1521</v>
      </c>
      <c r="L53" s="1898">
        <v>1350</v>
      </c>
      <c r="M53" s="1898">
        <v>1305</v>
      </c>
      <c r="N53" s="1898">
        <v>1262</v>
      </c>
    </row>
    <row r="54" spans="1:14" x14ac:dyDescent="0.3">
      <c r="A54" s="347" t="s">
        <v>125</v>
      </c>
      <c r="B54" s="348" t="s">
        <v>126</v>
      </c>
      <c r="C54" s="348" t="s">
        <v>253</v>
      </c>
      <c r="D54" s="349">
        <v>998</v>
      </c>
      <c r="E54" s="349">
        <v>1121</v>
      </c>
      <c r="F54" s="349">
        <v>1196</v>
      </c>
      <c r="G54" s="349">
        <v>1184</v>
      </c>
      <c r="H54" s="349">
        <v>1153</v>
      </c>
      <c r="I54" s="881">
        <v>1107</v>
      </c>
      <c r="J54" s="1043">
        <v>690</v>
      </c>
      <c r="K54" s="1554">
        <v>935</v>
      </c>
      <c r="L54" s="1898">
        <v>852</v>
      </c>
      <c r="M54" s="1898">
        <v>864</v>
      </c>
      <c r="N54" s="1898">
        <v>888</v>
      </c>
    </row>
    <row r="55" spans="1:14" x14ac:dyDescent="0.3">
      <c r="A55" s="347" t="s">
        <v>127</v>
      </c>
      <c r="B55" s="348" t="s">
        <v>128</v>
      </c>
      <c r="C55" s="348" t="s">
        <v>253</v>
      </c>
      <c r="D55" s="349">
        <v>981</v>
      </c>
      <c r="E55" s="349">
        <v>1053</v>
      </c>
      <c r="F55" s="349">
        <v>1106</v>
      </c>
      <c r="G55" s="349">
        <v>1134</v>
      </c>
      <c r="H55" s="349">
        <v>1117</v>
      </c>
      <c r="I55" s="881">
        <v>1043</v>
      </c>
      <c r="J55" s="1043">
        <v>955</v>
      </c>
      <c r="K55" s="1554">
        <v>952</v>
      </c>
      <c r="L55" s="1898">
        <v>889</v>
      </c>
      <c r="M55" s="1898">
        <v>885</v>
      </c>
      <c r="N55" s="1898">
        <v>896</v>
      </c>
    </row>
    <row r="56" spans="1:14" x14ac:dyDescent="0.3">
      <c r="A56" s="347" t="s">
        <v>129</v>
      </c>
      <c r="B56" s="348" t="s">
        <v>130</v>
      </c>
      <c r="C56" s="348" t="s">
        <v>255</v>
      </c>
      <c r="D56" s="349">
        <v>3568</v>
      </c>
      <c r="E56" s="349">
        <v>3828</v>
      </c>
      <c r="F56" s="349">
        <v>3936</v>
      </c>
      <c r="G56" s="349">
        <v>4034</v>
      </c>
      <c r="H56" s="349">
        <v>4087</v>
      </c>
      <c r="I56" s="881">
        <v>3844</v>
      </c>
      <c r="J56" s="1043">
        <v>3725</v>
      </c>
      <c r="K56" s="1554">
        <v>3885</v>
      </c>
      <c r="L56" s="1898">
        <v>3606</v>
      </c>
      <c r="M56" s="1898">
        <v>3564</v>
      </c>
      <c r="N56" s="1898">
        <v>3505</v>
      </c>
    </row>
    <row r="57" spans="1:14" x14ac:dyDescent="0.3">
      <c r="A57" s="347" t="s">
        <v>131</v>
      </c>
      <c r="B57" s="348" t="s">
        <v>132</v>
      </c>
      <c r="C57" s="348" t="s">
        <v>254</v>
      </c>
      <c r="D57" s="349">
        <v>4833</v>
      </c>
      <c r="E57" s="349">
        <v>5657</v>
      </c>
      <c r="F57" s="349">
        <v>6097</v>
      </c>
      <c r="G57" s="349">
        <v>6514</v>
      </c>
      <c r="H57" s="349">
        <v>6658</v>
      </c>
      <c r="I57" s="881">
        <v>6306</v>
      </c>
      <c r="J57" s="1043">
        <v>6268</v>
      </c>
      <c r="K57" s="1554">
        <v>6427</v>
      </c>
      <c r="L57" s="1898">
        <v>5921</v>
      </c>
      <c r="M57" s="1898">
        <v>5752</v>
      </c>
      <c r="N57" s="1898">
        <v>6246</v>
      </c>
    </row>
    <row r="58" spans="1:14" x14ac:dyDescent="0.3">
      <c r="A58" s="347" t="s">
        <v>133</v>
      </c>
      <c r="B58" s="348" t="s">
        <v>134</v>
      </c>
      <c r="C58" s="348" t="s">
        <v>254</v>
      </c>
      <c r="D58" s="349">
        <v>2311</v>
      </c>
      <c r="E58" s="349">
        <v>2693</v>
      </c>
      <c r="F58" s="349">
        <v>2828</v>
      </c>
      <c r="G58" s="349">
        <v>3016</v>
      </c>
      <c r="H58" s="349">
        <v>3047</v>
      </c>
      <c r="I58" s="881">
        <v>2906</v>
      </c>
      <c r="J58" s="1043">
        <v>2608</v>
      </c>
      <c r="K58" s="1554">
        <v>2477</v>
      </c>
      <c r="L58" s="1898">
        <v>2233</v>
      </c>
      <c r="M58" s="1898">
        <v>2176</v>
      </c>
      <c r="N58" s="1898">
        <v>2172</v>
      </c>
    </row>
    <row r="59" spans="1:14" x14ac:dyDescent="0.3">
      <c r="A59" s="347" t="s">
        <v>135</v>
      </c>
      <c r="B59" s="348" t="s">
        <v>136</v>
      </c>
      <c r="C59" s="348" t="s">
        <v>253</v>
      </c>
      <c r="D59" s="349">
        <v>1498</v>
      </c>
      <c r="E59" s="349">
        <v>1617</v>
      </c>
      <c r="F59" s="349">
        <v>1667</v>
      </c>
      <c r="G59" s="349">
        <v>1688</v>
      </c>
      <c r="H59" s="349">
        <v>1709</v>
      </c>
      <c r="I59" s="881">
        <v>1623</v>
      </c>
      <c r="J59" s="1043">
        <v>1537</v>
      </c>
      <c r="K59" s="1554">
        <v>1489</v>
      </c>
      <c r="L59" s="1898">
        <v>1340</v>
      </c>
      <c r="M59" s="1898">
        <v>1330</v>
      </c>
      <c r="N59" s="1898">
        <v>1333</v>
      </c>
    </row>
    <row r="60" spans="1:14" x14ac:dyDescent="0.3">
      <c r="A60" s="347" t="s">
        <v>139</v>
      </c>
      <c r="B60" s="348" t="s">
        <v>140</v>
      </c>
      <c r="C60" s="348" t="s">
        <v>254</v>
      </c>
      <c r="D60" s="349">
        <v>807</v>
      </c>
      <c r="E60" s="349">
        <v>893</v>
      </c>
      <c r="F60" s="349">
        <v>972</v>
      </c>
      <c r="G60" s="349">
        <v>1024</v>
      </c>
      <c r="H60" s="349">
        <v>1000</v>
      </c>
      <c r="I60" s="881">
        <v>955</v>
      </c>
      <c r="J60" s="1043">
        <v>863</v>
      </c>
      <c r="K60" s="1554">
        <v>806</v>
      </c>
      <c r="L60" s="1898">
        <v>684</v>
      </c>
      <c r="M60" s="1898">
        <v>621</v>
      </c>
      <c r="N60" s="1898">
        <v>614</v>
      </c>
    </row>
    <row r="61" spans="1:14" x14ac:dyDescent="0.3">
      <c r="A61" s="347" t="s">
        <v>145</v>
      </c>
      <c r="B61" s="348" t="s">
        <v>146</v>
      </c>
      <c r="C61" s="348" t="s">
        <v>251</v>
      </c>
      <c r="D61" s="349">
        <v>596</v>
      </c>
      <c r="E61" s="349">
        <v>671</v>
      </c>
      <c r="F61" s="349">
        <v>699</v>
      </c>
      <c r="G61" s="349">
        <v>710</v>
      </c>
      <c r="H61" s="349">
        <v>685</v>
      </c>
      <c r="I61" s="881">
        <v>673</v>
      </c>
      <c r="J61" s="1043">
        <v>637</v>
      </c>
      <c r="K61" s="1554">
        <v>581</v>
      </c>
      <c r="L61" s="1898">
        <v>532</v>
      </c>
      <c r="M61" s="1898">
        <v>517</v>
      </c>
      <c r="N61" s="1898">
        <v>527</v>
      </c>
    </row>
    <row r="62" spans="1:14" x14ac:dyDescent="0.3">
      <c r="A62" s="347" t="s">
        <v>147</v>
      </c>
      <c r="B62" s="348" t="s">
        <v>148</v>
      </c>
      <c r="C62" s="348" t="s">
        <v>252</v>
      </c>
      <c r="D62" s="349">
        <v>2922</v>
      </c>
      <c r="E62" s="349">
        <v>3158</v>
      </c>
      <c r="F62" s="349">
        <v>3319</v>
      </c>
      <c r="G62" s="349">
        <v>3505</v>
      </c>
      <c r="H62" s="349">
        <v>3511</v>
      </c>
      <c r="I62" s="881">
        <v>3396</v>
      </c>
      <c r="J62" s="1043">
        <v>3216</v>
      </c>
      <c r="K62" s="1554">
        <v>3160</v>
      </c>
      <c r="L62" s="1898">
        <v>2966</v>
      </c>
      <c r="M62" s="1898">
        <v>2838</v>
      </c>
      <c r="N62" s="1898">
        <v>2770</v>
      </c>
    </row>
    <row r="63" spans="1:14" x14ac:dyDescent="0.3">
      <c r="A63" s="347" t="s">
        <v>149</v>
      </c>
      <c r="B63" s="348" t="s">
        <v>150</v>
      </c>
      <c r="C63" s="348" t="s">
        <v>253</v>
      </c>
      <c r="D63" s="349">
        <v>890</v>
      </c>
      <c r="E63" s="349">
        <v>962</v>
      </c>
      <c r="F63" s="349">
        <v>1077</v>
      </c>
      <c r="G63" s="349">
        <v>1103</v>
      </c>
      <c r="H63" s="349">
        <v>1090</v>
      </c>
      <c r="I63" s="881">
        <v>1029</v>
      </c>
      <c r="J63" s="1043">
        <v>976</v>
      </c>
      <c r="K63" s="1554">
        <v>1002</v>
      </c>
      <c r="L63" s="1898">
        <v>905</v>
      </c>
      <c r="M63" s="1898">
        <v>919</v>
      </c>
      <c r="N63" s="1898">
        <v>951</v>
      </c>
    </row>
    <row r="64" spans="1:14" x14ac:dyDescent="0.3">
      <c r="A64" s="347" t="s">
        <v>151</v>
      </c>
      <c r="B64" s="348" t="s">
        <v>152</v>
      </c>
      <c r="C64" s="348" t="s">
        <v>255</v>
      </c>
      <c r="D64" s="349">
        <v>4513</v>
      </c>
      <c r="E64" s="349">
        <v>4979</v>
      </c>
      <c r="F64" s="349">
        <v>5197</v>
      </c>
      <c r="G64" s="349">
        <v>5332</v>
      </c>
      <c r="H64" s="349">
        <v>5205</v>
      </c>
      <c r="I64" s="881">
        <v>4834</v>
      </c>
      <c r="J64" s="1043">
        <v>4446</v>
      </c>
      <c r="K64" s="1554">
        <v>4334</v>
      </c>
      <c r="L64" s="1898">
        <v>3794</v>
      </c>
      <c r="M64" s="1898">
        <v>3712</v>
      </c>
      <c r="N64" s="1898">
        <v>3702</v>
      </c>
    </row>
    <row r="65" spans="1:14" x14ac:dyDescent="0.3">
      <c r="A65" s="347" t="s">
        <v>153</v>
      </c>
      <c r="B65" s="348" t="s">
        <v>154</v>
      </c>
      <c r="C65" s="348" t="s">
        <v>252</v>
      </c>
      <c r="D65" s="349">
        <v>1227</v>
      </c>
      <c r="E65" s="349">
        <v>1356</v>
      </c>
      <c r="F65" s="349">
        <v>1471</v>
      </c>
      <c r="G65" s="349">
        <v>1502</v>
      </c>
      <c r="H65" s="349">
        <v>1497</v>
      </c>
      <c r="I65" s="881">
        <v>1386</v>
      </c>
      <c r="J65" s="1043">
        <v>1233</v>
      </c>
      <c r="K65" s="1554">
        <v>1194</v>
      </c>
      <c r="L65" s="1898">
        <v>1078</v>
      </c>
      <c r="M65" s="1898">
        <v>1042</v>
      </c>
      <c r="N65" s="1898">
        <v>1052</v>
      </c>
    </row>
    <row r="66" spans="1:14" x14ac:dyDescent="0.3">
      <c r="A66" s="347" t="s">
        <v>155</v>
      </c>
      <c r="B66" s="348" t="s">
        <v>156</v>
      </c>
      <c r="C66" s="348" t="s">
        <v>253</v>
      </c>
      <c r="D66" s="349">
        <v>619</v>
      </c>
      <c r="E66" s="349">
        <v>732</v>
      </c>
      <c r="F66" s="349">
        <v>804</v>
      </c>
      <c r="G66" s="349">
        <v>839</v>
      </c>
      <c r="H66" s="349">
        <v>816</v>
      </c>
      <c r="I66" s="881">
        <v>833</v>
      </c>
      <c r="J66" s="1043">
        <v>747</v>
      </c>
      <c r="K66" s="1554">
        <v>712</v>
      </c>
      <c r="L66" s="1898">
        <v>651</v>
      </c>
      <c r="M66" s="1898">
        <v>656</v>
      </c>
      <c r="N66" s="1898">
        <v>718</v>
      </c>
    </row>
    <row r="67" spans="1:14" x14ac:dyDescent="0.3">
      <c r="A67" s="347" t="s">
        <v>161</v>
      </c>
      <c r="B67" s="348" t="s">
        <v>162</v>
      </c>
      <c r="C67" s="348" t="s">
        <v>251</v>
      </c>
      <c r="D67" s="349">
        <v>1784</v>
      </c>
      <c r="E67" s="349">
        <v>1952</v>
      </c>
      <c r="F67" s="349">
        <v>1990</v>
      </c>
      <c r="G67" s="349">
        <v>2018</v>
      </c>
      <c r="H67" s="349">
        <v>2015</v>
      </c>
      <c r="I67" s="881">
        <v>1911</v>
      </c>
      <c r="J67" s="1043">
        <v>1776</v>
      </c>
      <c r="K67" s="1554">
        <v>1736</v>
      </c>
      <c r="L67" s="1898">
        <v>1582</v>
      </c>
      <c r="M67" s="1898">
        <v>1538</v>
      </c>
      <c r="N67" s="1898">
        <v>1546</v>
      </c>
    </row>
    <row r="68" spans="1:14" x14ac:dyDescent="0.3">
      <c r="A68" s="347" t="s">
        <v>163</v>
      </c>
      <c r="B68" s="348" t="s">
        <v>164</v>
      </c>
      <c r="C68" s="348" t="s">
        <v>253</v>
      </c>
      <c r="D68" s="349">
        <v>941</v>
      </c>
      <c r="E68" s="349">
        <v>1031</v>
      </c>
      <c r="F68" s="349">
        <v>1101</v>
      </c>
      <c r="G68" s="349">
        <v>1179</v>
      </c>
      <c r="H68" s="349">
        <v>1201</v>
      </c>
      <c r="I68" s="881">
        <v>1150</v>
      </c>
      <c r="J68" s="1043">
        <v>1056</v>
      </c>
      <c r="K68" s="1554">
        <v>1012</v>
      </c>
      <c r="L68" s="1898">
        <v>975</v>
      </c>
      <c r="M68" s="1898">
        <v>989</v>
      </c>
      <c r="N68" s="1898">
        <v>999</v>
      </c>
    </row>
    <row r="69" spans="1:14" x14ac:dyDescent="0.3">
      <c r="A69" s="347" t="s">
        <v>167</v>
      </c>
      <c r="B69" s="348" t="s">
        <v>168</v>
      </c>
      <c r="C69" s="348" t="s">
        <v>253</v>
      </c>
      <c r="D69" s="349">
        <v>1966</v>
      </c>
      <c r="E69" s="349">
        <v>2173</v>
      </c>
      <c r="F69" s="349">
        <v>2316</v>
      </c>
      <c r="G69" s="349">
        <v>2365</v>
      </c>
      <c r="H69" s="349">
        <v>2398</v>
      </c>
      <c r="I69" s="881">
        <v>2229</v>
      </c>
      <c r="J69" s="1043">
        <v>2044</v>
      </c>
      <c r="K69" s="1554">
        <v>1969</v>
      </c>
      <c r="L69" s="1898">
        <v>1840</v>
      </c>
      <c r="M69" s="1898">
        <v>1751</v>
      </c>
      <c r="N69" s="1898">
        <v>1678</v>
      </c>
    </row>
    <row r="70" spans="1:14" x14ac:dyDescent="0.3">
      <c r="A70" s="347" t="s">
        <v>169</v>
      </c>
      <c r="B70" s="348" t="s">
        <v>170</v>
      </c>
      <c r="C70" s="348" t="s">
        <v>254</v>
      </c>
      <c r="D70" s="349">
        <v>1868</v>
      </c>
      <c r="E70" s="349">
        <v>2074</v>
      </c>
      <c r="F70" s="349">
        <v>2200</v>
      </c>
      <c r="G70" s="349">
        <v>2260</v>
      </c>
      <c r="H70" s="349">
        <v>2270</v>
      </c>
      <c r="I70" s="881">
        <v>2138</v>
      </c>
      <c r="J70" s="1043">
        <v>1995</v>
      </c>
      <c r="K70" s="1554">
        <v>1977</v>
      </c>
      <c r="L70" s="1898">
        <v>1802</v>
      </c>
      <c r="M70" s="1898">
        <v>1819</v>
      </c>
      <c r="N70" s="1898">
        <v>1901</v>
      </c>
    </row>
    <row r="71" spans="1:14" x14ac:dyDescent="0.3">
      <c r="A71" s="347" t="s">
        <v>171</v>
      </c>
      <c r="B71" s="348" t="s">
        <v>172</v>
      </c>
      <c r="C71" s="348" t="s">
        <v>254</v>
      </c>
      <c r="D71" s="349">
        <v>2111</v>
      </c>
      <c r="E71" s="349">
        <v>2293</v>
      </c>
      <c r="F71" s="349">
        <v>2468</v>
      </c>
      <c r="G71" s="349">
        <v>2488</v>
      </c>
      <c r="H71" s="349">
        <v>2463</v>
      </c>
      <c r="I71" s="881">
        <v>2344</v>
      </c>
      <c r="J71" s="1043">
        <v>2192</v>
      </c>
      <c r="K71" s="1554">
        <v>2059</v>
      </c>
      <c r="L71" s="1898">
        <v>1827</v>
      </c>
      <c r="M71" s="1898">
        <v>1793</v>
      </c>
      <c r="N71" s="1898">
        <v>1732</v>
      </c>
    </row>
    <row r="72" spans="1:14" x14ac:dyDescent="0.3">
      <c r="A72" s="347" t="s">
        <v>173</v>
      </c>
      <c r="B72" s="348" t="s">
        <v>174</v>
      </c>
      <c r="C72" s="348" t="s">
        <v>255</v>
      </c>
      <c r="D72" s="349">
        <v>2136</v>
      </c>
      <c r="E72" s="349">
        <v>2269</v>
      </c>
      <c r="F72" s="349">
        <v>2300</v>
      </c>
      <c r="G72" s="349">
        <v>2239</v>
      </c>
      <c r="H72" s="349">
        <v>2169</v>
      </c>
      <c r="I72" s="881">
        <v>2013</v>
      </c>
      <c r="J72" s="1043">
        <v>1959</v>
      </c>
      <c r="K72" s="1554">
        <v>1926</v>
      </c>
      <c r="L72" s="1898">
        <v>1723</v>
      </c>
      <c r="M72" s="1898">
        <v>1710</v>
      </c>
      <c r="N72" s="1898">
        <v>1644</v>
      </c>
    </row>
    <row r="73" spans="1:14" x14ac:dyDescent="0.3">
      <c r="A73" s="347" t="s">
        <v>177</v>
      </c>
      <c r="B73" s="348" t="s">
        <v>178</v>
      </c>
      <c r="C73" s="348" t="s">
        <v>252</v>
      </c>
      <c r="D73" s="349">
        <v>6090</v>
      </c>
      <c r="E73" s="349">
        <v>6509</v>
      </c>
      <c r="F73" s="349">
        <v>6704</v>
      </c>
      <c r="G73" s="349">
        <v>6887</v>
      </c>
      <c r="H73" s="349">
        <v>6952</v>
      </c>
      <c r="I73" s="881">
        <v>6493</v>
      </c>
      <c r="J73" s="1043">
        <v>5855</v>
      </c>
      <c r="K73" s="1554">
        <v>5857</v>
      </c>
      <c r="L73" s="1898">
        <v>5603</v>
      </c>
      <c r="M73" s="1898">
        <v>5476</v>
      </c>
      <c r="N73" s="1898">
        <v>5486</v>
      </c>
    </row>
    <row r="74" spans="1:14" x14ac:dyDescent="0.3">
      <c r="A74" s="347" t="s">
        <v>181</v>
      </c>
      <c r="B74" s="348" t="s">
        <v>182</v>
      </c>
      <c r="C74" s="348" t="s">
        <v>253</v>
      </c>
      <c r="D74" s="349">
        <v>782</v>
      </c>
      <c r="E74" s="349">
        <v>908</v>
      </c>
      <c r="F74" s="349">
        <v>1027</v>
      </c>
      <c r="G74" s="349">
        <v>1038</v>
      </c>
      <c r="H74" s="349">
        <v>1006</v>
      </c>
      <c r="I74" s="881">
        <v>912</v>
      </c>
      <c r="J74" s="1043">
        <v>827</v>
      </c>
      <c r="K74" s="1554">
        <v>787</v>
      </c>
      <c r="L74" s="1898">
        <v>746</v>
      </c>
      <c r="M74" s="1898">
        <v>736</v>
      </c>
      <c r="N74" s="1898">
        <v>796</v>
      </c>
    </row>
    <row r="75" spans="1:14" x14ac:dyDescent="0.3">
      <c r="A75" s="347" t="s">
        <v>183</v>
      </c>
      <c r="B75" s="348" t="s">
        <v>184</v>
      </c>
      <c r="C75" s="348" t="s">
        <v>253</v>
      </c>
      <c r="D75" s="349">
        <v>2091</v>
      </c>
      <c r="E75" s="349">
        <v>2302</v>
      </c>
      <c r="F75" s="349">
        <v>2434</v>
      </c>
      <c r="G75" s="349">
        <v>2492</v>
      </c>
      <c r="H75" s="349">
        <v>2471</v>
      </c>
      <c r="I75" s="881">
        <v>2329</v>
      </c>
      <c r="J75" s="1043">
        <v>2235</v>
      </c>
      <c r="K75" s="1554">
        <v>2189</v>
      </c>
      <c r="L75" s="1898">
        <v>1990</v>
      </c>
      <c r="M75" s="1898">
        <v>2007</v>
      </c>
      <c r="N75" s="1898">
        <v>2026</v>
      </c>
    </row>
    <row r="76" spans="1:14" x14ac:dyDescent="0.3">
      <c r="A76" s="347" t="s">
        <v>185</v>
      </c>
      <c r="B76" s="348" t="s">
        <v>186</v>
      </c>
      <c r="C76" s="348" t="s">
        <v>251</v>
      </c>
      <c r="D76" s="349">
        <v>1500</v>
      </c>
      <c r="E76" s="349">
        <v>1689</v>
      </c>
      <c r="F76" s="349">
        <v>1888</v>
      </c>
      <c r="G76" s="349">
        <v>2029</v>
      </c>
      <c r="H76" s="349">
        <v>2082</v>
      </c>
      <c r="I76" s="881">
        <v>2059</v>
      </c>
      <c r="J76" s="1043">
        <v>1979</v>
      </c>
      <c r="K76" s="1554">
        <v>2013</v>
      </c>
      <c r="L76" s="1898">
        <v>1829</v>
      </c>
      <c r="M76" s="1898">
        <v>1945</v>
      </c>
      <c r="N76" s="1898">
        <v>2027</v>
      </c>
    </row>
    <row r="77" spans="1:14" x14ac:dyDescent="0.3">
      <c r="A77" s="347" t="s">
        <v>187</v>
      </c>
      <c r="B77" s="348" t="s">
        <v>188</v>
      </c>
      <c r="C77" s="348" t="s">
        <v>254</v>
      </c>
      <c r="D77" s="349">
        <v>14043</v>
      </c>
      <c r="E77" s="349">
        <v>16311</v>
      </c>
      <c r="F77" s="349">
        <v>17853</v>
      </c>
      <c r="G77" s="349">
        <v>18942</v>
      </c>
      <c r="H77" s="349">
        <v>18854</v>
      </c>
      <c r="I77" s="881">
        <v>17928</v>
      </c>
      <c r="J77" s="1043">
        <v>17202</v>
      </c>
      <c r="K77" s="1554">
        <v>16575</v>
      </c>
      <c r="L77" s="1898">
        <v>14893</v>
      </c>
      <c r="M77" s="1898">
        <v>14557</v>
      </c>
      <c r="N77" s="1898">
        <v>14615</v>
      </c>
    </row>
    <row r="78" spans="1:14" x14ac:dyDescent="0.3">
      <c r="A78" s="347" t="s">
        <v>189</v>
      </c>
      <c r="B78" s="348" t="s">
        <v>190</v>
      </c>
      <c r="C78" s="348" t="s">
        <v>255</v>
      </c>
      <c r="D78" s="349">
        <v>3867</v>
      </c>
      <c r="E78" s="349">
        <v>4106</v>
      </c>
      <c r="F78" s="349">
        <v>4116</v>
      </c>
      <c r="G78" s="349">
        <v>4240</v>
      </c>
      <c r="H78" s="349">
        <v>4232</v>
      </c>
      <c r="I78" s="881">
        <v>3895</v>
      </c>
      <c r="J78" s="1043">
        <v>3694</v>
      </c>
      <c r="K78" s="1554">
        <v>3760</v>
      </c>
      <c r="L78" s="1898">
        <v>3462</v>
      </c>
      <c r="M78" s="1898">
        <v>3383</v>
      </c>
      <c r="N78" s="1898">
        <v>3324</v>
      </c>
    </row>
    <row r="79" spans="1:14" x14ac:dyDescent="0.3">
      <c r="A79" s="347" t="s">
        <v>193</v>
      </c>
      <c r="B79" s="348" t="s">
        <v>194</v>
      </c>
      <c r="C79" s="348" t="s">
        <v>254</v>
      </c>
      <c r="D79" s="349">
        <v>289</v>
      </c>
      <c r="E79" s="349">
        <v>319</v>
      </c>
      <c r="F79" s="349">
        <v>352</v>
      </c>
      <c r="G79" s="349">
        <v>331</v>
      </c>
      <c r="H79" s="349">
        <v>314</v>
      </c>
      <c r="I79" s="881">
        <v>278</v>
      </c>
      <c r="J79" s="1043">
        <v>263</v>
      </c>
      <c r="K79" s="1554">
        <v>253</v>
      </c>
      <c r="L79" s="1898">
        <v>237</v>
      </c>
      <c r="M79" s="1898">
        <v>224</v>
      </c>
      <c r="N79" s="1898">
        <v>243</v>
      </c>
    </row>
    <row r="80" spans="1:14" x14ac:dyDescent="0.3">
      <c r="A80" s="347" t="s">
        <v>197</v>
      </c>
      <c r="B80" s="348" t="s">
        <v>259</v>
      </c>
      <c r="C80" s="348" t="s">
        <v>253</v>
      </c>
      <c r="D80" s="349">
        <v>832</v>
      </c>
      <c r="E80" s="349">
        <v>906</v>
      </c>
      <c r="F80" s="349">
        <v>991</v>
      </c>
      <c r="G80" s="349">
        <v>1046</v>
      </c>
      <c r="H80" s="349">
        <v>1045</v>
      </c>
      <c r="I80" s="881">
        <v>1008</v>
      </c>
      <c r="J80" s="1043">
        <v>967</v>
      </c>
      <c r="K80" s="1554">
        <v>1008</v>
      </c>
      <c r="L80" s="1898">
        <v>915</v>
      </c>
      <c r="M80" s="1898">
        <v>910</v>
      </c>
      <c r="N80" s="1898">
        <v>872</v>
      </c>
    </row>
    <row r="81" spans="1:14" x14ac:dyDescent="0.3">
      <c r="A81" s="347" t="s">
        <v>201</v>
      </c>
      <c r="B81" s="348" t="s">
        <v>276</v>
      </c>
      <c r="C81" s="348" t="s">
        <v>252</v>
      </c>
      <c r="D81" s="349">
        <v>4776</v>
      </c>
      <c r="E81" s="349">
        <v>5353</v>
      </c>
      <c r="F81" s="349">
        <v>5575</v>
      </c>
      <c r="G81" s="349">
        <v>5785</v>
      </c>
      <c r="H81" s="349">
        <v>5809</v>
      </c>
      <c r="I81" s="881">
        <v>5639</v>
      </c>
      <c r="J81" s="1043">
        <v>5073</v>
      </c>
      <c r="K81" s="1554">
        <v>5017</v>
      </c>
      <c r="L81" s="1898">
        <v>4652</v>
      </c>
      <c r="M81" s="1898">
        <v>4466</v>
      </c>
      <c r="N81" s="1898">
        <v>4526</v>
      </c>
    </row>
    <row r="82" spans="1:14" x14ac:dyDescent="0.3">
      <c r="A82" s="347" t="s">
        <v>203</v>
      </c>
      <c r="B82" s="348" t="s">
        <v>269</v>
      </c>
      <c r="C82" s="348" t="s">
        <v>252</v>
      </c>
      <c r="D82" s="349">
        <v>2296</v>
      </c>
      <c r="E82" s="349">
        <v>2530</v>
      </c>
      <c r="F82" s="349">
        <v>2639</v>
      </c>
      <c r="G82" s="349">
        <v>2825</v>
      </c>
      <c r="H82" s="349">
        <v>2734</v>
      </c>
      <c r="I82" s="881">
        <v>2571</v>
      </c>
      <c r="J82" s="1043">
        <v>2401</v>
      </c>
      <c r="K82" s="1554">
        <v>2312</v>
      </c>
      <c r="L82" s="1898">
        <v>2095</v>
      </c>
      <c r="M82" s="1898">
        <v>2111</v>
      </c>
      <c r="N82" s="1898">
        <v>2082</v>
      </c>
    </row>
    <row r="83" spans="1:14" x14ac:dyDescent="0.3">
      <c r="A83" s="347" t="s">
        <v>205</v>
      </c>
      <c r="B83" s="348" t="s">
        <v>270</v>
      </c>
      <c r="C83" s="348" t="s">
        <v>254</v>
      </c>
      <c r="D83" s="349">
        <v>6465</v>
      </c>
      <c r="E83" s="349">
        <v>7328</v>
      </c>
      <c r="F83" s="349">
        <v>7570</v>
      </c>
      <c r="G83" s="349">
        <v>8023</v>
      </c>
      <c r="H83" s="349">
        <v>7624</v>
      </c>
      <c r="I83" s="881">
        <v>6988</v>
      </c>
      <c r="J83" s="1043">
        <v>6379</v>
      </c>
      <c r="K83" s="1554">
        <v>6113</v>
      </c>
      <c r="L83" s="1898">
        <v>5431</v>
      </c>
      <c r="M83" s="1898">
        <v>5325</v>
      </c>
      <c r="N83" s="1898">
        <v>5289</v>
      </c>
    </row>
    <row r="84" spans="1:14" x14ac:dyDescent="0.3">
      <c r="A84" s="347" t="s">
        <v>207</v>
      </c>
      <c r="B84" s="348" t="s">
        <v>208</v>
      </c>
      <c r="C84" s="348" t="s">
        <v>255</v>
      </c>
      <c r="D84" s="349">
        <v>3463</v>
      </c>
      <c r="E84" s="349">
        <v>3622</v>
      </c>
      <c r="F84" s="349">
        <v>3630</v>
      </c>
      <c r="G84" s="349">
        <v>3728</v>
      </c>
      <c r="H84" s="349">
        <v>3879</v>
      </c>
      <c r="I84" s="881">
        <v>3718</v>
      </c>
      <c r="J84" s="1043">
        <v>3559</v>
      </c>
      <c r="K84" s="1554">
        <v>3623</v>
      </c>
      <c r="L84" s="1898">
        <v>3368</v>
      </c>
      <c r="M84" s="1898">
        <v>3320</v>
      </c>
      <c r="N84" s="1898">
        <v>3358</v>
      </c>
    </row>
    <row r="85" spans="1:14" x14ac:dyDescent="0.3">
      <c r="A85" s="347" t="s">
        <v>209</v>
      </c>
      <c r="B85" s="348" t="s">
        <v>210</v>
      </c>
      <c r="C85" s="348" t="s">
        <v>255</v>
      </c>
      <c r="D85" s="349">
        <v>2074</v>
      </c>
      <c r="E85" s="349">
        <v>2253</v>
      </c>
      <c r="F85" s="349">
        <v>2392</v>
      </c>
      <c r="G85" s="349">
        <v>2488</v>
      </c>
      <c r="H85" s="349">
        <v>2526</v>
      </c>
      <c r="I85" s="881">
        <v>2328</v>
      </c>
      <c r="J85" s="1043">
        <v>2298</v>
      </c>
      <c r="K85" s="1554">
        <v>2336</v>
      </c>
      <c r="L85" s="1898">
        <v>2172</v>
      </c>
      <c r="M85" s="1898">
        <v>2116</v>
      </c>
      <c r="N85" s="1898">
        <v>2147</v>
      </c>
    </row>
    <row r="86" spans="1:14" x14ac:dyDescent="0.3">
      <c r="A86" s="347" t="s">
        <v>211</v>
      </c>
      <c r="B86" s="348" t="s">
        <v>212</v>
      </c>
      <c r="C86" s="348" t="s">
        <v>254</v>
      </c>
      <c r="D86" s="349">
        <v>2807</v>
      </c>
      <c r="E86" s="349">
        <v>3056</v>
      </c>
      <c r="F86" s="349">
        <v>3339</v>
      </c>
      <c r="G86" s="349">
        <v>3472</v>
      </c>
      <c r="H86" s="349">
        <v>3427</v>
      </c>
      <c r="I86" s="881">
        <v>3226</v>
      </c>
      <c r="J86" s="1043">
        <v>3050</v>
      </c>
      <c r="K86" s="1554">
        <v>2956</v>
      </c>
      <c r="L86" s="1898">
        <v>2631</v>
      </c>
      <c r="M86" s="1898">
        <v>2660</v>
      </c>
      <c r="N86" s="1898">
        <v>2669</v>
      </c>
    </row>
    <row r="87" spans="1:14" x14ac:dyDescent="0.3">
      <c r="A87" s="347" t="s">
        <v>213</v>
      </c>
      <c r="B87" s="348" t="s">
        <v>214</v>
      </c>
      <c r="C87" s="348" t="s">
        <v>255</v>
      </c>
      <c r="D87" s="349">
        <v>3793</v>
      </c>
      <c r="E87" s="349">
        <v>4120</v>
      </c>
      <c r="F87" s="349">
        <v>4223</v>
      </c>
      <c r="G87" s="349">
        <v>4276</v>
      </c>
      <c r="H87" s="349">
        <v>4221</v>
      </c>
      <c r="I87" s="881">
        <v>4055</v>
      </c>
      <c r="J87" s="1043">
        <v>3961</v>
      </c>
      <c r="K87" s="1554">
        <v>3985</v>
      </c>
      <c r="L87" s="1898">
        <v>3711</v>
      </c>
      <c r="M87" s="1898">
        <v>3672</v>
      </c>
      <c r="N87" s="1898">
        <v>3656</v>
      </c>
    </row>
    <row r="88" spans="1:14" x14ac:dyDescent="0.3">
      <c r="A88" s="347" t="s">
        <v>215</v>
      </c>
      <c r="B88" s="348" t="s">
        <v>216</v>
      </c>
      <c r="C88" s="348" t="s">
        <v>251</v>
      </c>
      <c r="D88" s="349">
        <v>1764</v>
      </c>
      <c r="E88" s="349">
        <v>1898</v>
      </c>
      <c r="F88" s="349">
        <v>2019</v>
      </c>
      <c r="G88" s="349">
        <v>2066</v>
      </c>
      <c r="H88" s="349">
        <v>2052</v>
      </c>
      <c r="I88" s="881">
        <v>1974</v>
      </c>
      <c r="J88" s="1043">
        <v>1874</v>
      </c>
      <c r="K88" s="1554">
        <v>1850</v>
      </c>
      <c r="L88" s="1898">
        <v>1642</v>
      </c>
      <c r="M88" s="1898">
        <v>1542</v>
      </c>
      <c r="N88" s="1898">
        <v>1547</v>
      </c>
    </row>
    <row r="89" spans="1:14" x14ac:dyDescent="0.3">
      <c r="A89" s="347" t="s">
        <v>217</v>
      </c>
      <c r="B89" s="348" t="s">
        <v>218</v>
      </c>
      <c r="C89" s="348" t="s">
        <v>254</v>
      </c>
      <c r="D89" s="349">
        <v>5882</v>
      </c>
      <c r="E89" s="349">
        <v>6858</v>
      </c>
      <c r="F89" s="349">
        <v>7324</v>
      </c>
      <c r="G89" s="349">
        <v>7643</v>
      </c>
      <c r="H89" s="349">
        <v>7742</v>
      </c>
      <c r="I89" s="881">
        <v>7239</v>
      </c>
      <c r="J89" s="1043">
        <v>6928</v>
      </c>
      <c r="K89" s="1554">
        <v>6745</v>
      </c>
      <c r="L89" s="1898">
        <v>6108</v>
      </c>
      <c r="M89" s="1898">
        <v>6119</v>
      </c>
      <c r="N89" s="1898">
        <v>6387</v>
      </c>
    </row>
    <row r="90" spans="1:14" x14ac:dyDescent="0.3">
      <c r="A90" s="347" t="s">
        <v>219</v>
      </c>
      <c r="B90" s="348" t="s">
        <v>220</v>
      </c>
      <c r="C90" s="348" t="s">
        <v>254</v>
      </c>
      <c r="D90" s="349">
        <v>4769</v>
      </c>
      <c r="E90" s="349">
        <v>5372</v>
      </c>
      <c r="F90" s="349">
        <v>5754</v>
      </c>
      <c r="G90" s="349">
        <v>6135</v>
      </c>
      <c r="H90" s="349">
        <v>6209</v>
      </c>
      <c r="I90" s="881">
        <v>5818</v>
      </c>
      <c r="J90" s="1043">
        <v>5330</v>
      </c>
      <c r="K90" s="1554">
        <v>5243</v>
      </c>
      <c r="L90" s="1898">
        <v>4663</v>
      </c>
      <c r="M90" s="1898">
        <v>4897</v>
      </c>
      <c r="N90" s="1898">
        <v>5307</v>
      </c>
    </row>
    <row r="91" spans="1:14" x14ac:dyDescent="0.3">
      <c r="A91" s="347" t="s">
        <v>223</v>
      </c>
      <c r="B91" s="348" t="s">
        <v>224</v>
      </c>
      <c r="C91" s="348" t="s">
        <v>251</v>
      </c>
      <c r="D91" s="349">
        <v>624</v>
      </c>
      <c r="E91" s="349">
        <v>701</v>
      </c>
      <c r="F91" s="349">
        <v>713</v>
      </c>
      <c r="G91" s="349">
        <v>784</v>
      </c>
      <c r="H91" s="349">
        <v>759</v>
      </c>
      <c r="I91" s="881">
        <v>723</v>
      </c>
      <c r="J91" s="1043">
        <v>681</v>
      </c>
      <c r="K91" s="1554">
        <v>683</v>
      </c>
      <c r="L91" s="1898">
        <v>609</v>
      </c>
      <c r="M91" s="1898">
        <v>605</v>
      </c>
      <c r="N91" s="1898">
        <v>613</v>
      </c>
    </row>
    <row r="92" spans="1:14" x14ac:dyDescent="0.3">
      <c r="A92" s="347" t="s">
        <v>225</v>
      </c>
      <c r="B92" s="348" t="s">
        <v>226</v>
      </c>
      <c r="C92" s="348" t="s">
        <v>251</v>
      </c>
      <c r="D92" s="349">
        <v>1157</v>
      </c>
      <c r="E92" s="349">
        <v>1238</v>
      </c>
      <c r="F92" s="349">
        <v>1281</v>
      </c>
      <c r="G92" s="349">
        <v>1333</v>
      </c>
      <c r="H92" s="349">
        <v>1367</v>
      </c>
      <c r="I92" s="881">
        <v>1334</v>
      </c>
      <c r="J92" s="1043">
        <v>1262</v>
      </c>
      <c r="K92" s="1554">
        <v>1240</v>
      </c>
      <c r="L92" s="1898">
        <v>1108</v>
      </c>
      <c r="M92" s="1898">
        <v>1129</v>
      </c>
      <c r="N92" s="1898">
        <v>1173</v>
      </c>
    </row>
    <row r="93" spans="1:14" x14ac:dyDescent="0.3">
      <c r="A93" s="347" t="s">
        <v>227</v>
      </c>
      <c r="B93" s="348" t="s">
        <v>228</v>
      </c>
      <c r="C93" s="348" t="s">
        <v>255</v>
      </c>
      <c r="D93" s="349">
        <v>4507</v>
      </c>
      <c r="E93" s="349">
        <v>4753</v>
      </c>
      <c r="F93" s="349">
        <v>5009</v>
      </c>
      <c r="G93" s="349">
        <v>5487</v>
      </c>
      <c r="H93" s="349">
        <v>5723</v>
      </c>
      <c r="I93" s="881">
        <v>5591</v>
      </c>
      <c r="J93" s="1043">
        <v>5363</v>
      </c>
      <c r="K93" s="1554">
        <v>5400</v>
      </c>
      <c r="L93" s="1898">
        <v>4983</v>
      </c>
      <c r="M93" s="1898">
        <v>4861</v>
      </c>
      <c r="N93" s="1898">
        <v>4894</v>
      </c>
    </row>
    <row r="94" spans="1:14" x14ac:dyDescent="0.3">
      <c r="A94" s="347" t="s">
        <v>231</v>
      </c>
      <c r="B94" s="348" t="s">
        <v>232</v>
      </c>
      <c r="C94" s="348" t="s">
        <v>254</v>
      </c>
      <c r="D94" s="349">
        <v>2792</v>
      </c>
      <c r="E94" s="349">
        <v>3104</v>
      </c>
      <c r="F94" s="349">
        <v>3241</v>
      </c>
      <c r="G94" s="349">
        <v>3377</v>
      </c>
      <c r="H94" s="349">
        <v>3289</v>
      </c>
      <c r="I94" s="881">
        <v>3091</v>
      </c>
      <c r="J94" s="1043">
        <v>2785</v>
      </c>
      <c r="K94" s="1554">
        <v>2663</v>
      </c>
      <c r="L94" s="1898">
        <v>2480</v>
      </c>
      <c r="M94" s="1898">
        <v>2439</v>
      </c>
      <c r="N94" s="1898">
        <v>2378</v>
      </c>
    </row>
    <row r="95" spans="1:14" x14ac:dyDescent="0.3">
      <c r="A95" s="347" t="s">
        <v>233</v>
      </c>
      <c r="B95" s="348" t="s">
        <v>234</v>
      </c>
      <c r="C95" s="348" t="s">
        <v>255</v>
      </c>
      <c r="D95" s="349">
        <v>4261</v>
      </c>
      <c r="E95" s="349">
        <v>4638</v>
      </c>
      <c r="F95" s="349">
        <v>4819</v>
      </c>
      <c r="G95" s="349">
        <v>4965</v>
      </c>
      <c r="H95" s="349">
        <v>5039</v>
      </c>
      <c r="I95" s="881">
        <v>4911</v>
      </c>
      <c r="J95" s="1043">
        <v>4692</v>
      </c>
      <c r="K95" s="1554">
        <v>4721</v>
      </c>
      <c r="L95" s="1898">
        <v>4294</v>
      </c>
      <c r="M95" s="1898">
        <v>4137</v>
      </c>
      <c r="N95" s="1898">
        <v>4086</v>
      </c>
    </row>
    <row r="96" spans="1:14" x14ac:dyDescent="0.3">
      <c r="A96" s="347" t="s">
        <v>235</v>
      </c>
      <c r="B96" s="348" t="s">
        <v>236</v>
      </c>
      <c r="C96" s="348" t="s">
        <v>253</v>
      </c>
      <c r="D96" s="349">
        <v>1681</v>
      </c>
      <c r="E96" s="349">
        <v>1915</v>
      </c>
      <c r="F96" s="349">
        <v>2084</v>
      </c>
      <c r="G96" s="349">
        <v>2175</v>
      </c>
      <c r="H96" s="349">
        <v>2138</v>
      </c>
      <c r="I96" s="881">
        <v>2103</v>
      </c>
      <c r="J96" s="1043">
        <v>1976</v>
      </c>
      <c r="K96" s="1554">
        <v>1929</v>
      </c>
      <c r="L96" s="1898">
        <v>1805</v>
      </c>
      <c r="M96" s="1898">
        <v>1817</v>
      </c>
      <c r="N96" s="1898">
        <v>1864</v>
      </c>
    </row>
    <row r="97" spans="1:14" x14ac:dyDescent="0.3">
      <c r="A97" s="347" t="s">
        <v>241</v>
      </c>
      <c r="B97" s="348" t="s">
        <v>242</v>
      </c>
      <c r="C97" s="348" t="s">
        <v>255</v>
      </c>
      <c r="D97" s="349">
        <v>5105</v>
      </c>
      <c r="E97" s="349">
        <v>5342</v>
      </c>
      <c r="F97" s="349">
        <v>5541</v>
      </c>
      <c r="G97" s="349">
        <v>5751</v>
      </c>
      <c r="H97" s="349">
        <v>5907</v>
      </c>
      <c r="I97" s="881">
        <v>5409</v>
      </c>
      <c r="J97" s="1043">
        <v>5085</v>
      </c>
      <c r="K97" s="1554">
        <v>5181</v>
      </c>
      <c r="L97" s="1898">
        <v>4738</v>
      </c>
      <c r="M97" s="1898">
        <v>4666</v>
      </c>
      <c r="N97" s="1898">
        <v>4663</v>
      </c>
    </row>
    <row r="98" spans="1:14" x14ac:dyDescent="0.3">
      <c r="A98" s="347" t="s">
        <v>243</v>
      </c>
      <c r="B98" s="348" t="s">
        <v>244</v>
      </c>
      <c r="C98" s="348" t="s">
        <v>255</v>
      </c>
      <c r="D98" s="349">
        <v>2898</v>
      </c>
      <c r="E98" s="349">
        <v>3113</v>
      </c>
      <c r="F98" s="349">
        <v>3099</v>
      </c>
      <c r="G98" s="349">
        <v>3067</v>
      </c>
      <c r="H98" s="349">
        <v>3037</v>
      </c>
      <c r="I98" s="881">
        <v>2824</v>
      </c>
      <c r="J98" s="1043">
        <v>2682</v>
      </c>
      <c r="K98" s="1554">
        <v>2737</v>
      </c>
      <c r="L98" s="1898">
        <v>2620</v>
      </c>
      <c r="M98" s="1898">
        <v>2551</v>
      </c>
      <c r="N98" s="1898">
        <v>2622</v>
      </c>
    </row>
    <row r="99" spans="1:14" x14ac:dyDescent="0.3">
      <c r="A99" s="347" t="s">
        <v>245</v>
      </c>
      <c r="B99" s="348" t="s">
        <v>246</v>
      </c>
      <c r="C99" s="348" t="s">
        <v>251</v>
      </c>
      <c r="D99" s="349">
        <v>1734</v>
      </c>
      <c r="E99" s="349">
        <v>2112</v>
      </c>
      <c r="F99" s="349">
        <v>2299</v>
      </c>
      <c r="G99" s="349">
        <v>2378</v>
      </c>
      <c r="H99" s="349">
        <v>2449</v>
      </c>
      <c r="I99" s="881">
        <v>2328</v>
      </c>
      <c r="J99" s="1043">
        <v>2132</v>
      </c>
      <c r="K99" s="1554">
        <v>2030</v>
      </c>
      <c r="L99" s="1898">
        <v>1814</v>
      </c>
      <c r="M99" s="1898">
        <v>1780</v>
      </c>
      <c r="N99" s="1898">
        <v>1846</v>
      </c>
    </row>
    <row r="100" spans="1:14" x14ac:dyDescent="0.3">
      <c r="A100" s="347" t="s">
        <v>13</v>
      </c>
      <c r="B100" s="348" t="s">
        <v>14</v>
      </c>
      <c r="C100" s="348" t="s">
        <v>254</v>
      </c>
      <c r="D100" s="349">
        <v>5821</v>
      </c>
      <c r="E100" s="349">
        <v>6395</v>
      </c>
      <c r="F100" s="349">
        <v>6643</v>
      </c>
      <c r="G100" s="349">
        <v>6784</v>
      </c>
      <c r="H100" s="349">
        <v>6548</v>
      </c>
      <c r="I100" s="881">
        <v>6312</v>
      </c>
      <c r="J100" s="1043">
        <v>6360</v>
      </c>
      <c r="K100" s="1554">
        <v>6692</v>
      </c>
      <c r="L100" s="1898">
        <v>6248</v>
      </c>
      <c r="M100" s="1898">
        <v>5987</v>
      </c>
      <c r="N100" s="1898">
        <v>6069</v>
      </c>
    </row>
    <row r="101" spans="1:14" x14ac:dyDescent="0.3">
      <c r="A101" s="347" t="s">
        <v>33</v>
      </c>
      <c r="B101" s="348" t="s">
        <v>34</v>
      </c>
      <c r="C101" s="348" t="s">
        <v>255</v>
      </c>
      <c r="D101" s="349">
        <v>3110</v>
      </c>
      <c r="E101" s="349">
        <v>3251</v>
      </c>
      <c r="F101" s="349">
        <v>3366</v>
      </c>
      <c r="G101" s="349">
        <v>3489</v>
      </c>
      <c r="H101" s="349">
        <v>3393</v>
      </c>
      <c r="I101" s="881">
        <v>3139</v>
      </c>
      <c r="J101" s="1043">
        <v>2971</v>
      </c>
      <c r="K101" s="1554">
        <v>2978</v>
      </c>
      <c r="L101" s="1898">
        <v>2818</v>
      </c>
      <c r="M101" s="1898">
        <v>2835</v>
      </c>
      <c r="N101" s="1898">
        <v>2889</v>
      </c>
    </row>
    <row r="102" spans="1:14" x14ac:dyDescent="0.3">
      <c r="A102" s="347" t="s">
        <v>51</v>
      </c>
      <c r="B102" s="348" t="s">
        <v>52</v>
      </c>
      <c r="C102" s="348" t="s">
        <v>252</v>
      </c>
      <c r="D102" s="349">
        <v>4024</v>
      </c>
      <c r="E102" s="349">
        <v>4317</v>
      </c>
      <c r="F102" s="349">
        <v>4456</v>
      </c>
      <c r="G102" s="349">
        <v>4490</v>
      </c>
      <c r="H102" s="349">
        <v>4166</v>
      </c>
      <c r="I102" s="881">
        <v>3818</v>
      </c>
      <c r="J102" s="1043">
        <v>3326</v>
      </c>
      <c r="K102" s="1554">
        <v>3300</v>
      </c>
      <c r="L102" s="1898">
        <v>2941</v>
      </c>
      <c r="M102" s="1898">
        <v>2892</v>
      </c>
      <c r="N102" s="1898">
        <v>2973</v>
      </c>
    </row>
    <row r="103" spans="1:14" x14ac:dyDescent="0.3">
      <c r="A103" s="347" t="s">
        <v>53</v>
      </c>
      <c r="B103" s="348" t="s">
        <v>54</v>
      </c>
      <c r="C103" s="348" t="s">
        <v>251</v>
      </c>
      <c r="D103" s="349">
        <v>12332</v>
      </c>
      <c r="E103" s="349">
        <v>14069</v>
      </c>
      <c r="F103" s="349">
        <v>15247</v>
      </c>
      <c r="G103" s="349">
        <v>16025</v>
      </c>
      <c r="H103" s="349">
        <v>16298</v>
      </c>
      <c r="I103" s="881">
        <v>15492</v>
      </c>
      <c r="J103" s="1043">
        <v>14513</v>
      </c>
      <c r="K103" s="1554">
        <v>13833</v>
      </c>
      <c r="L103" s="1898">
        <v>12368</v>
      </c>
      <c r="M103" s="1898">
        <v>12607</v>
      </c>
      <c r="N103" s="1898">
        <v>12898</v>
      </c>
    </row>
    <row r="104" spans="1:14" x14ac:dyDescent="0.3">
      <c r="A104" s="347" t="s">
        <v>65</v>
      </c>
      <c r="B104" s="348" t="s">
        <v>66</v>
      </c>
      <c r="C104" s="348" t="s">
        <v>252</v>
      </c>
      <c r="D104" s="349">
        <v>8375</v>
      </c>
      <c r="E104" s="349">
        <v>8882</v>
      </c>
      <c r="F104" s="349">
        <v>9292</v>
      </c>
      <c r="G104" s="349">
        <v>9343</v>
      </c>
      <c r="H104" s="349">
        <v>9397</v>
      </c>
      <c r="I104" s="881">
        <v>8999</v>
      </c>
      <c r="J104" s="1043">
        <v>8474</v>
      </c>
      <c r="K104" s="1554">
        <v>8552</v>
      </c>
      <c r="L104" s="1898">
        <v>8112</v>
      </c>
      <c r="M104" s="1898">
        <v>8052</v>
      </c>
      <c r="N104" s="1898">
        <v>8279</v>
      </c>
    </row>
    <row r="105" spans="1:14" x14ac:dyDescent="0.3">
      <c r="A105" s="347" t="s">
        <v>81</v>
      </c>
      <c r="B105" s="348" t="s">
        <v>82</v>
      </c>
      <c r="C105" s="348" t="s">
        <v>251</v>
      </c>
      <c r="D105" s="349">
        <v>1529</v>
      </c>
      <c r="E105" s="349">
        <v>1710</v>
      </c>
      <c r="F105" s="349">
        <v>1800</v>
      </c>
      <c r="G105" s="349">
        <v>1838</v>
      </c>
      <c r="H105" s="349">
        <v>1794</v>
      </c>
      <c r="I105" s="881">
        <v>1765</v>
      </c>
      <c r="J105" s="1043">
        <v>1722</v>
      </c>
      <c r="K105" s="1554">
        <v>1724</v>
      </c>
      <c r="L105" s="1898">
        <v>1584</v>
      </c>
      <c r="M105" s="1898">
        <v>1528</v>
      </c>
      <c r="N105" s="1898">
        <v>1533</v>
      </c>
    </row>
    <row r="106" spans="1:14" x14ac:dyDescent="0.3">
      <c r="A106" s="347" t="s">
        <v>87</v>
      </c>
      <c r="B106" s="348" t="s">
        <v>88</v>
      </c>
      <c r="C106" s="348" t="s">
        <v>254</v>
      </c>
      <c r="D106" s="349">
        <v>2929</v>
      </c>
      <c r="E106" s="349">
        <v>3363</v>
      </c>
      <c r="F106" s="349">
        <v>3671</v>
      </c>
      <c r="G106" s="349">
        <v>3716</v>
      </c>
      <c r="H106" s="349">
        <v>3647</v>
      </c>
      <c r="I106" s="881">
        <v>3396</v>
      </c>
      <c r="J106" s="1043">
        <v>3011</v>
      </c>
      <c r="K106" s="1554">
        <v>2914</v>
      </c>
      <c r="L106" s="1898">
        <v>2728</v>
      </c>
      <c r="M106" s="1898">
        <v>2850</v>
      </c>
      <c r="N106" s="1898">
        <v>2967</v>
      </c>
    </row>
    <row r="107" spans="1:14" x14ac:dyDescent="0.3">
      <c r="A107" s="347" t="s">
        <v>89</v>
      </c>
      <c r="B107" s="348" t="s">
        <v>90</v>
      </c>
      <c r="C107" s="348" t="s">
        <v>255</v>
      </c>
      <c r="D107" s="349">
        <v>1292</v>
      </c>
      <c r="E107" s="349">
        <v>1330</v>
      </c>
      <c r="F107" s="349">
        <v>1374</v>
      </c>
      <c r="G107" s="349">
        <v>1383</v>
      </c>
      <c r="H107" s="349">
        <v>1406</v>
      </c>
      <c r="I107" s="881">
        <v>1322</v>
      </c>
      <c r="J107" s="1043">
        <v>1275</v>
      </c>
      <c r="K107" s="1554">
        <v>1252</v>
      </c>
      <c r="L107" s="1898">
        <v>1124</v>
      </c>
      <c r="M107" s="1898">
        <v>1155</v>
      </c>
      <c r="N107" s="1898">
        <v>1088</v>
      </c>
    </row>
    <row r="108" spans="1:14" x14ac:dyDescent="0.3">
      <c r="A108" s="347" t="s">
        <v>105</v>
      </c>
      <c r="B108" s="348" t="s">
        <v>106</v>
      </c>
      <c r="C108" s="348" t="s">
        <v>251</v>
      </c>
      <c r="D108" s="349">
        <v>11567</v>
      </c>
      <c r="E108" s="349">
        <v>13629</v>
      </c>
      <c r="F108" s="349">
        <v>15200</v>
      </c>
      <c r="G108" s="349">
        <v>16168</v>
      </c>
      <c r="H108" s="349">
        <v>16029</v>
      </c>
      <c r="I108" s="881">
        <v>14769</v>
      </c>
      <c r="J108" s="1043">
        <v>13871</v>
      </c>
      <c r="K108" s="1554">
        <v>13809</v>
      </c>
      <c r="L108" s="1898">
        <v>12844</v>
      </c>
      <c r="M108" s="1898">
        <v>13000</v>
      </c>
      <c r="N108" s="1898">
        <v>13460</v>
      </c>
    </row>
    <row r="109" spans="1:14" x14ac:dyDescent="0.3">
      <c r="A109" s="347" t="s">
        <v>115</v>
      </c>
      <c r="B109" s="348" t="s">
        <v>116</v>
      </c>
      <c r="C109" s="348" t="s">
        <v>253</v>
      </c>
      <c r="D109" s="349">
        <v>3873</v>
      </c>
      <c r="E109" s="349">
        <v>4261</v>
      </c>
      <c r="F109" s="349">
        <v>4463</v>
      </c>
      <c r="G109" s="349">
        <v>4585</v>
      </c>
      <c r="H109" s="349">
        <v>4620</v>
      </c>
      <c r="I109" s="881">
        <v>4561</v>
      </c>
      <c r="J109" s="1043">
        <v>4408</v>
      </c>
      <c r="K109" s="1554">
        <v>4558</v>
      </c>
      <c r="L109" s="1898">
        <v>4210</v>
      </c>
      <c r="M109" s="1898">
        <v>4245</v>
      </c>
      <c r="N109" s="1898">
        <v>4207</v>
      </c>
    </row>
    <row r="110" spans="1:14" x14ac:dyDescent="0.3">
      <c r="A110" s="347" t="s">
        <v>137</v>
      </c>
      <c r="B110" s="348" t="s">
        <v>138</v>
      </c>
      <c r="C110" s="348" t="s">
        <v>252</v>
      </c>
      <c r="D110" s="349">
        <v>7486</v>
      </c>
      <c r="E110" s="349">
        <v>8308</v>
      </c>
      <c r="F110" s="349">
        <v>9129</v>
      </c>
      <c r="G110" s="349">
        <v>9642</v>
      </c>
      <c r="H110" s="349">
        <v>9599</v>
      </c>
      <c r="I110" s="881">
        <v>8968</v>
      </c>
      <c r="J110" s="1043">
        <v>7939</v>
      </c>
      <c r="K110" s="1554">
        <v>7760</v>
      </c>
      <c r="L110" s="1898">
        <v>7170</v>
      </c>
      <c r="M110" s="1898">
        <v>7152</v>
      </c>
      <c r="N110" s="1898">
        <v>7427</v>
      </c>
    </row>
    <row r="111" spans="1:14" x14ac:dyDescent="0.3">
      <c r="A111" s="347" t="s">
        <v>141</v>
      </c>
      <c r="B111" s="348" t="s">
        <v>142</v>
      </c>
      <c r="C111" s="348" t="s">
        <v>254</v>
      </c>
      <c r="D111" s="349">
        <v>2281</v>
      </c>
      <c r="E111" s="349">
        <v>2544</v>
      </c>
      <c r="F111" s="349">
        <v>2632</v>
      </c>
      <c r="G111" s="349">
        <v>2721</v>
      </c>
      <c r="H111" s="349">
        <v>2730</v>
      </c>
      <c r="I111" s="881">
        <v>2596</v>
      </c>
      <c r="J111" s="1043">
        <v>2408</v>
      </c>
      <c r="K111" s="1554">
        <v>2309</v>
      </c>
      <c r="L111" s="1898">
        <v>1966</v>
      </c>
      <c r="M111" s="1898">
        <v>1846</v>
      </c>
      <c r="N111" s="1898">
        <v>1851</v>
      </c>
    </row>
    <row r="112" spans="1:14" x14ac:dyDescent="0.3">
      <c r="A112" s="347" t="s">
        <v>143</v>
      </c>
      <c r="B112" s="348" t="s">
        <v>144</v>
      </c>
      <c r="C112" s="348" t="s">
        <v>254</v>
      </c>
      <c r="D112" s="349">
        <v>785</v>
      </c>
      <c r="E112" s="349">
        <v>815</v>
      </c>
      <c r="F112" s="349">
        <v>804</v>
      </c>
      <c r="G112" s="349">
        <v>842</v>
      </c>
      <c r="H112" s="349">
        <v>806</v>
      </c>
      <c r="I112" s="881">
        <v>787</v>
      </c>
      <c r="J112" s="1043">
        <v>791</v>
      </c>
      <c r="K112" s="1554">
        <v>760</v>
      </c>
      <c r="L112" s="1898">
        <v>647</v>
      </c>
      <c r="M112" s="1898">
        <v>607</v>
      </c>
      <c r="N112" s="1898">
        <v>609</v>
      </c>
    </row>
    <row r="113" spans="1:14" x14ac:dyDescent="0.3">
      <c r="A113" s="347" t="s">
        <v>157</v>
      </c>
      <c r="B113" s="348" t="s">
        <v>158</v>
      </c>
      <c r="C113" s="348" t="s">
        <v>251</v>
      </c>
      <c r="D113" s="349">
        <v>20051</v>
      </c>
      <c r="E113" s="349">
        <v>22847</v>
      </c>
      <c r="F113" s="349">
        <v>24251</v>
      </c>
      <c r="G113" s="349">
        <v>25250</v>
      </c>
      <c r="H113" s="349">
        <v>25153</v>
      </c>
      <c r="I113" s="881">
        <v>23667</v>
      </c>
      <c r="J113" s="1043">
        <v>22320</v>
      </c>
      <c r="K113" s="1554">
        <v>21815</v>
      </c>
      <c r="L113" s="1898">
        <v>19576</v>
      </c>
      <c r="M113" s="1898">
        <v>19617</v>
      </c>
      <c r="N113" s="1898">
        <v>20212</v>
      </c>
    </row>
    <row r="114" spans="1:14" x14ac:dyDescent="0.3">
      <c r="A114" s="347" t="s">
        <v>159</v>
      </c>
      <c r="B114" s="348" t="s">
        <v>160</v>
      </c>
      <c r="C114" s="348" t="s">
        <v>251</v>
      </c>
      <c r="D114" s="349">
        <v>28751</v>
      </c>
      <c r="E114" s="349">
        <v>31649</v>
      </c>
      <c r="F114" s="349">
        <v>33699</v>
      </c>
      <c r="G114" s="349">
        <v>35035</v>
      </c>
      <c r="H114" s="349">
        <v>34612</v>
      </c>
      <c r="I114" s="881">
        <v>32195</v>
      </c>
      <c r="J114" s="1043">
        <v>29513</v>
      </c>
      <c r="K114" s="1554">
        <v>28318</v>
      </c>
      <c r="L114" s="1898">
        <v>24748</v>
      </c>
      <c r="M114" s="1898">
        <v>24526</v>
      </c>
      <c r="N114" s="1898">
        <v>25203</v>
      </c>
    </row>
    <row r="115" spans="1:14" x14ac:dyDescent="0.3">
      <c r="A115" s="347" t="s">
        <v>165</v>
      </c>
      <c r="B115" s="348" t="s">
        <v>166</v>
      </c>
      <c r="C115" s="348" t="s">
        <v>255</v>
      </c>
      <c r="D115" s="349">
        <v>711</v>
      </c>
      <c r="E115" s="349">
        <v>754</v>
      </c>
      <c r="F115" s="349">
        <v>800</v>
      </c>
      <c r="G115" s="349">
        <v>794</v>
      </c>
      <c r="H115" s="349">
        <v>802</v>
      </c>
      <c r="I115" s="881">
        <v>749</v>
      </c>
      <c r="J115" s="1043">
        <v>756</v>
      </c>
      <c r="K115" s="1554">
        <v>750</v>
      </c>
      <c r="L115" s="1898">
        <v>659</v>
      </c>
      <c r="M115" s="1898">
        <v>666</v>
      </c>
      <c r="N115" s="1898">
        <v>675</v>
      </c>
    </row>
    <row r="116" spans="1:14" x14ac:dyDescent="0.3">
      <c r="A116" s="347" t="s">
        <v>175</v>
      </c>
      <c r="B116" s="348" t="s">
        <v>176</v>
      </c>
      <c r="C116" s="348" t="s">
        <v>253</v>
      </c>
      <c r="D116" s="349">
        <v>7241</v>
      </c>
      <c r="E116" s="349">
        <v>7908</v>
      </c>
      <c r="F116" s="349">
        <v>8245</v>
      </c>
      <c r="G116" s="349">
        <v>8488</v>
      </c>
      <c r="H116" s="349">
        <v>8469</v>
      </c>
      <c r="I116" s="881">
        <v>8084</v>
      </c>
      <c r="J116" s="1043">
        <v>7714</v>
      </c>
      <c r="K116" s="1554">
        <v>7620</v>
      </c>
      <c r="L116" s="1898">
        <v>7218</v>
      </c>
      <c r="M116" s="1898">
        <v>7323</v>
      </c>
      <c r="N116" s="1898">
        <v>7535</v>
      </c>
    </row>
    <row r="117" spans="1:14" x14ac:dyDescent="0.3">
      <c r="A117" s="347" t="s">
        <v>179</v>
      </c>
      <c r="B117" s="348" t="s">
        <v>180</v>
      </c>
      <c r="C117" s="348" t="s">
        <v>251</v>
      </c>
      <c r="D117" s="349">
        <v>13061</v>
      </c>
      <c r="E117" s="349">
        <v>14589</v>
      </c>
      <c r="F117" s="349">
        <v>15729</v>
      </c>
      <c r="G117" s="349">
        <v>16464</v>
      </c>
      <c r="H117" s="349">
        <v>16155</v>
      </c>
      <c r="I117" s="881">
        <v>15204</v>
      </c>
      <c r="J117" s="1043">
        <v>14244</v>
      </c>
      <c r="K117" s="1554">
        <v>14553</v>
      </c>
      <c r="L117" s="1898">
        <v>13224</v>
      </c>
      <c r="M117" s="1898">
        <v>13386</v>
      </c>
      <c r="N117" s="1898">
        <v>14020</v>
      </c>
    </row>
    <row r="118" spans="1:14" x14ac:dyDescent="0.3">
      <c r="A118" s="347" t="s">
        <v>191</v>
      </c>
      <c r="B118" s="348" t="s">
        <v>192</v>
      </c>
      <c r="C118" s="348" t="s">
        <v>255</v>
      </c>
      <c r="D118" s="349">
        <v>1276</v>
      </c>
      <c r="E118" s="349">
        <v>1281</v>
      </c>
      <c r="F118" s="349">
        <v>1282</v>
      </c>
      <c r="G118" s="349">
        <v>1316</v>
      </c>
      <c r="H118" s="349">
        <v>1358</v>
      </c>
      <c r="I118" s="881">
        <v>1264</v>
      </c>
      <c r="J118" s="1043">
        <v>1141</v>
      </c>
      <c r="K118" s="1554">
        <v>1103</v>
      </c>
      <c r="L118" s="1898">
        <v>1019</v>
      </c>
      <c r="M118" s="1898">
        <v>992</v>
      </c>
      <c r="N118" s="1898">
        <v>1028</v>
      </c>
    </row>
    <row r="119" spans="1:14" x14ac:dyDescent="0.3">
      <c r="A119" s="347" t="s">
        <v>195</v>
      </c>
      <c r="B119" s="348" t="s">
        <v>196</v>
      </c>
      <c r="C119" s="348" t="s">
        <v>253</v>
      </c>
      <c r="D119" s="349">
        <v>32825</v>
      </c>
      <c r="E119" s="349">
        <v>36583</v>
      </c>
      <c r="F119" s="349">
        <v>39255</v>
      </c>
      <c r="G119" s="349">
        <v>40591</v>
      </c>
      <c r="H119" s="349">
        <v>39268</v>
      </c>
      <c r="I119" s="881">
        <v>36552</v>
      </c>
      <c r="J119" s="1043">
        <v>33362</v>
      </c>
      <c r="K119" s="1554">
        <v>32802</v>
      </c>
      <c r="L119" s="1898">
        <v>28483</v>
      </c>
      <c r="M119" s="1898">
        <v>27735</v>
      </c>
      <c r="N119" s="1898">
        <v>28348</v>
      </c>
    </row>
    <row r="120" spans="1:14" x14ac:dyDescent="0.3">
      <c r="A120" s="347" t="s">
        <v>199</v>
      </c>
      <c r="B120" s="348" t="s">
        <v>200</v>
      </c>
      <c r="C120" s="348" t="s">
        <v>252</v>
      </c>
      <c r="D120" s="349">
        <v>14080</v>
      </c>
      <c r="E120" s="349">
        <v>15509</v>
      </c>
      <c r="F120" s="349">
        <v>16537</v>
      </c>
      <c r="G120" s="349">
        <v>17492</v>
      </c>
      <c r="H120" s="349">
        <v>17549</v>
      </c>
      <c r="I120" s="881">
        <v>16453</v>
      </c>
      <c r="J120" s="1043">
        <v>14511</v>
      </c>
      <c r="K120" s="1554">
        <v>14639</v>
      </c>
      <c r="L120" s="1898">
        <v>13569</v>
      </c>
      <c r="M120" s="1898">
        <v>13642</v>
      </c>
      <c r="N120" s="1898">
        <v>13648</v>
      </c>
    </row>
    <row r="121" spans="1:14" x14ac:dyDescent="0.3">
      <c r="A121" s="347" t="s">
        <v>221</v>
      </c>
      <c r="B121" s="348" t="s">
        <v>222</v>
      </c>
      <c r="C121" s="348" t="s">
        <v>251</v>
      </c>
      <c r="D121" s="349">
        <v>6885</v>
      </c>
      <c r="E121" s="349">
        <v>7888</v>
      </c>
      <c r="F121" s="349">
        <v>8513</v>
      </c>
      <c r="G121" s="349">
        <v>8902</v>
      </c>
      <c r="H121" s="349">
        <v>8972</v>
      </c>
      <c r="I121" s="881">
        <v>8558</v>
      </c>
      <c r="J121" s="1043">
        <v>7938</v>
      </c>
      <c r="K121" s="1554">
        <v>7899</v>
      </c>
      <c r="L121" s="1898">
        <v>7168</v>
      </c>
      <c r="M121" s="1898">
        <v>7076</v>
      </c>
      <c r="N121" s="1898">
        <v>7119</v>
      </c>
    </row>
    <row r="122" spans="1:14" x14ac:dyDescent="0.3">
      <c r="A122" s="347" t="s">
        <v>229</v>
      </c>
      <c r="B122" s="348" t="s">
        <v>230</v>
      </c>
      <c r="C122" s="348" t="s">
        <v>251</v>
      </c>
      <c r="D122" s="349">
        <v>19182</v>
      </c>
      <c r="E122" s="349">
        <v>22154</v>
      </c>
      <c r="F122" s="349">
        <v>24208</v>
      </c>
      <c r="G122" s="349">
        <v>25071</v>
      </c>
      <c r="H122" s="349">
        <v>25434</v>
      </c>
      <c r="I122" s="881">
        <v>24250</v>
      </c>
      <c r="J122" s="1043">
        <v>22490</v>
      </c>
      <c r="K122" s="1554">
        <v>20990</v>
      </c>
      <c r="L122" s="1898">
        <v>18741</v>
      </c>
      <c r="M122" s="1898">
        <v>18560</v>
      </c>
      <c r="N122" s="1898">
        <v>19202</v>
      </c>
    </row>
    <row r="123" spans="1:14" x14ac:dyDescent="0.3">
      <c r="A123" s="347" t="s">
        <v>237</v>
      </c>
      <c r="B123" s="348" t="s">
        <v>238</v>
      </c>
      <c r="C123" s="348" t="s">
        <v>251</v>
      </c>
      <c r="D123" s="349">
        <v>680</v>
      </c>
      <c r="E123" s="349">
        <v>828</v>
      </c>
      <c r="F123" s="349">
        <v>883</v>
      </c>
      <c r="G123" s="349">
        <v>947</v>
      </c>
      <c r="H123" s="349">
        <v>952</v>
      </c>
      <c r="I123" s="881">
        <v>920</v>
      </c>
      <c r="J123" s="1043">
        <v>895</v>
      </c>
      <c r="K123" s="1554">
        <v>915</v>
      </c>
      <c r="L123" s="1898">
        <v>831</v>
      </c>
      <c r="M123" s="1898">
        <v>881</v>
      </c>
      <c r="N123" s="1898">
        <v>888</v>
      </c>
    </row>
    <row r="124" spans="1:14" x14ac:dyDescent="0.3">
      <c r="A124" s="287" t="s">
        <v>239</v>
      </c>
      <c r="B124" s="282" t="s">
        <v>240</v>
      </c>
      <c r="C124" s="282" t="s">
        <v>254</v>
      </c>
      <c r="D124" s="284">
        <v>2959</v>
      </c>
      <c r="E124" s="284">
        <v>3308</v>
      </c>
      <c r="F124" s="284">
        <v>3394</v>
      </c>
      <c r="G124" s="284">
        <v>3392</v>
      </c>
      <c r="H124" s="284">
        <v>3226</v>
      </c>
      <c r="I124" s="882">
        <v>2941</v>
      </c>
      <c r="J124" s="882">
        <v>2722</v>
      </c>
      <c r="K124" s="1555">
        <v>2751</v>
      </c>
      <c r="L124" s="1899">
        <v>2462</v>
      </c>
      <c r="M124" s="1899">
        <v>2389</v>
      </c>
      <c r="N124" s="1899">
        <v>2405</v>
      </c>
    </row>
    <row r="126" spans="1:14" ht="31.5" customHeight="1" x14ac:dyDescent="0.3">
      <c r="A126" s="2540" t="s">
        <v>935</v>
      </c>
      <c r="B126" s="2540"/>
      <c r="C126" s="2540"/>
      <c r="D126" s="2540"/>
      <c r="E126" s="2540"/>
      <c r="F126" s="2540"/>
      <c r="G126" s="2540"/>
      <c r="H126" s="2540"/>
    </row>
    <row r="128" spans="1:14" s="193" customFormat="1" x14ac:dyDescent="0.3">
      <c r="A128" s="193" t="s">
        <v>247</v>
      </c>
    </row>
    <row r="129" spans="1:3" s="193" customFormat="1" x14ac:dyDescent="0.3">
      <c r="A129" s="194" t="s">
        <v>248</v>
      </c>
      <c r="B129" s="195" t="s">
        <v>249</v>
      </c>
      <c r="C129" s="195"/>
    </row>
  </sheetData>
  <autoFilter ref="A3:C3"/>
  <sortState ref="A5:K124">
    <sortCondition ref="A5:A124"/>
  </sortState>
  <mergeCells count="1">
    <mergeCell ref="A126:H126"/>
  </mergeCells>
  <hyperlinks>
    <hyperlink ref="B129" r:id="rId1"/>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xSplit="3" ySplit="4" topLeftCell="D5" activePane="bottomRight" state="frozen"/>
      <selection pane="topRight" activeCell="D1" sqref="D1"/>
      <selection pane="bottomLeft" activeCell="A5" sqref="A5"/>
      <selection pane="bottomRight" activeCell="J126" sqref="J126"/>
    </sheetView>
  </sheetViews>
  <sheetFormatPr defaultColWidth="9" defaultRowHeight="15.6" x14ac:dyDescent="0.3"/>
  <cols>
    <col min="1" max="1" width="5.796875" style="275" customWidth="1"/>
    <col min="2" max="2" width="30.19921875" style="275" customWidth="1"/>
    <col min="3" max="3" width="12.296875" style="275" customWidth="1"/>
    <col min="4" max="14" width="10.796875" style="275" customWidth="1"/>
    <col min="15" max="15" width="2.5" style="275" customWidth="1"/>
    <col min="16" max="16384" width="9" style="275"/>
  </cols>
  <sheetData>
    <row r="1" spans="1:14" x14ac:dyDescent="0.3">
      <c r="A1" s="95" t="s">
        <v>777</v>
      </c>
    </row>
    <row r="3" spans="1:14" x14ac:dyDescent="0.3">
      <c r="A3" s="351" t="s">
        <v>4</v>
      </c>
      <c r="B3" s="322" t="s">
        <v>5</v>
      </c>
      <c r="C3" s="322" t="s">
        <v>250</v>
      </c>
      <c r="D3" s="352" t="s">
        <v>779</v>
      </c>
      <c r="E3" s="352" t="s">
        <v>780</v>
      </c>
      <c r="F3" s="352" t="s">
        <v>781</v>
      </c>
      <c r="G3" s="352" t="s">
        <v>782</v>
      </c>
      <c r="H3" s="352" t="s">
        <v>538</v>
      </c>
      <c r="I3" s="864" t="s">
        <v>628</v>
      </c>
      <c r="J3" s="864" t="s">
        <v>704</v>
      </c>
      <c r="K3" s="1414" t="s">
        <v>830</v>
      </c>
      <c r="L3" s="1903" t="s">
        <v>827</v>
      </c>
      <c r="M3" s="1903" t="s">
        <v>841</v>
      </c>
      <c r="N3" s="1903" t="s">
        <v>932</v>
      </c>
    </row>
    <row r="4" spans="1:14" x14ac:dyDescent="0.3">
      <c r="A4" s="325">
        <v>999</v>
      </c>
      <c r="B4" s="346" t="s">
        <v>8</v>
      </c>
      <c r="C4" s="323"/>
      <c r="D4" s="289">
        <v>645469</v>
      </c>
      <c r="E4" s="289">
        <v>677720</v>
      </c>
      <c r="F4" s="289">
        <v>705578</v>
      </c>
      <c r="G4" s="289">
        <v>726306</v>
      </c>
      <c r="H4" s="289">
        <v>735695</v>
      </c>
      <c r="I4" s="880">
        <v>806453</v>
      </c>
      <c r="J4" s="880">
        <v>800488</v>
      </c>
      <c r="K4" s="1551">
        <v>780015</v>
      </c>
      <c r="L4" s="1904">
        <v>801188</v>
      </c>
      <c r="M4" s="1904">
        <v>951217</v>
      </c>
      <c r="N4" s="1904">
        <v>1120687</v>
      </c>
    </row>
    <row r="5" spans="1:14" x14ac:dyDescent="0.3">
      <c r="A5" s="285" t="s">
        <v>9</v>
      </c>
      <c r="B5" s="324" t="s">
        <v>10</v>
      </c>
      <c r="C5" s="324" t="s">
        <v>251</v>
      </c>
      <c r="D5" s="283">
        <v>5061</v>
      </c>
      <c r="E5" s="283">
        <v>5183</v>
      </c>
      <c r="F5" s="283">
        <v>5235</v>
      </c>
      <c r="G5" s="283">
        <v>5244</v>
      </c>
      <c r="H5" s="283">
        <v>5279</v>
      </c>
      <c r="I5" s="878">
        <v>5412</v>
      </c>
      <c r="J5" s="1042">
        <v>5483</v>
      </c>
      <c r="K5" s="1552">
        <v>5110</v>
      </c>
      <c r="L5" s="1902">
        <v>5331</v>
      </c>
      <c r="M5" s="1902">
        <v>6168</v>
      </c>
      <c r="N5" s="1902">
        <v>6806</v>
      </c>
    </row>
    <row r="6" spans="1:14" x14ac:dyDescent="0.3">
      <c r="A6" s="347" t="s">
        <v>11</v>
      </c>
      <c r="B6" s="348" t="s">
        <v>12</v>
      </c>
      <c r="C6" s="348" t="s">
        <v>252</v>
      </c>
      <c r="D6" s="349">
        <v>5366</v>
      </c>
      <c r="E6" s="349">
        <v>5735</v>
      </c>
      <c r="F6" s="349">
        <v>6020</v>
      </c>
      <c r="G6" s="349">
        <v>6123</v>
      </c>
      <c r="H6" s="349">
        <v>6234</v>
      </c>
      <c r="I6" s="878">
        <v>6468</v>
      </c>
      <c r="J6" s="1042">
        <v>6410</v>
      </c>
      <c r="K6" s="1552">
        <v>6209</v>
      </c>
      <c r="L6" s="1902">
        <v>6546</v>
      </c>
      <c r="M6" s="1902">
        <v>8166</v>
      </c>
      <c r="N6" s="1902">
        <v>9940</v>
      </c>
    </row>
    <row r="7" spans="1:14" x14ac:dyDescent="0.3">
      <c r="A7" s="347" t="s">
        <v>15</v>
      </c>
      <c r="B7" s="348" t="s">
        <v>273</v>
      </c>
      <c r="C7" s="348" t="s">
        <v>252</v>
      </c>
      <c r="D7" s="349">
        <v>3311</v>
      </c>
      <c r="E7" s="349">
        <v>3403</v>
      </c>
      <c r="F7" s="349">
        <v>3519</v>
      </c>
      <c r="G7" s="349">
        <v>3415</v>
      </c>
      <c r="H7" s="349">
        <v>3414</v>
      </c>
      <c r="I7" s="878">
        <v>3472</v>
      </c>
      <c r="J7" s="1042">
        <v>3236</v>
      </c>
      <c r="K7" s="1552">
        <v>3119</v>
      </c>
      <c r="L7" s="1902">
        <v>3212</v>
      </c>
      <c r="M7" s="1902">
        <v>3703</v>
      </c>
      <c r="N7" s="1902">
        <v>4229</v>
      </c>
    </row>
    <row r="8" spans="1:14" x14ac:dyDescent="0.3">
      <c r="A8" s="347" t="s">
        <v>17</v>
      </c>
      <c r="B8" s="348" t="s">
        <v>18</v>
      </c>
      <c r="C8" s="348" t="s">
        <v>253</v>
      </c>
      <c r="D8" s="349">
        <v>1461</v>
      </c>
      <c r="E8" s="349">
        <v>1548</v>
      </c>
      <c r="F8" s="349">
        <v>1622</v>
      </c>
      <c r="G8" s="349">
        <v>1587</v>
      </c>
      <c r="H8" s="349">
        <v>1543</v>
      </c>
      <c r="I8" s="878">
        <v>1559</v>
      </c>
      <c r="J8" s="1042">
        <v>1524</v>
      </c>
      <c r="K8" s="1552">
        <v>1514</v>
      </c>
      <c r="L8" s="1902">
        <v>1589</v>
      </c>
      <c r="M8" s="1902">
        <v>1871</v>
      </c>
      <c r="N8" s="1902">
        <v>2105</v>
      </c>
    </row>
    <row r="9" spans="1:14" x14ac:dyDescent="0.3">
      <c r="A9" s="347" t="s">
        <v>19</v>
      </c>
      <c r="B9" s="348" t="s">
        <v>20</v>
      </c>
      <c r="C9" s="348" t="s">
        <v>252</v>
      </c>
      <c r="D9" s="349">
        <v>3559</v>
      </c>
      <c r="E9" s="349">
        <v>3682</v>
      </c>
      <c r="F9" s="349">
        <v>3750</v>
      </c>
      <c r="G9" s="349">
        <v>3808</v>
      </c>
      <c r="H9" s="349">
        <v>3819</v>
      </c>
      <c r="I9" s="878">
        <v>3943</v>
      </c>
      <c r="J9" s="1042">
        <v>3814</v>
      </c>
      <c r="K9" s="1552">
        <v>3725</v>
      </c>
      <c r="L9" s="1902">
        <v>3958</v>
      </c>
      <c r="M9" s="1902">
        <v>4558</v>
      </c>
      <c r="N9" s="1902">
        <v>5273</v>
      </c>
    </row>
    <row r="10" spans="1:14" x14ac:dyDescent="0.3">
      <c r="A10" s="347" t="s">
        <v>21</v>
      </c>
      <c r="B10" s="348" t="s">
        <v>22</v>
      </c>
      <c r="C10" s="348" t="s">
        <v>252</v>
      </c>
      <c r="D10" s="349">
        <v>2016</v>
      </c>
      <c r="E10" s="349">
        <v>2077</v>
      </c>
      <c r="F10" s="349">
        <v>2191</v>
      </c>
      <c r="G10" s="349">
        <v>2241</v>
      </c>
      <c r="H10" s="349">
        <v>2218</v>
      </c>
      <c r="I10" s="878">
        <v>2322</v>
      </c>
      <c r="J10" s="1042">
        <v>2215</v>
      </c>
      <c r="K10" s="1552">
        <v>2029</v>
      </c>
      <c r="L10" s="1902">
        <v>2135</v>
      </c>
      <c r="M10" s="1902">
        <v>2510</v>
      </c>
      <c r="N10" s="1902">
        <v>2781</v>
      </c>
    </row>
    <row r="11" spans="1:14" x14ac:dyDescent="0.3">
      <c r="A11" s="347" t="s">
        <v>23</v>
      </c>
      <c r="B11" s="348" t="s">
        <v>24</v>
      </c>
      <c r="C11" s="348" t="s">
        <v>254</v>
      </c>
      <c r="D11" s="349">
        <v>8872</v>
      </c>
      <c r="E11" s="349">
        <v>9157</v>
      </c>
      <c r="F11" s="349">
        <v>9543</v>
      </c>
      <c r="G11" s="349">
        <v>9787</v>
      </c>
      <c r="H11" s="349">
        <v>10106</v>
      </c>
      <c r="I11" s="878">
        <v>10726</v>
      </c>
      <c r="J11" s="1042">
        <v>10729</v>
      </c>
      <c r="K11" s="1552">
        <v>10600</v>
      </c>
      <c r="L11" s="1902">
        <v>11066</v>
      </c>
      <c r="M11" s="1902">
        <v>13439</v>
      </c>
      <c r="N11" s="1902">
        <v>15820</v>
      </c>
    </row>
    <row r="12" spans="1:14" x14ac:dyDescent="0.3">
      <c r="A12" s="347" t="s">
        <v>25</v>
      </c>
      <c r="B12" s="348" t="s">
        <v>444</v>
      </c>
      <c r="C12" s="348" t="s">
        <v>252</v>
      </c>
      <c r="D12" s="349">
        <v>11889</v>
      </c>
      <c r="E12" s="349">
        <v>12478</v>
      </c>
      <c r="F12" s="349">
        <v>13194</v>
      </c>
      <c r="G12" s="349">
        <v>13710</v>
      </c>
      <c r="H12" s="349">
        <v>13708</v>
      </c>
      <c r="I12" s="878">
        <v>13593</v>
      </c>
      <c r="J12" s="1042">
        <v>12628</v>
      </c>
      <c r="K12" s="1552">
        <v>12939</v>
      </c>
      <c r="L12" s="1902">
        <v>13570</v>
      </c>
      <c r="M12" s="1902">
        <v>16199</v>
      </c>
      <c r="N12" s="1902">
        <v>19485</v>
      </c>
    </row>
    <row r="13" spans="1:14" x14ac:dyDescent="0.3">
      <c r="A13" s="347" t="s">
        <v>26</v>
      </c>
      <c r="B13" s="348" t="s">
        <v>27</v>
      </c>
      <c r="C13" s="348" t="s">
        <v>252</v>
      </c>
      <c r="D13" s="349">
        <v>447</v>
      </c>
      <c r="E13" s="349">
        <v>479</v>
      </c>
      <c r="F13" s="349">
        <v>490</v>
      </c>
      <c r="G13" s="349">
        <v>503</v>
      </c>
      <c r="H13" s="349">
        <v>473</v>
      </c>
      <c r="I13" s="878">
        <v>517</v>
      </c>
      <c r="J13" s="1042">
        <v>487</v>
      </c>
      <c r="K13" s="1552">
        <v>443</v>
      </c>
      <c r="L13" s="1902">
        <v>459</v>
      </c>
      <c r="M13" s="1902">
        <v>550</v>
      </c>
      <c r="N13" s="1902">
        <v>621</v>
      </c>
    </row>
    <row r="14" spans="1:14" x14ac:dyDescent="0.3">
      <c r="A14" s="347" t="s">
        <v>28</v>
      </c>
      <c r="B14" s="348" t="s">
        <v>568</v>
      </c>
      <c r="C14" s="348" t="s">
        <v>252</v>
      </c>
      <c r="D14" s="349">
        <v>6139</v>
      </c>
      <c r="E14" s="349">
        <v>6385</v>
      </c>
      <c r="F14" s="349">
        <v>6684</v>
      </c>
      <c r="G14" s="349">
        <v>6766</v>
      </c>
      <c r="H14" s="349">
        <v>7434</v>
      </c>
      <c r="I14" s="878">
        <v>6877</v>
      </c>
      <c r="J14" s="1042">
        <v>6797</v>
      </c>
      <c r="K14" s="1552">
        <v>6226</v>
      </c>
      <c r="L14" s="1902">
        <v>6681</v>
      </c>
      <c r="M14" s="1902">
        <v>8087</v>
      </c>
      <c r="N14" s="1902">
        <v>9588</v>
      </c>
    </row>
    <row r="15" spans="1:14" x14ac:dyDescent="0.3">
      <c r="A15" s="347" t="s">
        <v>29</v>
      </c>
      <c r="B15" s="348" t="s">
        <v>30</v>
      </c>
      <c r="C15" s="348" t="s">
        <v>255</v>
      </c>
      <c r="D15" s="349">
        <v>710</v>
      </c>
      <c r="E15" s="349">
        <v>707</v>
      </c>
      <c r="F15" s="349">
        <v>730</v>
      </c>
      <c r="G15" s="349">
        <v>733</v>
      </c>
      <c r="H15" s="349">
        <v>699</v>
      </c>
      <c r="I15" s="878">
        <v>730</v>
      </c>
      <c r="J15" s="1042">
        <v>708</v>
      </c>
      <c r="K15" s="1552">
        <v>656</v>
      </c>
      <c r="L15" s="1902">
        <v>703</v>
      </c>
      <c r="M15" s="1902">
        <v>806</v>
      </c>
      <c r="N15" s="1902">
        <v>1257</v>
      </c>
    </row>
    <row r="16" spans="1:14" x14ac:dyDescent="0.3">
      <c r="A16" s="347" t="s">
        <v>31</v>
      </c>
      <c r="B16" s="348" t="s">
        <v>32</v>
      </c>
      <c r="C16" s="348" t="s">
        <v>252</v>
      </c>
      <c r="D16" s="349">
        <v>1819</v>
      </c>
      <c r="E16" s="349">
        <v>1860</v>
      </c>
      <c r="F16" s="349">
        <v>1954</v>
      </c>
      <c r="G16" s="349">
        <v>2007</v>
      </c>
      <c r="H16" s="349">
        <v>2064</v>
      </c>
      <c r="I16" s="878">
        <v>2225</v>
      </c>
      <c r="J16" s="1042">
        <v>2261</v>
      </c>
      <c r="K16" s="1552">
        <v>2189</v>
      </c>
      <c r="L16" s="1902">
        <v>2397</v>
      </c>
      <c r="M16" s="1902">
        <v>2895</v>
      </c>
      <c r="N16" s="1902">
        <v>3330</v>
      </c>
    </row>
    <row r="17" spans="1:14" x14ac:dyDescent="0.3">
      <c r="A17" s="347" t="s">
        <v>35</v>
      </c>
      <c r="B17" s="348" t="s">
        <v>36</v>
      </c>
      <c r="C17" s="348" t="s">
        <v>251</v>
      </c>
      <c r="D17" s="349">
        <v>2805</v>
      </c>
      <c r="E17" s="349">
        <v>2867</v>
      </c>
      <c r="F17" s="349">
        <v>2874</v>
      </c>
      <c r="G17" s="349">
        <v>2919</v>
      </c>
      <c r="H17" s="349">
        <v>2983</v>
      </c>
      <c r="I17" s="878">
        <v>3049</v>
      </c>
      <c r="J17" s="1042">
        <v>3007</v>
      </c>
      <c r="K17" s="1552">
        <v>2917</v>
      </c>
      <c r="L17" s="1902">
        <v>2968</v>
      </c>
      <c r="M17" s="1902">
        <v>3437</v>
      </c>
      <c r="N17" s="1902">
        <v>4627</v>
      </c>
    </row>
    <row r="18" spans="1:14" x14ac:dyDescent="0.3">
      <c r="A18" s="347" t="s">
        <v>37</v>
      </c>
      <c r="B18" s="348" t="s">
        <v>38</v>
      </c>
      <c r="C18" s="348" t="s">
        <v>255</v>
      </c>
      <c r="D18" s="349">
        <v>4594</v>
      </c>
      <c r="E18" s="349">
        <v>4570</v>
      </c>
      <c r="F18" s="349">
        <v>4595</v>
      </c>
      <c r="G18" s="349">
        <v>4573</v>
      </c>
      <c r="H18" s="349">
        <v>4545</v>
      </c>
      <c r="I18" s="878">
        <v>4654</v>
      </c>
      <c r="J18" s="1042">
        <v>4584</v>
      </c>
      <c r="K18" s="1552">
        <v>4473</v>
      </c>
      <c r="L18" s="1902">
        <v>4533</v>
      </c>
      <c r="M18" s="1902">
        <v>5311</v>
      </c>
      <c r="N18" s="1902">
        <v>6138</v>
      </c>
    </row>
    <row r="19" spans="1:14" x14ac:dyDescent="0.3">
      <c r="A19" s="347" t="s">
        <v>39</v>
      </c>
      <c r="B19" s="348" t="s">
        <v>40</v>
      </c>
      <c r="C19" s="348" t="s">
        <v>253</v>
      </c>
      <c r="D19" s="349">
        <v>2133</v>
      </c>
      <c r="E19" s="349">
        <v>2213</v>
      </c>
      <c r="F19" s="349">
        <v>2296</v>
      </c>
      <c r="G19" s="349">
        <v>2345</v>
      </c>
      <c r="H19" s="349">
        <v>2345</v>
      </c>
      <c r="I19" s="878">
        <v>2436</v>
      </c>
      <c r="J19" s="1042">
        <v>2354</v>
      </c>
      <c r="K19" s="1552">
        <v>2240</v>
      </c>
      <c r="L19" s="1902">
        <v>2343</v>
      </c>
      <c r="M19" s="1902">
        <v>2852</v>
      </c>
      <c r="N19" s="1902">
        <v>4231</v>
      </c>
    </row>
    <row r="20" spans="1:14" x14ac:dyDescent="0.3">
      <c r="A20" s="347" t="s">
        <v>41</v>
      </c>
      <c r="B20" s="348" t="s">
        <v>42</v>
      </c>
      <c r="C20" s="348" t="s">
        <v>252</v>
      </c>
      <c r="D20" s="349">
        <v>6296</v>
      </c>
      <c r="E20" s="349">
        <v>6639</v>
      </c>
      <c r="F20" s="349">
        <v>6934</v>
      </c>
      <c r="G20" s="349">
        <v>7065</v>
      </c>
      <c r="H20" s="349">
        <v>7079</v>
      </c>
      <c r="I20" s="878">
        <v>7292</v>
      </c>
      <c r="J20" s="1042">
        <v>7093</v>
      </c>
      <c r="K20" s="1552">
        <v>6515</v>
      </c>
      <c r="L20" s="1902">
        <v>6767</v>
      </c>
      <c r="M20" s="1902">
        <v>7985</v>
      </c>
      <c r="N20" s="1902">
        <v>9169</v>
      </c>
    </row>
    <row r="21" spans="1:14" x14ac:dyDescent="0.3">
      <c r="A21" s="347" t="s">
        <v>43</v>
      </c>
      <c r="B21" s="348" t="s">
        <v>44</v>
      </c>
      <c r="C21" s="348" t="s">
        <v>253</v>
      </c>
      <c r="D21" s="349">
        <v>3016</v>
      </c>
      <c r="E21" s="349">
        <v>3120</v>
      </c>
      <c r="F21" s="349">
        <v>3260</v>
      </c>
      <c r="G21" s="349">
        <v>3298</v>
      </c>
      <c r="H21" s="349">
        <v>3282</v>
      </c>
      <c r="I21" s="878">
        <v>3508</v>
      </c>
      <c r="J21" s="1042">
        <v>3546</v>
      </c>
      <c r="K21" s="1552">
        <v>3374</v>
      </c>
      <c r="L21" s="1902">
        <v>3625</v>
      </c>
      <c r="M21" s="1902">
        <v>4368</v>
      </c>
      <c r="N21" s="1902">
        <v>5065</v>
      </c>
    </row>
    <row r="22" spans="1:14" x14ac:dyDescent="0.3">
      <c r="A22" s="347" t="s">
        <v>45</v>
      </c>
      <c r="B22" s="348" t="s">
        <v>46</v>
      </c>
      <c r="C22" s="348" t="s">
        <v>255</v>
      </c>
      <c r="D22" s="349">
        <v>4308</v>
      </c>
      <c r="E22" s="349">
        <v>4482</v>
      </c>
      <c r="F22" s="349">
        <v>4678</v>
      </c>
      <c r="G22" s="349">
        <v>4624</v>
      </c>
      <c r="H22" s="349">
        <v>4587</v>
      </c>
      <c r="I22" s="878">
        <v>4643</v>
      </c>
      <c r="J22" s="1042">
        <v>4560</v>
      </c>
      <c r="K22" s="1552">
        <v>4416</v>
      </c>
      <c r="L22" s="1902">
        <v>4637</v>
      </c>
      <c r="M22" s="1902">
        <v>5492</v>
      </c>
      <c r="N22" s="1902">
        <v>6184</v>
      </c>
    </row>
    <row r="23" spans="1:14" x14ac:dyDescent="0.3">
      <c r="A23" s="347" t="s">
        <v>47</v>
      </c>
      <c r="B23" s="348" t="s">
        <v>256</v>
      </c>
      <c r="C23" s="348" t="s">
        <v>253</v>
      </c>
      <c r="D23" s="349">
        <v>762</v>
      </c>
      <c r="E23" s="349">
        <v>786</v>
      </c>
      <c r="F23" s="349">
        <v>814</v>
      </c>
      <c r="G23" s="349">
        <v>811</v>
      </c>
      <c r="H23" s="349">
        <v>791</v>
      </c>
      <c r="I23" s="878">
        <v>835</v>
      </c>
      <c r="J23" s="1042">
        <v>876</v>
      </c>
      <c r="K23" s="1552">
        <v>822</v>
      </c>
      <c r="L23" s="1902">
        <v>860</v>
      </c>
      <c r="M23" s="1902">
        <v>1037</v>
      </c>
      <c r="N23" s="1902">
        <v>1167</v>
      </c>
    </row>
    <row r="24" spans="1:14" x14ac:dyDescent="0.3">
      <c r="A24" s="347" t="s">
        <v>49</v>
      </c>
      <c r="B24" s="348" t="s">
        <v>50</v>
      </c>
      <c r="C24" s="348" t="s">
        <v>252</v>
      </c>
      <c r="D24" s="349">
        <v>2057</v>
      </c>
      <c r="E24" s="349">
        <v>2117</v>
      </c>
      <c r="F24" s="349">
        <v>2185</v>
      </c>
      <c r="G24" s="349">
        <v>2115</v>
      </c>
      <c r="H24" s="349">
        <v>2103</v>
      </c>
      <c r="I24" s="878">
        <v>2157</v>
      </c>
      <c r="J24" s="1042">
        <v>2060</v>
      </c>
      <c r="K24" s="1552">
        <v>1859</v>
      </c>
      <c r="L24" s="1902">
        <v>1941</v>
      </c>
      <c r="M24" s="1902">
        <v>2288</v>
      </c>
      <c r="N24" s="1902">
        <v>2526</v>
      </c>
    </row>
    <row r="25" spans="1:14" x14ac:dyDescent="0.3">
      <c r="A25" s="347" t="s">
        <v>55</v>
      </c>
      <c r="B25" s="348" t="s">
        <v>271</v>
      </c>
      <c r="C25" s="348" t="s">
        <v>253</v>
      </c>
      <c r="D25" s="349">
        <v>22393</v>
      </c>
      <c r="E25" s="349">
        <v>23970</v>
      </c>
      <c r="F25" s="349">
        <v>25145</v>
      </c>
      <c r="G25" s="349">
        <v>26132</v>
      </c>
      <c r="H25" s="349">
        <v>26942</v>
      </c>
      <c r="I25" s="878">
        <v>29404</v>
      </c>
      <c r="J25" s="1042">
        <v>31067</v>
      </c>
      <c r="K25" s="1552">
        <v>31062</v>
      </c>
      <c r="L25" s="1902">
        <v>33704</v>
      </c>
      <c r="M25" s="1902">
        <v>39799</v>
      </c>
      <c r="N25" s="1902">
        <v>46771</v>
      </c>
    </row>
    <row r="26" spans="1:14" x14ac:dyDescent="0.3">
      <c r="A26" s="347" t="s">
        <v>57</v>
      </c>
      <c r="B26" s="348" t="s">
        <v>58</v>
      </c>
      <c r="C26" s="348" t="s">
        <v>254</v>
      </c>
      <c r="D26" s="349">
        <v>776</v>
      </c>
      <c r="E26" s="349">
        <v>794</v>
      </c>
      <c r="F26" s="349">
        <v>812</v>
      </c>
      <c r="G26" s="349">
        <v>816</v>
      </c>
      <c r="H26" s="349">
        <v>830</v>
      </c>
      <c r="I26" s="878">
        <v>837</v>
      </c>
      <c r="J26" s="1042">
        <v>818</v>
      </c>
      <c r="K26" s="1552">
        <v>784</v>
      </c>
      <c r="L26" s="1902">
        <v>829</v>
      </c>
      <c r="M26" s="1902">
        <v>1061</v>
      </c>
      <c r="N26" s="1902">
        <v>1278</v>
      </c>
    </row>
    <row r="27" spans="1:14" x14ac:dyDescent="0.3">
      <c r="A27" s="347" t="s">
        <v>59</v>
      </c>
      <c r="B27" s="348" t="s">
        <v>60</v>
      </c>
      <c r="C27" s="348" t="s">
        <v>252</v>
      </c>
      <c r="D27" s="349">
        <v>564</v>
      </c>
      <c r="E27" s="349">
        <v>596</v>
      </c>
      <c r="F27" s="349">
        <v>608</v>
      </c>
      <c r="G27" s="349">
        <v>633</v>
      </c>
      <c r="H27" s="349">
        <v>617</v>
      </c>
      <c r="I27" s="878">
        <v>655</v>
      </c>
      <c r="J27" s="1042">
        <v>631</v>
      </c>
      <c r="K27" s="1552">
        <v>615</v>
      </c>
      <c r="L27" s="1902">
        <v>657</v>
      </c>
      <c r="M27" s="1902">
        <v>764</v>
      </c>
      <c r="N27" s="1902">
        <v>860</v>
      </c>
    </row>
    <row r="28" spans="1:14" x14ac:dyDescent="0.3">
      <c r="A28" s="347" t="s">
        <v>61</v>
      </c>
      <c r="B28" s="348" t="s">
        <v>62</v>
      </c>
      <c r="C28" s="348" t="s">
        <v>254</v>
      </c>
      <c r="D28" s="349">
        <v>4087</v>
      </c>
      <c r="E28" s="349">
        <v>4350</v>
      </c>
      <c r="F28" s="349">
        <v>4572</v>
      </c>
      <c r="G28" s="349">
        <v>4697</v>
      </c>
      <c r="H28" s="349">
        <v>4719</v>
      </c>
      <c r="I28" s="878">
        <v>4956</v>
      </c>
      <c r="J28" s="1042">
        <v>4957</v>
      </c>
      <c r="K28" s="1552">
        <v>4843</v>
      </c>
      <c r="L28" s="1902">
        <v>5269</v>
      </c>
      <c r="M28" s="1902">
        <v>6310</v>
      </c>
      <c r="N28" s="1902">
        <v>7858</v>
      </c>
    </row>
    <row r="29" spans="1:14" x14ac:dyDescent="0.3">
      <c r="A29" s="347" t="s">
        <v>63</v>
      </c>
      <c r="B29" s="348" t="s">
        <v>64</v>
      </c>
      <c r="C29" s="348" t="s">
        <v>253</v>
      </c>
      <c r="D29" s="349">
        <v>1442</v>
      </c>
      <c r="E29" s="349">
        <v>1484</v>
      </c>
      <c r="F29" s="349">
        <v>1558</v>
      </c>
      <c r="G29" s="349">
        <v>1564</v>
      </c>
      <c r="H29" s="349">
        <v>1600</v>
      </c>
      <c r="I29" s="878">
        <v>1614</v>
      </c>
      <c r="J29" s="1042">
        <v>1579</v>
      </c>
      <c r="K29" s="1552">
        <v>1499</v>
      </c>
      <c r="L29" s="1902">
        <v>1618</v>
      </c>
      <c r="M29" s="1902">
        <v>1907</v>
      </c>
      <c r="N29" s="1902">
        <v>2120</v>
      </c>
    </row>
    <row r="30" spans="1:14" x14ac:dyDescent="0.3">
      <c r="A30" s="347" t="s">
        <v>67</v>
      </c>
      <c r="B30" s="348" t="s">
        <v>68</v>
      </c>
      <c r="C30" s="348" t="s">
        <v>255</v>
      </c>
      <c r="D30" s="349">
        <v>3383</v>
      </c>
      <c r="E30" s="349">
        <v>3421</v>
      </c>
      <c r="F30" s="349">
        <v>3437</v>
      </c>
      <c r="G30" s="349">
        <v>3502</v>
      </c>
      <c r="H30" s="349">
        <v>3472</v>
      </c>
      <c r="I30" s="878">
        <v>3462</v>
      </c>
      <c r="J30" s="1042">
        <v>3353</v>
      </c>
      <c r="K30" s="1552">
        <v>3191</v>
      </c>
      <c r="L30" s="1902">
        <v>3202</v>
      </c>
      <c r="M30" s="1902">
        <v>3563</v>
      </c>
      <c r="N30" s="1902">
        <v>3899</v>
      </c>
    </row>
    <row r="31" spans="1:14" x14ac:dyDescent="0.3">
      <c r="A31" s="347" t="s">
        <v>69</v>
      </c>
      <c r="B31" s="348" t="s">
        <v>70</v>
      </c>
      <c r="C31" s="348" t="s">
        <v>251</v>
      </c>
      <c r="D31" s="349">
        <v>3074</v>
      </c>
      <c r="E31" s="349">
        <v>3227</v>
      </c>
      <c r="F31" s="349">
        <v>3367</v>
      </c>
      <c r="G31" s="349">
        <v>3421</v>
      </c>
      <c r="H31" s="349">
        <v>3397</v>
      </c>
      <c r="I31" s="878">
        <v>3563</v>
      </c>
      <c r="J31" s="1042">
        <v>3556</v>
      </c>
      <c r="K31" s="1552">
        <v>3394</v>
      </c>
      <c r="L31" s="1902">
        <v>3685</v>
      </c>
      <c r="M31" s="1902">
        <v>4444</v>
      </c>
      <c r="N31" s="1902">
        <v>5071</v>
      </c>
    </row>
    <row r="32" spans="1:14" x14ac:dyDescent="0.3">
      <c r="A32" s="347" t="s">
        <v>71</v>
      </c>
      <c r="B32" s="348" t="s">
        <v>72</v>
      </c>
      <c r="C32" s="348" t="s">
        <v>253</v>
      </c>
      <c r="D32" s="349">
        <v>1413</v>
      </c>
      <c r="E32" s="349">
        <v>1497</v>
      </c>
      <c r="F32" s="349">
        <v>1592</v>
      </c>
      <c r="G32" s="349">
        <v>1611</v>
      </c>
      <c r="H32" s="349">
        <v>1598</v>
      </c>
      <c r="I32" s="878">
        <v>1648</v>
      </c>
      <c r="J32" s="1042">
        <v>1659</v>
      </c>
      <c r="K32" s="1552">
        <v>1594</v>
      </c>
      <c r="L32" s="1902">
        <v>1669</v>
      </c>
      <c r="M32" s="1902">
        <v>2005</v>
      </c>
      <c r="N32" s="1902">
        <v>2290</v>
      </c>
    </row>
    <row r="33" spans="1:14" x14ac:dyDescent="0.3">
      <c r="A33" s="347" t="s">
        <v>73</v>
      </c>
      <c r="B33" s="348" t="s">
        <v>272</v>
      </c>
      <c r="C33" s="348" t="s">
        <v>254</v>
      </c>
      <c r="D33" s="349">
        <v>54170</v>
      </c>
      <c r="E33" s="349">
        <v>58384</v>
      </c>
      <c r="F33" s="349">
        <v>58298</v>
      </c>
      <c r="G33" s="349">
        <v>59707</v>
      </c>
      <c r="H33" s="349">
        <v>60817</v>
      </c>
      <c r="I33" s="878">
        <v>65841</v>
      </c>
      <c r="J33" s="1042">
        <v>63915</v>
      </c>
      <c r="K33" s="1552">
        <v>65084</v>
      </c>
      <c r="L33" s="1902">
        <v>66965</v>
      </c>
      <c r="M33" s="1902">
        <v>79334</v>
      </c>
      <c r="N33" s="1902">
        <v>94003</v>
      </c>
    </row>
    <row r="34" spans="1:14" x14ac:dyDescent="0.3">
      <c r="A34" s="347" t="s">
        <v>75</v>
      </c>
      <c r="B34" s="348" t="s">
        <v>76</v>
      </c>
      <c r="C34" s="348" t="s">
        <v>254</v>
      </c>
      <c r="D34" s="349">
        <v>3751</v>
      </c>
      <c r="E34" s="349">
        <v>3797</v>
      </c>
      <c r="F34" s="349">
        <v>4014</v>
      </c>
      <c r="G34" s="349">
        <v>4051</v>
      </c>
      <c r="H34" s="349">
        <v>4068</v>
      </c>
      <c r="I34" s="878">
        <v>4318</v>
      </c>
      <c r="J34" s="1042">
        <v>4145</v>
      </c>
      <c r="K34" s="1552">
        <v>4069</v>
      </c>
      <c r="L34" s="1902">
        <v>4379</v>
      </c>
      <c r="M34" s="1902">
        <v>5487</v>
      </c>
      <c r="N34" s="1902">
        <v>6498</v>
      </c>
    </row>
    <row r="35" spans="1:14" x14ac:dyDescent="0.3">
      <c r="A35" s="347" t="s">
        <v>77</v>
      </c>
      <c r="B35" s="348" t="s">
        <v>78</v>
      </c>
      <c r="C35" s="348" t="s">
        <v>255</v>
      </c>
      <c r="D35" s="349">
        <v>1606</v>
      </c>
      <c r="E35" s="349">
        <v>1688</v>
      </c>
      <c r="F35" s="349">
        <v>1791</v>
      </c>
      <c r="G35" s="349">
        <v>1828</v>
      </c>
      <c r="H35" s="349">
        <v>1833</v>
      </c>
      <c r="I35" s="878">
        <v>1897</v>
      </c>
      <c r="J35" s="1042">
        <v>1812</v>
      </c>
      <c r="K35" s="1552">
        <v>1733</v>
      </c>
      <c r="L35" s="1902">
        <v>1809</v>
      </c>
      <c r="M35" s="1902">
        <v>2211</v>
      </c>
      <c r="N35" s="1902">
        <v>2575</v>
      </c>
    </row>
    <row r="36" spans="1:14" x14ac:dyDescent="0.3">
      <c r="A36" s="347" t="s">
        <v>79</v>
      </c>
      <c r="B36" s="348" t="s">
        <v>80</v>
      </c>
      <c r="C36" s="348" t="s">
        <v>253</v>
      </c>
      <c r="D36" s="349">
        <v>1510</v>
      </c>
      <c r="E36" s="349">
        <v>1587</v>
      </c>
      <c r="F36" s="349">
        <v>1644</v>
      </c>
      <c r="G36" s="349">
        <v>1719</v>
      </c>
      <c r="H36" s="349">
        <v>1731</v>
      </c>
      <c r="I36" s="878">
        <v>1843</v>
      </c>
      <c r="J36" s="1042">
        <v>1909</v>
      </c>
      <c r="K36" s="1552">
        <v>1845</v>
      </c>
      <c r="L36" s="1902">
        <v>2060</v>
      </c>
      <c r="M36" s="1902">
        <v>2468</v>
      </c>
      <c r="N36" s="1902">
        <v>3163</v>
      </c>
    </row>
    <row r="37" spans="1:14" x14ac:dyDescent="0.3">
      <c r="A37" s="347" t="s">
        <v>83</v>
      </c>
      <c r="B37" s="348" t="s">
        <v>84</v>
      </c>
      <c r="C37" s="348" t="s">
        <v>252</v>
      </c>
      <c r="D37" s="349">
        <v>5842</v>
      </c>
      <c r="E37" s="349">
        <v>6077</v>
      </c>
      <c r="F37" s="349">
        <v>6505</v>
      </c>
      <c r="G37" s="349">
        <v>6489</v>
      </c>
      <c r="H37" s="349">
        <v>6409</v>
      </c>
      <c r="I37" s="878">
        <v>6514</v>
      </c>
      <c r="J37" s="1042">
        <v>6413</v>
      </c>
      <c r="K37" s="1552">
        <v>6054</v>
      </c>
      <c r="L37" s="1902">
        <v>6396</v>
      </c>
      <c r="M37" s="1902">
        <v>7515</v>
      </c>
      <c r="N37" s="1902">
        <v>8542</v>
      </c>
    </row>
    <row r="38" spans="1:14" x14ac:dyDescent="0.3">
      <c r="A38" s="347" t="s">
        <v>85</v>
      </c>
      <c r="B38" s="348" t="s">
        <v>86</v>
      </c>
      <c r="C38" s="348" t="s">
        <v>254</v>
      </c>
      <c r="D38" s="349">
        <v>5125</v>
      </c>
      <c r="E38" s="349">
        <v>5611</v>
      </c>
      <c r="F38" s="349">
        <v>5942</v>
      </c>
      <c r="G38" s="349">
        <v>6190</v>
      </c>
      <c r="H38" s="349">
        <v>6271</v>
      </c>
      <c r="I38" s="878">
        <v>6495</v>
      </c>
      <c r="J38" s="1042">
        <v>6484</v>
      </c>
      <c r="K38" s="1552">
        <v>6452</v>
      </c>
      <c r="L38" s="1902">
        <v>6829</v>
      </c>
      <c r="M38" s="1902">
        <v>8118</v>
      </c>
      <c r="N38" s="1902">
        <v>9419</v>
      </c>
    </row>
    <row r="39" spans="1:14" x14ac:dyDescent="0.3">
      <c r="A39" s="347" t="s">
        <v>91</v>
      </c>
      <c r="B39" s="348" t="s">
        <v>92</v>
      </c>
      <c r="C39" s="348" t="s">
        <v>255</v>
      </c>
      <c r="D39" s="349">
        <v>2209</v>
      </c>
      <c r="E39" s="349">
        <v>2338</v>
      </c>
      <c r="F39" s="349">
        <v>2378</v>
      </c>
      <c r="G39" s="349">
        <v>2274</v>
      </c>
      <c r="H39" s="349">
        <v>2319</v>
      </c>
      <c r="I39" s="878">
        <v>2409</v>
      </c>
      <c r="J39" s="1042">
        <v>2295</v>
      </c>
      <c r="K39" s="1552">
        <v>2254</v>
      </c>
      <c r="L39" s="1902">
        <v>2370</v>
      </c>
      <c r="M39" s="1902">
        <v>2705</v>
      </c>
      <c r="N39" s="1902">
        <v>3052</v>
      </c>
    </row>
    <row r="40" spans="1:14" x14ac:dyDescent="0.3">
      <c r="A40" s="347" t="s">
        <v>93</v>
      </c>
      <c r="B40" s="348" t="s">
        <v>94</v>
      </c>
      <c r="C40" s="348" t="s">
        <v>251</v>
      </c>
      <c r="D40" s="349">
        <v>2887</v>
      </c>
      <c r="E40" s="349">
        <v>2992</v>
      </c>
      <c r="F40" s="349">
        <v>3182</v>
      </c>
      <c r="G40" s="349">
        <v>3243</v>
      </c>
      <c r="H40" s="349">
        <v>3337</v>
      </c>
      <c r="I40" s="878">
        <v>3469</v>
      </c>
      <c r="J40" s="1042">
        <v>3513</v>
      </c>
      <c r="K40" s="1552">
        <v>3503</v>
      </c>
      <c r="L40" s="1902">
        <v>3740</v>
      </c>
      <c r="M40" s="1902">
        <v>4579</v>
      </c>
      <c r="N40" s="1902">
        <v>5298</v>
      </c>
    </row>
    <row r="41" spans="1:14" x14ac:dyDescent="0.3">
      <c r="A41" s="347" t="s">
        <v>95</v>
      </c>
      <c r="B41" s="348" t="s">
        <v>96</v>
      </c>
      <c r="C41" s="348" t="s">
        <v>253</v>
      </c>
      <c r="D41" s="349">
        <v>1101</v>
      </c>
      <c r="E41" s="349">
        <v>1166</v>
      </c>
      <c r="F41" s="349">
        <v>1154</v>
      </c>
      <c r="G41" s="349">
        <v>1186</v>
      </c>
      <c r="H41" s="349">
        <v>1211</v>
      </c>
      <c r="I41" s="878">
        <v>1310</v>
      </c>
      <c r="J41" s="1042">
        <v>1286</v>
      </c>
      <c r="K41" s="1552">
        <v>1177</v>
      </c>
      <c r="L41" s="1902">
        <v>1274</v>
      </c>
      <c r="M41" s="1902">
        <v>1770</v>
      </c>
      <c r="N41" s="1902">
        <v>2392</v>
      </c>
    </row>
    <row r="42" spans="1:14" x14ac:dyDescent="0.3">
      <c r="A42" s="347" t="s">
        <v>97</v>
      </c>
      <c r="B42" s="348" t="s">
        <v>98</v>
      </c>
      <c r="C42" s="348" t="s">
        <v>255</v>
      </c>
      <c r="D42" s="349">
        <v>2421</v>
      </c>
      <c r="E42" s="349">
        <v>2523</v>
      </c>
      <c r="F42" s="349">
        <v>2596</v>
      </c>
      <c r="G42" s="349">
        <v>2611</v>
      </c>
      <c r="H42" s="349">
        <v>2582</v>
      </c>
      <c r="I42" s="878">
        <v>2588</v>
      </c>
      <c r="J42" s="1042">
        <v>2499</v>
      </c>
      <c r="K42" s="1552">
        <v>2290</v>
      </c>
      <c r="L42" s="1902">
        <v>2380</v>
      </c>
      <c r="M42" s="1902">
        <v>2765</v>
      </c>
      <c r="N42" s="1902">
        <v>3603</v>
      </c>
    </row>
    <row r="43" spans="1:14" x14ac:dyDescent="0.3">
      <c r="A43" s="347" t="s">
        <v>99</v>
      </c>
      <c r="B43" s="348" t="s">
        <v>100</v>
      </c>
      <c r="C43" s="348" t="s">
        <v>254</v>
      </c>
      <c r="D43" s="349">
        <v>1527</v>
      </c>
      <c r="E43" s="349">
        <v>1585</v>
      </c>
      <c r="F43" s="349">
        <v>1671</v>
      </c>
      <c r="G43" s="349">
        <v>1729</v>
      </c>
      <c r="H43" s="349">
        <v>1801</v>
      </c>
      <c r="I43" s="878">
        <v>1824</v>
      </c>
      <c r="J43" s="1042">
        <v>1789</v>
      </c>
      <c r="K43" s="1552">
        <v>1752</v>
      </c>
      <c r="L43" s="1902">
        <v>1853</v>
      </c>
      <c r="M43" s="1902">
        <v>2290</v>
      </c>
      <c r="N43" s="1902">
        <v>2574</v>
      </c>
    </row>
    <row r="44" spans="1:14" x14ac:dyDescent="0.3">
      <c r="A44" s="347" t="s">
        <v>101</v>
      </c>
      <c r="B44" s="348" t="s">
        <v>263</v>
      </c>
      <c r="C44" s="348" t="s">
        <v>251</v>
      </c>
      <c r="D44" s="349">
        <v>2936</v>
      </c>
      <c r="E44" s="349">
        <v>3078</v>
      </c>
      <c r="F44" s="349">
        <v>3213</v>
      </c>
      <c r="G44" s="349">
        <v>3268</v>
      </c>
      <c r="H44" s="349">
        <v>3249</v>
      </c>
      <c r="I44" s="878">
        <v>3302</v>
      </c>
      <c r="J44" s="1042">
        <v>3143</v>
      </c>
      <c r="K44" s="1552">
        <v>2923</v>
      </c>
      <c r="L44" s="1902">
        <v>3079</v>
      </c>
      <c r="M44" s="1902">
        <v>3566</v>
      </c>
      <c r="N44" s="1902">
        <v>5977</v>
      </c>
    </row>
    <row r="45" spans="1:14" x14ac:dyDescent="0.3">
      <c r="A45" s="347" t="s">
        <v>103</v>
      </c>
      <c r="B45" s="348" t="s">
        <v>104</v>
      </c>
      <c r="C45" s="348" t="s">
        <v>252</v>
      </c>
      <c r="D45" s="349">
        <v>6002</v>
      </c>
      <c r="E45" s="349">
        <v>6226</v>
      </c>
      <c r="F45" s="349">
        <v>6414</v>
      </c>
      <c r="G45" s="349">
        <v>6377</v>
      </c>
      <c r="H45" s="349">
        <v>6416</v>
      </c>
      <c r="I45" s="878">
        <v>6557</v>
      </c>
      <c r="J45" s="1042">
        <v>6148</v>
      </c>
      <c r="K45" s="1552">
        <v>5891</v>
      </c>
      <c r="L45" s="1902">
        <v>6019</v>
      </c>
      <c r="M45" s="1902">
        <v>6907</v>
      </c>
      <c r="N45" s="1902">
        <v>7903</v>
      </c>
    </row>
    <row r="46" spans="1:14" x14ac:dyDescent="0.3">
      <c r="A46" s="347" t="s">
        <v>107</v>
      </c>
      <c r="B46" s="348" t="s">
        <v>108</v>
      </c>
      <c r="C46" s="348" t="s">
        <v>253</v>
      </c>
      <c r="D46" s="349">
        <v>4638</v>
      </c>
      <c r="E46" s="349">
        <v>4917</v>
      </c>
      <c r="F46" s="349">
        <v>5158</v>
      </c>
      <c r="G46" s="349">
        <v>5228</v>
      </c>
      <c r="H46" s="349">
        <v>5354</v>
      </c>
      <c r="I46" s="878">
        <v>5695</v>
      </c>
      <c r="J46" s="1042">
        <v>5674</v>
      </c>
      <c r="K46" s="1552">
        <v>5514</v>
      </c>
      <c r="L46" s="1902">
        <v>5882</v>
      </c>
      <c r="M46" s="1902">
        <v>7351</v>
      </c>
      <c r="N46" s="1902">
        <v>8908</v>
      </c>
    </row>
    <row r="47" spans="1:14" x14ac:dyDescent="0.3">
      <c r="A47" s="347" t="s">
        <v>109</v>
      </c>
      <c r="B47" s="348" t="s">
        <v>110</v>
      </c>
      <c r="C47" s="348" t="s">
        <v>253</v>
      </c>
      <c r="D47" s="349">
        <v>23197</v>
      </c>
      <c r="E47" s="349">
        <v>24646</v>
      </c>
      <c r="F47" s="349">
        <v>26257</v>
      </c>
      <c r="G47" s="349">
        <v>27064</v>
      </c>
      <c r="H47" s="349">
        <v>27773</v>
      </c>
      <c r="I47" s="878">
        <v>28708</v>
      </c>
      <c r="J47" s="1042">
        <v>29282</v>
      </c>
      <c r="K47" s="1552">
        <v>28701</v>
      </c>
      <c r="L47" s="1902">
        <v>31782</v>
      </c>
      <c r="M47" s="1902">
        <v>37801</v>
      </c>
      <c r="N47" s="1902">
        <v>45313</v>
      </c>
    </row>
    <row r="48" spans="1:14" x14ac:dyDescent="0.3">
      <c r="A48" s="347" t="s">
        <v>111</v>
      </c>
      <c r="B48" s="348" t="s">
        <v>275</v>
      </c>
      <c r="C48" s="348" t="s">
        <v>252</v>
      </c>
      <c r="D48" s="349">
        <v>11091</v>
      </c>
      <c r="E48" s="349">
        <v>11532</v>
      </c>
      <c r="F48" s="349">
        <v>12321</v>
      </c>
      <c r="G48" s="349">
        <v>12567</v>
      </c>
      <c r="H48" s="349">
        <v>12648</v>
      </c>
      <c r="I48" s="878">
        <v>12978</v>
      </c>
      <c r="J48" s="1042">
        <v>12091</v>
      </c>
      <c r="K48" s="1552">
        <v>12233</v>
      </c>
      <c r="L48" s="1902">
        <v>12329</v>
      </c>
      <c r="M48" s="1902">
        <v>14262</v>
      </c>
      <c r="N48" s="1902">
        <v>16268</v>
      </c>
    </row>
    <row r="49" spans="1:14" x14ac:dyDescent="0.3">
      <c r="A49" s="347" t="s">
        <v>113</v>
      </c>
      <c r="B49" s="348" t="s">
        <v>114</v>
      </c>
      <c r="C49" s="348" t="s">
        <v>252</v>
      </c>
      <c r="D49" s="349">
        <v>186</v>
      </c>
      <c r="E49" s="349">
        <v>203</v>
      </c>
      <c r="F49" s="349">
        <v>213</v>
      </c>
      <c r="G49" s="349">
        <v>186</v>
      </c>
      <c r="H49" s="349">
        <v>243</v>
      </c>
      <c r="I49" s="878">
        <v>282</v>
      </c>
      <c r="J49" s="1042">
        <v>195</v>
      </c>
      <c r="K49" s="1552">
        <v>206</v>
      </c>
      <c r="L49" s="1902">
        <v>199</v>
      </c>
      <c r="M49" s="1902">
        <v>271</v>
      </c>
      <c r="N49" s="1902">
        <v>337</v>
      </c>
    </row>
    <row r="50" spans="1:14" x14ac:dyDescent="0.3">
      <c r="A50" s="347" t="s">
        <v>117</v>
      </c>
      <c r="B50" s="348" t="s">
        <v>257</v>
      </c>
      <c r="C50" s="348" t="s">
        <v>251</v>
      </c>
      <c r="D50" s="349">
        <v>2959</v>
      </c>
      <c r="E50" s="349">
        <v>3091</v>
      </c>
      <c r="F50" s="349">
        <v>3176</v>
      </c>
      <c r="G50" s="349">
        <v>3218</v>
      </c>
      <c r="H50" s="349">
        <v>3151</v>
      </c>
      <c r="I50" s="878">
        <v>3244</v>
      </c>
      <c r="J50" s="1042">
        <v>3230</v>
      </c>
      <c r="K50" s="1552">
        <v>3153</v>
      </c>
      <c r="L50" s="1902">
        <v>3379</v>
      </c>
      <c r="M50" s="1902">
        <v>4089</v>
      </c>
      <c r="N50" s="1902">
        <v>4585</v>
      </c>
    </row>
    <row r="51" spans="1:14" x14ac:dyDescent="0.3">
      <c r="A51" s="347" t="s">
        <v>119</v>
      </c>
      <c r="B51" s="348" t="s">
        <v>120</v>
      </c>
      <c r="C51" s="348" t="s">
        <v>251</v>
      </c>
      <c r="D51" s="349">
        <v>3388</v>
      </c>
      <c r="E51" s="349">
        <v>3575</v>
      </c>
      <c r="F51" s="349">
        <v>3773</v>
      </c>
      <c r="G51" s="349">
        <v>3922</v>
      </c>
      <c r="H51" s="349">
        <v>3979</v>
      </c>
      <c r="I51" s="878">
        <v>4191</v>
      </c>
      <c r="J51" s="1042">
        <v>4284</v>
      </c>
      <c r="K51" s="1552">
        <v>4069</v>
      </c>
      <c r="L51" s="1902">
        <v>4373</v>
      </c>
      <c r="M51" s="1902">
        <v>5419</v>
      </c>
      <c r="N51" s="1902">
        <v>6551</v>
      </c>
    </row>
    <row r="52" spans="1:14" x14ac:dyDescent="0.3">
      <c r="A52" s="347" t="s">
        <v>121</v>
      </c>
      <c r="B52" s="348" t="s">
        <v>268</v>
      </c>
      <c r="C52" s="348" t="s">
        <v>253</v>
      </c>
      <c r="D52" s="349">
        <v>915</v>
      </c>
      <c r="E52" s="349">
        <v>965</v>
      </c>
      <c r="F52" s="349">
        <v>965</v>
      </c>
      <c r="G52" s="349">
        <v>974</v>
      </c>
      <c r="H52" s="349">
        <v>1017</v>
      </c>
      <c r="I52" s="878">
        <v>1017</v>
      </c>
      <c r="J52" s="1042">
        <v>2010</v>
      </c>
      <c r="K52" s="1552">
        <v>953</v>
      </c>
      <c r="L52" s="1902">
        <v>975</v>
      </c>
      <c r="M52" s="1902">
        <v>1175</v>
      </c>
      <c r="N52" s="1902">
        <v>1262</v>
      </c>
    </row>
    <row r="53" spans="1:14" x14ac:dyDescent="0.3">
      <c r="A53" s="347" t="s">
        <v>123</v>
      </c>
      <c r="B53" s="348" t="s">
        <v>124</v>
      </c>
      <c r="C53" s="348" t="s">
        <v>254</v>
      </c>
      <c r="D53" s="349">
        <v>1540</v>
      </c>
      <c r="E53" s="349">
        <v>1699</v>
      </c>
      <c r="F53" s="349">
        <v>1866</v>
      </c>
      <c r="G53" s="349">
        <v>1907</v>
      </c>
      <c r="H53" s="349">
        <v>1908</v>
      </c>
      <c r="I53" s="878">
        <v>2044</v>
      </c>
      <c r="J53" s="1042">
        <v>1570</v>
      </c>
      <c r="K53" s="1552">
        <v>1943</v>
      </c>
      <c r="L53" s="1902">
        <v>2092</v>
      </c>
      <c r="M53" s="1902">
        <v>2489</v>
      </c>
      <c r="N53" s="1902">
        <v>2784</v>
      </c>
    </row>
    <row r="54" spans="1:14" x14ac:dyDescent="0.3">
      <c r="A54" s="347" t="s">
        <v>125</v>
      </c>
      <c r="B54" s="348" t="s">
        <v>126</v>
      </c>
      <c r="C54" s="348" t="s">
        <v>253</v>
      </c>
      <c r="D54" s="349">
        <v>1319</v>
      </c>
      <c r="E54" s="349">
        <v>1400</v>
      </c>
      <c r="F54" s="349">
        <v>1493</v>
      </c>
      <c r="G54" s="349">
        <v>1489</v>
      </c>
      <c r="H54" s="349">
        <v>1506</v>
      </c>
      <c r="I54" s="878">
        <v>1543</v>
      </c>
      <c r="J54" s="1042">
        <v>950</v>
      </c>
      <c r="K54" s="1552">
        <v>1398</v>
      </c>
      <c r="L54" s="1902">
        <v>1508</v>
      </c>
      <c r="M54" s="1902">
        <v>1854</v>
      </c>
      <c r="N54" s="1902">
        <v>2145</v>
      </c>
    </row>
    <row r="55" spans="1:14" x14ac:dyDescent="0.3">
      <c r="A55" s="347" t="s">
        <v>127</v>
      </c>
      <c r="B55" s="348" t="s">
        <v>128</v>
      </c>
      <c r="C55" s="348" t="s">
        <v>253</v>
      </c>
      <c r="D55" s="349">
        <v>1246</v>
      </c>
      <c r="E55" s="349">
        <v>1294</v>
      </c>
      <c r="F55" s="349">
        <v>1341</v>
      </c>
      <c r="G55" s="349">
        <v>1371</v>
      </c>
      <c r="H55" s="349">
        <v>1368</v>
      </c>
      <c r="I55" s="878">
        <v>1397</v>
      </c>
      <c r="J55" s="1042">
        <v>1312</v>
      </c>
      <c r="K55" s="1552">
        <v>1302</v>
      </c>
      <c r="L55" s="1902">
        <v>1390</v>
      </c>
      <c r="M55" s="1902">
        <v>1618</v>
      </c>
      <c r="N55" s="1902">
        <v>1812</v>
      </c>
    </row>
    <row r="56" spans="1:14" x14ac:dyDescent="0.3">
      <c r="A56" s="347" t="s">
        <v>129</v>
      </c>
      <c r="B56" s="348" t="s">
        <v>130</v>
      </c>
      <c r="C56" s="348" t="s">
        <v>255</v>
      </c>
      <c r="D56" s="349">
        <v>5449</v>
      </c>
      <c r="E56" s="349">
        <v>5478</v>
      </c>
      <c r="F56" s="349">
        <v>5636</v>
      </c>
      <c r="G56" s="349">
        <v>5578</v>
      </c>
      <c r="H56" s="349">
        <v>5575</v>
      </c>
      <c r="I56" s="878">
        <v>5609</v>
      </c>
      <c r="J56" s="1042">
        <v>5454</v>
      </c>
      <c r="K56" s="1552">
        <v>4977</v>
      </c>
      <c r="L56" s="1902">
        <v>5006</v>
      </c>
      <c r="M56" s="1902">
        <v>5853</v>
      </c>
      <c r="N56" s="1902">
        <v>6470</v>
      </c>
    </row>
    <row r="57" spans="1:14" x14ac:dyDescent="0.3">
      <c r="A57" s="347" t="s">
        <v>131</v>
      </c>
      <c r="B57" s="348" t="s">
        <v>132</v>
      </c>
      <c r="C57" s="348" t="s">
        <v>254</v>
      </c>
      <c r="D57" s="349">
        <v>9252</v>
      </c>
      <c r="E57" s="349">
        <v>10223</v>
      </c>
      <c r="F57" s="349">
        <v>11119</v>
      </c>
      <c r="G57" s="349">
        <v>11769</v>
      </c>
      <c r="H57" s="349">
        <v>12165</v>
      </c>
      <c r="I57" s="878">
        <v>13957</v>
      </c>
      <c r="J57" s="1042">
        <v>15253</v>
      </c>
      <c r="K57" s="1552">
        <v>15902</v>
      </c>
      <c r="L57" s="1902">
        <v>16315</v>
      </c>
      <c r="M57" s="1902">
        <v>20008</v>
      </c>
      <c r="N57" s="1902">
        <v>24742</v>
      </c>
    </row>
    <row r="58" spans="1:14" x14ac:dyDescent="0.3">
      <c r="A58" s="347" t="s">
        <v>133</v>
      </c>
      <c r="B58" s="348" t="s">
        <v>134</v>
      </c>
      <c r="C58" s="348" t="s">
        <v>254</v>
      </c>
      <c r="D58" s="349">
        <v>3085</v>
      </c>
      <c r="E58" s="349">
        <v>3288</v>
      </c>
      <c r="F58" s="349">
        <v>3457</v>
      </c>
      <c r="G58" s="349">
        <v>3513</v>
      </c>
      <c r="H58" s="349">
        <v>3631</v>
      </c>
      <c r="I58" s="878">
        <v>3886</v>
      </c>
      <c r="J58" s="1042">
        <v>3740</v>
      </c>
      <c r="K58" s="1552">
        <v>3577</v>
      </c>
      <c r="L58" s="1902">
        <v>3797</v>
      </c>
      <c r="M58" s="1902">
        <v>4717</v>
      </c>
      <c r="N58" s="1902">
        <v>5504</v>
      </c>
    </row>
    <row r="59" spans="1:14" x14ac:dyDescent="0.3">
      <c r="A59" s="347" t="s">
        <v>135</v>
      </c>
      <c r="B59" s="348" t="s">
        <v>136</v>
      </c>
      <c r="C59" s="348" t="s">
        <v>253</v>
      </c>
      <c r="D59" s="349">
        <v>1954</v>
      </c>
      <c r="E59" s="349">
        <v>2038</v>
      </c>
      <c r="F59" s="349">
        <v>1988</v>
      </c>
      <c r="G59" s="349">
        <v>1965</v>
      </c>
      <c r="H59" s="349">
        <v>1983</v>
      </c>
      <c r="I59" s="878">
        <v>2053</v>
      </c>
      <c r="J59" s="1042">
        <v>2016</v>
      </c>
      <c r="K59" s="1552">
        <v>1893</v>
      </c>
      <c r="L59" s="1902">
        <v>1989</v>
      </c>
      <c r="M59" s="1902">
        <v>2362</v>
      </c>
      <c r="N59" s="1902">
        <v>3409</v>
      </c>
    </row>
    <row r="60" spans="1:14" x14ac:dyDescent="0.3">
      <c r="A60" s="347" t="s">
        <v>139</v>
      </c>
      <c r="B60" s="348" t="s">
        <v>140</v>
      </c>
      <c r="C60" s="348" t="s">
        <v>254</v>
      </c>
      <c r="D60" s="349">
        <v>1218</v>
      </c>
      <c r="E60" s="349">
        <v>1258</v>
      </c>
      <c r="F60" s="349">
        <v>1336</v>
      </c>
      <c r="G60" s="349">
        <v>1381</v>
      </c>
      <c r="H60" s="349">
        <v>1411</v>
      </c>
      <c r="I60" s="878">
        <v>1462</v>
      </c>
      <c r="J60" s="1042">
        <v>1404</v>
      </c>
      <c r="K60" s="1552">
        <v>1317</v>
      </c>
      <c r="L60" s="1902">
        <v>1380</v>
      </c>
      <c r="M60" s="1902">
        <v>1685</v>
      </c>
      <c r="N60" s="1902">
        <v>1915</v>
      </c>
    </row>
    <row r="61" spans="1:14" x14ac:dyDescent="0.3">
      <c r="A61" s="347" t="s">
        <v>145</v>
      </c>
      <c r="B61" s="348" t="s">
        <v>146</v>
      </c>
      <c r="C61" s="348" t="s">
        <v>251</v>
      </c>
      <c r="D61" s="349">
        <v>782</v>
      </c>
      <c r="E61" s="349">
        <v>777</v>
      </c>
      <c r="F61" s="349">
        <v>806</v>
      </c>
      <c r="G61" s="349">
        <v>805</v>
      </c>
      <c r="H61" s="349">
        <v>826</v>
      </c>
      <c r="I61" s="878">
        <v>867</v>
      </c>
      <c r="J61" s="1042">
        <v>839</v>
      </c>
      <c r="K61" s="1552">
        <v>799</v>
      </c>
      <c r="L61" s="1902">
        <v>865</v>
      </c>
      <c r="M61" s="1902">
        <v>1107</v>
      </c>
      <c r="N61" s="1902">
        <v>1258</v>
      </c>
    </row>
    <row r="62" spans="1:14" x14ac:dyDescent="0.3">
      <c r="A62" s="347" t="s">
        <v>147</v>
      </c>
      <c r="B62" s="348" t="s">
        <v>148</v>
      </c>
      <c r="C62" s="348" t="s">
        <v>252</v>
      </c>
      <c r="D62" s="349">
        <v>4728</v>
      </c>
      <c r="E62" s="349">
        <v>4901</v>
      </c>
      <c r="F62" s="349">
        <v>5089</v>
      </c>
      <c r="G62" s="349">
        <v>5094</v>
      </c>
      <c r="H62" s="349">
        <v>5111</v>
      </c>
      <c r="I62" s="878">
        <v>5103</v>
      </c>
      <c r="J62" s="1042">
        <v>4814</v>
      </c>
      <c r="K62" s="1552">
        <v>4607</v>
      </c>
      <c r="L62" s="1902">
        <v>4731</v>
      </c>
      <c r="M62" s="1902">
        <v>5453</v>
      </c>
      <c r="N62" s="1902">
        <v>6375</v>
      </c>
    </row>
    <row r="63" spans="1:14" x14ac:dyDescent="0.3">
      <c r="A63" s="347" t="s">
        <v>149</v>
      </c>
      <c r="B63" s="348" t="s">
        <v>150</v>
      </c>
      <c r="C63" s="348" t="s">
        <v>253</v>
      </c>
      <c r="D63" s="349">
        <v>1036</v>
      </c>
      <c r="E63" s="349">
        <v>1100</v>
      </c>
      <c r="F63" s="349">
        <v>1207</v>
      </c>
      <c r="G63" s="349">
        <v>1248</v>
      </c>
      <c r="H63" s="349">
        <v>1242</v>
      </c>
      <c r="I63" s="878">
        <v>1329</v>
      </c>
      <c r="J63" s="1042">
        <v>1295</v>
      </c>
      <c r="K63" s="1552">
        <v>1282</v>
      </c>
      <c r="L63" s="1902">
        <v>1388</v>
      </c>
      <c r="M63" s="1902">
        <v>1674</v>
      </c>
      <c r="N63" s="1902">
        <v>1905</v>
      </c>
    </row>
    <row r="64" spans="1:14" x14ac:dyDescent="0.3">
      <c r="A64" s="347" t="s">
        <v>151</v>
      </c>
      <c r="B64" s="348" t="s">
        <v>152</v>
      </c>
      <c r="C64" s="348" t="s">
        <v>255</v>
      </c>
      <c r="D64" s="349">
        <v>6206</v>
      </c>
      <c r="E64" s="349">
        <v>6377</v>
      </c>
      <c r="F64" s="349">
        <v>6590</v>
      </c>
      <c r="G64" s="349">
        <v>6641</v>
      </c>
      <c r="H64" s="349">
        <v>6657</v>
      </c>
      <c r="I64" s="878">
        <v>6721</v>
      </c>
      <c r="J64" s="1042">
        <v>6478</v>
      </c>
      <c r="K64" s="1552">
        <v>6224</v>
      </c>
      <c r="L64" s="1902">
        <v>6491</v>
      </c>
      <c r="M64" s="1902">
        <v>7985</v>
      </c>
      <c r="N64" s="1902">
        <v>9489</v>
      </c>
    </row>
    <row r="65" spans="1:14" x14ac:dyDescent="0.3">
      <c r="A65" s="347" t="s">
        <v>153</v>
      </c>
      <c r="B65" s="348" t="s">
        <v>154</v>
      </c>
      <c r="C65" s="348" t="s">
        <v>252</v>
      </c>
      <c r="D65" s="349">
        <v>1780</v>
      </c>
      <c r="E65" s="349">
        <v>1857</v>
      </c>
      <c r="F65" s="349">
        <v>1926</v>
      </c>
      <c r="G65" s="349">
        <v>1898</v>
      </c>
      <c r="H65" s="349">
        <v>1914</v>
      </c>
      <c r="I65" s="878">
        <v>1970</v>
      </c>
      <c r="J65" s="1042">
        <v>1867</v>
      </c>
      <c r="K65" s="1552">
        <v>1751</v>
      </c>
      <c r="L65" s="1902">
        <v>1807</v>
      </c>
      <c r="M65" s="1902">
        <v>2094</v>
      </c>
      <c r="N65" s="1902">
        <v>2448</v>
      </c>
    </row>
    <row r="66" spans="1:14" x14ac:dyDescent="0.3">
      <c r="A66" s="347" t="s">
        <v>155</v>
      </c>
      <c r="B66" s="348" t="s">
        <v>156</v>
      </c>
      <c r="C66" s="348" t="s">
        <v>253</v>
      </c>
      <c r="D66" s="349">
        <v>945</v>
      </c>
      <c r="E66" s="349">
        <v>972</v>
      </c>
      <c r="F66" s="349">
        <v>1039</v>
      </c>
      <c r="G66" s="349">
        <v>1073</v>
      </c>
      <c r="H66" s="349">
        <v>1089</v>
      </c>
      <c r="I66" s="878">
        <v>1223</v>
      </c>
      <c r="J66" s="1042">
        <v>1226</v>
      </c>
      <c r="K66" s="1552">
        <v>1171</v>
      </c>
      <c r="L66" s="1902">
        <v>1256</v>
      </c>
      <c r="M66" s="1902">
        <v>1583</v>
      </c>
      <c r="N66" s="1902">
        <v>1899</v>
      </c>
    </row>
    <row r="67" spans="1:14" x14ac:dyDescent="0.3">
      <c r="A67" s="347" t="s">
        <v>161</v>
      </c>
      <c r="B67" s="348" t="s">
        <v>162</v>
      </c>
      <c r="C67" s="348" t="s">
        <v>251</v>
      </c>
      <c r="D67" s="349">
        <v>2313</v>
      </c>
      <c r="E67" s="349">
        <v>2369</v>
      </c>
      <c r="F67" s="349">
        <v>2443</v>
      </c>
      <c r="G67" s="349">
        <v>2435</v>
      </c>
      <c r="H67" s="349">
        <v>2450</v>
      </c>
      <c r="I67" s="878">
        <v>2410</v>
      </c>
      <c r="J67" s="1042">
        <v>2388</v>
      </c>
      <c r="K67" s="1552">
        <v>2327</v>
      </c>
      <c r="L67" s="1902">
        <v>2355</v>
      </c>
      <c r="M67" s="1902">
        <v>2722</v>
      </c>
      <c r="N67" s="1902">
        <v>3019</v>
      </c>
    </row>
    <row r="68" spans="1:14" x14ac:dyDescent="0.3">
      <c r="A68" s="347" t="s">
        <v>163</v>
      </c>
      <c r="B68" s="348" t="s">
        <v>164</v>
      </c>
      <c r="C68" s="348" t="s">
        <v>253</v>
      </c>
      <c r="D68" s="349">
        <v>1300</v>
      </c>
      <c r="E68" s="349">
        <v>1332</v>
      </c>
      <c r="F68" s="349">
        <v>1409</v>
      </c>
      <c r="G68" s="349">
        <v>1464</v>
      </c>
      <c r="H68" s="349">
        <v>1451</v>
      </c>
      <c r="I68" s="878">
        <v>1467</v>
      </c>
      <c r="J68" s="1042">
        <v>1431</v>
      </c>
      <c r="K68" s="1552">
        <v>1346</v>
      </c>
      <c r="L68" s="1902">
        <v>1409</v>
      </c>
      <c r="M68" s="1902">
        <v>1688</v>
      </c>
      <c r="N68" s="1902">
        <v>1914</v>
      </c>
    </row>
    <row r="69" spans="1:14" x14ac:dyDescent="0.3">
      <c r="A69" s="347" t="s">
        <v>167</v>
      </c>
      <c r="B69" s="348" t="s">
        <v>168</v>
      </c>
      <c r="C69" s="348" t="s">
        <v>253</v>
      </c>
      <c r="D69" s="349">
        <v>2301</v>
      </c>
      <c r="E69" s="349">
        <v>2387</v>
      </c>
      <c r="F69" s="349">
        <v>2497</v>
      </c>
      <c r="G69" s="349">
        <v>2544</v>
      </c>
      <c r="H69" s="349">
        <v>2544</v>
      </c>
      <c r="I69" s="878">
        <v>2577</v>
      </c>
      <c r="J69" s="1042">
        <v>2496</v>
      </c>
      <c r="K69" s="1552">
        <v>2448</v>
      </c>
      <c r="L69" s="1902">
        <v>2601</v>
      </c>
      <c r="M69" s="1902">
        <v>2957</v>
      </c>
      <c r="N69" s="1902">
        <v>3660</v>
      </c>
    </row>
    <row r="70" spans="1:14" x14ac:dyDescent="0.3">
      <c r="A70" s="347" t="s">
        <v>169</v>
      </c>
      <c r="B70" s="348" t="s">
        <v>170</v>
      </c>
      <c r="C70" s="348" t="s">
        <v>254</v>
      </c>
      <c r="D70" s="349">
        <v>2741</v>
      </c>
      <c r="E70" s="349">
        <v>2880</v>
      </c>
      <c r="F70" s="349">
        <v>3035</v>
      </c>
      <c r="G70" s="349">
        <v>3145</v>
      </c>
      <c r="H70" s="349">
        <v>3300</v>
      </c>
      <c r="I70" s="878">
        <v>3487</v>
      </c>
      <c r="J70" s="1042">
        <v>3445</v>
      </c>
      <c r="K70" s="1552">
        <v>3314</v>
      </c>
      <c r="L70" s="1902">
        <v>3713</v>
      </c>
      <c r="M70" s="1902">
        <v>4475</v>
      </c>
      <c r="N70" s="1902">
        <v>5184</v>
      </c>
    </row>
    <row r="71" spans="1:14" x14ac:dyDescent="0.3">
      <c r="A71" s="347" t="s">
        <v>171</v>
      </c>
      <c r="B71" s="348" t="s">
        <v>172</v>
      </c>
      <c r="C71" s="348" t="s">
        <v>254</v>
      </c>
      <c r="D71" s="349">
        <v>3024</v>
      </c>
      <c r="E71" s="349">
        <v>3123</v>
      </c>
      <c r="F71" s="349">
        <v>3313</v>
      </c>
      <c r="G71" s="349">
        <v>3330</v>
      </c>
      <c r="H71" s="349">
        <v>3258</v>
      </c>
      <c r="I71" s="878">
        <v>3313</v>
      </c>
      <c r="J71" s="1042">
        <v>3187</v>
      </c>
      <c r="K71" s="1552">
        <v>3079</v>
      </c>
      <c r="L71" s="1902">
        <v>3269</v>
      </c>
      <c r="M71" s="1902">
        <v>3962</v>
      </c>
      <c r="N71" s="1902">
        <v>4569</v>
      </c>
    </row>
    <row r="72" spans="1:14" x14ac:dyDescent="0.3">
      <c r="A72" s="347" t="s">
        <v>173</v>
      </c>
      <c r="B72" s="348" t="s">
        <v>174</v>
      </c>
      <c r="C72" s="348" t="s">
        <v>255</v>
      </c>
      <c r="D72" s="349">
        <v>2746</v>
      </c>
      <c r="E72" s="349">
        <v>2818</v>
      </c>
      <c r="F72" s="349">
        <v>2961</v>
      </c>
      <c r="G72" s="349">
        <v>2989</v>
      </c>
      <c r="H72" s="349">
        <v>2966</v>
      </c>
      <c r="I72" s="878">
        <v>2991</v>
      </c>
      <c r="J72" s="1042">
        <v>2819</v>
      </c>
      <c r="K72" s="1552">
        <v>2661</v>
      </c>
      <c r="L72" s="1902">
        <v>2724</v>
      </c>
      <c r="M72" s="1902">
        <v>3079</v>
      </c>
      <c r="N72" s="1902">
        <v>3377</v>
      </c>
    </row>
    <row r="73" spans="1:14" x14ac:dyDescent="0.3">
      <c r="A73" s="347" t="s">
        <v>177</v>
      </c>
      <c r="B73" s="348" t="s">
        <v>178</v>
      </c>
      <c r="C73" s="348" t="s">
        <v>252</v>
      </c>
      <c r="D73" s="349">
        <v>8254</v>
      </c>
      <c r="E73" s="349">
        <v>8598</v>
      </c>
      <c r="F73" s="349">
        <v>8782</v>
      </c>
      <c r="G73" s="349">
        <v>8823</v>
      </c>
      <c r="H73" s="349">
        <v>9030</v>
      </c>
      <c r="I73" s="878">
        <v>9229</v>
      </c>
      <c r="J73" s="1042">
        <v>8935</v>
      </c>
      <c r="K73" s="1552">
        <v>8736</v>
      </c>
      <c r="L73" s="1902">
        <v>9069</v>
      </c>
      <c r="M73" s="1902">
        <v>10619</v>
      </c>
      <c r="N73" s="1902">
        <v>12263</v>
      </c>
    </row>
    <row r="74" spans="1:14" x14ac:dyDescent="0.3">
      <c r="A74" s="347" t="s">
        <v>181</v>
      </c>
      <c r="B74" s="348" t="s">
        <v>182</v>
      </c>
      <c r="C74" s="348" t="s">
        <v>253</v>
      </c>
      <c r="D74" s="349">
        <v>1185</v>
      </c>
      <c r="E74" s="349">
        <v>1284</v>
      </c>
      <c r="F74" s="349">
        <v>1393</v>
      </c>
      <c r="G74" s="349">
        <v>1402</v>
      </c>
      <c r="H74" s="349">
        <v>1391</v>
      </c>
      <c r="I74" s="878">
        <v>1448</v>
      </c>
      <c r="J74" s="1042">
        <v>1443</v>
      </c>
      <c r="K74" s="1552">
        <v>1416</v>
      </c>
      <c r="L74" s="1902">
        <v>1488</v>
      </c>
      <c r="M74" s="1902">
        <v>1961</v>
      </c>
      <c r="N74" s="1902">
        <v>2865</v>
      </c>
    </row>
    <row r="75" spans="1:14" x14ac:dyDescent="0.3">
      <c r="A75" s="347" t="s">
        <v>183</v>
      </c>
      <c r="B75" s="348" t="s">
        <v>184</v>
      </c>
      <c r="C75" s="348" t="s">
        <v>253</v>
      </c>
      <c r="D75" s="349">
        <v>2691</v>
      </c>
      <c r="E75" s="349">
        <v>2842</v>
      </c>
      <c r="F75" s="349">
        <v>2929</v>
      </c>
      <c r="G75" s="349">
        <v>2926</v>
      </c>
      <c r="H75" s="349">
        <v>3028</v>
      </c>
      <c r="I75" s="878">
        <v>3078</v>
      </c>
      <c r="J75" s="1042">
        <v>3032</v>
      </c>
      <c r="K75" s="1552">
        <v>2852</v>
      </c>
      <c r="L75" s="1902">
        <v>3008</v>
      </c>
      <c r="M75" s="1902">
        <v>3440</v>
      </c>
      <c r="N75" s="1902">
        <v>3830</v>
      </c>
    </row>
    <row r="76" spans="1:14" x14ac:dyDescent="0.3">
      <c r="A76" s="347" t="s">
        <v>185</v>
      </c>
      <c r="B76" s="348" t="s">
        <v>186</v>
      </c>
      <c r="C76" s="348" t="s">
        <v>251</v>
      </c>
      <c r="D76" s="349">
        <v>2063</v>
      </c>
      <c r="E76" s="349">
        <v>2200</v>
      </c>
      <c r="F76" s="349">
        <v>2322</v>
      </c>
      <c r="G76" s="349">
        <v>2383</v>
      </c>
      <c r="H76" s="349">
        <v>2518</v>
      </c>
      <c r="I76" s="878">
        <v>2768</v>
      </c>
      <c r="J76" s="1042">
        <v>2860</v>
      </c>
      <c r="K76" s="1552">
        <v>2719</v>
      </c>
      <c r="L76" s="1902">
        <v>3011</v>
      </c>
      <c r="M76" s="1902">
        <v>3797</v>
      </c>
      <c r="N76" s="1902">
        <v>4602</v>
      </c>
    </row>
    <row r="77" spans="1:14" x14ac:dyDescent="0.3">
      <c r="A77" s="347" t="s">
        <v>187</v>
      </c>
      <c r="B77" s="348" t="s">
        <v>188</v>
      </c>
      <c r="C77" s="348" t="s">
        <v>254</v>
      </c>
      <c r="D77" s="349">
        <v>24322</v>
      </c>
      <c r="E77" s="349">
        <v>26415</v>
      </c>
      <c r="F77" s="349">
        <v>28234</v>
      </c>
      <c r="G77" s="349">
        <v>29694</v>
      </c>
      <c r="H77" s="349">
        <v>29589</v>
      </c>
      <c r="I77" s="878">
        <v>31604</v>
      </c>
      <c r="J77" s="1042">
        <v>32484</v>
      </c>
      <c r="K77" s="1552">
        <v>33119</v>
      </c>
      <c r="L77" s="1902">
        <v>35049</v>
      </c>
      <c r="M77" s="1902">
        <v>41374</v>
      </c>
      <c r="N77" s="1902">
        <v>49232</v>
      </c>
    </row>
    <row r="78" spans="1:14" x14ac:dyDescent="0.3">
      <c r="A78" s="347" t="s">
        <v>189</v>
      </c>
      <c r="B78" s="348" t="s">
        <v>190</v>
      </c>
      <c r="C78" s="348" t="s">
        <v>255</v>
      </c>
      <c r="D78" s="349">
        <v>4634</v>
      </c>
      <c r="E78" s="349">
        <v>4854</v>
      </c>
      <c r="F78" s="349">
        <v>5070</v>
      </c>
      <c r="G78" s="349">
        <v>5275</v>
      </c>
      <c r="H78" s="349">
        <v>5242</v>
      </c>
      <c r="I78" s="878">
        <v>5193</v>
      </c>
      <c r="J78" s="1042">
        <v>5097</v>
      </c>
      <c r="K78" s="1552">
        <v>4790</v>
      </c>
      <c r="L78" s="1902">
        <v>5052</v>
      </c>
      <c r="M78" s="1902">
        <v>5815</v>
      </c>
      <c r="N78" s="1902">
        <v>6679</v>
      </c>
    </row>
    <row r="79" spans="1:14" x14ac:dyDescent="0.3">
      <c r="A79" s="347" t="s">
        <v>193</v>
      </c>
      <c r="B79" s="348" t="s">
        <v>194</v>
      </c>
      <c r="C79" s="348" t="s">
        <v>254</v>
      </c>
      <c r="D79" s="349">
        <v>496</v>
      </c>
      <c r="E79" s="349">
        <v>547</v>
      </c>
      <c r="F79" s="349">
        <v>603</v>
      </c>
      <c r="G79" s="349">
        <v>605</v>
      </c>
      <c r="H79" s="349">
        <v>582</v>
      </c>
      <c r="I79" s="878">
        <v>601</v>
      </c>
      <c r="J79" s="1042">
        <v>570</v>
      </c>
      <c r="K79" s="1552">
        <v>532</v>
      </c>
      <c r="L79" s="1902">
        <v>568</v>
      </c>
      <c r="M79" s="1902">
        <v>724</v>
      </c>
      <c r="N79" s="1902">
        <v>867</v>
      </c>
    </row>
    <row r="80" spans="1:14" x14ac:dyDescent="0.3">
      <c r="A80" s="347" t="s">
        <v>197</v>
      </c>
      <c r="B80" s="348" t="s">
        <v>259</v>
      </c>
      <c r="C80" s="348" t="s">
        <v>253</v>
      </c>
      <c r="D80" s="349">
        <v>1053</v>
      </c>
      <c r="E80" s="349">
        <v>1105</v>
      </c>
      <c r="F80" s="349">
        <v>1127</v>
      </c>
      <c r="G80" s="349">
        <v>1162</v>
      </c>
      <c r="H80" s="349">
        <v>1186</v>
      </c>
      <c r="I80" s="878">
        <v>1272</v>
      </c>
      <c r="J80" s="1042">
        <v>1252</v>
      </c>
      <c r="K80" s="1552">
        <v>1167</v>
      </c>
      <c r="L80" s="1902">
        <v>1223</v>
      </c>
      <c r="M80" s="1902">
        <v>1459</v>
      </c>
      <c r="N80" s="1902">
        <v>1979</v>
      </c>
    </row>
    <row r="81" spans="1:14" x14ac:dyDescent="0.3">
      <c r="A81" s="347" t="s">
        <v>201</v>
      </c>
      <c r="B81" s="348" t="s">
        <v>276</v>
      </c>
      <c r="C81" s="348" t="s">
        <v>252</v>
      </c>
      <c r="D81" s="349">
        <v>7505</v>
      </c>
      <c r="E81" s="349">
        <v>7998</v>
      </c>
      <c r="F81" s="349">
        <v>8375</v>
      </c>
      <c r="G81" s="349">
        <v>8691</v>
      </c>
      <c r="H81" s="349">
        <v>8688</v>
      </c>
      <c r="I81" s="878">
        <v>8981</v>
      </c>
      <c r="J81" s="1042">
        <v>8746</v>
      </c>
      <c r="K81" s="1552">
        <v>8670</v>
      </c>
      <c r="L81" s="1902">
        <v>9470</v>
      </c>
      <c r="M81" s="1902">
        <v>11456</v>
      </c>
      <c r="N81" s="1902">
        <v>13482</v>
      </c>
    </row>
    <row r="82" spans="1:14" x14ac:dyDescent="0.3">
      <c r="A82" s="347" t="s">
        <v>203</v>
      </c>
      <c r="B82" s="348" t="s">
        <v>269</v>
      </c>
      <c r="C82" s="348" t="s">
        <v>252</v>
      </c>
      <c r="D82" s="349">
        <v>3552</v>
      </c>
      <c r="E82" s="349">
        <v>3688</v>
      </c>
      <c r="F82" s="349">
        <v>3857</v>
      </c>
      <c r="G82" s="349">
        <v>3950</v>
      </c>
      <c r="H82" s="349">
        <v>4011</v>
      </c>
      <c r="I82" s="878">
        <v>4090</v>
      </c>
      <c r="J82" s="1042">
        <v>3923</v>
      </c>
      <c r="K82" s="1552">
        <v>3796</v>
      </c>
      <c r="L82" s="1902">
        <v>3891</v>
      </c>
      <c r="M82" s="1902">
        <v>4683</v>
      </c>
      <c r="N82" s="1902">
        <v>5307</v>
      </c>
    </row>
    <row r="83" spans="1:14" x14ac:dyDescent="0.3">
      <c r="A83" s="347" t="s">
        <v>205</v>
      </c>
      <c r="B83" s="348" t="s">
        <v>270</v>
      </c>
      <c r="C83" s="348" t="s">
        <v>254</v>
      </c>
      <c r="D83" s="349">
        <v>9549</v>
      </c>
      <c r="E83" s="349">
        <v>9950</v>
      </c>
      <c r="F83" s="349">
        <v>10400</v>
      </c>
      <c r="G83" s="349">
        <v>10836</v>
      </c>
      <c r="H83" s="349">
        <v>10695</v>
      </c>
      <c r="I83" s="878">
        <v>10929</v>
      </c>
      <c r="J83" s="1042">
        <v>10736</v>
      </c>
      <c r="K83" s="1552">
        <v>11066</v>
      </c>
      <c r="L83" s="1902">
        <v>11391</v>
      </c>
      <c r="M83" s="1902">
        <v>13899</v>
      </c>
      <c r="N83" s="1902">
        <v>15902</v>
      </c>
    </row>
    <row r="84" spans="1:14" x14ac:dyDescent="0.3">
      <c r="A84" s="347" t="s">
        <v>207</v>
      </c>
      <c r="B84" s="348" t="s">
        <v>208</v>
      </c>
      <c r="C84" s="348" t="s">
        <v>255</v>
      </c>
      <c r="D84" s="349">
        <v>5194</v>
      </c>
      <c r="E84" s="349">
        <v>5231</v>
      </c>
      <c r="F84" s="349">
        <v>5221</v>
      </c>
      <c r="G84" s="349">
        <v>5260</v>
      </c>
      <c r="H84" s="349">
        <v>5299</v>
      </c>
      <c r="I84" s="878">
        <v>5315</v>
      </c>
      <c r="J84" s="1042">
        <v>5346</v>
      </c>
      <c r="K84" s="1552">
        <v>5026</v>
      </c>
      <c r="L84" s="1902">
        <v>5125</v>
      </c>
      <c r="M84" s="1902">
        <v>5813</v>
      </c>
      <c r="N84" s="1902">
        <v>6595</v>
      </c>
    </row>
    <row r="85" spans="1:14" x14ac:dyDescent="0.3">
      <c r="A85" s="347" t="s">
        <v>209</v>
      </c>
      <c r="B85" s="348" t="s">
        <v>210</v>
      </c>
      <c r="C85" s="348" t="s">
        <v>255</v>
      </c>
      <c r="D85" s="349">
        <v>3783</v>
      </c>
      <c r="E85" s="349">
        <v>3903</v>
      </c>
      <c r="F85" s="349">
        <v>4008</v>
      </c>
      <c r="G85" s="349">
        <v>4087</v>
      </c>
      <c r="H85" s="349">
        <v>4056</v>
      </c>
      <c r="I85" s="878">
        <v>4008</v>
      </c>
      <c r="J85" s="1042">
        <v>3742</v>
      </c>
      <c r="K85" s="1552">
        <v>3687</v>
      </c>
      <c r="L85" s="1902">
        <v>3738</v>
      </c>
      <c r="M85" s="1902">
        <v>4268</v>
      </c>
      <c r="N85" s="1902">
        <v>4656</v>
      </c>
    </row>
    <row r="86" spans="1:14" x14ac:dyDescent="0.3">
      <c r="A86" s="347" t="s">
        <v>211</v>
      </c>
      <c r="B86" s="348" t="s">
        <v>212</v>
      </c>
      <c r="C86" s="348" t="s">
        <v>254</v>
      </c>
      <c r="D86" s="349">
        <v>3754</v>
      </c>
      <c r="E86" s="349">
        <v>3980</v>
      </c>
      <c r="F86" s="349">
        <v>4237</v>
      </c>
      <c r="G86" s="349">
        <v>4430</v>
      </c>
      <c r="H86" s="349">
        <v>4394</v>
      </c>
      <c r="I86" s="878">
        <v>4469</v>
      </c>
      <c r="J86" s="1042">
        <v>4572</v>
      </c>
      <c r="K86" s="1552">
        <v>4474</v>
      </c>
      <c r="L86" s="1902">
        <v>4712</v>
      </c>
      <c r="M86" s="1902">
        <v>5524</v>
      </c>
      <c r="N86" s="1902">
        <v>6497</v>
      </c>
    </row>
    <row r="87" spans="1:14" x14ac:dyDescent="0.3">
      <c r="A87" s="347" t="s">
        <v>213</v>
      </c>
      <c r="B87" s="348" t="s">
        <v>214</v>
      </c>
      <c r="C87" s="348" t="s">
        <v>255</v>
      </c>
      <c r="D87" s="349">
        <v>5150</v>
      </c>
      <c r="E87" s="349">
        <v>5368</v>
      </c>
      <c r="F87" s="349">
        <v>5554</v>
      </c>
      <c r="G87" s="349">
        <v>5745</v>
      </c>
      <c r="H87" s="349">
        <v>5555</v>
      </c>
      <c r="I87" s="878">
        <v>5559</v>
      </c>
      <c r="J87" s="1042">
        <v>5410</v>
      </c>
      <c r="K87" s="1552">
        <v>5073</v>
      </c>
      <c r="L87" s="1902">
        <v>5423</v>
      </c>
      <c r="M87" s="1902">
        <v>6358</v>
      </c>
      <c r="N87" s="1902">
        <v>7497</v>
      </c>
    </row>
    <row r="88" spans="1:14" x14ac:dyDescent="0.3">
      <c r="A88" s="347" t="s">
        <v>215</v>
      </c>
      <c r="B88" s="348" t="s">
        <v>216</v>
      </c>
      <c r="C88" s="348" t="s">
        <v>251</v>
      </c>
      <c r="D88" s="349">
        <v>2217</v>
      </c>
      <c r="E88" s="349">
        <v>2257</v>
      </c>
      <c r="F88" s="349">
        <v>2332</v>
      </c>
      <c r="G88" s="349">
        <v>2358</v>
      </c>
      <c r="H88" s="349">
        <v>2358</v>
      </c>
      <c r="I88" s="878">
        <v>2365</v>
      </c>
      <c r="J88" s="1042">
        <v>2371</v>
      </c>
      <c r="K88" s="1552">
        <v>2292</v>
      </c>
      <c r="L88" s="1902">
        <v>2417</v>
      </c>
      <c r="M88" s="1902">
        <v>2847</v>
      </c>
      <c r="N88" s="1902">
        <v>3749</v>
      </c>
    </row>
    <row r="89" spans="1:14" x14ac:dyDescent="0.3">
      <c r="A89" s="347" t="s">
        <v>217</v>
      </c>
      <c r="B89" s="348" t="s">
        <v>218</v>
      </c>
      <c r="C89" s="348" t="s">
        <v>254</v>
      </c>
      <c r="D89" s="349">
        <v>7987</v>
      </c>
      <c r="E89" s="349">
        <v>8714</v>
      </c>
      <c r="F89" s="349">
        <v>9101</v>
      </c>
      <c r="G89" s="349">
        <v>9774</v>
      </c>
      <c r="H89" s="349">
        <v>10047</v>
      </c>
      <c r="I89" s="878">
        <v>10895</v>
      </c>
      <c r="J89" s="1042">
        <v>11162</v>
      </c>
      <c r="K89" s="1552">
        <v>10838</v>
      </c>
      <c r="L89" s="1902">
        <v>12070</v>
      </c>
      <c r="M89" s="1902">
        <v>14562</v>
      </c>
      <c r="N89" s="1902">
        <v>17226</v>
      </c>
    </row>
    <row r="90" spans="1:14" x14ac:dyDescent="0.3">
      <c r="A90" s="347" t="s">
        <v>219</v>
      </c>
      <c r="B90" s="348" t="s">
        <v>220</v>
      </c>
      <c r="C90" s="348" t="s">
        <v>254</v>
      </c>
      <c r="D90" s="349">
        <v>6610</v>
      </c>
      <c r="E90" s="349">
        <v>7061</v>
      </c>
      <c r="F90" s="349">
        <v>7544</v>
      </c>
      <c r="G90" s="349">
        <v>7902</v>
      </c>
      <c r="H90" s="349">
        <v>8063</v>
      </c>
      <c r="I90" s="878">
        <v>8814</v>
      </c>
      <c r="J90" s="1042">
        <v>9320</v>
      </c>
      <c r="K90" s="1552">
        <v>8921</v>
      </c>
      <c r="L90" s="1902">
        <v>9862</v>
      </c>
      <c r="M90" s="1902">
        <v>12196</v>
      </c>
      <c r="N90" s="1902">
        <v>14747</v>
      </c>
    </row>
    <row r="91" spans="1:14" x14ac:dyDescent="0.3">
      <c r="A91" s="347" t="s">
        <v>223</v>
      </c>
      <c r="B91" s="348" t="s">
        <v>224</v>
      </c>
      <c r="C91" s="348" t="s">
        <v>251</v>
      </c>
      <c r="D91" s="349">
        <v>792</v>
      </c>
      <c r="E91" s="349">
        <v>814</v>
      </c>
      <c r="F91" s="349">
        <v>823</v>
      </c>
      <c r="G91" s="349">
        <v>858</v>
      </c>
      <c r="H91" s="349">
        <v>864</v>
      </c>
      <c r="I91" s="878">
        <v>869</v>
      </c>
      <c r="J91" s="1042">
        <v>859</v>
      </c>
      <c r="K91" s="1552">
        <v>797</v>
      </c>
      <c r="L91" s="1902">
        <v>826</v>
      </c>
      <c r="M91" s="1902">
        <v>983</v>
      </c>
      <c r="N91" s="1902">
        <v>1130</v>
      </c>
    </row>
    <row r="92" spans="1:14" x14ac:dyDescent="0.3">
      <c r="A92" s="347" t="s">
        <v>225</v>
      </c>
      <c r="B92" s="348" t="s">
        <v>226</v>
      </c>
      <c r="C92" s="348" t="s">
        <v>251</v>
      </c>
      <c r="D92" s="349">
        <v>1492</v>
      </c>
      <c r="E92" s="349">
        <v>1481</v>
      </c>
      <c r="F92" s="349">
        <v>1529</v>
      </c>
      <c r="G92" s="349">
        <v>1590</v>
      </c>
      <c r="H92" s="349">
        <v>1580</v>
      </c>
      <c r="I92" s="878">
        <v>1596</v>
      </c>
      <c r="J92" s="1042">
        <v>1556</v>
      </c>
      <c r="K92" s="1552">
        <v>1478</v>
      </c>
      <c r="L92" s="1902">
        <v>1532</v>
      </c>
      <c r="M92" s="1902">
        <v>1884</v>
      </c>
      <c r="N92" s="1902">
        <v>3748</v>
      </c>
    </row>
    <row r="93" spans="1:14" x14ac:dyDescent="0.3">
      <c r="A93" s="347" t="s">
        <v>227</v>
      </c>
      <c r="B93" s="348" t="s">
        <v>228</v>
      </c>
      <c r="C93" s="348" t="s">
        <v>255</v>
      </c>
      <c r="D93" s="349">
        <v>7185</v>
      </c>
      <c r="E93" s="349">
        <v>7265</v>
      </c>
      <c r="F93" s="349">
        <v>7354</v>
      </c>
      <c r="G93" s="349">
        <v>7538</v>
      </c>
      <c r="H93" s="349">
        <v>7460</v>
      </c>
      <c r="I93" s="878">
        <v>7469</v>
      </c>
      <c r="J93" s="1042">
        <v>7527</v>
      </c>
      <c r="K93" s="1552">
        <v>7333</v>
      </c>
      <c r="L93" s="1902">
        <v>7392</v>
      </c>
      <c r="M93" s="1902">
        <v>8513</v>
      </c>
      <c r="N93" s="1902">
        <v>10255</v>
      </c>
    </row>
    <row r="94" spans="1:14" x14ac:dyDescent="0.3">
      <c r="A94" s="347" t="s">
        <v>231</v>
      </c>
      <c r="B94" s="348" t="s">
        <v>232</v>
      </c>
      <c r="C94" s="348" t="s">
        <v>254</v>
      </c>
      <c r="D94" s="349">
        <v>3307</v>
      </c>
      <c r="E94" s="349">
        <v>3552</v>
      </c>
      <c r="F94" s="349">
        <v>3749</v>
      </c>
      <c r="G94" s="349">
        <v>3974</v>
      </c>
      <c r="H94" s="349">
        <v>4010</v>
      </c>
      <c r="I94" s="878">
        <v>4164</v>
      </c>
      <c r="J94" s="1042">
        <v>4132</v>
      </c>
      <c r="K94" s="1552">
        <v>3971</v>
      </c>
      <c r="L94" s="1902">
        <v>4167</v>
      </c>
      <c r="M94" s="1902">
        <v>4905</v>
      </c>
      <c r="N94" s="1902">
        <v>5756</v>
      </c>
    </row>
    <row r="95" spans="1:14" x14ac:dyDescent="0.3">
      <c r="A95" s="347" t="s">
        <v>233</v>
      </c>
      <c r="B95" s="348" t="s">
        <v>234</v>
      </c>
      <c r="C95" s="348" t="s">
        <v>255</v>
      </c>
      <c r="D95" s="349">
        <v>6570</v>
      </c>
      <c r="E95" s="349">
        <v>6762</v>
      </c>
      <c r="F95" s="349">
        <v>7025</v>
      </c>
      <c r="G95" s="349">
        <v>7350</v>
      </c>
      <c r="H95" s="349">
        <v>7409</v>
      </c>
      <c r="I95" s="878">
        <v>7383</v>
      </c>
      <c r="J95" s="1042">
        <v>7113</v>
      </c>
      <c r="K95" s="1552">
        <v>6730</v>
      </c>
      <c r="L95" s="1902">
        <v>7053</v>
      </c>
      <c r="M95" s="1902">
        <v>8182</v>
      </c>
      <c r="N95" s="1902">
        <v>9371</v>
      </c>
    </row>
    <row r="96" spans="1:14" x14ac:dyDescent="0.3">
      <c r="A96" s="347" t="s">
        <v>235</v>
      </c>
      <c r="B96" s="348" t="s">
        <v>236</v>
      </c>
      <c r="C96" s="348" t="s">
        <v>253</v>
      </c>
      <c r="D96" s="349">
        <v>2231</v>
      </c>
      <c r="E96" s="349">
        <v>2372</v>
      </c>
      <c r="F96" s="349">
        <v>2447</v>
      </c>
      <c r="G96" s="349">
        <v>2509</v>
      </c>
      <c r="H96" s="349">
        <v>2476</v>
      </c>
      <c r="I96" s="878">
        <v>2580</v>
      </c>
      <c r="J96" s="1042">
        <v>2508</v>
      </c>
      <c r="K96" s="1552">
        <v>2358</v>
      </c>
      <c r="L96" s="1902">
        <v>2591</v>
      </c>
      <c r="M96" s="1902">
        <v>3096</v>
      </c>
      <c r="N96" s="1902">
        <v>3493</v>
      </c>
    </row>
    <row r="97" spans="1:14" x14ac:dyDescent="0.3">
      <c r="A97" s="347" t="s">
        <v>241</v>
      </c>
      <c r="B97" s="348" t="s">
        <v>242</v>
      </c>
      <c r="C97" s="348" t="s">
        <v>255</v>
      </c>
      <c r="D97" s="349">
        <v>7743</v>
      </c>
      <c r="E97" s="349">
        <v>7822</v>
      </c>
      <c r="F97" s="349">
        <v>8027</v>
      </c>
      <c r="G97" s="349">
        <v>8285</v>
      </c>
      <c r="H97" s="349">
        <v>8240</v>
      </c>
      <c r="I97" s="878">
        <v>8016</v>
      </c>
      <c r="J97" s="1042">
        <v>7607</v>
      </c>
      <c r="K97" s="1552">
        <v>7404</v>
      </c>
      <c r="L97" s="1902">
        <v>7414</v>
      </c>
      <c r="M97" s="1902">
        <v>8645</v>
      </c>
      <c r="N97" s="1902">
        <v>10080</v>
      </c>
    </row>
    <row r="98" spans="1:14" x14ac:dyDescent="0.3">
      <c r="A98" s="347" t="s">
        <v>243</v>
      </c>
      <c r="B98" s="348" t="s">
        <v>244</v>
      </c>
      <c r="C98" s="348" t="s">
        <v>255</v>
      </c>
      <c r="D98" s="349">
        <v>4009</v>
      </c>
      <c r="E98" s="349">
        <v>4170</v>
      </c>
      <c r="F98" s="349">
        <v>4360</v>
      </c>
      <c r="G98" s="349">
        <v>4454</v>
      </c>
      <c r="H98" s="349">
        <v>4375</v>
      </c>
      <c r="I98" s="878">
        <v>4359</v>
      </c>
      <c r="J98" s="1042">
        <v>4160</v>
      </c>
      <c r="K98" s="1552">
        <v>3953</v>
      </c>
      <c r="L98" s="1902">
        <v>4201</v>
      </c>
      <c r="M98" s="1902">
        <v>5073</v>
      </c>
      <c r="N98" s="1902">
        <v>5870</v>
      </c>
    </row>
    <row r="99" spans="1:14" x14ac:dyDescent="0.3">
      <c r="A99" s="347" t="s">
        <v>245</v>
      </c>
      <c r="B99" s="348" t="s">
        <v>246</v>
      </c>
      <c r="C99" s="348" t="s">
        <v>251</v>
      </c>
      <c r="D99" s="349">
        <v>2659</v>
      </c>
      <c r="E99" s="349">
        <v>2963</v>
      </c>
      <c r="F99" s="349">
        <v>3166</v>
      </c>
      <c r="G99" s="349">
        <v>3265</v>
      </c>
      <c r="H99" s="349">
        <v>3276</v>
      </c>
      <c r="I99" s="878">
        <v>3438</v>
      </c>
      <c r="J99" s="1042">
        <v>3377</v>
      </c>
      <c r="K99" s="1552">
        <v>3200</v>
      </c>
      <c r="L99" s="1902">
        <v>3587</v>
      </c>
      <c r="M99" s="1902">
        <v>4569</v>
      </c>
      <c r="N99" s="1902">
        <v>5602</v>
      </c>
    </row>
    <row r="100" spans="1:14" x14ac:dyDescent="0.3">
      <c r="A100" s="347" t="s">
        <v>13</v>
      </c>
      <c r="B100" s="348" t="s">
        <v>14</v>
      </c>
      <c r="C100" s="348" t="s">
        <v>254</v>
      </c>
      <c r="D100" s="349">
        <v>9020</v>
      </c>
      <c r="E100" s="349">
        <v>9366</v>
      </c>
      <c r="F100" s="349">
        <v>9571</v>
      </c>
      <c r="G100" s="349">
        <v>10035</v>
      </c>
      <c r="H100" s="349">
        <v>10060</v>
      </c>
      <c r="I100" s="878">
        <v>10921</v>
      </c>
      <c r="J100" s="1042">
        <v>11117</v>
      </c>
      <c r="K100" s="1552">
        <v>11275</v>
      </c>
      <c r="L100" s="1902">
        <v>12178</v>
      </c>
      <c r="M100" s="1902">
        <v>14324</v>
      </c>
      <c r="N100" s="1902">
        <v>16743</v>
      </c>
    </row>
    <row r="101" spans="1:14" x14ac:dyDescent="0.3">
      <c r="A101" s="347" t="s">
        <v>33</v>
      </c>
      <c r="B101" s="348" t="s">
        <v>34</v>
      </c>
      <c r="C101" s="348" t="s">
        <v>255</v>
      </c>
      <c r="D101" s="349">
        <v>3384</v>
      </c>
      <c r="E101" s="349">
        <v>3518</v>
      </c>
      <c r="F101" s="349">
        <v>3655</v>
      </c>
      <c r="G101" s="349">
        <v>3873</v>
      </c>
      <c r="H101" s="349">
        <v>3680</v>
      </c>
      <c r="I101" s="878">
        <v>3507</v>
      </c>
      <c r="J101" s="1042">
        <v>3323</v>
      </c>
      <c r="K101" s="1552">
        <v>3303</v>
      </c>
      <c r="L101" s="1902">
        <v>3555</v>
      </c>
      <c r="M101" s="1902">
        <v>4220</v>
      </c>
      <c r="N101" s="1902">
        <v>5001</v>
      </c>
    </row>
    <row r="102" spans="1:14" x14ac:dyDescent="0.3">
      <c r="A102" s="347" t="s">
        <v>51</v>
      </c>
      <c r="B102" s="348" t="s">
        <v>52</v>
      </c>
      <c r="C102" s="348" t="s">
        <v>252</v>
      </c>
      <c r="D102" s="349">
        <v>4421</v>
      </c>
      <c r="E102" s="349">
        <v>4478</v>
      </c>
      <c r="F102" s="349">
        <v>4625</v>
      </c>
      <c r="G102" s="349">
        <v>4740</v>
      </c>
      <c r="H102" s="349">
        <v>4491</v>
      </c>
      <c r="I102" s="878">
        <v>4493</v>
      </c>
      <c r="J102" s="1042">
        <v>4500</v>
      </c>
      <c r="K102" s="1552">
        <v>4256</v>
      </c>
      <c r="L102" s="1902">
        <v>4427</v>
      </c>
      <c r="M102" s="1902">
        <v>5385</v>
      </c>
      <c r="N102" s="1902">
        <v>6384</v>
      </c>
    </row>
    <row r="103" spans="1:14" x14ac:dyDescent="0.3">
      <c r="A103" s="347" t="s">
        <v>53</v>
      </c>
      <c r="B103" s="348" t="s">
        <v>54</v>
      </c>
      <c r="C103" s="348" t="s">
        <v>251</v>
      </c>
      <c r="D103" s="349">
        <v>16177</v>
      </c>
      <c r="E103" s="349">
        <v>16927</v>
      </c>
      <c r="F103" s="349">
        <v>17786</v>
      </c>
      <c r="G103" s="349">
        <v>18620</v>
      </c>
      <c r="H103" s="349">
        <v>18933</v>
      </c>
      <c r="I103" s="878">
        <v>19619</v>
      </c>
      <c r="J103" s="1042">
        <v>20092</v>
      </c>
      <c r="K103" s="1552">
        <v>20324</v>
      </c>
      <c r="L103" s="1902">
        <v>21943</v>
      </c>
      <c r="M103" s="1902">
        <v>26244</v>
      </c>
      <c r="N103" s="1902">
        <v>31524</v>
      </c>
    </row>
    <row r="104" spans="1:14" x14ac:dyDescent="0.3">
      <c r="A104" s="347" t="s">
        <v>65</v>
      </c>
      <c r="B104" s="348" t="s">
        <v>66</v>
      </c>
      <c r="C104" s="348" t="s">
        <v>252</v>
      </c>
      <c r="D104" s="349">
        <v>8553</v>
      </c>
      <c r="E104" s="349">
        <v>8802</v>
      </c>
      <c r="F104" s="349">
        <v>9147</v>
      </c>
      <c r="G104" s="349">
        <v>9438</v>
      </c>
      <c r="H104" s="349">
        <v>9537</v>
      </c>
      <c r="I104" s="878">
        <v>9683</v>
      </c>
      <c r="J104" s="1042">
        <v>9577</v>
      </c>
      <c r="K104" s="1552">
        <v>9684</v>
      </c>
      <c r="L104" s="1902">
        <v>10211</v>
      </c>
      <c r="M104" s="1902">
        <v>12056</v>
      </c>
      <c r="N104" s="1902">
        <v>13714</v>
      </c>
    </row>
    <row r="105" spans="1:14" x14ac:dyDescent="0.3">
      <c r="A105" s="347" t="s">
        <v>81</v>
      </c>
      <c r="B105" s="348" t="s">
        <v>82</v>
      </c>
      <c r="C105" s="348" t="s">
        <v>251</v>
      </c>
      <c r="D105" s="349">
        <v>1645</v>
      </c>
      <c r="E105" s="349">
        <v>1766</v>
      </c>
      <c r="F105" s="349">
        <v>1877</v>
      </c>
      <c r="G105" s="349">
        <v>1935</v>
      </c>
      <c r="H105" s="349">
        <v>1919</v>
      </c>
      <c r="I105" s="878">
        <v>1917</v>
      </c>
      <c r="J105" s="1042">
        <v>1872</v>
      </c>
      <c r="K105" s="1552">
        <v>1811</v>
      </c>
      <c r="L105" s="1902">
        <v>2001</v>
      </c>
      <c r="M105" s="1902">
        <v>2203</v>
      </c>
      <c r="N105" s="1902">
        <v>2438</v>
      </c>
    </row>
    <row r="106" spans="1:14" x14ac:dyDescent="0.3">
      <c r="A106" s="347" t="s">
        <v>87</v>
      </c>
      <c r="B106" s="348" t="s">
        <v>88</v>
      </c>
      <c r="C106" s="348" t="s">
        <v>254</v>
      </c>
      <c r="D106" s="349">
        <v>2940</v>
      </c>
      <c r="E106" s="349">
        <v>3139</v>
      </c>
      <c r="F106" s="349">
        <v>3394</v>
      </c>
      <c r="G106" s="349">
        <v>3542</v>
      </c>
      <c r="H106" s="349">
        <v>3643</v>
      </c>
      <c r="I106" s="878">
        <v>3803</v>
      </c>
      <c r="J106" s="1042">
        <v>3478</v>
      </c>
      <c r="K106" s="1552">
        <v>3348</v>
      </c>
      <c r="L106" s="1902">
        <v>3867</v>
      </c>
      <c r="M106" s="1902">
        <v>4807</v>
      </c>
      <c r="N106" s="1902">
        <v>5643</v>
      </c>
    </row>
    <row r="107" spans="1:14" x14ac:dyDescent="0.3">
      <c r="A107" s="347" t="s">
        <v>89</v>
      </c>
      <c r="B107" s="348" t="s">
        <v>90</v>
      </c>
      <c r="C107" s="348" t="s">
        <v>255</v>
      </c>
      <c r="D107" s="349">
        <v>1624</v>
      </c>
      <c r="E107" s="349">
        <v>1595</v>
      </c>
      <c r="F107" s="349">
        <v>1605</v>
      </c>
      <c r="G107" s="349">
        <v>1607</v>
      </c>
      <c r="H107" s="349">
        <v>1648</v>
      </c>
      <c r="I107" s="878">
        <v>1636</v>
      </c>
      <c r="J107" s="1042">
        <v>1538</v>
      </c>
      <c r="K107" s="1552">
        <v>1436</v>
      </c>
      <c r="L107" s="1902">
        <v>1557</v>
      </c>
      <c r="M107" s="1902">
        <v>1859</v>
      </c>
      <c r="N107" s="1902">
        <v>2068</v>
      </c>
    </row>
    <row r="108" spans="1:14" x14ac:dyDescent="0.3">
      <c r="A108" s="347" t="s">
        <v>105</v>
      </c>
      <c r="B108" s="348" t="s">
        <v>106</v>
      </c>
      <c r="C108" s="348" t="s">
        <v>251</v>
      </c>
      <c r="D108" s="349">
        <v>13848</v>
      </c>
      <c r="E108" s="349">
        <v>14776</v>
      </c>
      <c r="F108" s="349">
        <v>15610</v>
      </c>
      <c r="G108" s="349">
        <v>16414</v>
      </c>
      <c r="H108" s="349">
        <v>16811</v>
      </c>
      <c r="I108" s="878">
        <v>17596</v>
      </c>
      <c r="J108" s="1042">
        <v>16837</v>
      </c>
      <c r="K108" s="1552">
        <v>16010</v>
      </c>
      <c r="L108" s="1902">
        <v>16909</v>
      </c>
      <c r="M108" s="1902">
        <v>20788</v>
      </c>
      <c r="N108" s="1902">
        <v>24126</v>
      </c>
    </row>
    <row r="109" spans="1:14" x14ac:dyDescent="0.3">
      <c r="A109" s="347" t="s">
        <v>115</v>
      </c>
      <c r="B109" s="348" t="s">
        <v>116</v>
      </c>
      <c r="C109" s="348" t="s">
        <v>253</v>
      </c>
      <c r="D109" s="349">
        <v>3784</v>
      </c>
      <c r="E109" s="349">
        <v>3948</v>
      </c>
      <c r="F109" s="349">
        <v>4156</v>
      </c>
      <c r="G109" s="349">
        <v>4351</v>
      </c>
      <c r="H109" s="349">
        <v>4447</v>
      </c>
      <c r="I109" s="878">
        <v>4723</v>
      </c>
      <c r="J109" s="1042">
        <v>4595</v>
      </c>
      <c r="K109" s="1552">
        <v>4374</v>
      </c>
      <c r="L109" s="1902">
        <v>4961</v>
      </c>
      <c r="M109" s="1902">
        <v>6014</v>
      </c>
      <c r="N109" s="1902">
        <v>6889</v>
      </c>
    </row>
    <row r="110" spans="1:14" x14ac:dyDescent="0.3">
      <c r="A110" s="347" t="s">
        <v>137</v>
      </c>
      <c r="B110" s="348" t="s">
        <v>138</v>
      </c>
      <c r="C110" s="348" t="s">
        <v>252</v>
      </c>
      <c r="D110" s="349">
        <v>9414</v>
      </c>
      <c r="E110" s="349">
        <v>9878</v>
      </c>
      <c r="F110" s="349">
        <v>10536</v>
      </c>
      <c r="G110" s="349">
        <v>10929</v>
      </c>
      <c r="H110" s="349">
        <v>11083</v>
      </c>
      <c r="I110" s="878">
        <v>11419</v>
      </c>
      <c r="J110" s="1042">
        <v>10998</v>
      </c>
      <c r="K110" s="1552">
        <v>9915</v>
      </c>
      <c r="L110" s="1902">
        <v>10466</v>
      </c>
      <c r="M110" s="1902">
        <v>12506</v>
      </c>
      <c r="N110" s="1902">
        <v>14937</v>
      </c>
    </row>
    <row r="111" spans="1:14" x14ac:dyDescent="0.3">
      <c r="A111" s="347" t="s">
        <v>141</v>
      </c>
      <c r="B111" s="348" t="s">
        <v>142</v>
      </c>
      <c r="C111" s="348" t="s">
        <v>254</v>
      </c>
      <c r="D111" s="349">
        <v>3609</v>
      </c>
      <c r="E111" s="349">
        <v>3750</v>
      </c>
      <c r="F111" s="349">
        <v>3878</v>
      </c>
      <c r="G111" s="349">
        <v>4054</v>
      </c>
      <c r="H111" s="349">
        <v>4215</v>
      </c>
      <c r="I111" s="878">
        <v>4432</v>
      </c>
      <c r="J111" s="1042">
        <v>4411</v>
      </c>
      <c r="K111" s="1552">
        <v>4249</v>
      </c>
      <c r="L111" s="1902">
        <v>4672</v>
      </c>
      <c r="M111" s="1902">
        <v>5304</v>
      </c>
      <c r="N111" s="1902">
        <v>6019</v>
      </c>
    </row>
    <row r="112" spans="1:14" x14ac:dyDescent="0.3">
      <c r="A112" s="347" t="s">
        <v>143</v>
      </c>
      <c r="B112" s="348" t="s">
        <v>144</v>
      </c>
      <c r="C112" s="348" t="s">
        <v>254</v>
      </c>
      <c r="D112" s="349">
        <v>1268</v>
      </c>
      <c r="E112" s="349">
        <v>1326</v>
      </c>
      <c r="F112" s="349">
        <v>1330</v>
      </c>
      <c r="G112" s="349">
        <v>1483</v>
      </c>
      <c r="H112" s="349">
        <v>1463</v>
      </c>
      <c r="I112" s="878">
        <v>1630</v>
      </c>
      <c r="J112" s="1042">
        <v>1697</v>
      </c>
      <c r="K112" s="1552">
        <v>1731</v>
      </c>
      <c r="L112" s="1902">
        <v>1840</v>
      </c>
      <c r="M112" s="1902">
        <v>2148</v>
      </c>
      <c r="N112" s="1902">
        <v>2442</v>
      </c>
    </row>
    <row r="113" spans="1:14" x14ac:dyDescent="0.3">
      <c r="A113" s="347" t="s">
        <v>157</v>
      </c>
      <c r="B113" s="348" t="s">
        <v>158</v>
      </c>
      <c r="C113" s="348" t="s">
        <v>251</v>
      </c>
      <c r="D113" s="349">
        <v>21664</v>
      </c>
      <c r="E113" s="349">
        <v>23031</v>
      </c>
      <c r="F113" s="349">
        <v>23970</v>
      </c>
      <c r="G113" s="349">
        <v>24797</v>
      </c>
      <c r="H113" s="349">
        <v>24423</v>
      </c>
      <c r="I113" s="878">
        <v>25070</v>
      </c>
      <c r="J113" s="1042">
        <v>24951</v>
      </c>
      <c r="K113" s="1552">
        <v>25311</v>
      </c>
      <c r="L113" s="1902">
        <v>26937</v>
      </c>
      <c r="M113" s="1902">
        <v>32126</v>
      </c>
      <c r="N113" s="1902">
        <v>36652</v>
      </c>
    </row>
    <row r="114" spans="1:14" x14ac:dyDescent="0.3">
      <c r="A114" s="347" t="s">
        <v>159</v>
      </c>
      <c r="B114" s="348" t="s">
        <v>160</v>
      </c>
      <c r="C114" s="348" t="s">
        <v>251</v>
      </c>
      <c r="D114" s="349">
        <v>28272</v>
      </c>
      <c r="E114" s="349">
        <v>29302</v>
      </c>
      <c r="F114" s="349">
        <v>30780</v>
      </c>
      <c r="G114" s="349">
        <v>31908</v>
      </c>
      <c r="H114" s="349">
        <v>32317</v>
      </c>
      <c r="I114" s="878">
        <v>33638</v>
      </c>
      <c r="J114" s="1042">
        <v>32872</v>
      </c>
      <c r="K114" s="1552">
        <v>31640</v>
      </c>
      <c r="L114" s="1902">
        <v>34142</v>
      </c>
      <c r="M114" s="1902">
        <v>40851</v>
      </c>
      <c r="N114" s="1902">
        <v>47471</v>
      </c>
    </row>
    <row r="115" spans="1:14" x14ac:dyDescent="0.3">
      <c r="A115" s="347" t="s">
        <v>165</v>
      </c>
      <c r="B115" s="348" t="s">
        <v>166</v>
      </c>
      <c r="C115" s="348" t="s">
        <v>255</v>
      </c>
      <c r="D115" s="349">
        <v>920</v>
      </c>
      <c r="E115" s="349">
        <v>930</v>
      </c>
      <c r="F115" s="349">
        <v>990</v>
      </c>
      <c r="G115" s="349">
        <v>989</v>
      </c>
      <c r="H115" s="349">
        <v>959</v>
      </c>
      <c r="I115" s="878">
        <v>961</v>
      </c>
      <c r="J115" s="1042">
        <v>956</v>
      </c>
      <c r="K115" s="1552">
        <v>829</v>
      </c>
      <c r="L115" s="1902">
        <v>875</v>
      </c>
      <c r="M115" s="1902">
        <v>1061</v>
      </c>
      <c r="N115" s="1902">
        <v>1196</v>
      </c>
    </row>
    <row r="116" spans="1:14" x14ac:dyDescent="0.3">
      <c r="A116" s="347" t="s">
        <v>175</v>
      </c>
      <c r="B116" s="348" t="s">
        <v>176</v>
      </c>
      <c r="C116" s="348" t="s">
        <v>253</v>
      </c>
      <c r="D116" s="349">
        <v>7052</v>
      </c>
      <c r="E116" s="349">
        <v>7353</v>
      </c>
      <c r="F116" s="349">
        <v>7468</v>
      </c>
      <c r="G116" s="349">
        <v>7618</v>
      </c>
      <c r="H116" s="349">
        <v>7653</v>
      </c>
      <c r="I116" s="878">
        <v>8060</v>
      </c>
      <c r="J116" s="1042">
        <v>8410</v>
      </c>
      <c r="K116" s="1552">
        <v>8165</v>
      </c>
      <c r="L116" s="1902">
        <v>9067</v>
      </c>
      <c r="M116" s="1902">
        <v>10866</v>
      </c>
      <c r="N116" s="1902">
        <v>12741</v>
      </c>
    </row>
    <row r="117" spans="1:14" x14ac:dyDescent="0.3">
      <c r="A117" s="347" t="s">
        <v>179</v>
      </c>
      <c r="B117" s="348" t="s">
        <v>180</v>
      </c>
      <c r="C117" s="348" t="s">
        <v>251</v>
      </c>
      <c r="D117" s="349">
        <v>14305</v>
      </c>
      <c r="E117" s="349">
        <v>14946</v>
      </c>
      <c r="F117" s="349">
        <v>15807</v>
      </c>
      <c r="G117" s="349">
        <v>16198</v>
      </c>
      <c r="H117" s="349">
        <v>16466</v>
      </c>
      <c r="I117" s="878">
        <v>17529</v>
      </c>
      <c r="J117" s="1042">
        <v>17051</v>
      </c>
      <c r="K117" s="1552">
        <v>16167</v>
      </c>
      <c r="L117" s="1902">
        <v>17395</v>
      </c>
      <c r="M117" s="1902">
        <v>20881</v>
      </c>
      <c r="N117" s="1902">
        <v>24133</v>
      </c>
    </row>
    <row r="118" spans="1:14" x14ac:dyDescent="0.3">
      <c r="A118" s="347" t="s">
        <v>191</v>
      </c>
      <c r="B118" s="348" t="s">
        <v>192</v>
      </c>
      <c r="C118" s="348" t="s">
        <v>255</v>
      </c>
      <c r="D118" s="349">
        <v>1267</v>
      </c>
      <c r="E118" s="349">
        <v>1325</v>
      </c>
      <c r="F118" s="349">
        <v>1359</v>
      </c>
      <c r="G118" s="349">
        <v>1411</v>
      </c>
      <c r="H118" s="349">
        <v>1458</v>
      </c>
      <c r="I118" s="878">
        <v>1461</v>
      </c>
      <c r="J118" s="1042">
        <v>1444</v>
      </c>
      <c r="K118" s="1552">
        <v>1247</v>
      </c>
      <c r="L118" s="1902">
        <v>1408</v>
      </c>
      <c r="M118" s="1902">
        <v>1775</v>
      </c>
      <c r="N118" s="1902">
        <v>2187</v>
      </c>
    </row>
    <row r="119" spans="1:14" x14ac:dyDescent="0.3">
      <c r="A119" s="347" t="s">
        <v>195</v>
      </c>
      <c r="B119" s="348" t="s">
        <v>196</v>
      </c>
      <c r="C119" s="348" t="s">
        <v>253</v>
      </c>
      <c r="D119" s="349">
        <v>31339</v>
      </c>
      <c r="E119" s="349">
        <v>31886</v>
      </c>
      <c r="F119" s="349">
        <v>32304</v>
      </c>
      <c r="G119" s="349">
        <v>33203</v>
      </c>
      <c r="H119" s="349">
        <v>33286</v>
      </c>
      <c r="I119" s="878">
        <v>35212</v>
      </c>
      <c r="J119" s="1042">
        <v>37433</v>
      </c>
      <c r="K119" s="1552">
        <v>34713</v>
      </c>
      <c r="L119" s="1902">
        <v>37485</v>
      </c>
      <c r="M119" s="1902">
        <v>46101</v>
      </c>
      <c r="N119" s="1902">
        <v>55507</v>
      </c>
    </row>
    <row r="120" spans="1:14" x14ac:dyDescent="0.3">
      <c r="A120" s="347" t="s">
        <v>199</v>
      </c>
      <c r="B120" s="348" t="s">
        <v>200</v>
      </c>
      <c r="C120" s="348" t="s">
        <v>252</v>
      </c>
      <c r="D120" s="349">
        <v>16223</v>
      </c>
      <c r="E120" s="349">
        <v>16514</v>
      </c>
      <c r="F120" s="349">
        <v>17289</v>
      </c>
      <c r="G120" s="349">
        <v>17806</v>
      </c>
      <c r="H120" s="349">
        <v>17679</v>
      </c>
      <c r="I120" s="878">
        <v>18126</v>
      </c>
      <c r="J120" s="1042">
        <v>18075</v>
      </c>
      <c r="K120" s="1552">
        <v>18097</v>
      </c>
      <c r="L120" s="1902">
        <v>19171</v>
      </c>
      <c r="M120" s="1902">
        <v>22499</v>
      </c>
      <c r="N120" s="1902">
        <v>25707</v>
      </c>
    </row>
    <row r="121" spans="1:14" x14ac:dyDescent="0.3">
      <c r="A121" s="347" t="s">
        <v>221</v>
      </c>
      <c r="B121" s="348" t="s">
        <v>222</v>
      </c>
      <c r="C121" s="348" t="s">
        <v>251</v>
      </c>
      <c r="D121" s="349">
        <v>8833</v>
      </c>
      <c r="E121" s="349">
        <v>9349</v>
      </c>
      <c r="F121" s="349">
        <v>9674</v>
      </c>
      <c r="G121" s="349">
        <v>10010</v>
      </c>
      <c r="H121" s="349">
        <v>10010</v>
      </c>
      <c r="I121" s="878">
        <v>10245</v>
      </c>
      <c r="J121" s="1042">
        <v>10118</v>
      </c>
      <c r="K121" s="1552">
        <v>9368</v>
      </c>
      <c r="L121" s="1902">
        <v>9974</v>
      </c>
      <c r="M121" s="1902">
        <v>11948</v>
      </c>
      <c r="N121" s="1902">
        <v>13628</v>
      </c>
    </row>
    <row r="122" spans="1:14" x14ac:dyDescent="0.3">
      <c r="A122" s="347" t="s">
        <v>229</v>
      </c>
      <c r="B122" s="348" t="s">
        <v>230</v>
      </c>
      <c r="C122" s="348" t="s">
        <v>251</v>
      </c>
      <c r="D122" s="349">
        <v>26658</v>
      </c>
      <c r="E122" s="349">
        <v>27926</v>
      </c>
      <c r="F122" s="349">
        <v>29255</v>
      </c>
      <c r="G122" s="349">
        <v>30056</v>
      </c>
      <c r="H122" s="349">
        <v>29923</v>
      </c>
      <c r="I122" s="878">
        <v>31926</v>
      </c>
      <c r="J122" s="1042">
        <v>31373</v>
      </c>
      <c r="K122" s="1552">
        <v>31269</v>
      </c>
      <c r="L122" s="1902">
        <v>33226</v>
      </c>
      <c r="M122" s="1902">
        <v>41213</v>
      </c>
      <c r="N122" s="1902">
        <v>50118</v>
      </c>
    </row>
    <row r="123" spans="1:14" x14ac:dyDescent="0.3">
      <c r="A123" s="347" t="s">
        <v>237</v>
      </c>
      <c r="B123" s="348" t="s">
        <v>238</v>
      </c>
      <c r="C123" s="348" t="s">
        <v>251</v>
      </c>
      <c r="D123" s="349">
        <v>722</v>
      </c>
      <c r="E123" s="349">
        <v>821</v>
      </c>
      <c r="F123" s="349">
        <v>877</v>
      </c>
      <c r="G123" s="349">
        <v>924</v>
      </c>
      <c r="H123" s="349">
        <v>939</v>
      </c>
      <c r="I123" s="878">
        <v>952</v>
      </c>
      <c r="J123" s="1042">
        <v>929</v>
      </c>
      <c r="K123" s="1552">
        <v>909</v>
      </c>
      <c r="L123" s="1902">
        <v>1053</v>
      </c>
      <c r="M123" s="1902">
        <v>1378</v>
      </c>
      <c r="N123" s="1902">
        <v>1688</v>
      </c>
    </row>
    <row r="124" spans="1:14" x14ac:dyDescent="0.3">
      <c r="A124" s="287" t="s">
        <v>239</v>
      </c>
      <c r="B124" s="282" t="s">
        <v>240</v>
      </c>
      <c r="C124" s="282" t="s">
        <v>254</v>
      </c>
      <c r="D124" s="284">
        <v>3223</v>
      </c>
      <c r="E124" s="284">
        <v>3498</v>
      </c>
      <c r="F124" s="284">
        <v>3581</v>
      </c>
      <c r="G124" s="284">
        <v>3737</v>
      </c>
      <c r="H124" s="284">
        <v>3747</v>
      </c>
      <c r="I124" s="879">
        <v>3908</v>
      </c>
      <c r="J124" s="879">
        <v>4001</v>
      </c>
      <c r="K124" s="1553">
        <v>3888</v>
      </c>
      <c r="L124" s="1905">
        <v>4039</v>
      </c>
      <c r="M124" s="2078">
        <v>4819</v>
      </c>
      <c r="N124" s="1905">
        <v>5590</v>
      </c>
    </row>
    <row r="126" spans="1:14" ht="54" customHeight="1" x14ac:dyDescent="0.3">
      <c r="A126" s="2540" t="s">
        <v>936</v>
      </c>
      <c r="B126" s="2540"/>
      <c r="C126" s="2540"/>
      <c r="D126" s="2540"/>
      <c r="E126" s="2540"/>
      <c r="F126" s="2540"/>
      <c r="G126" s="2540"/>
      <c r="H126" s="2540"/>
      <c r="I126" s="877"/>
      <c r="J126" s="1030"/>
      <c r="K126" s="1550"/>
      <c r="L126" s="1871"/>
      <c r="M126" s="1979"/>
      <c r="N126" s="2106"/>
    </row>
    <row r="128" spans="1:14" s="193" customFormat="1" x14ac:dyDescent="0.3">
      <c r="A128" s="193" t="s">
        <v>247</v>
      </c>
    </row>
    <row r="129" spans="1:3" s="193" customFormat="1" x14ac:dyDescent="0.3">
      <c r="A129" s="194" t="s">
        <v>248</v>
      </c>
      <c r="B129" s="195" t="s">
        <v>249</v>
      </c>
      <c r="C129" s="195"/>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130"/>
  <sheetViews>
    <sheetView workbookViewId="0">
      <pane xSplit="3" ySplit="5" topLeftCell="Q6" activePane="bottomRight" state="frozen"/>
      <selection pane="topRight" activeCell="D1" sqref="D1"/>
      <selection pane="bottomLeft" activeCell="A6" sqref="A6"/>
      <selection pane="bottomRight" activeCell="S1" sqref="S1:S1048576"/>
    </sheetView>
  </sheetViews>
  <sheetFormatPr defaultColWidth="9" defaultRowHeight="12.75" customHeight="1" x14ac:dyDescent="0.3"/>
  <cols>
    <col min="1" max="1" width="9" style="275"/>
    <col min="2" max="2" width="33.296875" style="275" customWidth="1"/>
    <col min="3" max="3" width="16.69921875" style="275" customWidth="1"/>
    <col min="4" max="27" width="8.796875" style="275" customWidth="1"/>
    <col min="28" max="28" width="3.09765625" style="350" customWidth="1"/>
    <col min="29" max="30" width="14" style="275" customWidth="1"/>
    <col min="31" max="16384" width="9" style="275"/>
  </cols>
  <sheetData>
    <row r="1" spans="1:30" ht="12.75" customHeight="1" x14ac:dyDescent="0.3">
      <c r="A1" s="95" t="s">
        <v>851</v>
      </c>
    </row>
    <row r="3" spans="1:30" ht="12.75" customHeight="1" x14ac:dyDescent="0.3">
      <c r="D3" s="2548" t="s">
        <v>533</v>
      </c>
      <c r="E3" s="2549"/>
      <c r="F3" s="2549"/>
      <c r="G3" s="2549"/>
      <c r="H3" s="2549"/>
      <c r="I3" s="2549"/>
      <c r="J3" s="2549"/>
      <c r="K3" s="2550"/>
      <c r="L3" s="2545" t="s">
        <v>534</v>
      </c>
      <c r="M3" s="2546"/>
      <c r="N3" s="2546"/>
      <c r="O3" s="2546"/>
      <c r="P3" s="2546"/>
      <c r="Q3" s="2546"/>
      <c r="R3" s="2546"/>
      <c r="S3" s="2547"/>
      <c r="T3" s="2545" t="s">
        <v>535</v>
      </c>
      <c r="U3" s="2546"/>
      <c r="V3" s="2546"/>
      <c r="W3" s="2546"/>
      <c r="X3" s="2546"/>
      <c r="Y3" s="2546"/>
      <c r="Z3" s="2546"/>
      <c r="AA3" s="2547"/>
      <c r="AB3" s="1562"/>
      <c r="AC3" s="2543" t="s">
        <v>789</v>
      </c>
      <c r="AD3" s="2544"/>
    </row>
    <row r="4" spans="1:30" ht="15.6" x14ac:dyDescent="0.3">
      <c r="A4" s="278" t="s">
        <v>4</v>
      </c>
      <c r="B4" s="322" t="s">
        <v>5</v>
      </c>
      <c r="C4" s="674" t="s">
        <v>250</v>
      </c>
      <c r="D4" s="872" t="s">
        <v>785</v>
      </c>
      <c r="E4" s="679" t="s">
        <v>786</v>
      </c>
      <c r="F4" s="870" t="s">
        <v>787</v>
      </c>
      <c r="G4" s="1015" t="s">
        <v>788</v>
      </c>
      <c r="H4" s="1911" t="s">
        <v>829</v>
      </c>
      <c r="I4" s="1911" t="s">
        <v>828</v>
      </c>
      <c r="J4" s="1911" t="s">
        <v>842</v>
      </c>
      <c r="K4" s="1911" t="s">
        <v>947</v>
      </c>
      <c r="L4" s="872" t="s">
        <v>785</v>
      </c>
      <c r="M4" s="679" t="s">
        <v>786</v>
      </c>
      <c r="N4" s="870" t="s">
        <v>787</v>
      </c>
      <c r="O4" s="1015" t="s">
        <v>788</v>
      </c>
      <c r="P4" s="1911" t="s">
        <v>829</v>
      </c>
      <c r="Q4" s="1911" t="s">
        <v>828</v>
      </c>
      <c r="R4" s="1982" t="s">
        <v>842</v>
      </c>
      <c r="S4" s="1982" t="s">
        <v>947</v>
      </c>
      <c r="T4" s="2156" t="s">
        <v>785</v>
      </c>
      <c r="U4" s="1916" t="s">
        <v>786</v>
      </c>
      <c r="V4" s="2157" t="s">
        <v>787</v>
      </c>
      <c r="W4" s="2154" t="s">
        <v>788</v>
      </c>
      <c r="X4" s="2154" t="s">
        <v>829</v>
      </c>
      <c r="Y4" s="1982" t="s">
        <v>828</v>
      </c>
      <c r="Z4" s="2158" t="s">
        <v>842</v>
      </c>
      <c r="AA4" s="2154" t="s">
        <v>947</v>
      </c>
      <c r="AB4" s="1564"/>
      <c r="AC4" s="1903" t="s">
        <v>829</v>
      </c>
      <c r="AD4" s="1903" t="s">
        <v>828</v>
      </c>
    </row>
    <row r="5" spans="1:30" ht="15.6" x14ac:dyDescent="0.3">
      <c r="A5" s="345">
        <v>999</v>
      </c>
      <c r="B5" s="346" t="s">
        <v>8</v>
      </c>
      <c r="C5" s="675"/>
      <c r="D5" s="1021">
        <f t="shared" ref="D5:F5" si="0">SUM(D6:D125)</f>
        <v>138038</v>
      </c>
      <c r="E5" s="1022">
        <f t="shared" si="0"/>
        <v>126005</v>
      </c>
      <c r="F5" s="1912">
        <f t="shared" si="0"/>
        <v>127481</v>
      </c>
      <c r="G5" s="1912">
        <f t="shared" ref="G5:O5" si="1">SUM(G6:G125)</f>
        <v>118920</v>
      </c>
      <c r="H5" s="1912">
        <v>111858</v>
      </c>
      <c r="I5" s="1914">
        <v>109789</v>
      </c>
      <c r="J5" s="1913">
        <v>107326</v>
      </c>
      <c r="K5" s="2164">
        <v>104450</v>
      </c>
      <c r="L5" s="1021">
        <f t="shared" si="1"/>
        <v>67179</v>
      </c>
      <c r="M5" s="1022">
        <f t="shared" si="1"/>
        <v>65969</v>
      </c>
      <c r="N5" s="1914">
        <f t="shared" si="1"/>
        <v>64339</v>
      </c>
      <c r="O5" s="1912">
        <f t="shared" si="1"/>
        <v>63479</v>
      </c>
      <c r="P5" s="1912">
        <v>65492</v>
      </c>
      <c r="Q5" s="1914">
        <v>66794</v>
      </c>
      <c r="R5" s="1913">
        <v>66123</v>
      </c>
      <c r="S5" s="2166">
        <v>67431</v>
      </c>
      <c r="T5" s="1023">
        <f t="shared" ref="T5:W5" si="2">SUM(T6:T125)</f>
        <v>23112</v>
      </c>
      <c r="U5" s="1024">
        <f t="shared" si="2"/>
        <v>24305</v>
      </c>
      <c r="V5" s="1024">
        <f t="shared" si="2"/>
        <v>21910</v>
      </c>
      <c r="W5" s="1912">
        <f t="shared" si="2"/>
        <v>16370</v>
      </c>
      <c r="X5" s="2159">
        <v>15303</v>
      </c>
      <c r="Y5" s="1983">
        <v>18165</v>
      </c>
      <c r="Z5" s="2160">
        <v>16694</v>
      </c>
      <c r="AA5" s="2155">
        <v>15128</v>
      </c>
      <c r="AB5" s="1565"/>
      <c r="AC5" s="1909" t="s">
        <v>832</v>
      </c>
      <c r="AD5" s="1906" t="s">
        <v>832</v>
      </c>
    </row>
    <row r="6" spans="1:30" ht="15.6" x14ac:dyDescent="0.3">
      <c r="A6" s="279" t="s">
        <v>9</v>
      </c>
      <c r="B6" s="324" t="s">
        <v>10</v>
      </c>
      <c r="C6" s="676" t="s">
        <v>251</v>
      </c>
      <c r="D6" s="873">
        <v>1949</v>
      </c>
      <c r="E6" s="874">
        <v>1818</v>
      </c>
      <c r="F6" s="1566">
        <v>1821</v>
      </c>
      <c r="G6" s="1566">
        <v>1680</v>
      </c>
      <c r="H6" s="1566">
        <v>1505</v>
      </c>
      <c r="I6" s="1862">
        <v>1440</v>
      </c>
      <c r="J6" s="1408">
        <v>1399</v>
      </c>
      <c r="K6" s="863">
        <v>1340</v>
      </c>
      <c r="L6" s="873">
        <v>593</v>
      </c>
      <c r="M6" s="874">
        <v>659</v>
      </c>
      <c r="N6" s="1090">
        <v>586</v>
      </c>
      <c r="O6" s="1566">
        <v>528</v>
      </c>
      <c r="P6" s="1566">
        <v>513</v>
      </c>
      <c r="Q6" s="1862">
        <v>533</v>
      </c>
      <c r="R6" s="1408">
        <v>533</v>
      </c>
      <c r="S6" s="863">
        <v>505</v>
      </c>
      <c r="T6" s="873">
        <v>831</v>
      </c>
      <c r="U6" s="2161">
        <v>883</v>
      </c>
      <c r="V6" s="2161">
        <v>819</v>
      </c>
      <c r="W6" s="2161">
        <v>582</v>
      </c>
      <c r="X6" s="2161">
        <v>458</v>
      </c>
      <c r="Y6" s="1090">
        <v>504</v>
      </c>
      <c r="Z6" s="2162">
        <v>514</v>
      </c>
      <c r="AA6" s="1563">
        <v>429</v>
      </c>
      <c r="AB6" s="1563"/>
      <c r="AC6" s="1415">
        <v>628</v>
      </c>
      <c r="AD6" s="1907">
        <v>400</v>
      </c>
    </row>
    <row r="7" spans="1:30" ht="15.6" x14ac:dyDescent="0.3">
      <c r="A7" s="280" t="s">
        <v>11</v>
      </c>
      <c r="B7" s="348" t="s">
        <v>12</v>
      </c>
      <c r="C7" s="677" t="s">
        <v>252</v>
      </c>
      <c r="D7" s="873">
        <v>1072</v>
      </c>
      <c r="E7" s="874">
        <v>893</v>
      </c>
      <c r="F7" s="1566">
        <v>896</v>
      </c>
      <c r="G7" s="1566">
        <v>832</v>
      </c>
      <c r="H7" s="1566">
        <v>767</v>
      </c>
      <c r="I7" s="1862">
        <v>811</v>
      </c>
      <c r="J7" s="1408">
        <v>759</v>
      </c>
      <c r="K7" s="863">
        <v>776</v>
      </c>
      <c r="L7" s="873">
        <v>522</v>
      </c>
      <c r="M7" s="874">
        <v>434</v>
      </c>
      <c r="N7" s="1090">
        <v>453</v>
      </c>
      <c r="O7" s="1566">
        <v>451</v>
      </c>
      <c r="P7" s="1566">
        <v>429</v>
      </c>
      <c r="Q7" s="1862">
        <v>474</v>
      </c>
      <c r="R7" s="1408">
        <v>447</v>
      </c>
      <c r="S7" s="863">
        <v>503</v>
      </c>
      <c r="T7" s="873">
        <v>136</v>
      </c>
      <c r="U7" s="2161">
        <v>159</v>
      </c>
      <c r="V7" s="2161">
        <v>158</v>
      </c>
      <c r="W7" s="2161">
        <v>105</v>
      </c>
      <c r="X7" s="2161">
        <v>93</v>
      </c>
      <c r="Y7" s="1090">
        <v>127</v>
      </c>
      <c r="Z7" s="2162">
        <v>89</v>
      </c>
      <c r="AA7" s="1563">
        <v>95</v>
      </c>
      <c r="AB7" s="1563"/>
      <c r="AC7" s="1415">
        <v>439</v>
      </c>
      <c r="AD7" s="1907">
        <v>301</v>
      </c>
    </row>
    <row r="8" spans="1:30" ht="15.6" x14ac:dyDescent="0.3">
      <c r="A8" s="280" t="s">
        <v>15</v>
      </c>
      <c r="B8" s="348" t="s">
        <v>273</v>
      </c>
      <c r="C8" s="677" t="s">
        <v>252</v>
      </c>
      <c r="D8" s="873">
        <v>1078</v>
      </c>
      <c r="E8" s="874">
        <v>990</v>
      </c>
      <c r="F8" s="1566">
        <v>1023</v>
      </c>
      <c r="G8" s="1566">
        <v>937</v>
      </c>
      <c r="H8" s="1566">
        <v>907</v>
      </c>
      <c r="I8" s="1862">
        <v>885</v>
      </c>
      <c r="J8" s="1408">
        <v>890</v>
      </c>
      <c r="K8" s="863">
        <v>886</v>
      </c>
      <c r="L8" s="873">
        <v>534</v>
      </c>
      <c r="M8" s="874">
        <v>597</v>
      </c>
      <c r="N8" s="1090">
        <v>627</v>
      </c>
      <c r="O8" s="1566">
        <v>623</v>
      </c>
      <c r="P8" s="1566">
        <v>602</v>
      </c>
      <c r="Q8" s="1862">
        <v>620</v>
      </c>
      <c r="R8" s="1408">
        <v>619</v>
      </c>
      <c r="S8" s="863">
        <v>606</v>
      </c>
      <c r="T8" s="873">
        <v>106</v>
      </c>
      <c r="U8" s="2161">
        <v>128</v>
      </c>
      <c r="V8" s="2161">
        <v>128</v>
      </c>
      <c r="W8" s="2161">
        <v>98</v>
      </c>
      <c r="X8" s="2161">
        <v>101</v>
      </c>
      <c r="Y8" s="1090">
        <v>100</v>
      </c>
      <c r="Z8" s="2162">
        <v>113</v>
      </c>
      <c r="AA8" s="1563">
        <v>108</v>
      </c>
      <c r="AB8" s="1563"/>
      <c r="AC8" s="1415">
        <v>623</v>
      </c>
      <c r="AD8" s="1907">
        <v>374</v>
      </c>
    </row>
    <row r="9" spans="1:30" ht="15.6" x14ac:dyDescent="0.3">
      <c r="A9" s="280" t="s">
        <v>17</v>
      </c>
      <c r="B9" s="348" t="s">
        <v>18</v>
      </c>
      <c r="C9" s="677" t="s">
        <v>253</v>
      </c>
      <c r="D9" s="873">
        <v>362</v>
      </c>
      <c r="E9" s="874">
        <v>318</v>
      </c>
      <c r="F9" s="1566">
        <v>328</v>
      </c>
      <c r="G9" s="1566">
        <v>277</v>
      </c>
      <c r="H9" s="1566">
        <v>269</v>
      </c>
      <c r="I9" s="1862">
        <v>289</v>
      </c>
      <c r="J9" s="1408">
        <v>267</v>
      </c>
      <c r="K9" s="863">
        <v>255</v>
      </c>
      <c r="L9" s="873">
        <v>137</v>
      </c>
      <c r="M9" s="874">
        <v>133</v>
      </c>
      <c r="N9" s="1090">
        <v>114</v>
      </c>
      <c r="O9" s="1566">
        <v>115</v>
      </c>
      <c r="P9" s="1566">
        <v>125</v>
      </c>
      <c r="Q9" s="1862">
        <v>128</v>
      </c>
      <c r="R9" s="1408">
        <v>135</v>
      </c>
      <c r="S9" s="863">
        <v>139</v>
      </c>
      <c r="T9" s="873">
        <v>74</v>
      </c>
      <c r="U9" s="2161">
        <v>97</v>
      </c>
      <c r="V9" s="2161">
        <v>76</v>
      </c>
      <c r="W9" s="2161">
        <v>55</v>
      </c>
      <c r="X9" s="2161">
        <v>52</v>
      </c>
      <c r="Y9" s="1090">
        <v>45</v>
      </c>
      <c r="Z9" s="2162">
        <v>48</v>
      </c>
      <c r="AA9" s="1563">
        <v>34</v>
      </c>
      <c r="AB9" s="1563"/>
      <c r="AC9" s="1415">
        <v>135</v>
      </c>
      <c r="AD9" s="1907">
        <v>93</v>
      </c>
    </row>
    <row r="10" spans="1:30" ht="15.6" x14ac:dyDescent="0.3">
      <c r="A10" s="280" t="s">
        <v>19</v>
      </c>
      <c r="B10" s="348" t="s">
        <v>20</v>
      </c>
      <c r="C10" s="677" t="s">
        <v>252</v>
      </c>
      <c r="D10" s="873">
        <v>987</v>
      </c>
      <c r="E10" s="874">
        <v>860</v>
      </c>
      <c r="F10" s="1566">
        <v>834</v>
      </c>
      <c r="G10" s="1566">
        <v>804</v>
      </c>
      <c r="H10" s="1566">
        <v>815</v>
      </c>
      <c r="I10" s="1862">
        <v>770</v>
      </c>
      <c r="J10" s="1408">
        <v>747</v>
      </c>
      <c r="K10" s="863">
        <v>737</v>
      </c>
      <c r="L10" s="873">
        <v>509</v>
      </c>
      <c r="M10" s="874">
        <v>469</v>
      </c>
      <c r="N10" s="1090">
        <v>469</v>
      </c>
      <c r="O10" s="1566">
        <v>441</v>
      </c>
      <c r="P10" s="1566">
        <v>459</v>
      </c>
      <c r="Q10" s="1862">
        <v>456</v>
      </c>
      <c r="R10" s="1408">
        <v>462</v>
      </c>
      <c r="S10" s="863">
        <v>506</v>
      </c>
      <c r="T10" s="873">
        <v>231</v>
      </c>
      <c r="U10" s="2161">
        <v>235</v>
      </c>
      <c r="V10" s="2161">
        <v>221</v>
      </c>
      <c r="W10" s="2161">
        <v>151</v>
      </c>
      <c r="X10" s="2161">
        <v>141</v>
      </c>
      <c r="Y10" s="1090">
        <v>199</v>
      </c>
      <c r="Z10" s="2162">
        <v>168</v>
      </c>
      <c r="AA10" s="1563">
        <v>150</v>
      </c>
      <c r="AB10" s="1563"/>
      <c r="AC10" s="1415">
        <v>450</v>
      </c>
      <c r="AD10" s="1907">
        <v>231</v>
      </c>
    </row>
    <row r="11" spans="1:30" ht="15.6" x14ac:dyDescent="0.3">
      <c r="A11" s="280" t="s">
        <v>21</v>
      </c>
      <c r="B11" s="348" t="s">
        <v>22</v>
      </c>
      <c r="C11" s="677" t="s">
        <v>252</v>
      </c>
      <c r="D11" s="873">
        <v>629</v>
      </c>
      <c r="E11" s="874">
        <v>586</v>
      </c>
      <c r="F11" s="1566">
        <v>598</v>
      </c>
      <c r="G11" s="1566">
        <v>558</v>
      </c>
      <c r="H11" s="1566">
        <v>527</v>
      </c>
      <c r="I11" s="1862">
        <v>517</v>
      </c>
      <c r="J11" s="1408">
        <v>495</v>
      </c>
      <c r="K11" s="863">
        <v>474</v>
      </c>
      <c r="L11" s="873">
        <v>319</v>
      </c>
      <c r="M11" s="874">
        <v>322</v>
      </c>
      <c r="N11" s="1090">
        <v>314</v>
      </c>
      <c r="O11" s="1566">
        <v>278</v>
      </c>
      <c r="P11" s="1566">
        <v>316</v>
      </c>
      <c r="Q11" s="1862">
        <v>305</v>
      </c>
      <c r="R11" s="1408">
        <v>320</v>
      </c>
      <c r="S11" s="863">
        <v>314</v>
      </c>
      <c r="T11" s="873">
        <v>165</v>
      </c>
      <c r="U11" s="2161">
        <v>164</v>
      </c>
      <c r="V11" s="2161">
        <v>139</v>
      </c>
      <c r="W11" s="2161">
        <v>104</v>
      </c>
      <c r="X11" s="2161">
        <v>82</v>
      </c>
      <c r="Y11" s="1090">
        <v>139</v>
      </c>
      <c r="Z11" s="2162">
        <v>108</v>
      </c>
      <c r="AA11" s="1563">
        <v>122</v>
      </c>
      <c r="AB11" s="1563"/>
      <c r="AC11" s="1415">
        <v>329</v>
      </c>
      <c r="AD11" s="1907">
        <v>203</v>
      </c>
    </row>
    <row r="12" spans="1:30" ht="15.6" x14ac:dyDescent="0.3">
      <c r="A12" s="280" t="s">
        <v>23</v>
      </c>
      <c r="B12" s="348" t="s">
        <v>24</v>
      </c>
      <c r="C12" s="677" t="s">
        <v>254</v>
      </c>
      <c r="D12" s="873">
        <v>667</v>
      </c>
      <c r="E12" s="874">
        <v>644</v>
      </c>
      <c r="F12" s="1566">
        <v>769</v>
      </c>
      <c r="G12" s="1566">
        <v>787</v>
      </c>
      <c r="H12" s="1566">
        <v>827</v>
      </c>
      <c r="I12" s="1862">
        <v>860</v>
      </c>
      <c r="J12" s="1408">
        <v>910</v>
      </c>
      <c r="K12" s="863">
        <v>945</v>
      </c>
      <c r="L12" s="873">
        <v>623</v>
      </c>
      <c r="M12" s="874">
        <v>621</v>
      </c>
      <c r="N12" s="1090">
        <v>690</v>
      </c>
      <c r="O12" s="1566">
        <v>713</v>
      </c>
      <c r="P12" s="1566">
        <v>805</v>
      </c>
      <c r="Q12" s="1862">
        <v>786</v>
      </c>
      <c r="R12" s="1408">
        <v>815</v>
      </c>
      <c r="S12" s="863">
        <v>880</v>
      </c>
      <c r="T12" s="873">
        <v>15</v>
      </c>
      <c r="U12" s="2161">
        <v>50</v>
      </c>
      <c r="V12" s="2161">
        <v>46</v>
      </c>
      <c r="W12" s="2161">
        <v>43</v>
      </c>
      <c r="X12" s="2161">
        <v>29</v>
      </c>
      <c r="Y12" s="1090">
        <v>45</v>
      </c>
      <c r="Z12" s="2162">
        <v>48</v>
      </c>
      <c r="AA12" s="1563">
        <v>48</v>
      </c>
      <c r="AB12" s="1563"/>
      <c r="AC12" s="1415">
        <v>775</v>
      </c>
      <c r="AD12" s="1907">
        <v>415</v>
      </c>
    </row>
    <row r="13" spans="1:30" ht="15.6" x14ac:dyDescent="0.3">
      <c r="A13" s="280" t="s">
        <v>25</v>
      </c>
      <c r="B13" s="348" t="s">
        <v>444</v>
      </c>
      <c r="C13" s="677" t="s">
        <v>252</v>
      </c>
      <c r="D13" s="873">
        <v>2705</v>
      </c>
      <c r="E13" s="874">
        <v>2411</v>
      </c>
      <c r="F13" s="1566">
        <v>2335</v>
      </c>
      <c r="G13" s="1566">
        <v>2258</v>
      </c>
      <c r="H13" s="1566">
        <v>2159</v>
      </c>
      <c r="I13" s="1862">
        <v>2152</v>
      </c>
      <c r="J13" s="1408">
        <v>2048</v>
      </c>
      <c r="K13" s="863">
        <v>1963</v>
      </c>
      <c r="L13" s="873">
        <v>1287</v>
      </c>
      <c r="M13" s="874">
        <v>1280</v>
      </c>
      <c r="N13" s="1090">
        <v>1244</v>
      </c>
      <c r="O13" s="1566">
        <v>1250</v>
      </c>
      <c r="P13" s="1566">
        <v>1314</v>
      </c>
      <c r="Q13" s="1862">
        <v>1204</v>
      </c>
      <c r="R13" s="1408">
        <v>1190</v>
      </c>
      <c r="S13" s="863">
        <v>1272</v>
      </c>
      <c r="T13" s="873">
        <v>386</v>
      </c>
      <c r="U13" s="2161">
        <v>375</v>
      </c>
      <c r="V13" s="2161">
        <v>366</v>
      </c>
      <c r="W13" s="2161">
        <v>307</v>
      </c>
      <c r="X13" s="2161">
        <v>298</v>
      </c>
      <c r="Y13" s="1090">
        <v>327</v>
      </c>
      <c r="Z13" s="2162">
        <v>303</v>
      </c>
      <c r="AA13" s="1563">
        <v>297</v>
      </c>
      <c r="AB13" s="1563"/>
      <c r="AC13" s="1415">
        <v>1370</v>
      </c>
      <c r="AD13" s="1907">
        <v>848</v>
      </c>
    </row>
    <row r="14" spans="1:30" ht="15.6" x14ac:dyDescent="0.3">
      <c r="A14" s="280" t="s">
        <v>26</v>
      </c>
      <c r="B14" s="348" t="s">
        <v>27</v>
      </c>
      <c r="C14" s="677" t="s">
        <v>252</v>
      </c>
      <c r="D14" s="873">
        <v>143</v>
      </c>
      <c r="E14" s="874">
        <v>137</v>
      </c>
      <c r="F14" s="1566">
        <v>142</v>
      </c>
      <c r="G14" s="1566">
        <v>119</v>
      </c>
      <c r="H14" s="1566">
        <v>108</v>
      </c>
      <c r="I14" s="1862">
        <v>94</v>
      </c>
      <c r="J14" s="1408">
        <v>86</v>
      </c>
      <c r="K14" s="863">
        <v>78</v>
      </c>
      <c r="L14" s="873">
        <v>46</v>
      </c>
      <c r="M14" s="874">
        <v>41</v>
      </c>
      <c r="N14" s="1090">
        <v>47</v>
      </c>
      <c r="O14" s="1566">
        <v>31</v>
      </c>
      <c r="P14" s="1566">
        <v>29</v>
      </c>
      <c r="Q14" s="1862">
        <v>25</v>
      </c>
      <c r="R14" s="1408">
        <v>37</v>
      </c>
      <c r="S14" s="863">
        <v>39</v>
      </c>
      <c r="T14" s="873">
        <v>9</v>
      </c>
      <c r="U14" s="2161">
        <v>12</v>
      </c>
      <c r="V14" s="2161">
        <v>13</v>
      </c>
      <c r="W14" s="2161">
        <v>11</v>
      </c>
      <c r="X14" s="2161">
        <v>4</v>
      </c>
      <c r="Y14" s="1090">
        <v>6</v>
      </c>
      <c r="Z14" s="2162">
        <v>9</v>
      </c>
      <c r="AA14" s="1563">
        <v>9</v>
      </c>
      <c r="AB14" s="1563"/>
      <c r="AC14" s="1415">
        <v>32</v>
      </c>
      <c r="AD14" s="1907">
        <v>27</v>
      </c>
    </row>
    <row r="15" spans="1:30" ht="15.6" x14ac:dyDescent="0.3">
      <c r="A15" s="280" t="s">
        <v>28</v>
      </c>
      <c r="B15" s="348" t="s">
        <v>568</v>
      </c>
      <c r="C15" s="677" t="s">
        <v>252</v>
      </c>
      <c r="D15" s="873">
        <v>1279</v>
      </c>
      <c r="E15" s="874">
        <v>1156</v>
      </c>
      <c r="F15" s="1566">
        <v>1183</v>
      </c>
      <c r="G15" s="1566">
        <v>1159</v>
      </c>
      <c r="H15" s="1566">
        <v>1046</v>
      </c>
      <c r="I15" s="1862">
        <v>1041</v>
      </c>
      <c r="J15" s="1408">
        <v>1063</v>
      </c>
      <c r="K15" s="863">
        <v>1027</v>
      </c>
      <c r="L15" s="873">
        <v>494</v>
      </c>
      <c r="M15" s="874">
        <v>505</v>
      </c>
      <c r="N15" s="1090">
        <v>517</v>
      </c>
      <c r="O15" s="1566">
        <v>554</v>
      </c>
      <c r="P15" s="1566">
        <v>560</v>
      </c>
      <c r="Q15" s="1862">
        <v>611</v>
      </c>
      <c r="R15" s="1408">
        <v>614</v>
      </c>
      <c r="S15" s="863">
        <v>658</v>
      </c>
      <c r="T15" s="873">
        <v>179</v>
      </c>
      <c r="U15" s="2161">
        <v>186</v>
      </c>
      <c r="V15" s="2161">
        <v>196</v>
      </c>
      <c r="W15" s="2161">
        <v>172</v>
      </c>
      <c r="X15" s="2161">
        <v>158</v>
      </c>
      <c r="Y15" s="1090">
        <v>224</v>
      </c>
      <c r="Z15" s="2162">
        <v>209</v>
      </c>
      <c r="AA15" s="1563">
        <v>146</v>
      </c>
      <c r="AB15" s="1563"/>
      <c r="AC15" s="1415">
        <v>572</v>
      </c>
      <c r="AD15" s="1907">
        <v>381</v>
      </c>
    </row>
    <row r="16" spans="1:30" ht="15.6" x14ac:dyDescent="0.3">
      <c r="A16" s="280" t="s">
        <v>29</v>
      </c>
      <c r="B16" s="348" t="s">
        <v>30</v>
      </c>
      <c r="C16" s="677" t="s">
        <v>255</v>
      </c>
      <c r="D16" s="873">
        <v>193</v>
      </c>
      <c r="E16" s="874">
        <v>194</v>
      </c>
      <c r="F16" s="1566">
        <v>199</v>
      </c>
      <c r="G16" s="1566">
        <v>182</v>
      </c>
      <c r="H16" s="1566">
        <v>165</v>
      </c>
      <c r="I16" s="1862">
        <v>144</v>
      </c>
      <c r="J16" s="1408">
        <v>145</v>
      </c>
      <c r="K16" s="863">
        <v>129</v>
      </c>
      <c r="L16" s="873">
        <v>82</v>
      </c>
      <c r="M16" s="874">
        <v>64</v>
      </c>
      <c r="N16" s="1090">
        <v>65</v>
      </c>
      <c r="O16" s="1566">
        <v>37</v>
      </c>
      <c r="P16" s="1566">
        <v>49</v>
      </c>
      <c r="Q16" s="1862">
        <v>49</v>
      </c>
      <c r="R16" s="1408">
        <v>36</v>
      </c>
      <c r="S16" s="863">
        <v>38</v>
      </c>
      <c r="T16" s="873">
        <v>42</v>
      </c>
      <c r="U16" s="2161">
        <v>41</v>
      </c>
      <c r="V16" s="2161">
        <v>34</v>
      </c>
      <c r="W16" s="2161">
        <v>21</v>
      </c>
      <c r="X16" s="2161">
        <v>16</v>
      </c>
      <c r="Y16" s="1090">
        <v>22</v>
      </c>
      <c r="Z16" s="2162">
        <v>11</v>
      </c>
      <c r="AA16" s="1563">
        <v>21</v>
      </c>
      <c r="AB16" s="1563"/>
      <c r="AC16" s="1415">
        <v>55</v>
      </c>
      <c r="AD16" s="1907">
        <v>34</v>
      </c>
    </row>
    <row r="17" spans="1:30" ht="15.6" x14ac:dyDescent="0.3">
      <c r="A17" s="280" t="s">
        <v>31</v>
      </c>
      <c r="B17" s="348" t="s">
        <v>32</v>
      </c>
      <c r="C17" s="677" t="s">
        <v>252</v>
      </c>
      <c r="D17" s="873">
        <v>314</v>
      </c>
      <c r="E17" s="874">
        <v>308</v>
      </c>
      <c r="F17" s="1566">
        <v>319</v>
      </c>
      <c r="G17" s="1566">
        <v>278</v>
      </c>
      <c r="H17" s="1566">
        <v>251</v>
      </c>
      <c r="I17" s="1862">
        <v>236</v>
      </c>
      <c r="J17" s="1408">
        <v>246</v>
      </c>
      <c r="K17" s="863">
        <v>206</v>
      </c>
      <c r="L17" s="873">
        <v>116</v>
      </c>
      <c r="M17" s="874">
        <v>114</v>
      </c>
      <c r="N17" s="1090">
        <v>114</v>
      </c>
      <c r="O17" s="1566">
        <v>112</v>
      </c>
      <c r="P17" s="1566">
        <v>99</v>
      </c>
      <c r="Q17" s="1862">
        <v>129</v>
      </c>
      <c r="R17" s="1408">
        <v>106</v>
      </c>
      <c r="S17" s="863">
        <v>110</v>
      </c>
      <c r="T17" s="873">
        <v>71</v>
      </c>
      <c r="U17" s="2161">
        <v>84</v>
      </c>
      <c r="V17" s="2161">
        <v>82</v>
      </c>
      <c r="W17" s="2161">
        <v>40</v>
      </c>
      <c r="X17" s="2161">
        <v>45</v>
      </c>
      <c r="Y17" s="1090">
        <v>60</v>
      </c>
      <c r="Z17" s="2162">
        <v>41</v>
      </c>
      <c r="AA17" s="1563">
        <v>33</v>
      </c>
      <c r="AB17" s="1563"/>
      <c r="AC17" s="1415">
        <v>103</v>
      </c>
      <c r="AD17" s="1907">
        <v>67</v>
      </c>
    </row>
    <row r="18" spans="1:30" ht="15.6" x14ac:dyDescent="0.3">
      <c r="A18" s="280" t="s">
        <v>35</v>
      </c>
      <c r="B18" s="348" t="s">
        <v>36</v>
      </c>
      <c r="C18" s="677" t="s">
        <v>251</v>
      </c>
      <c r="D18" s="873">
        <v>1178</v>
      </c>
      <c r="E18" s="874">
        <v>1128</v>
      </c>
      <c r="F18" s="1566">
        <v>1101</v>
      </c>
      <c r="G18" s="1566">
        <v>1047</v>
      </c>
      <c r="H18" s="1566">
        <v>988</v>
      </c>
      <c r="I18" s="1862">
        <v>965</v>
      </c>
      <c r="J18" s="1408">
        <v>921</v>
      </c>
      <c r="K18" s="863">
        <v>908</v>
      </c>
      <c r="L18" s="873">
        <v>591</v>
      </c>
      <c r="M18" s="874">
        <v>591</v>
      </c>
      <c r="N18" s="1090">
        <v>609</v>
      </c>
      <c r="O18" s="1566">
        <v>598</v>
      </c>
      <c r="P18" s="1566">
        <v>569</v>
      </c>
      <c r="Q18" s="1862">
        <v>573</v>
      </c>
      <c r="R18" s="1408">
        <v>578</v>
      </c>
      <c r="S18" s="863">
        <v>532</v>
      </c>
      <c r="T18" s="873">
        <v>316</v>
      </c>
      <c r="U18" s="2161">
        <v>294</v>
      </c>
      <c r="V18" s="2161">
        <v>270</v>
      </c>
      <c r="W18" s="2161">
        <v>218</v>
      </c>
      <c r="X18" s="2161">
        <v>152</v>
      </c>
      <c r="Y18" s="1090">
        <v>193</v>
      </c>
      <c r="Z18" s="2162">
        <v>161</v>
      </c>
      <c r="AA18" s="1563">
        <v>138</v>
      </c>
      <c r="AB18" s="1563"/>
      <c r="AC18" s="1415">
        <v>585</v>
      </c>
      <c r="AD18" s="1907">
        <v>345</v>
      </c>
    </row>
    <row r="19" spans="1:30" ht="15.6" x14ac:dyDescent="0.3">
      <c r="A19" s="280" t="s">
        <v>37</v>
      </c>
      <c r="B19" s="348" t="s">
        <v>38</v>
      </c>
      <c r="C19" s="677" t="s">
        <v>255</v>
      </c>
      <c r="D19" s="873">
        <v>1929</v>
      </c>
      <c r="E19" s="874">
        <v>1895</v>
      </c>
      <c r="F19" s="1566">
        <v>1903</v>
      </c>
      <c r="G19" s="1566">
        <v>1917</v>
      </c>
      <c r="H19" s="1566">
        <v>1906</v>
      </c>
      <c r="I19" s="1862">
        <v>1817</v>
      </c>
      <c r="J19" s="1408">
        <v>1806</v>
      </c>
      <c r="K19" s="863">
        <v>1795</v>
      </c>
      <c r="L19" s="873">
        <v>959</v>
      </c>
      <c r="M19" s="874">
        <v>955</v>
      </c>
      <c r="N19" s="1090">
        <v>1005</v>
      </c>
      <c r="O19" s="1566">
        <v>1084</v>
      </c>
      <c r="P19" s="1566">
        <v>1028</v>
      </c>
      <c r="Q19" s="1862">
        <v>1125</v>
      </c>
      <c r="R19" s="1408">
        <v>1105</v>
      </c>
      <c r="S19" s="863">
        <v>1072</v>
      </c>
      <c r="T19" s="873">
        <v>545</v>
      </c>
      <c r="U19" s="2161">
        <v>541</v>
      </c>
      <c r="V19" s="2161">
        <v>640</v>
      </c>
      <c r="W19" s="2161">
        <v>592</v>
      </c>
      <c r="X19" s="2161">
        <v>540</v>
      </c>
      <c r="Y19" s="1090">
        <v>722</v>
      </c>
      <c r="Z19" s="2162">
        <v>692</v>
      </c>
      <c r="AA19" s="1563">
        <v>604</v>
      </c>
      <c r="AB19" s="1563"/>
      <c r="AC19" s="1415">
        <v>1055</v>
      </c>
      <c r="AD19" s="1907">
        <v>568</v>
      </c>
    </row>
    <row r="20" spans="1:30" ht="15.6" x14ac:dyDescent="0.3">
      <c r="A20" s="280" t="s">
        <v>39</v>
      </c>
      <c r="B20" s="348" t="s">
        <v>40</v>
      </c>
      <c r="C20" s="677" t="s">
        <v>253</v>
      </c>
      <c r="D20" s="873">
        <v>830</v>
      </c>
      <c r="E20" s="874">
        <v>740</v>
      </c>
      <c r="F20" s="1566">
        <v>738</v>
      </c>
      <c r="G20" s="1566">
        <v>716</v>
      </c>
      <c r="H20" s="1566">
        <v>662</v>
      </c>
      <c r="I20" s="1862">
        <v>657</v>
      </c>
      <c r="J20" s="1408">
        <v>641</v>
      </c>
      <c r="K20" s="863">
        <v>623</v>
      </c>
      <c r="L20" s="873">
        <v>378</v>
      </c>
      <c r="M20" s="874">
        <v>337</v>
      </c>
      <c r="N20" s="1090">
        <v>333</v>
      </c>
      <c r="O20" s="1566">
        <v>329</v>
      </c>
      <c r="P20" s="1566">
        <v>338</v>
      </c>
      <c r="Q20" s="1862">
        <v>344</v>
      </c>
      <c r="R20" s="1408">
        <v>348</v>
      </c>
      <c r="S20" s="863">
        <v>333</v>
      </c>
      <c r="T20" s="873">
        <v>150</v>
      </c>
      <c r="U20" s="2161">
        <v>157</v>
      </c>
      <c r="V20" s="2161">
        <v>137</v>
      </c>
      <c r="W20" s="2161">
        <v>101</v>
      </c>
      <c r="X20" s="2161">
        <v>89</v>
      </c>
      <c r="Y20" s="1090">
        <v>138</v>
      </c>
      <c r="Z20" s="2162">
        <v>86</v>
      </c>
      <c r="AA20" s="1563">
        <v>85</v>
      </c>
      <c r="AB20" s="1563"/>
      <c r="AC20" s="1415">
        <v>347</v>
      </c>
      <c r="AD20" s="1907">
        <v>212</v>
      </c>
    </row>
    <row r="21" spans="1:30" ht="15.6" x14ac:dyDescent="0.3">
      <c r="A21" s="280" t="s">
        <v>41</v>
      </c>
      <c r="B21" s="348" t="s">
        <v>42</v>
      </c>
      <c r="C21" s="677" t="s">
        <v>252</v>
      </c>
      <c r="D21" s="873">
        <v>1841</v>
      </c>
      <c r="E21" s="874">
        <v>1684</v>
      </c>
      <c r="F21" s="1566">
        <v>1746</v>
      </c>
      <c r="G21" s="1566">
        <v>1656</v>
      </c>
      <c r="H21" s="1566">
        <v>1514</v>
      </c>
      <c r="I21" s="1862">
        <v>1485</v>
      </c>
      <c r="J21" s="1408">
        <v>1372</v>
      </c>
      <c r="K21" s="863">
        <v>1343</v>
      </c>
      <c r="L21" s="873">
        <v>882</v>
      </c>
      <c r="M21" s="874">
        <v>864</v>
      </c>
      <c r="N21" s="1090">
        <v>847</v>
      </c>
      <c r="O21" s="1566">
        <v>827</v>
      </c>
      <c r="P21" s="1566">
        <v>836</v>
      </c>
      <c r="Q21" s="1862">
        <v>844</v>
      </c>
      <c r="R21" s="1408">
        <v>849</v>
      </c>
      <c r="S21" s="863">
        <v>904</v>
      </c>
      <c r="T21" s="873">
        <v>516</v>
      </c>
      <c r="U21" s="2161">
        <v>521</v>
      </c>
      <c r="V21" s="2161">
        <v>490</v>
      </c>
      <c r="W21" s="2161">
        <v>350</v>
      </c>
      <c r="X21" s="2161">
        <v>324</v>
      </c>
      <c r="Y21" s="1090">
        <v>376</v>
      </c>
      <c r="Z21" s="2162">
        <v>359</v>
      </c>
      <c r="AA21" s="1563">
        <v>312</v>
      </c>
      <c r="AB21" s="1563"/>
      <c r="AC21" s="1415">
        <v>859</v>
      </c>
      <c r="AD21" s="1907">
        <v>483</v>
      </c>
    </row>
    <row r="22" spans="1:30" ht="15.6" x14ac:dyDescent="0.3">
      <c r="A22" s="280" t="s">
        <v>43</v>
      </c>
      <c r="B22" s="348" t="s">
        <v>44</v>
      </c>
      <c r="C22" s="677" t="s">
        <v>253</v>
      </c>
      <c r="D22" s="873">
        <v>513</v>
      </c>
      <c r="E22" s="874">
        <v>500</v>
      </c>
      <c r="F22" s="1566">
        <v>530</v>
      </c>
      <c r="G22" s="1566">
        <v>498</v>
      </c>
      <c r="H22" s="1566">
        <v>438</v>
      </c>
      <c r="I22" s="1862">
        <v>424</v>
      </c>
      <c r="J22" s="1408">
        <v>428</v>
      </c>
      <c r="K22" s="863">
        <v>419</v>
      </c>
      <c r="L22" s="873">
        <v>117</v>
      </c>
      <c r="M22" s="874">
        <v>134</v>
      </c>
      <c r="N22" s="1090">
        <v>156</v>
      </c>
      <c r="O22" s="1566">
        <v>154</v>
      </c>
      <c r="P22" s="1566">
        <v>151</v>
      </c>
      <c r="Q22" s="1862">
        <v>164</v>
      </c>
      <c r="R22" s="1408">
        <v>164</v>
      </c>
      <c r="S22" s="863">
        <v>187</v>
      </c>
      <c r="T22" s="873">
        <v>131</v>
      </c>
      <c r="U22" s="2161">
        <v>129</v>
      </c>
      <c r="V22" s="2161">
        <v>118</v>
      </c>
      <c r="W22" s="2161">
        <v>87</v>
      </c>
      <c r="X22" s="2161">
        <v>75</v>
      </c>
      <c r="Y22" s="1090">
        <v>66</v>
      </c>
      <c r="Z22" s="2162">
        <v>51</v>
      </c>
      <c r="AA22" s="1563">
        <v>50</v>
      </c>
      <c r="AB22" s="1563"/>
      <c r="AC22" s="1415">
        <v>191</v>
      </c>
      <c r="AD22" s="1907">
        <v>116</v>
      </c>
    </row>
    <row r="23" spans="1:30" ht="15.6" x14ac:dyDescent="0.3">
      <c r="A23" s="280" t="s">
        <v>45</v>
      </c>
      <c r="B23" s="348" t="s">
        <v>46</v>
      </c>
      <c r="C23" s="677" t="s">
        <v>255</v>
      </c>
      <c r="D23" s="873">
        <v>1797</v>
      </c>
      <c r="E23" s="874">
        <v>1694</v>
      </c>
      <c r="F23" s="1566">
        <v>1657</v>
      </c>
      <c r="G23" s="1566">
        <v>1486</v>
      </c>
      <c r="H23" s="1566">
        <v>1410</v>
      </c>
      <c r="I23" s="1862">
        <v>1336</v>
      </c>
      <c r="J23" s="1408">
        <v>1272</v>
      </c>
      <c r="K23" s="863">
        <v>1237</v>
      </c>
      <c r="L23" s="873">
        <v>685</v>
      </c>
      <c r="M23" s="874">
        <v>666</v>
      </c>
      <c r="N23" s="1090">
        <v>706</v>
      </c>
      <c r="O23" s="1566">
        <v>651</v>
      </c>
      <c r="P23" s="1566">
        <v>625</v>
      </c>
      <c r="Q23" s="1862">
        <v>643</v>
      </c>
      <c r="R23" s="1408">
        <v>606</v>
      </c>
      <c r="S23" s="863">
        <v>593</v>
      </c>
      <c r="T23" s="873">
        <v>229</v>
      </c>
      <c r="U23" s="2161">
        <v>198</v>
      </c>
      <c r="V23" s="2161">
        <v>175</v>
      </c>
      <c r="W23" s="2161">
        <v>116</v>
      </c>
      <c r="X23" s="2161">
        <v>113</v>
      </c>
      <c r="Y23" s="1090">
        <v>132</v>
      </c>
      <c r="Z23" s="2162">
        <v>131</v>
      </c>
      <c r="AA23" s="1563">
        <v>109</v>
      </c>
      <c r="AB23" s="1563"/>
      <c r="AC23" s="1415">
        <v>671</v>
      </c>
      <c r="AD23" s="1907">
        <v>399</v>
      </c>
    </row>
    <row r="24" spans="1:30" ht="15.6" x14ac:dyDescent="0.3">
      <c r="A24" s="280" t="s">
        <v>47</v>
      </c>
      <c r="B24" s="348" t="s">
        <v>256</v>
      </c>
      <c r="C24" s="677" t="s">
        <v>253</v>
      </c>
      <c r="D24" s="873">
        <v>246</v>
      </c>
      <c r="E24" s="874">
        <v>212</v>
      </c>
      <c r="F24" s="1566">
        <v>216</v>
      </c>
      <c r="G24" s="1566">
        <v>207</v>
      </c>
      <c r="H24" s="1566">
        <v>174</v>
      </c>
      <c r="I24" s="1862">
        <v>188</v>
      </c>
      <c r="J24" s="1408">
        <v>175</v>
      </c>
      <c r="K24" s="863">
        <v>156</v>
      </c>
      <c r="L24" s="873">
        <v>71</v>
      </c>
      <c r="M24" s="874">
        <v>87</v>
      </c>
      <c r="N24" s="1090">
        <v>88</v>
      </c>
      <c r="O24" s="1566">
        <v>82</v>
      </c>
      <c r="P24" s="1566">
        <v>78</v>
      </c>
      <c r="Q24" s="1862">
        <v>67</v>
      </c>
      <c r="R24" s="1408">
        <v>69</v>
      </c>
      <c r="S24" s="863">
        <v>62</v>
      </c>
      <c r="T24" s="873">
        <v>36</v>
      </c>
      <c r="U24" s="2161">
        <v>70</v>
      </c>
      <c r="V24" s="2161">
        <v>61</v>
      </c>
      <c r="W24" s="2161">
        <v>32</v>
      </c>
      <c r="X24" s="2161">
        <v>27</v>
      </c>
      <c r="Y24" s="1090">
        <v>28</v>
      </c>
      <c r="Z24" s="2162">
        <v>19</v>
      </c>
      <c r="AA24" s="1563">
        <v>15</v>
      </c>
      <c r="AB24" s="1563"/>
      <c r="AC24" s="1415">
        <v>78</v>
      </c>
      <c r="AD24" s="1907">
        <v>47</v>
      </c>
    </row>
    <row r="25" spans="1:30" ht="15.6" x14ac:dyDescent="0.3">
      <c r="A25" s="280" t="s">
        <v>49</v>
      </c>
      <c r="B25" s="348" t="s">
        <v>50</v>
      </c>
      <c r="C25" s="677" t="s">
        <v>252</v>
      </c>
      <c r="D25" s="873">
        <v>710</v>
      </c>
      <c r="E25" s="874">
        <v>652</v>
      </c>
      <c r="F25" s="1566">
        <v>703</v>
      </c>
      <c r="G25" s="1566">
        <v>648</v>
      </c>
      <c r="H25" s="1566">
        <v>614</v>
      </c>
      <c r="I25" s="1862">
        <v>584</v>
      </c>
      <c r="J25" s="1408">
        <v>561</v>
      </c>
      <c r="K25" s="863">
        <v>550</v>
      </c>
      <c r="L25" s="873">
        <v>331</v>
      </c>
      <c r="M25" s="874">
        <v>346</v>
      </c>
      <c r="N25" s="1090">
        <v>344</v>
      </c>
      <c r="O25" s="1566">
        <v>335</v>
      </c>
      <c r="P25" s="1566">
        <v>326</v>
      </c>
      <c r="Q25" s="1862">
        <v>335</v>
      </c>
      <c r="R25" s="1408">
        <v>323</v>
      </c>
      <c r="S25" s="863">
        <v>305</v>
      </c>
      <c r="T25" s="873">
        <v>117</v>
      </c>
      <c r="U25" s="2161">
        <v>153</v>
      </c>
      <c r="V25" s="2161">
        <v>133</v>
      </c>
      <c r="W25" s="2161">
        <v>92</v>
      </c>
      <c r="X25" s="2161">
        <v>73</v>
      </c>
      <c r="Y25" s="1090">
        <v>113</v>
      </c>
      <c r="Z25" s="2162">
        <v>88</v>
      </c>
      <c r="AA25" s="1563">
        <v>87</v>
      </c>
      <c r="AB25" s="1563"/>
      <c r="AC25" s="1415">
        <v>350</v>
      </c>
      <c r="AD25" s="1907">
        <v>218</v>
      </c>
    </row>
    <row r="26" spans="1:30" ht="15.6" x14ac:dyDescent="0.3">
      <c r="A26" s="280" t="s">
        <v>55</v>
      </c>
      <c r="B26" s="348" t="s">
        <v>271</v>
      </c>
      <c r="C26" s="677" t="s">
        <v>253</v>
      </c>
      <c r="D26" s="873">
        <v>2554</v>
      </c>
      <c r="E26" s="874">
        <v>2275</v>
      </c>
      <c r="F26" s="1566">
        <v>2235</v>
      </c>
      <c r="G26" s="1566">
        <v>1995</v>
      </c>
      <c r="H26" s="1566">
        <v>1827</v>
      </c>
      <c r="I26" s="1862">
        <v>1890</v>
      </c>
      <c r="J26" s="1408">
        <v>1870</v>
      </c>
      <c r="K26" s="863">
        <v>1875</v>
      </c>
      <c r="L26" s="873">
        <v>1352</v>
      </c>
      <c r="M26" s="874">
        <v>1176</v>
      </c>
      <c r="N26" s="1090">
        <v>1129</v>
      </c>
      <c r="O26" s="1566">
        <v>1159</v>
      </c>
      <c r="P26" s="1566">
        <v>1197</v>
      </c>
      <c r="Q26" s="1862">
        <v>1182</v>
      </c>
      <c r="R26" s="1408">
        <v>1224</v>
      </c>
      <c r="S26" s="863">
        <v>1336</v>
      </c>
      <c r="T26" s="873">
        <v>327</v>
      </c>
      <c r="U26" s="2161">
        <v>232</v>
      </c>
      <c r="V26" s="2161">
        <v>288</v>
      </c>
      <c r="W26" s="2161">
        <v>198</v>
      </c>
      <c r="X26" s="2161">
        <v>191</v>
      </c>
      <c r="Y26" s="1090">
        <v>294</v>
      </c>
      <c r="Z26" s="2162">
        <v>247</v>
      </c>
      <c r="AA26" s="1563">
        <v>279</v>
      </c>
      <c r="AB26" s="1563"/>
      <c r="AC26" s="1415">
        <v>1217</v>
      </c>
      <c r="AD26" s="1907">
        <v>732</v>
      </c>
    </row>
    <row r="27" spans="1:30" ht="15.6" x14ac:dyDescent="0.3">
      <c r="A27" s="280" t="s">
        <v>57</v>
      </c>
      <c r="B27" s="348" t="s">
        <v>58</v>
      </c>
      <c r="C27" s="677" t="s">
        <v>254</v>
      </c>
      <c r="D27" s="873">
        <v>104</v>
      </c>
      <c r="E27" s="874">
        <v>101</v>
      </c>
      <c r="F27" s="1566">
        <v>95</v>
      </c>
      <c r="G27" s="1566">
        <v>90</v>
      </c>
      <c r="H27" s="1566">
        <v>86</v>
      </c>
      <c r="I27" s="1862">
        <v>87</v>
      </c>
      <c r="J27" s="1408">
        <v>87</v>
      </c>
      <c r="K27" s="863">
        <v>71</v>
      </c>
      <c r="L27" s="873">
        <v>52</v>
      </c>
      <c r="M27" s="874">
        <v>43</v>
      </c>
      <c r="N27" s="1090">
        <v>42</v>
      </c>
      <c r="O27" s="1566">
        <v>38</v>
      </c>
      <c r="P27" s="1566">
        <v>39</v>
      </c>
      <c r="Q27" s="1862">
        <v>41</v>
      </c>
      <c r="R27" s="1408">
        <v>36</v>
      </c>
      <c r="S27" s="863">
        <v>31</v>
      </c>
      <c r="T27" s="873">
        <v>11</v>
      </c>
      <c r="U27" s="2161">
        <v>15</v>
      </c>
      <c r="V27" s="2161">
        <v>13</v>
      </c>
      <c r="W27" s="2161">
        <v>8</v>
      </c>
      <c r="X27" s="2161">
        <v>4</v>
      </c>
      <c r="Y27" s="1090">
        <v>3</v>
      </c>
      <c r="Z27" s="2162">
        <v>4</v>
      </c>
      <c r="AA27" s="1563">
        <v>1</v>
      </c>
      <c r="AB27" s="1563"/>
      <c r="AC27" s="1415">
        <v>46</v>
      </c>
      <c r="AD27" s="1907">
        <v>26</v>
      </c>
    </row>
    <row r="28" spans="1:30" ht="15.6" x14ac:dyDescent="0.3">
      <c r="A28" s="280" t="s">
        <v>59</v>
      </c>
      <c r="B28" s="348" t="s">
        <v>60</v>
      </c>
      <c r="C28" s="677" t="s">
        <v>252</v>
      </c>
      <c r="D28" s="873">
        <v>207</v>
      </c>
      <c r="E28" s="874">
        <v>175</v>
      </c>
      <c r="F28" s="1566">
        <v>190</v>
      </c>
      <c r="G28" s="1566">
        <v>169</v>
      </c>
      <c r="H28" s="1566">
        <v>153</v>
      </c>
      <c r="I28" s="1862">
        <v>154</v>
      </c>
      <c r="J28" s="1408">
        <v>142</v>
      </c>
      <c r="K28" s="863">
        <v>117</v>
      </c>
      <c r="L28" s="873">
        <v>106</v>
      </c>
      <c r="M28" s="874">
        <v>100</v>
      </c>
      <c r="N28" s="1090">
        <v>106</v>
      </c>
      <c r="O28" s="1566">
        <v>105</v>
      </c>
      <c r="P28" s="1566">
        <v>92</v>
      </c>
      <c r="Q28" s="1862">
        <v>92</v>
      </c>
      <c r="R28" s="1408">
        <v>65</v>
      </c>
      <c r="S28" s="863">
        <v>72</v>
      </c>
      <c r="T28" s="873">
        <v>41</v>
      </c>
      <c r="U28" s="2161">
        <v>30</v>
      </c>
      <c r="V28" s="2161">
        <v>25</v>
      </c>
      <c r="W28" s="2161">
        <v>35</v>
      </c>
      <c r="X28" s="2161">
        <v>33</v>
      </c>
      <c r="Y28" s="1090">
        <v>27</v>
      </c>
      <c r="Z28" s="2162">
        <v>25</v>
      </c>
      <c r="AA28" s="1563">
        <v>17</v>
      </c>
      <c r="AB28" s="1563"/>
      <c r="AC28" s="1415">
        <v>96</v>
      </c>
      <c r="AD28" s="1907">
        <v>50</v>
      </c>
    </row>
    <row r="29" spans="1:30" ht="15.6" x14ac:dyDescent="0.3">
      <c r="A29" s="280" t="s">
        <v>61</v>
      </c>
      <c r="B29" s="348" t="s">
        <v>62</v>
      </c>
      <c r="C29" s="677" t="s">
        <v>254</v>
      </c>
      <c r="D29" s="873">
        <v>687</v>
      </c>
      <c r="E29" s="874">
        <v>600</v>
      </c>
      <c r="F29" s="1566">
        <v>621</v>
      </c>
      <c r="G29" s="1566">
        <v>578</v>
      </c>
      <c r="H29" s="1566">
        <v>548</v>
      </c>
      <c r="I29" s="1862">
        <v>544</v>
      </c>
      <c r="J29" s="1408">
        <v>521</v>
      </c>
      <c r="K29" s="863">
        <v>498</v>
      </c>
      <c r="L29" s="873">
        <v>357</v>
      </c>
      <c r="M29" s="874">
        <v>324</v>
      </c>
      <c r="N29" s="1090">
        <v>325</v>
      </c>
      <c r="O29" s="1566">
        <v>339</v>
      </c>
      <c r="P29" s="1566">
        <v>332</v>
      </c>
      <c r="Q29" s="1862">
        <v>360</v>
      </c>
      <c r="R29" s="1408">
        <v>272</v>
      </c>
      <c r="S29" s="863">
        <v>311</v>
      </c>
      <c r="T29" s="873">
        <v>134</v>
      </c>
      <c r="U29" s="2161">
        <v>122</v>
      </c>
      <c r="V29" s="2161">
        <v>84</v>
      </c>
      <c r="W29" s="2161">
        <v>61</v>
      </c>
      <c r="X29" s="2161">
        <v>57</v>
      </c>
      <c r="Y29" s="1090">
        <v>111</v>
      </c>
      <c r="Z29" s="2162">
        <v>83</v>
      </c>
      <c r="AA29" s="1563">
        <v>46</v>
      </c>
      <c r="AB29" s="1563"/>
      <c r="AC29" s="1415">
        <v>366</v>
      </c>
      <c r="AD29" s="1907">
        <v>232</v>
      </c>
    </row>
    <row r="30" spans="1:30" ht="15.6" x14ac:dyDescent="0.3">
      <c r="A30" s="280" t="s">
        <v>63</v>
      </c>
      <c r="B30" s="348" t="s">
        <v>64</v>
      </c>
      <c r="C30" s="677" t="s">
        <v>253</v>
      </c>
      <c r="D30" s="873">
        <v>460</v>
      </c>
      <c r="E30" s="874">
        <v>416</v>
      </c>
      <c r="F30" s="1566">
        <v>413</v>
      </c>
      <c r="G30" s="1566">
        <v>384</v>
      </c>
      <c r="H30" s="1566">
        <v>359</v>
      </c>
      <c r="I30" s="1862">
        <v>349</v>
      </c>
      <c r="J30" s="1408">
        <v>352</v>
      </c>
      <c r="K30" s="863">
        <v>387</v>
      </c>
      <c r="L30" s="873">
        <v>203</v>
      </c>
      <c r="M30" s="874">
        <v>166</v>
      </c>
      <c r="N30" s="1090">
        <v>186</v>
      </c>
      <c r="O30" s="1566">
        <v>173</v>
      </c>
      <c r="P30" s="1566">
        <v>171</v>
      </c>
      <c r="Q30" s="1862">
        <v>202</v>
      </c>
      <c r="R30" s="1408">
        <v>217</v>
      </c>
      <c r="S30" s="863">
        <v>207</v>
      </c>
      <c r="T30" s="873">
        <v>79</v>
      </c>
      <c r="U30" s="2161">
        <v>72</v>
      </c>
      <c r="V30" s="2161">
        <v>70</v>
      </c>
      <c r="W30" s="2161">
        <v>49</v>
      </c>
      <c r="X30" s="2161">
        <v>38</v>
      </c>
      <c r="Y30" s="1090">
        <v>57</v>
      </c>
      <c r="Z30" s="2162">
        <v>66</v>
      </c>
      <c r="AA30" s="1563">
        <v>55</v>
      </c>
      <c r="AB30" s="1563"/>
      <c r="AC30" s="1415">
        <v>203</v>
      </c>
      <c r="AD30" s="1907">
        <v>119</v>
      </c>
    </row>
    <row r="31" spans="1:30" ht="15.6" x14ac:dyDescent="0.3">
      <c r="A31" s="280" t="s">
        <v>67</v>
      </c>
      <c r="B31" s="348" t="s">
        <v>68</v>
      </c>
      <c r="C31" s="677" t="s">
        <v>255</v>
      </c>
      <c r="D31" s="873">
        <v>1205</v>
      </c>
      <c r="E31" s="874">
        <v>1195</v>
      </c>
      <c r="F31" s="1566">
        <v>1210</v>
      </c>
      <c r="G31" s="1566">
        <v>1155</v>
      </c>
      <c r="H31" s="1566">
        <v>1158</v>
      </c>
      <c r="I31" s="1862">
        <v>1099</v>
      </c>
      <c r="J31" s="1408">
        <v>1063</v>
      </c>
      <c r="K31" s="863">
        <v>1032</v>
      </c>
      <c r="L31" s="873">
        <v>650</v>
      </c>
      <c r="M31" s="874">
        <v>668</v>
      </c>
      <c r="N31" s="1090">
        <v>693</v>
      </c>
      <c r="O31" s="1566">
        <v>711</v>
      </c>
      <c r="P31" s="1566">
        <v>703</v>
      </c>
      <c r="Q31" s="1862">
        <v>694</v>
      </c>
      <c r="R31" s="1408">
        <v>656</v>
      </c>
      <c r="S31" s="863">
        <v>629</v>
      </c>
      <c r="T31" s="873">
        <v>306</v>
      </c>
      <c r="U31" s="2161">
        <v>317</v>
      </c>
      <c r="V31" s="2161">
        <v>296</v>
      </c>
      <c r="W31" s="2161">
        <v>193</v>
      </c>
      <c r="X31" s="2161">
        <v>211</v>
      </c>
      <c r="Y31" s="1090">
        <v>245</v>
      </c>
      <c r="Z31" s="2162">
        <v>173</v>
      </c>
      <c r="AA31" s="1563">
        <v>203</v>
      </c>
      <c r="AB31" s="1563"/>
      <c r="AC31" s="1415">
        <v>723</v>
      </c>
      <c r="AD31" s="1907">
        <v>382</v>
      </c>
    </row>
    <row r="32" spans="1:30" ht="15.6" x14ac:dyDescent="0.3">
      <c r="A32" s="280" t="s">
        <v>69</v>
      </c>
      <c r="B32" s="348" t="s">
        <v>70</v>
      </c>
      <c r="C32" s="677" t="s">
        <v>251</v>
      </c>
      <c r="D32" s="873">
        <v>867</v>
      </c>
      <c r="E32" s="874">
        <v>775</v>
      </c>
      <c r="F32" s="1566">
        <v>765</v>
      </c>
      <c r="G32" s="1566">
        <v>641</v>
      </c>
      <c r="H32" s="1566">
        <v>584</v>
      </c>
      <c r="I32" s="1862">
        <v>605</v>
      </c>
      <c r="J32" s="1408">
        <v>583</v>
      </c>
      <c r="K32" s="863">
        <v>569</v>
      </c>
      <c r="L32" s="873">
        <v>392</v>
      </c>
      <c r="M32" s="874">
        <v>396</v>
      </c>
      <c r="N32" s="1090">
        <v>353</v>
      </c>
      <c r="O32" s="1566">
        <v>326</v>
      </c>
      <c r="P32" s="1566">
        <v>329</v>
      </c>
      <c r="Q32" s="1862">
        <v>324</v>
      </c>
      <c r="R32" s="1408">
        <v>341</v>
      </c>
      <c r="S32" s="863">
        <v>352</v>
      </c>
      <c r="T32" s="873">
        <v>213</v>
      </c>
      <c r="U32" s="2161">
        <v>214</v>
      </c>
      <c r="V32" s="2161">
        <v>186</v>
      </c>
      <c r="W32" s="2161">
        <v>120</v>
      </c>
      <c r="X32" s="2161">
        <v>115</v>
      </c>
      <c r="Y32" s="1090">
        <v>129</v>
      </c>
      <c r="Z32" s="2162">
        <v>109</v>
      </c>
      <c r="AA32" s="1563">
        <v>111</v>
      </c>
      <c r="AB32" s="1563"/>
      <c r="AC32" s="1415">
        <v>376</v>
      </c>
      <c r="AD32" s="1907">
        <v>233</v>
      </c>
    </row>
    <row r="33" spans="1:30" ht="15.6" x14ac:dyDescent="0.3">
      <c r="A33" s="280" t="s">
        <v>71</v>
      </c>
      <c r="B33" s="348" t="s">
        <v>72</v>
      </c>
      <c r="C33" s="677" t="s">
        <v>253</v>
      </c>
      <c r="D33" s="873">
        <v>507</v>
      </c>
      <c r="E33" s="874">
        <v>466</v>
      </c>
      <c r="F33" s="1566">
        <v>491</v>
      </c>
      <c r="G33" s="1566">
        <v>446</v>
      </c>
      <c r="H33" s="1566">
        <v>422</v>
      </c>
      <c r="I33" s="1862">
        <v>401</v>
      </c>
      <c r="J33" s="1408">
        <v>400</v>
      </c>
      <c r="K33" s="863">
        <v>395</v>
      </c>
      <c r="L33" s="873">
        <v>215</v>
      </c>
      <c r="M33" s="874">
        <v>193</v>
      </c>
      <c r="N33" s="1090">
        <v>218</v>
      </c>
      <c r="O33" s="1566">
        <v>227</v>
      </c>
      <c r="P33" s="1566">
        <v>216</v>
      </c>
      <c r="Q33" s="1862">
        <v>234</v>
      </c>
      <c r="R33" s="1408">
        <v>229</v>
      </c>
      <c r="S33" s="863">
        <v>238</v>
      </c>
      <c r="T33" s="873">
        <v>52</v>
      </c>
      <c r="U33" s="2161">
        <v>80</v>
      </c>
      <c r="V33" s="2161">
        <v>89</v>
      </c>
      <c r="W33" s="2161">
        <v>45</v>
      </c>
      <c r="X33" s="2161">
        <v>56</v>
      </c>
      <c r="Y33" s="1090">
        <v>68</v>
      </c>
      <c r="Z33" s="2162">
        <v>63</v>
      </c>
      <c r="AA33" s="1563">
        <v>57</v>
      </c>
      <c r="AB33" s="1563"/>
      <c r="AC33" s="1415">
        <v>244</v>
      </c>
      <c r="AD33" s="1907">
        <v>136</v>
      </c>
    </row>
    <row r="34" spans="1:30" ht="15.6" x14ac:dyDescent="0.3">
      <c r="A34" s="280" t="s">
        <v>73</v>
      </c>
      <c r="B34" s="348" t="s">
        <v>272</v>
      </c>
      <c r="C34" s="677" t="s">
        <v>254</v>
      </c>
      <c r="D34" s="873">
        <v>1532</v>
      </c>
      <c r="E34" s="874">
        <v>1500</v>
      </c>
      <c r="F34" s="1566">
        <v>1541</v>
      </c>
      <c r="G34" s="1566">
        <v>1455</v>
      </c>
      <c r="H34" s="1566">
        <v>1429</v>
      </c>
      <c r="I34" s="1862">
        <v>1436</v>
      </c>
      <c r="J34" s="1408">
        <v>1445</v>
      </c>
      <c r="K34" s="863">
        <v>1403</v>
      </c>
      <c r="L34" s="873">
        <v>916</v>
      </c>
      <c r="M34" s="874">
        <v>913</v>
      </c>
      <c r="N34" s="1090">
        <v>930</v>
      </c>
      <c r="O34" s="1566">
        <v>974</v>
      </c>
      <c r="P34" s="1566">
        <v>976</v>
      </c>
      <c r="Q34" s="1862">
        <v>981</v>
      </c>
      <c r="R34" s="1408">
        <v>984</v>
      </c>
      <c r="S34" s="863">
        <v>1074</v>
      </c>
      <c r="T34" s="873">
        <v>77</v>
      </c>
      <c r="U34" s="2161">
        <v>133</v>
      </c>
      <c r="V34" s="2161">
        <v>124</v>
      </c>
      <c r="W34" s="2161">
        <v>104</v>
      </c>
      <c r="X34" s="2161">
        <v>85</v>
      </c>
      <c r="Y34" s="1090">
        <v>101</v>
      </c>
      <c r="Z34" s="2162">
        <v>124</v>
      </c>
      <c r="AA34" s="1563">
        <v>136</v>
      </c>
      <c r="AB34" s="1563"/>
      <c r="AC34" s="1415">
        <v>921</v>
      </c>
      <c r="AD34" s="1907">
        <v>583</v>
      </c>
    </row>
    <row r="35" spans="1:30" ht="15.6" x14ac:dyDescent="0.3">
      <c r="A35" s="280" t="s">
        <v>75</v>
      </c>
      <c r="B35" s="348" t="s">
        <v>76</v>
      </c>
      <c r="C35" s="677" t="s">
        <v>254</v>
      </c>
      <c r="D35" s="873">
        <v>377</v>
      </c>
      <c r="E35" s="874">
        <v>327</v>
      </c>
      <c r="F35" s="1566">
        <v>295</v>
      </c>
      <c r="G35" s="1566">
        <v>300</v>
      </c>
      <c r="H35" s="1566">
        <v>271</v>
      </c>
      <c r="I35" s="1862">
        <v>264</v>
      </c>
      <c r="J35" s="1408">
        <v>269</v>
      </c>
      <c r="K35" s="863">
        <v>250</v>
      </c>
      <c r="L35" s="873">
        <v>148</v>
      </c>
      <c r="M35" s="874">
        <v>112</v>
      </c>
      <c r="N35" s="1090">
        <v>120</v>
      </c>
      <c r="O35" s="1566">
        <v>120</v>
      </c>
      <c r="P35" s="1566">
        <v>135</v>
      </c>
      <c r="Q35" s="1862">
        <v>138</v>
      </c>
      <c r="R35" s="1408">
        <v>126</v>
      </c>
      <c r="S35" s="863">
        <v>149</v>
      </c>
      <c r="T35" s="873">
        <v>70</v>
      </c>
      <c r="U35" s="2161">
        <v>74</v>
      </c>
      <c r="V35" s="2161">
        <v>62</v>
      </c>
      <c r="W35" s="2161">
        <v>58</v>
      </c>
      <c r="X35" s="2161">
        <v>32</v>
      </c>
      <c r="Y35" s="1090">
        <v>46</v>
      </c>
      <c r="Z35" s="2162">
        <v>53</v>
      </c>
      <c r="AA35" s="1563">
        <v>45</v>
      </c>
      <c r="AB35" s="1563"/>
      <c r="AC35" s="1415">
        <v>150</v>
      </c>
      <c r="AD35" s="1907">
        <v>73</v>
      </c>
    </row>
    <row r="36" spans="1:30" ht="15.6" x14ac:dyDescent="0.3">
      <c r="A36" s="280" t="s">
        <v>77</v>
      </c>
      <c r="B36" s="348" t="s">
        <v>78</v>
      </c>
      <c r="C36" s="677" t="s">
        <v>255</v>
      </c>
      <c r="D36" s="873">
        <v>527</v>
      </c>
      <c r="E36" s="874">
        <v>499</v>
      </c>
      <c r="F36" s="1566">
        <v>494</v>
      </c>
      <c r="G36" s="1566">
        <v>455</v>
      </c>
      <c r="H36" s="1566">
        <v>440</v>
      </c>
      <c r="I36" s="1862">
        <v>437</v>
      </c>
      <c r="J36" s="1408">
        <v>414</v>
      </c>
      <c r="K36" s="863">
        <v>391</v>
      </c>
      <c r="L36" s="873">
        <v>191</v>
      </c>
      <c r="M36" s="874">
        <v>182</v>
      </c>
      <c r="N36" s="1090">
        <v>186</v>
      </c>
      <c r="O36" s="1566">
        <v>130</v>
      </c>
      <c r="P36" s="1566">
        <v>202</v>
      </c>
      <c r="Q36" s="1862">
        <v>199</v>
      </c>
      <c r="R36" s="1408">
        <v>170</v>
      </c>
      <c r="S36" s="863">
        <v>178</v>
      </c>
      <c r="T36" s="873">
        <v>94</v>
      </c>
      <c r="U36" s="2161">
        <v>104</v>
      </c>
      <c r="V36" s="2161">
        <v>89</v>
      </c>
      <c r="W36" s="2161">
        <v>66</v>
      </c>
      <c r="X36" s="2161">
        <v>77</v>
      </c>
      <c r="Y36" s="1090">
        <v>77</v>
      </c>
      <c r="Z36" s="2162">
        <v>52</v>
      </c>
      <c r="AA36" s="1563">
        <v>39</v>
      </c>
      <c r="AB36" s="1563"/>
      <c r="AC36" s="1415">
        <v>212</v>
      </c>
      <c r="AD36" s="1907">
        <v>126</v>
      </c>
    </row>
    <row r="37" spans="1:30" ht="15.6" x14ac:dyDescent="0.3">
      <c r="A37" s="280" t="s">
        <v>79</v>
      </c>
      <c r="B37" s="348" t="s">
        <v>80</v>
      </c>
      <c r="C37" s="677" t="s">
        <v>253</v>
      </c>
      <c r="D37" s="873">
        <v>315</v>
      </c>
      <c r="E37" s="874">
        <v>296</v>
      </c>
      <c r="F37" s="1566">
        <v>308</v>
      </c>
      <c r="G37" s="1566">
        <v>272</v>
      </c>
      <c r="H37" s="1566">
        <v>261</v>
      </c>
      <c r="I37" s="1862">
        <v>255</v>
      </c>
      <c r="J37" s="1408">
        <v>245</v>
      </c>
      <c r="K37" s="863">
        <v>245</v>
      </c>
      <c r="L37" s="873">
        <v>128</v>
      </c>
      <c r="M37" s="874">
        <v>139</v>
      </c>
      <c r="N37" s="1090">
        <v>130</v>
      </c>
      <c r="O37" s="1566">
        <v>119</v>
      </c>
      <c r="P37" s="1566">
        <v>112</v>
      </c>
      <c r="Q37" s="1862">
        <v>104</v>
      </c>
      <c r="R37" s="1408">
        <v>135</v>
      </c>
      <c r="S37" s="863">
        <v>130</v>
      </c>
      <c r="T37" s="873">
        <v>68</v>
      </c>
      <c r="U37" s="2161">
        <v>75</v>
      </c>
      <c r="V37" s="2161">
        <v>59</v>
      </c>
      <c r="W37" s="2161">
        <v>52</v>
      </c>
      <c r="X37" s="2161">
        <v>55</v>
      </c>
      <c r="Y37" s="1090">
        <v>66</v>
      </c>
      <c r="Z37" s="2162">
        <v>50</v>
      </c>
      <c r="AA37" s="1563">
        <v>47</v>
      </c>
      <c r="AB37" s="1563"/>
      <c r="AC37" s="1415">
        <v>148</v>
      </c>
      <c r="AD37" s="1907">
        <v>82</v>
      </c>
    </row>
    <row r="38" spans="1:30" ht="15.6" x14ac:dyDescent="0.3">
      <c r="A38" s="280" t="s">
        <v>83</v>
      </c>
      <c r="B38" s="348" t="s">
        <v>84</v>
      </c>
      <c r="C38" s="677" t="s">
        <v>252</v>
      </c>
      <c r="D38" s="873">
        <v>1830</v>
      </c>
      <c r="E38" s="874">
        <v>1548</v>
      </c>
      <c r="F38" s="1566">
        <v>1573</v>
      </c>
      <c r="G38" s="1566">
        <v>1380</v>
      </c>
      <c r="H38" s="1566">
        <v>1259</v>
      </c>
      <c r="I38" s="1862">
        <v>1251</v>
      </c>
      <c r="J38" s="1408">
        <v>1269</v>
      </c>
      <c r="K38" s="863">
        <v>1212</v>
      </c>
      <c r="L38" s="873">
        <v>808</v>
      </c>
      <c r="M38" s="874">
        <v>781</v>
      </c>
      <c r="N38" s="1090">
        <v>784</v>
      </c>
      <c r="O38" s="1566">
        <v>760</v>
      </c>
      <c r="P38" s="1566">
        <v>770</v>
      </c>
      <c r="Q38" s="1862">
        <v>793</v>
      </c>
      <c r="R38" s="1408">
        <v>791</v>
      </c>
      <c r="S38" s="863">
        <v>834</v>
      </c>
      <c r="T38" s="873">
        <v>375</v>
      </c>
      <c r="U38" s="2161">
        <v>422</v>
      </c>
      <c r="V38" s="2161">
        <v>263</v>
      </c>
      <c r="W38" s="2161">
        <v>222</v>
      </c>
      <c r="X38" s="2161">
        <v>197</v>
      </c>
      <c r="Y38" s="1090">
        <v>209</v>
      </c>
      <c r="Z38" s="2162">
        <v>167</v>
      </c>
      <c r="AA38" s="1563">
        <v>199</v>
      </c>
      <c r="AB38" s="1563"/>
      <c r="AC38" s="1415">
        <v>827</v>
      </c>
      <c r="AD38" s="1907">
        <v>458</v>
      </c>
    </row>
    <row r="39" spans="1:30" ht="15.6" x14ac:dyDescent="0.3">
      <c r="A39" s="280" t="s">
        <v>85</v>
      </c>
      <c r="B39" s="348" t="s">
        <v>86</v>
      </c>
      <c r="C39" s="677" t="s">
        <v>254</v>
      </c>
      <c r="D39" s="873">
        <v>733</v>
      </c>
      <c r="E39" s="874">
        <v>596</v>
      </c>
      <c r="F39" s="1566">
        <v>562</v>
      </c>
      <c r="G39" s="1566">
        <v>483</v>
      </c>
      <c r="H39" s="1566">
        <v>455</v>
      </c>
      <c r="I39" s="1862">
        <v>393</v>
      </c>
      <c r="J39" s="1408">
        <v>392</v>
      </c>
      <c r="K39" s="863">
        <v>395</v>
      </c>
      <c r="L39" s="873">
        <v>228</v>
      </c>
      <c r="M39" s="874">
        <v>195</v>
      </c>
      <c r="N39" s="1090">
        <v>169</v>
      </c>
      <c r="O39" s="1566">
        <v>152</v>
      </c>
      <c r="P39" s="1566">
        <v>147</v>
      </c>
      <c r="Q39" s="1862">
        <v>155</v>
      </c>
      <c r="R39" s="1408">
        <v>152</v>
      </c>
      <c r="S39" s="863">
        <v>172</v>
      </c>
      <c r="T39" s="873">
        <v>89</v>
      </c>
      <c r="U39" s="2161">
        <v>101</v>
      </c>
      <c r="V39" s="2161">
        <v>77</v>
      </c>
      <c r="W39" s="2161">
        <v>57</v>
      </c>
      <c r="X39" s="2161">
        <v>44</v>
      </c>
      <c r="Y39" s="1090">
        <v>47</v>
      </c>
      <c r="Z39" s="2162">
        <v>72</v>
      </c>
      <c r="AA39" s="1563">
        <v>45</v>
      </c>
      <c r="AB39" s="1563"/>
      <c r="AC39" s="1415">
        <v>197</v>
      </c>
      <c r="AD39" s="1907">
        <v>112</v>
      </c>
    </row>
    <row r="40" spans="1:30" ht="15.6" x14ac:dyDescent="0.3">
      <c r="A40" s="280" t="s">
        <v>91</v>
      </c>
      <c r="B40" s="348" t="s">
        <v>92</v>
      </c>
      <c r="C40" s="677" t="s">
        <v>255</v>
      </c>
      <c r="D40" s="873">
        <v>683</v>
      </c>
      <c r="E40" s="874">
        <v>650</v>
      </c>
      <c r="F40" s="1566">
        <v>672</v>
      </c>
      <c r="G40" s="1566">
        <v>624</v>
      </c>
      <c r="H40" s="1566">
        <v>599</v>
      </c>
      <c r="I40" s="1862">
        <v>616</v>
      </c>
      <c r="J40" s="1408">
        <v>577</v>
      </c>
      <c r="K40" s="863">
        <v>546</v>
      </c>
      <c r="L40" s="873">
        <v>262</v>
      </c>
      <c r="M40" s="874">
        <v>324</v>
      </c>
      <c r="N40" s="1090">
        <v>310</v>
      </c>
      <c r="O40" s="1566">
        <v>289</v>
      </c>
      <c r="P40" s="1566">
        <v>340</v>
      </c>
      <c r="Q40" s="1862">
        <v>341</v>
      </c>
      <c r="R40" s="1408">
        <v>310</v>
      </c>
      <c r="S40" s="863">
        <v>315</v>
      </c>
      <c r="T40" s="873">
        <v>146</v>
      </c>
      <c r="U40" s="2161">
        <v>176</v>
      </c>
      <c r="V40" s="2161">
        <v>168</v>
      </c>
      <c r="W40" s="2161">
        <v>112</v>
      </c>
      <c r="X40" s="2161">
        <v>125</v>
      </c>
      <c r="Y40" s="1090">
        <v>118</v>
      </c>
      <c r="Z40" s="2162">
        <v>94</v>
      </c>
      <c r="AA40" s="1563">
        <v>69</v>
      </c>
      <c r="AB40" s="1563"/>
      <c r="AC40" s="1415">
        <v>346</v>
      </c>
      <c r="AD40" s="1907">
        <v>206</v>
      </c>
    </row>
    <row r="41" spans="1:30" ht="15.6" x14ac:dyDescent="0.3">
      <c r="A41" s="280" t="s">
        <v>93</v>
      </c>
      <c r="B41" s="348" t="s">
        <v>94</v>
      </c>
      <c r="C41" s="677" t="s">
        <v>251</v>
      </c>
      <c r="D41" s="873">
        <v>651</v>
      </c>
      <c r="E41" s="874">
        <v>575</v>
      </c>
      <c r="F41" s="1566">
        <v>586</v>
      </c>
      <c r="G41" s="1566">
        <v>546</v>
      </c>
      <c r="H41" s="1566">
        <v>516</v>
      </c>
      <c r="I41" s="1862">
        <v>471</v>
      </c>
      <c r="J41" s="1408">
        <v>479</v>
      </c>
      <c r="K41" s="863">
        <v>468</v>
      </c>
      <c r="L41" s="873">
        <v>327</v>
      </c>
      <c r="M41" s="874">
        <v>325</v>
      </c>
      <c r="N41" s="1090">
        <v>296</v>
      </c>
      <c r="O41" s="1566">
        <v>324</v>
      </c>
      <c r="P41" s="1566">
        <v>298</v>
      </c>
      <c r="Q41" s="1862">
        <v>320</v>
      </c>
      <c r="R41" s="1408">
        <v>322</v>
      </c>
      <c r="S41" s="863">
        <v>314</v>
      </c>
      <c r="T41" s="873">
        <v>130</v>
      </c>
      <c r="U41" s="2161">
        <v>151</v>
      </c>
      <c r="V41" s="2161">
        <v>161</v>
      </c>
      <c r="W41" s="2161">
        <v>127</v>
      </c>
      <c r="X41" s="2161">
        <v>84</v>
      </c>
      <c r="Y41" s="1090">
        <v>116</v>
      </c>
      <c r="Z41" s="2162">
        <v>102</v>
      </c>
      <c r="AA41" s="1563">
        <v>94</v>
      </c>
      <c r="AB41" s="1563"/>
      <c r="AC41" s="1415">
        <v>316</v>
      </c>
      <c r="AD41" s="1907">
        <v>204</v>
      </c>
    </row>
    <row r="42" spans="1:30" ht="15.6" x14ac:dyDescent="0.3">
      <c r="A42" s="280" t="s">
        <v>95</v>
      </c>
      <c r="B42" s="348" t="s">
        <v>96</v>
      </c>
      <c r="C42" s="677" t="s">
        <v>253</v>
      </c>
      <c r="D42" s="873">
        <v>280</v>
      </c>
      <c r="E42" s="874">
        <v>248</v>
      </c>
      <c r="F42" s="1566">
        <v>258</v>
      </c>
      <c r="G42" s="1566">
        <v>238</v>
      </c>
      <c r="H42" s="1566">
        <v>219</v>
      </c>
      <c r="I42" s="1862">
        <v>192</v>
      </c>
      <c r="J42" s="1408">
        <v>187</v>
      </c>
      <c r="K42" s="863">
        <v>177</v>
      </c>
      <c r="L42" s="873">
        <v>83</v>
      </c>
      <c r="M42" s="874">
        <v>88</v>
      </c>
      <c r="N42" s="1090">
        <v>86</v>
      </c>
      <c r="O42" s="1566">
        <v>87</v>
      </c>
      <c r="P42" s="1566">
        <v>75</v>
      </c>
      <c r="Q42" s="1862">
        <v>74</v>
      </c>
      <c r="R42" s="1408">
        <v>75</v>
      </c>
      <c r="S42" s="863">
        <v>82</v>
      </c>
      <c r="T42" s="873">
        <v>47</v>
      </c>
      <c r="U42" s="2161">
        <v>28</v>
      </c>
      <c r="V42" s="2161">
        <v>24</v>
      </c>
      <c r="W42" s="2161">
        <v>23</v>
      </c>
      <c r="X42" s="2161">
        <v>16</v>
      </c>
      <c r="Y42" s="1090">
        <v>20</v>
      </c>
      <c r="Z42" s="2162">
        <v>17</v>
      </c>
      <c r="AA42" s="1563">
        <v>28</v>
      </c>
      <c r="AB42" s="1563"/>
      <c r="AC42" s="1415">
        <v>83</v>
      </c>
      <c r="AD42" s="1907">
        <v>57</v>
      </c>
    </row>
    <row r="43" spans="1:30" ht="15.6" x14ac:dyDescent="0.3">
      <c r="A43" s="280" t="s">
        <v>97</v>
      </c>
      <c r="B43" s="348" t="s">
        <v>98</v>
      </c>
      <c r="C43" s="677" t="s">
        <v>255</v>
      </c>
      <c r="D43" s="873">
        <v>1130</v>
      </c>
      <c r="E43" s="874">
        <v>1059</v>
      </c>
      <c r="F43" s="1566">
        <v>1068</v>
      </c>
      <c r="G43" s="1566">
        <v>970</v>
      </c>
      <c r="H43" s="1566">
        <v>898</v>
      </c>
      <c r="I43" s="1862">
        <v>849</v>
      </c>
      <c r="J43" s="1408">
        <v>847</v>
      </c>
      <c r="K43" s="863">
        <v>839</v>
      </c>
      <c r="L43" s="873">
        <v>470</v>
      </c>
      <c r="M43" s="874">
        <v>455</v>
      </c>
      <c r="N43" s="1090">
        <v>424</v>
      </c>
      <c r="O43" s="1566">
        <v>420</v>
      </c>
      <c r="P43" s="1566">
        <v>397</v>
      </c>
      <c r="Q43" s="1862">
        <v>413</v>
      </c>
      <c r="R43" s="1408">
        <v>406</v>
      </c>
      <c r="S43" s="863">
        <v>374</v>
      </c>
      <c r="T43" s="873">
        <v>163</v>
      </c>
      <c r="U43" s="2161">
        <v>169</v>
      </c>
      <c r="V43" s="2161">
        <v>126</v>
      </c>
      <c r="W43" s="2161">
        <v>99</v>
      </c>
      <c r="X43" s="2161">
        <v>80</v>
      </c>
      <c r="Y43" s="1090">
        <v>74</v>
      </c>
      <c r="Z43" s="2162">
        <v>90</v>
      </c>
      <c r="AA43" s="1563">
        <v>69</v>
      </c>
      <c r="AB43" s="1563"/>
      <c r="AC43" s="1415">
        <v>410</v>
      </c>
      <c r="AD43" s="1907">
        <v>301</v>
      </c>
    </row>
    <row r="44" spans="1:30" ht="15.6" x14ac:dyDescent="0.3">
      <c r="A44" s="280" t="s">
        <v>99</v>
      </c>
      <c r="B44" s="348" t="s">
        <v>100</v>
      </c>
      <c r="C44" s="677" t="s">
        <v>254</v>
      </c>
      <c r="D44" s="873">
        <v>325</v>
      </c>
      <c r="E44" s="874">
        <v>255</v>
      </c>
      <c r="F44" s="1566">
        <v>282</v>
      </c>
      <c r="G44" s="1566">
        <v>277</v>
      </c>
      <c r="H44" s="1566">
        <v>242</v>
      </c>
      <c r="I44" s="1862">
        <v>255</v>
      </c>
      <c r="J44" s="1408">
        <v>246</v>
      </c>
      <c r="K44" s="863">
        <v>247</v>
      </c>
      <c r="L44" s="873">
        <v>127</v>
      </c>
      <c r="M44" s="874">
        <v>145</v>
      </c>
      <c r="N44" s="1090">
        <v>174</v>
      </c>
      <c r="O44" s="1566">
        <v>135</v>
      </c>
      <c r="P44" s="1566">
        <v>116</v>
      </c>
      <c r="Q44" s="1862">
        <v>131</v>
      </c>
      <c r="R44" s="1408">
        <v>160</v>
      </c>
      <c r="S44" s="863">
        <v>161</v>
      </c>
      <c r="T44" s="873">
        <v>57</v>
      </c>
      <c r="U44" s="2161">
        <v>82</v>
      </c>
      <c r="V44" s="2161">
        <v>77</v>
      </c>
      <c r="W44" s="2161">
        <v>53</v>
      </c>
      <c r="X44" s="2161">
        <v>32</v>
      </c>
      <c r="Y44" s="1090">
        <v>43</v>
      </c>
      <c r="Z44" s="2162">
        <v>43</v>
      </c>
      <c r="AA44" s="1563">
        <v>54</v>
      </c>
      <c r="AB44" s="1563"/>
      <c r="AC44" s="1415">
        <v>146</v>
      </c>
      <c r="AD44" s="1907">
        <v>101</v>
      </c>
    </row>
    <row r="45" spans="1:30" ht="15.6" x14ac:dyDescent="0.3">
      <c r="A45" s="280" t="s">
        <v>101</v>
      </c>
      <c r="B45" s="348" t="s">
        <v>263</v>
      </c>
      <c r="C45" s="677" t="s">
        <v>251</v>
      </c>
      <c r="D45" s="873">
        <v>948</v>
      </c>
      <c r="E45" s="874">
        <v>866</v>
      </c>
      <c r="F45" s="1566">
        <v>906</v>
      </c>
      <c r="G45" s="1566">
        <v>860</v>
      </c>
      <c r="H45" s="1566">
        <v>800</v>
      </c>
      <c r="I45" s="1862">
        <v>718</v>
      </c>
      <c r="J45" s="1408">
        <v>705</v>
      </c>
      <c r="K45" s="863">
        <v>694</v>
      </c>
      <c r="L45" s="873">
        <v>485</v>
      </c>
      <c r="M45" s="874">
        <v>521</v>
      </c>
      <c r="N45" s="1090">
        <v>511</v>
      </c>
      <c r="O45" s="1566">
        <v>498</v>
      </c>
      <c r="P45" s="1566">
        <v>446</v>
      </c>
      <c r="Q45" s="1862">
        <v>429</v>
      </c>
      <c r="R45" s="1408">
        <v>466</v>
      </c>
      <c r="S45" s="863">
        <v>436</v>
      </c>
      <c r="T45" s="873">
        <v>110</v>
      </c>
      <c r="U45" s="2161">
        <v>123</v>
      </c>
      <c r="V45" s="2161">
        <v>126</v>
      </c>
      <c r="W45" s="2161">
        <v>102</v>
      </c>
      <c r="X45" s="2161">
        <v>72</v>
      </c>
      <c r="Y45" s="1090">
        <v>85</v>
      </c>
      <c r="Z45" s="2162">
        <v>61</v>
      </c>
      <c r="AA45" s="1563">
        <v>59</v>
      </c>
      <c r="AB45" s="1563"/>
      <c r="AC45" s="1415">
        <v>488</v>
      </c>
      <c r="AD45" s="1907">
        <v>305</v>
      </c>
    </row>
    <row r="46" spans="1:30" ht="15.6" x14ac:dyDescent="0.3">
      <c r="A46" s="280" t="s">
        <v>103</v>
      </c>
      <c r="B46" s="348" t="s">
        <v>104</v>
      </c>
      <c r="C46" s="677" t="s">
        <v>252</v>
      </c>
      <c r="D46" s="873">
        <v>2381</v>
      </c>
      <c r="E46" s="874">
        <v>2229</v>
      </c>
      <c r="F46" s="1566">
        <v>2209</v>
      </c>
      <c r="G46" s="1566">
        <v>1995</v>
      </c>
      <c r="H46" s="1566">
        <v>1887</v>
      </c>
      <c r="I46" s="1862">
        <v>1790</v>
      </c>
      <c r="J46" s="1408">
        <v>1697</v>
      </c>
      <c r="K46" s="863">
        <v>1691</v>
      </c>
      <c r="L46" s="873">
        <v>1037</v>
      </c>
      <c r="M46" s="874">
        <v>1086</v>
      </c>
      <c r="N46" s="1090">
        <v>966</v>
      </c>
      <c r="O46" s="1566">
        <v>908</v>
      </c>
      <c r="P46" s="1566">
        <v>936</v>
      </c>
      <c r="Q46" s="1862">
        <v>931</v>
      </c>
      <c r="R46" s="1408">
        <v>976</v>
      </c>
      <c r="S46" s="863">
        <v>972</v>
      </c>
      <c r="T46" s="873">
        <v>484</v>
      </c>
      <c r="U46" s="2161">
        <v>447</v>
      </c>
      <c r="V46" s="2161">
        <v>407</v>
      </c>
      <c r="W46" s="2161">
        <v>310</v>
      </c>
      <c r="X46" s="2161">
        <v>261</v>
      </c>
      <c r="Y46" s="1090">
        <v>291</v>
      </c>
      <c r="Z46" s="2162">
        <v>256</v>
      </c>
      <c r="AA46" s="1563">
        <v>263</v>
      </c>
      <c r="AB46" s="1563"/>
      <c r="AC46" s="1415">
        <v>1034</v>
      </c>
      <c r="AD46" s="1907">
        <v>670</v>
      </c>
    </row>
    <row r="47" spans="1:30" ht="15.6" x14ac:dyDescent="0.3">
      <c r="A47" s="280" t="s">
        <v>107</v>
      </c>
      <c r="B47" s="348" t="s">
        <v>108</v>
      </c>
      <c r="C47" s="677" t="s">
        <v>253</v>
      </c>
      <c r="D47" s="873">
        <v>783</v>
      </c>
      <c r="E47" s="874">
        <v>660</v>
      </c>
      <c r="F47" s="1566">
        <v>659</v>
      </c>
      <c r="G47" s="1566">
        <v>610</v>
      </c>
      <c r="H47" s="1566">
        <v>562</v>
      </c>
      <c r="I47" s="1862">
        <v>529</v>
      </c>
      <c r="J47" s="1408">
        <v>542</v>
      </c>
      <c r="K47" s="863">
        <v>595</v>
      </c>
      <c r="L47" s="873">
        <v>313</v>
      </c>
      <c r="M47" s="874">
        <v>315</v>
      </c>
      <c r="N47" s="1090">
        <v>322</v>
      </c>
      <c r="O47" s="1566">
        <v>307</v>
      </c>
      <c r="P47" s="1566">
        <v>326</v>
      </c>
      <c r="Q47" s="1862">
        <v>362</v>
      </c>
      <c r="R47" s="1408">
        <v>353</v>
      </c>
      <c r="S47" s="863">
        <v>418</v>
      </c>
      <c r="T47" s="873">
        <v>127</v>
      </c>
      <c r="U47" s="2161">
        <v>98</v>
      </c>
      <c r="V47" s="2161">
        <v>81</v>
      </c>
      <c r="W47" s="2161">
        <v>62</v>
      </c>
      <c r="X47" s="2161">
        <v>62</v>
      </c>
      <c r="Y47" s="1090">
        <v>75</v>
      </c>
      <c r="Z47" s="2162">
        <v>86</v>
      </c>
      <c r="AA47" s="1563">
        <v>64</v>
      </c>
      <c r="AB47" s="1563"/>
      <c r="AC47" s="1415">
        <v>344</v>
      </c>
      <c r="AD47" s="1907">
        <v>211</v>
      </c>
    </row>
    <row r="48" spans="1:30" ht="15.6" x14ac:dyDescent="0.3">
      <c r="A48" s="280" t="s">
        <v>109</v>
      </c>
      <c r="B48" s="348" t="s">
        <v>110</v>
      </c>
      <c r="C48" s="677" t="s">
        <v>253</v>
      </c>
      <c r="D48" s="873">
        <v>3983</v>
      </c>
      <c r="E48" s="874">
        <v>3456</v>
      </c>
      <c r="F48" s="1566">
        <v>3619</v>
      </c>
      <c r="G48" s="1566">
        <v>3206</v>
      </c>
      <c r="H48" s="1566">
        <v>3115</v>
      </c>
      <c r="I48" s="1862">
        <v>3086</v>
      </c>
      <c r="J48" s="1408">
        <v>3121</v>
      </c>
      <c r="K48" s="863">
        <v>2971</v>
      </c>
      <c r="L48" s="873">
        <v>2239</v>
      </c>
      <c r="M48" s="874">
        <v>1956</v>
      </c>
      <c r="N48" s="1090">
        <v>1184</v>
      </c>
      <c r="O48" s="1566">
        <v>1234</v>
      </c>
      <c r="P48" s="1566">
        <v>1894</v>
      </c>
      <c r="Q48" s="1862">
        <v>2071</v>
      </c>
      <c r="R48" s="1408">
        <v>2130</v>
      </c>
      <c r="S48" s="863">
        <v>2171</v>
      </c>
      <c r="T48" s="873">
        <v>309</v>
      </c>
      <c r="U48" s="2161">
        <v>317</v>
      </c>
      <c r="V48" s="2161">
        <v>335</v>
      </c>
      <c r="W48" s="2161">
        <v>306</v>
      </c>
      <c r="X48" s="2161">
        <v>310</v>
      </c>
      <c r="Y48" s="1090">
        <v>327</v>
      </c>
      <c r="Z48" s="2162">
        <v>296</v>
      </c>
      <c r="AA48" s="1563">
        <v>220</v>
      </c>
      <c r="AB48" s="1563"/>
      <c r="AC48" s="1415">
        <v>2053</v>
      </c>
      <c r="AD48" s="1907">
        <v>1153</v>
      </c>
    </row>
    <row r="49" spans="1:30" ht="15.6" x14ac:dyDescent="0.3">
      <c r="A49" s="280" t="s">
        <v>111</v>
      </c>
      <c r="B49" s="348" t="s">
        <v>275</v>
      </c>
      <c r="C49" s="677" t="s">
        <v>252</v>
      </c>
      <c r="D49" s="873">
        <v>3798</v>
      </c>
      <c r="E49" s="874">
        <v>3460</v>
      </c>
      <c r="F49" s="1566">
        <v>3483</v>
      </c>
      <c r="G49" s="1566">
        <v>3355</v>
      </c>
      <c r="H49" s="1566">
        <v>3092</v>
      </c>
      <c r="I49" s="1862">
        <v>3043</v>
      </c>
      <c r="J49" s="1408">
        <v>2916</v>
      </c>
      <c r="K49" s="863">
        <v>2815</v>
      </c>
      <c r="L49" s="873">
        <v>1630</v>
      </c>
      <c r="M49" s="874">
        <v>1705</v>
      </c>
      <c r="N49" s="1090">
        <v>1553</v>
      </c>
      <c r="O49" s="1566">
        <v>1714</v>
      </c>
      <c r="P49" s="1566">
        <v>1724</v>
      </c>
      <c r="Q49" s="1862">
        <v>1766</v>
      </c>
      <c r="R49" s="1408">
        <v>1705</v>
      </c>
      <c r="S49" s="863">
        <v>1702</v>
      </c>
      <c r="T49" s="873">
        <v>707</v>
      </c>
      <c r="U49" s="2161">
        <v>699</v>
      </c>
      <c r="V49" s="2161">
        <v>640</v>
      </c>
      <c r="W49" s="2161">
        <v>464</v>
      </c>
      <c r="X49" s="2161">
        <v>465</v>
      </c>
      <c r="Y49" s="1090">
        <v>470</v>
      </c>
      <c r="Z49" s="2162">
        <v>482</v>
      </c>
      <c r="AA49" s="1563">
        <v>432</v>
      </c>
      <c r="AB49" s="1563"/>
      <c r="AC49" s="1415">
        <v>1886</v>
      </c>
      <c r="AD49" s="1907">
        <v>1178</v>
      </c>
    </row>
    <row r="50" spans="1:30" ht="15.6" x14ac:dyDescent="0.3">
      <c r="A50" s="280" t="s">
        <v>113</v>
      </c>
      <c r="B50" s="348" t="s">
        <v>114</v>
      </c>
      <c r="C50" s="677" t="s">
        <v>252</v>
      </c>
      <c r="D50" s="873">
        <v>50</v>
      </c>
      <c r="E50" s="874">
        <v>51</v>
      </c>
      <c r="F50" s="1566">
        <v>50</v>
      </c>
      <c r="G50" s="1566">
        <v>48</v>
      </c>
      <c r="H50" s="1566">
        <v>41</v>
      </c>
      <c r="I50" s="1862">
        <v>39</v>
      </c>
      <c r="J50" s="1408">
        <v>37</v>
      </c>
      <c r="K50" s="863">
        <v>42</v>
      </c>
      <c r="L50" s="873">
        <v>20</v>
      </c>
      <c r="M50" s="874">
        <v>12</v>
      </c>
      <c r="N50" s="1090">
        <v>26</v>
      </c>
      <c r="O50" s="1566">
        <v>12</v>
      </c>
      <c r="P50" s="1566">
        <v>17</v>
      </c>
      <c r="Q50" s="1862">
        <v>18</v>
      </c>
      <c r="R50" s="1408">
        <v>24</v>
      </c>
      <c r="S50" s="863">
        <v>16</v>
      </c>
      <c r="T50" s="873">
        <v>4</v>
      </c>
      <c r="U50" s="2161">
        <v>7</v>
      </c>
      <c r="V50" s="2161">
        <v>5</v>
      </c>
      <c r="W50" s="2161">
        <v>1</v>
      </c>
      <c r="X50" s="2161">
        <v>0</v>
      </c>
      <c r="Y50" s="1090">
        <v>2</v>
      </c>
      <c r="Z50" s="2162">
        <v>3</v>
      </c>
      <c r="AA50" s="1563">
        <v>5</v>
      </c>
      <c r="AB50" s="1563"/>
      <c r="AC50" s="1415">
        <v>18</v>
      </c>
      <c r="AD50" s="1907">
        <v>17</v>
      </c>
    </row>
    <row r="51" spans="1:30" ht="15.6" x14ac:dyDescent="0.3">
      <c r="A51" s="280" t="s">
        <v>117</v>
      </c>
      <c r="B51" s="348" t="s">
        <v>257</v>
      </c>
      <c r="C51" s="677" t="s">
        <v>251</v>
      </c>
      <c r="D51" s="873">
        <v>774</v>
      </c>
      <c r="E51" s="874">
        <v>644</v>
      </c>
      <c r="F51" s="1566">
        <v>609</v>
      </c>
      <c r="G51" s="1566">
        <v>596</v>
      </c>
      <c r="H51" s="1566">
        <v>555</v>
      </c>
      <c r="I51" s="1862">
        <v>562</v>
      </c>
      <c r="J51" s="1408">
        <v>569</v>
      </c>
      <c r="K51" s="863">
        <v>554</v>
      </c>
      <c r="L51" s="873">
        <v>275</v>
      </c>
      <c r="M51" s="874">
        <v>278</v>
      </c>
      <c r="N51" s="1090">
        <v>327</v>
      </c>
      <c r="O51" s="1566">
        <v>314</v>
      </c>
      <c r="P51" s="1566">
        <v>321</v>
      </c>
      <c r="Q51" s="1862">
        <v>377</v>
      </c>
      <c r="R51" s="1408">
        <v>366</v>
      </c>
      <c r="S51" s="863">
        <v>362</v>
      </c>
      <c r="T51" s="873">
        <v>67</v>
      </c>
      <c r="U51" s="2161">
        <v>78</v>
      </c>
      <c r="V51" s="2161">
        <v>59</v>
      </c>
      <c r="W51" s="2161">
        <v>64</v>
      </c>
      <c r="X51" s="2161">
        <v>49</v>
      </c>
      <c r="Y51" s="1090">
        <v>87</v>
      </c>
      <c r="Z51" s="2162">
        <v>73</v>
      </c>
      <c r="AA51" s="1563">
        <v>52</v>
      </c>
      <c r="AB51" s="1563"/>
      <c r="AC51" s="1415">
        <v>335</v>
      </c>
      <c r="AD51" s="1907">
        <v>201</v>
      </c>
    </row>
    <row r="52" spans="1:30" ht="15.6" x14ac:dyDescent="0.3">
      <c r="A52" s="280" t="s">
        <v>119</v>
      </c>
      <c r="B52" s="348" t="s">
        <v>120</v>
      </c>
      <c r="C52" s="677" t="s">
        <v>251</v>
      </c>
      <c r="D52" s="873">
        <v>622</v>
      </c>
      <c r="E52" s="874">
        <v>544</v>
      </c>
      <c r="F52" s="1566">
        <v>553</v>
      </c>
      <c r="G52" s="1566">
        <v>471</v>
      </c>
      <c r="H52" s="1566">
        <v>442</v>
      </c>
      <c r="I52" s="1862">
        <v>427</v>
      </c>
      <c r="J52" s="1408">
        <v>377</v>
      </c>
      <c r="K52" s="863">
        <v>397</v>
      </c>
      <c r="L52" s="873">
        <v>322</v>
      </c>
      <c r="M52" s="874">
        <v>292</v>
      </c>
      <c r="N52" s="1090">
        <v>273</v>
      </c>
      <c r="O52" s="1566">
        <v>266</v>
      </c>
      <c r="P52" s="1566">
        <v>267</v>
      </c>
      <c r="Q52" s="1862">
        <v>258</v>
      </c>
      <c r="R52" s="1408">
        <v>279</v>
      </c>
      <c r="S52" s="863">
        <v>299</v>
      </c>
      <c r="T52" s="873">
        <v>121</v>
      </c>
      <c r="U52" s="2161">
        <v>109</v>
      </c>
      <c r="V52" s="2161">
        <v>83</v>
      </c>
      <c r="W52" s="2161">
        <v>76</v>
      </c>
      <c r="X52" s="2161">
        <v>49</v>
      </c>
      <c r="Y52" s="1090">
        <v>35</v>
      </c>
      <c r="Z52" s="2162">
        <v>41</v>
      </c>
      <c r="AA52" s="1563">
        <v>32</v>
      </c>
      <c r="AB52" s="1563"/>
      <c r="AC52" s="1415">
        <v>312</v>
      </c>
      <c r="AD52" s="1907">
        <v>204</v>
      </c>
    </row>
    <row r="53" spans="1:30" ht="15.6" x14ac:dyDescent="0.3">
      <c r="A53" s="280" t="s">
        <v>121</v>
      </c>
      <c r="B53" s="348" t="s">
        <v>268</v>
      </c>
      <c r="C53" s="677" t="s">
        <v>253</v>
      </c>
      <c r="D53" s="873">
        <v>258</v>
      </c>
      <c r="E53" s="874">
        <v>230</v>
      </c>
      <c r="F53" s="1566">
        <v>247</v>
      </c>
      <c r="G53" s="1566">
        <v>230</v>
      </c>
      <c r="H53" s="1566">
        <v>202</v>
      </c>
      <c r="I53" s="1862">
        <v>181</v>
      </c>
      <c r="J53" s="1408">
        <v>180</v>
      </c>
      <c r="K53" s="863">
        <v>188</v>
      </c>
      <c r="L53" s="873">
        <v>68</v>
      </c>
      <c r="M53" s="874">
        <v>78</v>
      </c>
      <c r="N53" s="1090">
        <v>90</v>
      </c>
      <c r="O53" s="1566">
        <v>80</v>
      </c>
      <c r="P53" s="1566">
        <v>79</v>
      </c>
      <c r="Q53" s="1862">
        <v>81</v>
      </c>
      <c r="R53" s="1408">
        <v>73</v>
      </c>
      <c r="S53" s="863">
        <v>75</v>
      </c>
      <c r="T53" s="873">
        <v>56</v>
      </c>
      <c r="U53" s="2161">
        <v>65</v>
      </c>
      <c r="V53" s="2161">
        <v>64</v>
      </c>
      <c r="W53" s="2161">
        <v>34</v>
      </c>
      <c r="X53" s="2161">
        <v>37</v>
      </c>
      <c r="Y53" s="1090">
        <v>34</v>
      </c>
      <c r="Z53" s="2162">
        <v>30</v>
      </c>
      <c r="AA53" s="1563">
        <v>40</v>
      </c>
      <c r="AB53" s="1563"/>
      <c r="AC53" s="1415">
        <v>85</v>
      </c>
      <c r="AD53" s="1907">
        <v>47</v>
      </c>
    </row>
    <row r="54" spans="1:30" ht="15.6" x14ac:dyDescent="0.3">
      <c r="A54" s="280" t="s">
        <v>123</v>
      </c>
      <c r="B54" s="348" t="s">
        <v>124</v>
      </c>
      <c r="C54" s="677" t="s">
        <v>254</v>
      </c>
      <c r="D54" s="873">
        <v>383</v>
      </c>
      <c r="E54" s="874">
        <v>353</v>
      </c>
      <c r="F54" s="1566">
        <v>351</v>
      </c>
      <c r="G54" s="1566">
        <v>278</v>
      </c>
      <c r="H54" s="1566">
        <v>288</v>
      </c>
      <c r="I54" s="1862">
        <v>253</v>
      </c>
      <c r="J54" s="1408">
        <v>237</v>
      </c>
      <c r="K54" s="863">
        <v>235</v>
      </c>
      <c r="L54" s="873">
        <v>150</v>
      </c>
      <c r="M54" s="874">
        <v>163</v>
      </c>
      <c r="N54" s="1090">
        <v>113</v>
      </c>
      <c r="O54" s="1566">
        <v>127</v>
      </c>
      <c r="P54" s="1566">
        <v>130</v>
      </c>
      <c r="Q54" s="1862">
        <v>137</v>
      </c>
      <c r="R54" s="1408">
        <v>121</v>
      </c>
      <c r="S54" s="863">
        <v>146</v>
      </c>
      <c r="T54" s="873">
        <v>129</v>
      </c>
      <c r="U54" s="2161">
        <v>131</v>
      </c>
      <c r="V54" s="2161">
        <v>119</v>
      </c>
      <c r="W54" s="2161">
        <v>53</v>
      </c>
      <c r="X54" s="2161">
        <v>57</v>
      </c>
      <c r="Y54" s="1090">
        <v>65</v>
      </c>
      <c r="Z54" s="2162">
        <v>59</v>
      </c>
      <c r="AA54" s="1563">
        <v>36</v>
      </c>
      <c r="AB54" s="1563"/>
      <c r="AC54" s="1415">
        <v>112</v>
      </c>
      <c r="AD54" s="1907">
        <v>56</v>
      </c>
    </row>
    <row r="55" spans="1:30" ht="15.6" x14ac:dyDescent="0.3">
      <c r="A55" s="280" t="s">
        <v>125</v>
      </c>
      <c r="B55" s="348" t="s">
        <v>126</v>
      </c>
      <c r="C55" s="677" t="s">
        <v>253</v>
      </c>
      <c r="D55" s="873">
        <v>282</v>
      </c>
      <c r="E55" s="874">
        <v>270</v>
      </c>
      <c r="F55" s="1566">
        <v>252</v>
      </c>
      <c r="G55" s="1566">
        <v>233</v>
      </c>
      <c r="H55" s="1566">
        <v>190</v>
      </c>
      <c r="I55" s="1862">
        <v>198</v>
      </c>
      <c r="J55" s="1408">
        <v>205</v>
      </c>
      <c r="K55" s="863">
        <v>218</v>
      </c>
      <c r="L55" s="873">
        <v>104</v>
      </c>
      <c r="M55" s="874">
        <v>104</v>
      </c>
      <c r="N55" s="1090">
        <v>90</v>
      </c>
      <c r="O55" s="1566">
        <v>77</v>
      </c>
      <c r="P55" s="1566">
        <v>79</v>
      </c>
      <c r="Q55" s="1862">
        <v>102</v>
      </c>
      <c r="R55" s="1408">
        <v>115</v>
      </c>
      <c r="S55" s="863">
        <v>134</v>
      </c>
      <c r="T55" s="873">
        <v>64</v>
      </c>
      <c r="U55" s="2161">
        <v>43</v>
      </c>
      <c r="V55" s="2161">
        <v>67</v>
      </c>
      <c r="W55" s="2161">
        <v>26</v>
      </c>
      <c r="X55" s="2161">
        <v>44</v>
      </c>
      <c r="Y55" s="1090">
        <v>41</v>
      </c>
      <c r="Z55" s="2162">
        <v>40</v>
      </c>
      <c r="AA55" s="1563">
        <v>47</v>
      </c>
      <c r="AB55" s="1563"/>
      <c r="AC55" s="1415">
        <v>95</v>
      </c>
      <c r="AD55" s="1907">
        <v>59</v>
      </c>
    </row>
    <row r="56" spans="1:30" ht="15.6" x14ac:dyDescent="0.3">
      <c r="A56" s="280" t="s">
        <v>127</v>
      </c>
      <c r="B56" s="348" t="s">
        <v>128</v>
      </c>
      <c r="C56" s="677" t="s">
        <v>253</v>
      </c>
      <c r="D56" s="873">
        <v>477</v>
      </c>
      <c r="E56" s="874">
        <v>411</v>
      </c>
      <c r="F56" s="1566">
        <v>429</v>
      </c>
      <c r="G56" s="1566">
        <v>402</v>
      </c>
      <c r="H56" s="1566">
        <v>374</v>
      </c>
      <c r="I56" s="1862">
        <v>368</v>
      </c>
      <c r="J56" s="1408">
        <v>339</v>
      </c>
      <c r="K56" s="863">
        <v>326</v>
      </c>
      <c r="L56" s="873">
        <v>177</v>
      </c>
      <c r="M56" s="874">
        <v>181</v>
      </c>
      <c r="N56" s="1090">
        <v>210</v>
      </c>
      <c r="O56" s="1566">
        <v>199</v>
      </c>
      <c r="P56" s="1566">
        <v>190</v>
      </c>
      <c r="Q56" s="1862">
        <v>198</v>
      </c>
      <c r="R56" s="1408">
        <v>199</v>
      </c>
      <c r="S56" s="863">
        <v>178</v>
      </c>
      <c r="T56" s="873">
        <v>138</v>
      </c>
      <c r="U56" s="2161">
        <v>155</v>
      </c>
      <c r="V56" s="2161">
        <v>138</v>
      </c>
      <c r="W56" s="2161">
        <v>112</v>
      </c>
      <c r="X56" s="2161">
        <v>98</v>
      </c>
      <c r="Y56" s="1090">
        <v>100</v>
      </c>
      <c r="Z56" s="2162">
        <v>78</v>
      </c>
      <c r="AA56" s="1563">
        <v>81</v>
      </c>
      <c r="AB56" s="1563"/>
      <c r="AC56" s="1415">
        <v>209</v>
      </c>
      <c r="AD56" s="1907">
        <v>131</v>
      </c>
    </row>
    <row r="57" spans="1:30" ht="15.6" x14ac:dyDescent="0.3">
      <c r="A57" s="280" t="s">
        <v>129</v>
      </c>
      <c r="B57" s="348" t="s">
        <v>130</v>
      </c>
      <c r="C57" s="677" t="s">
        <v>255</v>
      </c>
      <c r="D57" s="873">
        <v>2312</v>
      </c>
      <c r="E57" s="874">
        <v>2170</v>
      </c>
      <c r="F57" s="1566">
        <v>2323</v>
      </c>
      <c r="G57" s="1566">
        <v>2209</v>
      </c>
      <c r="H57" s="1566">
        <v>2209</v>
      </c>
      <c r="I57" s="1862">
        <v>2168</v>
      </c>
      <c r="J57" s="1408">
        <v>2019</v>
      </c>
      <c r="K57" s="863">
        <v>2019</v>
      </c>
      <c r="L57" s="873">
        <v>1170</v>
      </c>
      <c r="M57" s="874">
        <v>1296</v>
      </c>
      <c r="N57" s="1090">
        <v>1235</v>
      </c>
      <c r="O57" s="1566">
        <v>1290</v>
      </c>
      <c r="P57" s="1566">
        <v>1282</v>
      </c>
      <c r="Q57" s="1862">
        <v>1352</v>
      </c>
      <c r="R57" s="1408">
        <v>1246</v>
      </c>
      <c r="S57" s="863">
        <v>1338</v>
      </c>
      <c r="T57" s="873">
        <v>641</v>
      </c>
      <c r="U57" s="2161">
        <v>767</v>
      </c>
      <c r="V57" s="2161">
        <v>595</v>
      </c>
      <c r="W57" s="2161">
        <v>627</v>
      </c>
      <c r="X57" s="2161">
        <v>628</v>
      </c>
      <c r="Y57" s="1090">
        <v>767</v>
      </c>
      <c r="Z57" s="2162">
        <v>623</v>
      </c>
      <c r="AA57" s="1563">
        <v>529</v>
      </c>
      <c r="AB57" s="1563"/>
      <c r="AC57" s="1415">
        <v>1342</v>
      </c>
      <c r="AD57" s="1907">
        <v>948</v>
      </c>
    </row>
    <row r="58" spans="1:30" ht="15.6" x14ac:dyDescent="0.3">
      <c r="A58" s="280" t="s">
        <v>131</v>
      </c>
      <c r="B58" s="348" t="s">
        <v>132</v>
      </c>
      <c r="C58" s="677" t="s">
        <v>254</v>
      </c>
      <c r="D58" s="873">
        <v>282</v>
      </c>
      <c r="E58" s="874">
        <v>273</v>
      </c>
      <c r="F58" s="1566">
        <v>245</v>
      </c>
      <c r="G58" s="1566">
        <v>269</v>
      </c>
      <c r="H58" s="1566">
        <v>242</v>
      </c>
      <c r="I58" s="1862">
        <v>238</v>
      </c>
      <c r="J58" s="1408">
        <v>259</v>
      </c>
      <c r="K58" s="863">
        <v>286</v>
      </c>
      <c r="L58" s="873">
        <v>131</v>
      </c>
      <c r="M58" s="874">
        <v>116</v>
      </c>
      <c r="N58" s="1090">
        <v>118</v>
      </c>
      <c r="O58" s="1566">
        <v>132</v>
      </c>
      <c r="P58" s="1566">
        <v>127</v>
      </c>
      <c r="Q58" s="1862">
        <v>161</v>
      </c>
      <c r="R58" s="1408">
        <v>159</v>
      </c>
      <c r="S58" s="863">
        <v>207</v>
      </c>
      <c r="T58" s="873">
        <v>13</v>
      </c>
      <c r="U58" s="2161">
        <v>8</v>
      </c>
      <c r="V58" s="2161">
        <v>15</v>
      </c>
      <c r="W58" s="2161">
        <v>10</v>
      </c>
      <c r="X58" s="2161">
        <v>14</v>
      </c>
      <c r="Y58" s="1090">
        <v>9</v>
      </c>
      <c r="Z58" s="2162">
        <v>28</v>
      </c>
      <c r="AA58" s="1563">
        <v>38</v>
      </c>
      <c r="AB58" s="1563"/>
      <c r="AC58" s="1415">
        <v>134</v>
      </c>
      <c r="AD58" s="1907">
        <v>87</v>
      </c>
    </row>
    <row r="59" spans="1:30" ht="15.6" x14ac:dyDescent="0.3">
      <c r="A59" s="280" t="s">
        <v>133</v>
      </c>
      <c r="B59" s="348" t="s">
        <v>134</v>
      </c>
      <c r="C59" s="677" t="s">
        <v>254</v>
      </c>
      <c r="D59" s="873">
        <v>934</v>
      </c>
      <c r="E59" s="874">
        <v>878</v>
      </c>
      <c r="F59" s="1566">
        <v>912</v>
      </c>
      <c r="G59" s="1566">
        <v>820</v>
      </c>
      <c r="H59" s="1566">
        <v>701</v>
      </c>
      <c r="I59" s="1862">
        <v>688</v>
      </c>
      <c r="J59" s="1408">
        <v>660</v>
      </c>
      <c r="K59" s="863">
        <v>628</v>
      </c>
      <c r="L59" s="873">
        <v>466</v>
      </c>
      <c r="M59" s="874">
        <v>458</v>
      </c>
      <c r="N59" s="1090">
        <v>411</v>
      </c>
      <c r="O59" s="1566">
        <v>394</v>
      </c>
      <c r="P59" s="1566">
        <v>383</v>
      </c>
      <c r="Q59" s="1862">
        <v>358</v>
      </c>
      <c r="R59" s="1408">
        <v>350</v>
      </c>
      <c r="S59" s="863">
        <v>378</v>
      </c>
      <c r="T59" s="873">
        <v>214</v>
      </c>
      <c r="U59" s="2161">
        <v>273</v>
      </c>
      <c r="V59" s="2161">
        <v>213</v>
      </c>
      <c r="W59" s="2161">
        <v>108</v>
      </c>
      <c r="X59" s="2161">
        <v>105</v>
      </c>
      <c r="Y59" s="1090">
        <v>123</v>
      </c>
      <c r="Z59" s="2162">
        <v>123</v>
      </c>
      <c r="AA59" s="1563">
        <v>100</v>
      </c>
      <c r="AB59" s="1563"/>
      <c r="AC59" s="1415">
        <v>420</v>
      </c>
      <c r="AD59" s="1907">
        <v>278</v>
      </c>
    </row>
    <row r="60" spans="1:30" ht="15.6" x14ac:dyDescent="0.3">
      <c r="A60" s="280" t="s">
        <v>135</v>
      </c>
      <c r="B60" s="348" t="s">
        <v>136</v>
      </c>
      <c r="C60" s="677" t="s">
        <v>253</v>
      </c>
      <c r="D60" s="873">
        <v>760</v>
      </c>
      <c r="E60" s="874">
        <v>702</v>
      </c>
      <c r="F60" s="1566">
        <v>732</v>
      </c>
      <c r="G60" s="1566">
        <v>675</v>
      </c>
      <c r="H60" s="1566">
        <v>621</v>
      </c>
      <c r="I60" s="1862">
        <v>593</v>
      </c>
      <c r="J60" s="1408">
        <v>572</v>
      </c>
      <c r="K60" s="863">
        <v>593</v>
      </c>
      <c r="L60" s="873">
        <v>380</v>
      </c>
      <c r="M60" s="874">
        <v>435</v>
      </c>
      <c r="N60" s="1090">
        <v>393</v>
      </c>
      <c r="O60" s="1566">
        <v>388</v>
      </c>
      <c r="P60" s="1566">
        <v>364</v>
      </c>
      <c r="Q60" s="1862">
        <v>379</v>
      </c>
      <c r="R60" s="1408">
        <v>372</v>
      </c>
      <c r="S60" s="863">
        <v>366</v>
      </c>
      <c r="T60" s="873">
        <v>217</v>
      </c>
      <c r="U60" s="2161">
        <v>213</v>
      </c>
      <c r="V60" s="2161">
        <v>233</v>
      </c>
      <c r="W60" s="2161">
        <v>128</v>
      </c>
      <c r="X60" s="2161">
        <v>127</v>
      </c>
      <c r="Y60" s="1090">
        <v>158</v>
      </c>
      <c r="Z60" s="2162">
        <v>136</v>
      </c>
      <c r="AA60" s="1563">
        <v>130</v>
      </c>
      <c r="AB60" s="1563"/>
      <c r="AC60" s="1415">
        <v>365</v>
      </c>
      <c r="AD60" s="1907">
        <v>234</v>
      </c>
    </row>
    <row r="61" spans="1:30" ht="15.6" x14ac:dyDescent="0.3">
      <c r="A61" s="280" t="s">
        <v>139</v>
      </c>
      <c r="B61" s="348" t="s">
        <v>140</v>
      </c>
      <c r="C61" s="677" t="s">
        <v>254</v>
      </c>
      <c r="D61" s="873">
        <v>264</v>
      </c>
      <c r="E61" s="874">
        <v>240</v>
      </c>
      <c r="F61" s="1566">
        <v>253</v>
      </c>
      <c r="G61" s="1566">
        <v>241</v>
      </c>
      <c r="H61" s="1566">
        <v>214</v>
      </c>
      <c r="I61" s="1862">
        <v>172</v>
      </c>
      <c r="J61" s="1408">
        <v>165</v>
      </c>
      <c r="K61" s="863">
        <v>158</v>
      </c>
      <c r="L61" s="873">
        <v>101</v>
      </c>
      <c r="M61" s="874">
        <v>110</v>
      </c>
      <c r="N61" s="1090">
        <v>101</v>
      </c>
      <c r="O61" s="1566">
        <v>97</v>
      </c>
      <c r="P61" s="1566">
        <v>68</v>
      </c>
      <c r="Q61" s="1862">
        <v>85</v>
      </c>
      <c r="R61" s="1408">
        <v>65</v>
      </c>
      <c r="S61" s="863">
        <v>74</v>
      </c>
      <c r="T61" s="873">
        <v>50</v>
      </c>
      <c r="U61" s="2161">
        <v>69</v>
      </c>
      <c r="V61" s="2161">
        <v>39</v>
      </c>
      <c r="W61" s="2161">
        <v>33</v>
      </c>
      <c r="X61" s="2161">
        <v>22</v>
      </c>
      <c r="Y61" s="1090">
        <v>16</v>
      </c>
      <c r="Z61" s="2162">
        <v>23</v>
      </c>
      <c r="AA61" s="1563">
        <v>25</v>
      </c>
      <c r="AB61" s="1563"/>
      <c r="AC61" s="1415">
        <v>85</v>
      </c>
      <c r="AD61" s="1907">
        <v>59</v>
      </c>
    </row>
    <row r="62" spans="1:30" ht="15.6" x14ac:dyDescent="0.3">
      <c r="A62" s="280" t="s">
        <v>145</v>
      </c>
      <c r="B62" s="348" t="s">
        <v>146</v>
      </c>
      <c r="C62" s="677" t="s">
        <v>251</v>
      </c>
      <c r="D62" s="873">
        <v>198</v>
      </c>
      <c r="E62" s="874">
        <v>200</v>
      </c>
      <c r="F62" s="1566">
        <v>196</v>
      </c>
      <c r="G62" s="1566">
        <v>189</v>
      </c>
      <c r="H62" s="1566">
        <v>163</v>
      </c>
      <c r="I62" s="1862">
        <v>162</v>
      </c>
      <c r="J62" s="1408">
        <v>140</v>
      </c>
      <c r="K62" s="863">
        <v>142</v>
      </c>
      <c r="L62" s="873">
        <v>97</v>
      </c>
      <c r="M62" s="874">
        <v>115</v>
      </c>
      <c r="N62" s="1090">
        <v>96</v>
      </c>
      <c r="O62" s="1566">
        <v>88</v>
      </c>
      <c r="P62" s="1566">
        <v>76</v>
      </c>
      <c r="Q62" s="1862">
        <v>73</v>
      </c>
      <c r="R62" s="1408">
        <v>93</v>
      </c>
      <c r="S62" s="863">
        <v>83</v>
      </c>
      <c r="T62" s="873">
        <v>39</v>
      </c>
      <c r="U62" s="2161">
        <v>54</v>
      </c>
      <c r="V62" s="2161">
        <v>41</v>
      </c>
      <c r="W62" s="2161">
        <v>27</v>
      </c>
      <c r="X62" s="2161">
        <v>25</v>
      </c>
      <c r="Y62" s="1090">
        <v>35</v>
      </c>
      <c r="Z62" s="2162">
        <v>26</v>
      </c>
      <c r="AA62" s="1563">
        <v>22</v>
      </c>
      <c r="AB62" s="1563"/>
      <c r="AC62" s="1415">
        <v>81</v>
      </c>
      <c r="AD62" s="1907">
        <v>52</v>
      </c>
    </row>
    <row r="63" spans="1:30" ht="15.6" x14ac:dyDescent="0.3">
      <c r="A63" s="280" t="s">
        <v>147</v>
      </c>
      <c r="B63" s="348" t="s">
        <v>148</v>
      </c>
      <c r="C63" s="677" t="s">
        <v>252</v>
      </c>
      <c r="D63" s="873">
        <v>1718</v>
      </c>
      <c r="E63" s="874">
        <v>1589</v>
      </c>
      <c r="F63" s="1566">
        <v>1581</v>
      </c>
      <c r="G63" s="1566">
        <v>1474</v>
      </c>
      <c r="H63" s="1566">
        <v>1335</v>
      </c>
      <c r="I63" s="1862">
        <v>1292</v>
      </c>
      <c r="J63" s="1408">
        <v>1255</v>
      </c>
      <c r="K63" s="863">
        <v>1194</v>
      </c>
      <c r="L63" s="873">
        <v>778</v>
      </c>
      <c r="M63" s="874">
        <v>796</v>
      </c>
      <c r="N63" s="1090">
        <v>802</v>
      </c>
      <c r="O63" s="1566">
        <v>732</v>
      </c>
      <c r="P63" s="1566">
        <v>765</v>
      </c>
      <c r="Q63" s="1862">
        <v>775</v>
      </c>
      <c r="R63" s="1408">
        <v>699</v>
      </c>
      <c r="S63" s="863">
        <v>686</v>
      </c>
      <c r="T63" s="873">
        <v>384</v>
      </c>
      <c r="U63" s="2161">
        <v>371</v>
      </c>
      <c r="V63" s="2161">
        <v>330</v>
      </c>
      <c r="W63" s="2161">
        <v>274</v>
      </c>
      <c r="X63" s="2161">
        <v>229</v>
      </c>
      <c r="Y63" s="1090">
        <v>274</v>
      </c>
      <c r="Z63" s="2162">
        <v>244</v>
      </c>
      <c r="AA63" s="1563">
        <v>227</v>
      </c>
      <c r="AB63" s="1563"/>
      <c r="AC63" s="1415">
        <v>811</v>
      </c>
      <c r="AD63" s="1907">
        <v>496</v>
      </c>
    </row>
    <row r="64" spans="1:30" ht="15.6" x14ac:dyDescent="0.3">
      <c r="A64" s="280" t="s">
        <v>149</v>
      </c>
      <c r="B64" s="348" t="s">
        <v>150</v>
      </c>
      <c r="C64" s="677" t="s">
        <v>253</v>
      </c>
      <c r="D64" s="873">
        <v>327</v>
      </c>
      <c r="E64" s="874">
        <v>301</v>
      </c>
      <c r="F64" s="1566">
        <v>316</v>
      </c>
      <c r="G64" s="1566">
        <v>293</v>
      </c>
      <c r="H64" s="1566">
        <v>273</v>
      </c>
      <c r="I64" s="1862">
        <v>248</v>
      </c>
      <c r="J64" s="1408">
        <v>266</v>
      </c>
      <c r="K64" s="863">
        <v>276</v>
      </c>
      <c r="L64" s="873">
        <v>122</v>
      </c>
      <c r="M64" s="874">
        <v>158</v>
      </c>
      <c r="N64" s="1090">
        <v>106</v>
      </c>
      <c r="O64" s="1566">
        <v>105</v>
      </c>
      <c r="P64" s="1566">
        <v>114</v>
      </c>
      <c r="Q64" s="1862">
        <v>121</v>
      </c>
      <c r="R64" s="1408">
        <v>137</v>
      </c>
      <c r="S64" s="863">
        <v>125</v>
      </c>
      <c r="T64" s="873">
        <v>79</v>
      </c>
      <c r="U64" s="2161">
        <v>104</v>
      </c>
      <c r="V64" s="2161">
        <v>110</v>
      </c>
      <c r="W64" s="2161">
        <v>56</v>
      </c>
      <c r="X64" s="2161">
        <v>61</v>
      </c>
      <c r="Y64" s="1090">
        <v>64</v>
      </c>
      <c r="Z64" s="2162">
        <v>60</v>
      </c>
      <c r="AA64" s="1563">
        <v>55</v>
      </c>
      <c r="AB64" s="1563"/>
      <c r="AC64" s="1415">
        <v>132</v>
      </c>
      <c r="AD64" s="1907">
        <v>64</v>
      </c>
    </row>
    <row r="65" spans="1:30" ht="15.6" x14ac:dyDescent="0.3">
      <c r="A65" s="280" t="s">
        <v>151</v>
      </c>
      <c r="B65" s="348" t="s">
        <v>152</v>
      </c>
      <c r="C65" s="677" t="s">
        <v>255</v>
      </c>
      <c r="D65" s="873">
        <v>1688</v>
      </c>
      <c r="E65" s="874">
        <v>1559</v>
      </c>
      <c r="F65" s="1566">
        <v>1574</v>
      </c>
      <c r="G65" s="1566">
        <v>1427</v>
      </c>
      <c r="H65" s="1566">
        <v>1344</v>
      </c>
      <c r="I65" s="1862">
        <v>1384</v>
      </c>
      <c r="J65" s="1408">
        <v>1348</v>
      </c>
      <c r="K65" s="863">
        <v>1314</v>
      </c>
      <c r="L65" s="873">
        <v>825</v>
      </c>
      <c r="M65" s="874">
        <v>791</v>
      </c>
      <c r="N65" s="1090">
        <v>844</v>
      </c>
      <c r="O65" s="1566">
        <v>843</v>
      </c>
      <c r="P65" s="1566">
        <v>830</v>
      </c>
      <c r="Q65" s="1862">
        <v>914</v>
      </c>
      <c r="R65" s="1408">
        <v>876</v>
      </c>
      <c r="S65" s="863">
        <v>905</v>
      </c>
      <c r="T65" s="873">
        <v>320</v>
      </c>
      <c r="U65" s="2161">
        <v>314</v>
      </c>
      <c r="V65" s="2161">
        <v>262</v>
      </c>
      <c r="W65" s="2161">
        <v>196</v>
      </c>
      <c r="X65" s="2161">
        <v>169</v>
      </c>
      <c r="Y65" s="1090">
        <v>210</v>
      </c>
      <c r="Z65" s="2162">
        <v>169</v>
      </c>
      <c r="AA65" s="1563">
        <v>113</v>
      </c>
      <c r="AB65" s="1563"/>
      <c r="AC65" s="1415">
        <v>860</v>
      </c>
      <c r="AD65" s="1907">
        <v>490</v>
      </c>
    </row>
    <row r="66" spans="1:30" ht="15.6" x14ac:dyDescent="0.3">
      <c r="A66" s="280" t="s">
        <v>153</v>
      </c>
      <c r="B66" s="348" t="s">
        <v>154</v>
      </c>
      <c r="C66" s="677" t="s">
        <v>252</v>
      </c>
      <c r="D66" s="873">
        <v>619</v>
      </c>
      <c r="E66" s="874">
        <v>606</v>
      </c>
      <c r="F66" s="1566">
        <v>616</v>
      </c>
      <c r="G66" s="1566">
        <v>551</v>
      </c>
      <c r="H66" s="1566">
        <v>495</v>
      </c>
      <c r="I66" s="1862">
        <v>473</v>
      </c>
      <c r="J66" s="1408">
        <v>452</v>
      </c>
      <c r="K66" s="863">
        <v>421</v>
      </c>
      <c r="L66" s="873">
        <v>310</v>
      </c>
      <c r="M66" s="874">
        <v>303</v>
      </c>
      <c r="N66" s="1090">
        <v>280</v>
      </c>
      <c r="O66" s="1566">
        <v>255</v>
      </c>
      <c r="P66" s="1566">
        <v>225</v>
      </c>
      <c r="Q66" s="1862">
        <v>229</v>
      </c>
      <c r="R66" s="1408">
        <v>235</v>
      </c>
      <c r="S66" s="863">
        <v>235</v>
      </c>
      <c r="T66" s="873">
        <v>177</v>
      </c>
      <c r="U66" s="2161">
        <v>190</v>
      </c>
      <c r="V66" s="2161">
        <v>145</v>
      </c>
      <c r="W66" s="2161">
        <v>87</v>
      </c>
      <c r="X66" s="2161">
        <v>80</v>
      </c>
      <c r="Y66" s="1090">
        <v>111</v>
      </c>
      <c r="Z66" s="2162">
        <v>111</v>
      </c>
      <c r="AA66" s="1563">
        <v>98</v>
      </c>
      <c r="AB66" s="1563"/>
      <c r="AC66" s="1415">
        <v>247</v>
      </c>
      <c r="AD66" s="1907">
        <v>163</v>
      </c>
    </row>
    <row r="67" spans="1:30" ht="15.6" x14ac:dyDescent="0.3">
      <c r="A67" s="280" t="s">
        <v>155</v>
      </c>
      <c r="B67" s="348" t="s">
        <v>156</v>
      </c>
      <c r="C67" s="677" t="s">
        <v>253</v>
      </c>
      <c r="D67" s="873">
        <v>127</v>
      </c>
      <c r="E67" s="874">
        <v>109</v>
      </c>
      <c r="F67" s="1566">
        <v>116</v>
      </c>
      <c r="G67" s="1566">
        <v>97</v>
      </c>
      <c r="H67" s="1566">
        <v>99</v>
      </c>
      <c r="I67" s="1862">
        <v>86</v>
      </c>
      <c r="J67" s="1408">
        <v>91</v>
      </c>
      <c r="K67" s="863">
        <v>79</v>
      </c>
      <c r="L67" s="873">
        <v>38</v>
      </c>
      <c r="M67" s="874">
        <v>50</v>
      </c>
      <c r="N67" s="1090">
        <v>38</v>
      </c>
      <c r="O67" s="1566">
        <v>36</v>
      </c>
      <c r="P67" s="1566">
        <v>39</v>
      </c>
      <c r="Q67" s="1862">
        <v>29</v>
      </c>
      <c r="R67" s="1408">
        <v>30</v>
      </c>
      <c r="S67" s="863">
        <v>39</v>
      </c>
      <c r="T67" s="873">
        <v>33</v>
      </c>
      <c r="U67" s="2161">
        <v>43</v>
      </c>
      <c r="V67" s="2161">
        <v>37</v>
      </c>
      <c r="W67" s="2161">
        <v>28</v>
      </c>
      <c r="X67" s="2161">
        <v>17</v>
      </c>
      <c r="Y67" s="1090">
        <v>21</v>
      </c>
      <c r="Z67" s="2162">
        <v>27</v>
      </c>
      <c r="AA67" s="1563">
        <v>17</v>
      </c>
      <c r="AB67" s="1563"/>
      <c r="AC67" s="1415">
        <v>44</v>
      </c>
      <c r="AD67" s="1907">
        <v>24</v>
      </c>
    </row>
    <row r="68" spans="1:30" ht="15.6" x14ac:dyDescent="0.3">
      <c r="A68" s="280" t="s">
        <v>161</v>
      </c>
      <c r="B68" s="348" t="s">
        <v>162</v>
      </c>
      <c r="C68" s="677" t="s">
        <v>251</v>
      </c>
      <c r="D68" s="873">
        <v>975</v>
      </c>
      <c r="E68" s="874">
        <v>898</v>
      </c>
      <c r="F68" s="1566">
        <v>913</v>
      </c>
      <c r="G68" s="1566">
        <v>872</v>
      </c>
      <c r="H68" s="1566">
        <v>845</v>
      </c>
      <c r="I68" s="1862">
        <v>789</v>
      </c>
      <c r="J68" s="1408">
        <v>774</v>
      </c>
      <c r="K68" s="863">
        <v>768</v>
      </c>
      <c r="L68" s="873">
        <v>476</v>
      </c>
      <c r="M68" s="874">
        <v>483</v>
      </c>
      <c r="N68" s="1090">
        <v>479</v>
      </c>
      <c r="O68" s="1566">
        <v>464</v>
      </c>
      <c r="P68" s="1566">
        <v>449</v>
      </c>
      <c r="Q68" s="1862">
        <v>415</v>
      </c>
      <c r="R68" s="1408">
        <v>482</v>
      </c>
      <c r="S68" s="863">
        <v>470</v>
      </c>
      <c r="T68" s="873">
        <v>291</v>
      </c>
      <c r="U68" s="2161">
        <v>345</v>
      </c>
      <c r="V68" s="2161">
        <v>299</v>
      </c>
      <c r="W68" s="2161">
        <v>241</v>
      </c>
      <c r="X68" s="2161">
        <v>197</v>
      </c>
      <c r="Y68" s="1090">
        <v>217</v>
      </c>
      <c r="Z68" s="2162">
        <v>202</v>
      </c>
      <c r="AA68" s="1563">
        <v>196</v>
      </c>
      <c r="AB68" s="1563"/>
      <c r="AC68" s="1415">
        <v>481</v>
      </c>
      <c r="AD68" s="1907">
        <v>369</v>
      </c>
    </row>
    <row r="69" spans="1:30" ht="15.6" x14ac:dyDescent="0.3">
      <c r="A69" s="280" t="s">
        <v>163</v>
      </c>
      <c r="B69" s="348" t="s">
        <v>164</v>
      </c>
      <c r="C69" s="677" t="s">
        <v>253</v>
      </c>
      <c r="D69" s="873">
        <v>444</v>
      </c>
      <c r="E69" s="874">
        <v>427</v>
      </c>
      <c r="F69" s="1566">
        <v>460</v>
      </c>
      <c r="G69" s="1566">
        <v>423</v>
      </c>
      <c r="H69" s="1566">
        <v>389</v>
      </c>
      <c r="I69" s="1862">
        <v>393</v>
      </c>
      <c r="J69" s="1408">
        <v>398</v>
      </c>
      <c r="K69" s="863">
        <v>389</v>
      </c>
      <c r="L69" s="873">
        <v>183</v>
      </c>
      <c r="M69" s="874">
        <v>188</v>
      </c>
      <c r="N69" s="1090">
        <v>180</v>
      </c>
      <c r="O69" s="1566">
        <v>192</v>
      </c>
      <c r="P69" s="1566">
        <v>194</v>
      </c>
      <c r="Q69" s="1862">
        <v>210</v>
      </c>
      <c r="R69" s="1408">
        <v>230</v>
      </c>
      <c r="S69" s="863">
        <v>188</v>
      </c>
      <c r="T69" s="873">
        <v>179</v>
      </c>
      <c r="U69" s="2161">
        <v>219</v>
      </c>
      <c r="V69" s="2161">
        <v>192</v>
      </c>
      <c r="W69" s="2161">
        <v>139</v>
      </c>
      <c r="X69" s="2161">
        <v>109</v>
      </c>
      <c r="Y69" s="1090">
        <v>143</v>
      </c>
      <c r="Z69" s="2162">
        <v>117</v>
      </c>
      <c r="AA69" s="1563">
        <v>91</v>
      </c>
      <c r="AB69" s="1563"/>
      <c r="AC69" s="1415">
        <v>215</v>
      </c>
      <c r="AD69" s="1907">
        <v>148</v>
      </c>
    </row>
    <row r="70" spans="1:30" ht="15.6" x14ac:dyDescent="0.3">
      <c r="A70" s="280" t="s">
        <v>167</v>
      </c>
      <c r="B70" s="348" t="s">
        <v>168</v>
      </c>
      <c r="C70" s="677" t="s">
        <v>253</v>
      </c>
      <c r="D70" s="873">
        <v>826</v>
      </c>
      <c r="E70" s="874">
        <v>770</v>
      </c>
      <c r="F70" s="1566">
        <v>789</v>
      </c>
      <c r="G70" s="1566">
        <v>717</v>
      </c>
      <c r="H70" s="1566">
        <v>687</v>
      </c>
      <c r="I70" s="1862">
        <v>670</v>
      </c>
      <c r="J70" s="1408">
        <v>648</v>
      </c>
      <c r="K70" s="863">
        <v>640</v>
      </c>
      <c r="L70" s="873">
        <v>354</v>
      </c>
      <c r="M70" s="874">
        <v>362</v>
      </c>
      <c r="N70" s="1090">
        <v>353</v>
      </c>
      <c r="O70" s="1566">
        <v>363</v>
      </c>
      <c r="P70" s="1566">
        <v>340</v>
      </c>
      <c r="Q70" s="1862">
        <v>326</v>
      </c>
      <c r="R70" s="1408">
        <v>340</v>
      </c>
      <c r="S70" s="863">
        <v>357</v>
      </c>
      <c r="T70" s="873">
        <v>179</v>
      </c>
      <c r="U70" s="2161">
        <v>160</v>
      </c>
      <c r="V70" s="2161">
        <v>184</v>
      </c>
      <c r="W70" s="2161">
        <v>107</v>
      </c>
      <c r="X70" s="2161">
        <v>101</v>
      </c>
      <c r="Y70" s="1090">
        <v>130</v>
      </c>
      <c r="Z70" s="2162">
        <v>114</v>
      </c>
      <c r="AA70" s="1563">
        <v>82</v>
      </c>
      <c r="AB70" s="1563"/>
      <c r="AC70" s="1415">
        <v>363</v>
      </c>
      <c r="AD70" s="1907">
        <v>218</v>
      </c>
    </row>
    <row r="71" spans="1:30" ht="15.6" x14ac:dyDescent="0.3">
      <c r="A71" s="280" t="s">
        <v>169</v>
      </c>
      <c r="B71" s="348" t="s">
        <v>170</v>
      </c>
      <c r="C71" s="677" t="s">
        <v>254</v>
      </c>
      <c r="D71" s="873">
        <v>595</v>
      </c>
      <c r="E71" s="874">
        <v>558</v>
      </c>
      <c r="F71" s="1566">
        <v>529</v>
      </c>
      <c r="G71" s="1566">
        <v>486</v>
      </c>
      <c r="H71" s="1566">
        <v>441</v>
      </c>
      <c r="I71" s="1862">
        <v>434</v>
      </c>
      <c r="J71" s="1408">
        <v>469</v>
      </c>
      <c r="K71" s="863">
        <v>457</v>
      </c>
      <c r="L71" s="873">
        <v>242</v>
      </c>
      <c r="M71" s="874">
        <v>276</v>
      </c>
      <c r="N71" s="1090">
        <v>232</v>
      </c>
      <c r="O71" s="1566">
        <v>201</v>
      </c>
      <c r="P71" s="1566">
        <v>215</v>
      </c>
      <c r="Q71" s="1862">
        <v>253</v>
      </c>
      <c r="R71" s="1408">
        <v>249</v>
      </c>
      <c r="S71" s="863">
        <v>289</v>
      </c>
      <c r="T71" s="873">
        <v>72</v>
      </c>
      <c r="U71" s="2161">
        <v>87</v>
      </c>
      <c r="V71" s="2161">
        <v>82</v>
      </c>
      <c r="W71" s="2161">
        <v>67</v>
      </c>
      <c r="X71" s="2161">
        <v>31</v>
      </c>
      <c r="Y71" s="1090">
        <v>38</v>
      </c>
      <c r="Z71" s="2162">
        <v>62</v>
      </c>
      <c r="AA71" s="1563">
        <v>56</v>
      </c>
      <c r="AB71" s="1563"/>
      <c r="AC71" s="1415">
        <v>225</v>
      </c>
      <c r="AD71" s="1907">
        <v>136</v>
      </c>
    </row>
    <row r="72" spans="1:30" ht="15.6" x14ac:dyDescent="0.3">
      <c r="A72" s="280" t="s">
        <v>171</v>
      </c>
      <c r="B72" s="348" t="s">
        <v>172</v>
      </c>
      <c r="C72" s="677" t="s">
        <v>254</v>
      </c>
      <c r="D72" s="873">
        <v>959</v>
      </c>
      <c r="E72" s="874">
        <v>895</v>
      </c>
      <c r="F72" s="1566">
        <v>869</v>
      </c>
      <c r="G72" s="1566">
        <v>798</v>
      </c>
      <c r="H72" s="1566">
        <v>685</v>
      </c>
      <c r="I72" s="1862">
        <v>676</v>
      </c>
      <c r="J72" s="1408">
        <v>633</v>
      </c>
      <c r="K72" s="863">
        <v>654</v>
      </c>
      <c r="L72" s="873">
        <v>328</v>
      </c>
      <c r="M72" s="874">
        <v>318</v>
      </c>
      <c r="N72" s="1090">
        <v>297</v>
      </c>
      <c r="O72" s="1566">
        <v>302</v>
      </c>
      <c r="P72" s="1566">
        <v>285</v>
      </c>
      <c r="Q72" s="1862">
        <v>286</v>
      </c>
      <c r="R72" s="1408">
        <v>303</v>
      </c>
      <c r="S72" s="863">
        <v>310</v>
      </c>
      <c r="T72" s="873">
        <v>106</v>
      </c>
      <c r="U72" s="2161">
        <v>137</v>
      </c>
      <c r="V72" s="2161">
        <v>121</v>
      </c>
      <c r="W72" s="2161">
        <v>78</v>
      </c>
      <c r="X72" s="2161">
        <v>92</v>
      </c>
      <c r="Y72" s="1090">
        <v>83</v>
      </c>
      <c r="Z72" s="2162">
        <v>84</v>
      </c>
      <c r="AA72" s="1563">
        <v>86</v>
      </c>
      <c r="AB72" s="1563"/>
      <c r="AC72" s="1415">
        <v>312</v>
      </c>
      <c r="AD72" s="1907">
        <v>242</v>
      </c>
    </row>
    <row r="73" spans="1:30" ht="15.6" x14ac:dyDescent="0.3">
      <c r="A73" s="280" t="s">
        <v>173</v>
      </c>
      <c r="B73" s="348" t="s">
        <v>174</v>
      </c>
      <c r="C73" s="677" t="s">
        <v>255</v>
      </c>
      <c r="D73" s="873">
        <v>1003</v>
      </c>
      <c r="E73" s="874">
        <v>946</v>
      </c>
      <c r="F73" s="1566">
        <v>909</v>
      </c>
      <c r="G73" s="1566">
        <v>911</v>
      </c>
      <c r="H73" s="1566">
        <v>800</v>
      </c>
      <c r="I73" s="1862">
        <v>793</v>
      </c>
      <c r="J73" s="1408">
        <v>725</v>
      </c>
      <c r="K73" s="863">
        <v>681</v>
      </c>
      <c r="L73" s="873">
        <v>483</v>
      </c>
      <c r="M73" s="874">
        <v>487</v>
      </c>
      <c r="N73" s="1090">
        <v>474</v>
      </c>
      <c r="O73" s="1566">
        <v>452</v>
      </c>
      <c r="P73" s="1566">
        <v>414</v>
      </c>
      <c r="Q73" s="1862">
        <v>389</v>
      </c>
      <c r="R73" s="1408">
        <v>389</v>
      </c>
      <c r="S73" s="863">
        <v>360</v>
      </c>
      <c r="T73" s="873">
        <v>265</v>
      </c>
      <c r="U73" s="2161">
        <v>214</v>
      </c>
      <c r="V73" s="2161">
        <v>202</v>
      </c>
      <c r="W73" s="2161">
        <v>130</v>
      </c>
      <c r="X73" s="2161">
        <v>120</v>
      </c>
      <c r="Y73" s="1090">
        <v>130</v>
      </c>
      <c r="Z73" s="2162">
        <v>130</v>
      </c>
      <c r="AA73" s="1563">
        <v>91</v>
      </c>
      <c r="AB73" s="1563"/>
      <c r="AC73" s="1415">
        <v>430</v>
      </c>
      <c r="AD73" s="1907">
        <v>259</v>
      </c>
    </row>
    <row r="74" spans="1:30" ht="15.6" x14ac:dyDescent="0.3">
      <c r="A74" s="280" t="s">
        <v>177</v>
      </c>
      <c r="B74" s="348" t="s">
        <v>178</v>
      </c>
      <c r="C74" s="677" t="s">
        <v>252</v>
      </c>
      <c r="D74" s="873">
        <v>2618</v>
      </c>
      <c r="E74" s="874">
        <v>2340</v>
      </c>
      <c r="F74" s="1566">
        <v>2319</v>
      </c>
      <c r="G74" s="1566">
        <v>2110</v>
      </c>
      <c r="H74" s="1566">
        <v>1945</v>
      </c>
      <c r="I74" s="1862">
        <v>1900</v>
      </c>
      <c r="J74" s="1408">
        <v>1838</v>
      </c>
      <c r="K74" s="863">
        <v>1757</v>
      </c>
      <c r="L74" s="873">
        <v>1087</v>
      </c>
      <c r="M74" s="874">
        <v>1090</v>
      </c>
      <c r="N74" s="1090">
        <v>979</v>
      </c>
      <c r="O74" s="1566">
        <v>924</v>
      </c>
      <c r="P74" s="1566">
        <v>948</v>
      </c>
      <c r="Q74" s="1862">
        <v>980</v>
      </c>
      <c r="R74" s="1408">
        <v>951</v>
      </c>
      <c r="S74" s="863">
        <v>930</v>
      </c>
      <c r="T74" s="873">
        <v>549</v>
      </c>
      <c r="U74" s="2161">
        <v>570</v>
      </c>
      <c r="V74" s="2161">
        <v>470</v>
      </c>
      <c r="W74" s="2161">
        <v>296</v>
      </c>
      <c r="X74" s="2161">
        <v>296</v>
      </c>
      <c r="Y74" s="1090">
        <v>403</v>
      </c>
      <c r="Z74" s="2162">
        <v>325</v>
      </c>
      <c r="AA74" s="1563">
        <v>303</v>
      </c>
      <c r="AB74" s="1563"/>
      <c r="AC74" s="1415">
        <v>1036</v>
      </c>
      <c r="AD74" s="1907">
        <v>620</v>
      </c>
    </row>
    <row r="75" spans="1:30" ht="15.6" x14ac:dyDescent="0.3">
      <c r="A75" s="280" t="s">
        <v>181</v>
      </c>
      <c r="B75" s="348" t="s">
        <v>182</v>
      </c>
      <c r="C75" s="677" t="s">
        <v>253</v>
      </c>
      <c r="D75" s="873">
        <v>206</v>
      </c>
      <c r="E75" s="874">
        <v>190</v>
      </c>
      <c r="F75" s="1566">
        <v>170</v>
      </c>
      <c r="G75" s="1566">
        <v>139</v>
      </c>
      <c r="H75" s="1566">
        <v>118</v>
      </c>
      <c r="I75" s="1862">
        <v>107</v>
      </c>
      <c r="J75" s="1408">
        <v>114</v>
      </c>
      <c r="K75" s="863">
        <v>103</v>
      </c>
      <c r="L75" s="873">
        <v>74</v>
      </c>
      <c r="M75" s="874">
        <v>54</v>
      </c>
      <c r="N75" s="1090">
        <v>54</v>
      </c>
      <c r="O75" s="1566">
        <v>57</v>
      </c>
      <c r="P75" s="1566">
        <v>58</v>
      </c>
      <c r="Q75" s="1862">
        <v>55</v>
      </c>
      <c r="R75" s="1408">
        <v>45</v>
      </c>
      <c r="S75" s="863">
        <v>53</v>
      </c>
      <c r="T75" s="873">
        <v>35</v>
      </c>
      <c r="U75" s="2161">
        <v>16</v>
      </c>
      <c r="V75" s="2161">
        <v>29</v>
      </c>
      <c r="W75" s="2161">
        <v>12</v>
      </c>
      <c r="X75" s="2161">
        <v>7</v>
      </c>
      <c r="Y75" s="1090">
        <v>12</v>
      </c>
      <c r="Z75" s="2162">
        <v>13</v>
      </c>
      <c r="AA75" s="1563">
        <v>7</v>
      </c>
      <c r="AB75" s="1563"/>
      <c r="AC75" s="1415">
        <v>46</v>
      </c>
      <c r="AD75" s="1907">
        <v>40</v>
      </c>
    </row>
    <row r="76" spans="1:30" ht="15.6" x14ac:dyDescent="0.3">
      <c r="A76" s="280" t="s">
        <v>183</v>
      </c>
      <c r="B76" s="348" t="s">
        <v>184</v>
      </c>
      <c r="C76" s="677" t="s">
        <v>253</v>
      </c>
      <c r="D76" s="873">
        <v>893</v>
      </c>
      <c r="E76" s="874">
        <v>834</v>
      </c>
      <c r="F76" s="1566">
        <v>826</v>
      </c>
      <c r="G76" s="1566">
        <v>779</v>
      </c>
      <c r="H76" s="1566">
        <v>705</v>
      </c>
      <c r="I76" s="1862">
        <v>699</v>
      </c>
      <c r="J76" s="1408">
        <v>636</v>
      </c>
      <c r="K76" s="863">
        <v>635</v>
      </c>
      <c r="L76" s="873">
        <v>447</v>
      </c>
      <c r="M76" s="874">
        <v>430</v>
      </c>
      <c r="N76" s="1090">
        <v>455</v>
      </c>
      <c r="O76" s="1566">
        <v>303</v>
      </c>
      <c r="P76" s="1566">
        <v>390</v>
      </c>
      <c r="Q76" s="1862">
        <v>399</v>
      </c>
      <c r="R76" s="1408">
        <v>393</v>
      </c>
      <c r="S76" s="863">
        <v>438</v>
      </c>
      <c r="T76" s="873">
        <v>119</v>
      </c>
      <c r="U76" s="2161">
        <v>136</v>
      </c>
      <c r="V76" s="2161">
        <v>188</v>
      </c>
      <c r="W76" s="2161">
        <v>84</v>
      </c>
      <c r="X76" s="2161">
        <v>83</v>
      </c>
      <c r="Y76" s="1090">
        <v>86</v>
      </c>
      <c r="Z76" s="2162">
        <v>108</v>
      </c>
      <c r="AA76" s="1563">
        <v>111</v>
      </c>
      <c r="AB76" s="1563"/>
      <c r="AC76" s="1415">
        <v>417</v>
      </c>
      <c r="AD76" s="1907">
        <v>239</v>
      </c>
    </row>
    <row r="77" spans="1:30" ht="15.6" x14ac:dyDescent="0.3">
      <c r="A77" s="280" t="s">
        <v>185</v>
      </c>
      <c r="B77" s="348" t="s">
        <v>186</v>
      </c>
      <c r="C77" s="677" t="s">
        <v>251</v>
      </c>
      <c r="D77" s="873">
        <v>332</v>
      </c>
      <c r="E77" s="874">
        <v>273</v>
      </c>
      <c r="F77" s="1566">
        <v>302</v>
      </c>
      <c r="G77" s="1566">
        <v>275</v>
      </c>
      <c r="H77" s="1566">
        <v>270</v>
      </c>
      <c r="I77" s="1862">
        <v>272</v>
      </c>
      <c r="J77" s="1408">
        <v>257</v>
      </c>
      <c r="K77" s="863">
        <v>257</v>
      </c>
      <c r="L77" s="873">
        <v>126</v>
      </c>
      <c r="M77" s="874">
        <v>133</v>
      </c>
      <c r="N77" s="1090">
        <v>171</v>
      </c>
      <c r="O77" s="1566">
        <v>153</v>
      </c>
      <c r="P77" s="1566">
        <v>131</v>
      </c>
      <c r="Q77" s="1862">
        <v>167</v>
      </c>
      <c r="R77" s="1408">
        <v>151</v>
      </c>
      <c r="S77" s="863">
        <v>164</v>
      </c>
      <c r="T77" s="873">
        <v>47</v>
      </c>
      <c r="U77" s="2161">
        <v>54</v>
      </c>
      <c r="V77" s="2161">
        <v>47</v>
      </c>
      <c r="W77" s="2161">
        <v>48</v>
      </c>
      <c r="X77" s="2161">
        <v>52</v>
      </c>
      <c r="Y77" s="1090">
        <v>57</v>
      </c>
      <c r="Z77" s="2162">
        <v>72</v>
      </c>
      <c r="AA77" s="1563">
        <v>68</v>
      </c>
      <c r="AB77" s="1563"/>
      <c r="AC77" s="1415">
        <v>148</v>
      </c>
      <c r="AD77" s="1907">
        <v>78</v>
      </c>
    </row>
    <row r="78" spans="1:30" ht="15.6" x14ac:dyDescent="0.3">
      <c r="A78" s="280" t="s">
        <v>187</v>
      </c>
      <c r="B78" s="348" t="s">
        <v>188</v>
      </c>
      <c r="C78" s="677" t="s">
        <v>254</v>
      </c>
      <c r="D78" s="873">
        <v>903</v>
      </c>
      <c r="E78" s="874">
        <v>853</v>
      </c>
      <c r="F78" s="1566">
        <v>888</v>
      </c>
      <c r="G78" s="1566">
        <v>804</v>
      </c>
      <c r="H78" s="1566">
        <v>721</v>
      </c>
      <c r="I78" s="1862">
        <v>673</v>
      </c>
      <c r="J78" s="1408">
        <v>737</v>
      </c>
      <c r="K78" s="863">
        <v>717</v>
      </c>
      <c r="L78" s="873">
        <v>449</v>
      </c>
      <c r="M78" s="874">
        <v>426</v>
      </c>
      <c r="N78" s="1090">
        <v>468</v>
      </c>
      <c r="O78" s="1566">
        <v>377</v>
      </c>
      <c r="P78" s="1566">
        <v>383</v>
      </c>
      <c r="Q78" s="1862">
        <v>465</v>
      </c>
      <c r="R78" s="1408">
        <v>450</v>
      </c>
      <c r="S78" s="863">
        <v>450</v>
      </c>
      <c r="T78" s="873">
        <v>192</v>
      </c>
      <c r="U78" s="2161">
        <v>176</v>
      </c>
      <c r="V78" s="2161">
        <v>173</v>
      </c>
      <c r="W78" s="2161">
        <v>115</v>
      </c>
      <c r="X78" s="2161">
        <v>114</v>
      </c>
      <c r="Y78" s="1090">
        <v>149</v>
      </c>
      <c r="Z78" s="2162">
        <v>147</v>
      </c>
      <c r="AA78" s="1563">
        <v>179</v>
      </c>
      <c r="AB78" s="1563"/>
      <c r="AC78" s="1415">
        <v>414</v>
      </c>
      <c r="AD78" s="1907">
        <v>275</v>
      </c>
    </row>
    <row r="79" spans="1:30" ht="15.6" x14ac:dyDescent="0.3">
      <c r="A79" s="280" t="s">
        <v>189</v>
      </c>
      <c r="B79" s="348" t="s">
        <v>190</v>
      </c>
      <c r="C79" s="677" t="s">
        <v>255</v>
      </c>
      <c r="D79" s="873">
        <v>1684</v>
      </c>
      <c r="E79" s="874">
        <v>1559</v>
      </c>
      <c r="F79" s="1566">
        <v>1590</v>
      </c>
      <c r="G79" s="1566">
        <v>1406</v>
      </c>
      <c r="H79" s="1566">
        <v>1363</v>
      </c>
      <c r="I79" s="1862">
        <v>1355</v>
      </c>
      <c r="J79" s="1408">
        <v>1316</v>
      </c>
      <c r="K79" s="863">
        <v>1255</v>
      </c>
      <c r="L79" s="873">
        <v>887</v>
      </c>
      <c r="M79" s="874">
        <v>849</v>
      </c>
      <c r="N79" s="1090">
        <v>820</v>
      </c>
      <c r="O79" s="1566">
        <v>802</v>
      </c>
      <c r="P79" s="1566">
        <v>799</v>
      </c>
      <c r="Q79" s="1862">
        <v>800</v>
      </c>
      <c r="R79" s="1408">
        <v>721</v>
      </c>
      <c r="S79" s="863">
        <v>740</v>
      </c>
      <c r="T79" s="873">
        <v>480</v>
      </c>
      <c r="U79" s="2161">
        <v>450</v>
      </c>
      <c r="V79" s="2161">
        <v>318</v>
      </c>
      <c r="W79" s="2161">
        <v>287</v>
      </c>
      <c r="X79" s="2161">
        <v>263</v>
      </c>
      <c r="Y79" s="1090">
        <v>248</v>
      </c>
      <c r="Z79" s="2162">
        <v>233</v>
      </c>
      <c r="AA79" s="1563">
        <v>186</v>
      </c>
      <c r="AB79" s="1563"/>
      <c r="AC79" s="1415">
        <v>850</v>
      </c>
      <c r="AD79" s="1907">
        <v>496</v>
      </c>
    </row>
    <row r="80" spans="1:30" ht="15.6" x14ac:dyDescent="0.3">
      <c r="A80" s="280" t="s">
        <v>193</v>
      </c>
      <c r="B80" s="348" t="s">
        <v>194</v>
      </c>
      <c r="C80" s="677" t="s">
        <v>254</v>
      </c>
      <c r="D80" s="873">
        <v>92</v>
      </c>
      <c r="E80" s="874">
        <v>79</v>
      </c>
      <c r="F80" s="1566">
        <v>83</v>
      </c>
      <c r="G80" s="1566">
        <v>68</v>
      </c>
      <c r="H80" s="1566">
        <v>68</v>
      </c>
      <c r="I80" s="1862">
        <v>49</v>
      </c>
      <c r="J80" s="1408">
        <v>50</v>
      </c>
      <c r="K80" s="863">
        <v>54</v>
      </c>
      <c r="L80" s="873">
        <v>38</v>
      </c>
      <c r="M80" s="874">
        <v>31</v>
      </c>
      <c r="N80" s="1090">
        <v>34</v>
      </c>
      <c r="O80" s="1566">
        <v>22</v>
      </c>
      <c r="P80" s="1566">
        <v>15</v>
      </c>
      <c r="Q80" s="1862">
        <v>17</v>
      </c>
      <c r="R80" s="1408">
        <v>17</v>
      </c>
      <c r="S80" s="863">
        <v>25</v>
      </c>
      <c r="T80" s="873">
        <v>19</v>
      </c>
      <c r="U80" s="2161">
        <v>15</v>
      </c>
      <c r="V80" s="2161">
        <v>10</v>
      </c>
      <c r="W80" s="2161">
        <v>5</v>
      </c>
      <c r="X80" s="2161">
        <v>11</v>
      </c>
      <c r="Y80" s="1090">
        <v>6</v>
      </c>
      <c r="Z80" s="2162">
        <v>11</v>
      </c>
      <c r="AA80" s="1563">
        <v>7</v>
      </c>
      <c r="AB80" s="1563"/>
      <c r="AC80" s="1415">
        <v>46</v>
      </c>
      <c r="AD80" s="1907">
        <v>14</v>
      </c>
    </row>
    <row r="81" spans="1:30" ht="15.6" x14ac:dyDescent="0.3">
      <c r="A81" s="280" t="s">
        <v>197</v>
      </c>
      <c r="B81" s="348" t="s">
        <v>259</v>
      </c>
      <c r="C81" s="677" t="s">
        <v>253</v>
      </c>
      <c r="D81" s="873">
        <v>376</v>
      </c>
      <c r="E81" s="874">
        <v>347</v>
      </c>
      <c r="F81" s="1566">
        <v>345</v>
      </c>
      <c r="G81" s="1566">
        <v>332</v>
      </c>
      <c r="H81" s="1566">
        <v>333</v>
      </c>
      <c r="I81" s="1862">
        <v>321</v>
      </c>
      <c r="J81" s="1408">
        <v>312</v>
      </c>
      <c r="K81" s="863">
        <v>301</v>
      </c>
      <c r="L81" s="873">
        <v>154</v>
      </c>
      <c r="M81" s="874">
        <v>139</v>
      </c>
      <c r="N81" s="1090">
        <v>143</v>
      </c>
      <c r="O81" s="1566">
        <v>140</v>
      </c>
      <c r="P81" s="1566">
        <v>164</v>
      </c>
      <c r="Q81" s="1862">
        <v>173</v>
      </c>
      <c r="R81" s="1408">
        <v>176</v>
      </c>
      <c r="S81" s="863">
        <v>170</v>
      </c>
      <c r="T81" s="873">
        <v>107</v>
      </c>
      <c r="U81" s="2161">
        <v>118</v>
      </c>
      <c r="V81" s="2161">
        <v>96</v>
      </c>
      <c r="W81" s="2161">
        <v>75</v>
      </c>
      <c r="X81" s="2161">
        <v>62</v>
      </c>
      <c r="Y81" s="1090">
        <v>80</v>
      </c>
      <c r="Z81" s="2162">
        <v>74</v>
      </c>
      <c r="AA81" s="1563">
        <v>71</v>
      </c>
      <c r="AB81" s="1563"/>
      <c r="AC81" s="1415">
        <v>187</v>
      </c>
      <c r="AD81" s="1907">
        <v>106</v>
      </c>
    </row>
    <row r="82" spans="1:30" ht="15.6" x14ac:dyDescent="0.3">
      <c r="A82" s="280" t="s">
        <v>201</v>
      </c>
      <c r="B82" s="348" t="s">
        <v>276</v>
      </c>
      <c r="C82" s="677" t="s">
        <v>252</v>
      </c>
      <c r="D82" s="873">
        <v>1128</v>
      </c>
      <c r="E82" s="874">
        <v>1084</v>
      </c>
      <c r="F82" s="1566">
        <v>1054</v>
      </c>
      <c r="G82" s="1566">
        <v>1049</v>
      </c>
      <c r="H82" s="1566">
        <v>998</v>
      </c>
      <c r="I82" s="1862">
        <v>928</v>
      </c>
      <c r="J82" s="1408">
        <v>893</v>
      </c>
      <c r="K82" s="863">
        <v>909</v>
      </c>
      <c r="L82" s="873">
        <v>664</v>
      </c>
      <c r="M82" s="874">
        <v>656</v>
      </c>
      <c r="N82" s="1090">
        <v>647</v>
      </c>
      <c r="O82" s="1566">
        <v>640</v>
      </c>
      <c r="P82" s="1566">
        <v>627</v>
      </c>
      <c r="Q82" s="1862">
        <v>591</v>
      </c>
      <c r="R82" s="1408">
        <v>601</v>
      </c>
      <c r="S82" s="863">
        <v>665</v>
      </c>
      <c r="T82" s="873">
        <v>156</v>
      </c>
      <c r="U82" s="2161">
        <v>227</v>
      </c>
      <c r="V82" s="2161">
        <v>139</v>
      </c>
      <c r="W82" s="2161">
        <v>151</v>
      </c>
      <c r="X82" s="2161">
        <v>119</v>
      </c>
      <c r="Y82" s="1090">
        <v>148</v>
      </c>
      <c r="Z82" s="2162">
        <v>126</v>
      </c>
      <c r="AA82" s="1563">
        <v>86</v>
      </c>
      <c r="AB82" s="1563"/>
      <c r="AC82" s="1415">
        <v>666</v>
      </c>
      <c r="AD82" s="1907">
        <v>428</v>
      </c>
    </row>
    <row r="83" spans="1:30" ht="15.6" x14ac:dyDescent="0.3">
      <c r="A83" s="280" t="s">
        <v>203</v>
      </c>
      <c r="B83" s="348" t="s">
        <v>269</v>
      </c>
      <c r="C83" s="677" t="s">
        <v>252</v>
      </c>
      <c r="D83" s="873">
        <v>1212</v>
      </c>
      <c r="E83" s="874">
        <v>1131</v>
      </c>
      <c r="F83" s="1566">
        <v>1187</v>
      </c>
      <c r="G83" s="1566">
        <v>1074</v>
      </c>
      <c r="H83" s="1566">
        <v>1072</v>
      </c>
      <c r="I83" s="1862">
        <v>1040</v>
      </c>
      <c r="J83" s="1408">
        <v>1051</v>
      </c>
      <c r="K83" s="863">
        <v>1000</v>
      </c>
      <c r="L83" s="873">
        <v>704</v>
      </c>
      <c r="M83" s="874">
        <v>665</v>
      </c>
      <c r="N83" s="1090">
        <v>680</v>
      </c>
      <c r="O83" s="1566">
        <v>611</v>
      </c>
      <c r="P83" s="1566">
        <v>630</v>
      </c>
      <c r="Q83" s="1862">
        <v>684</v>
      </c>
      <c r="R83" s="1408">
        <v>615</v>
      </c>
      <c r="S83" s="863">
        <v>627</v>
      </c>
      <c r="T83" s="873">
        <v>261</v>
      </c>
      <c r="U83" s="2161">
        <v>289</v>
      </c>
      <c r="V83" s="2161">
        <v>253</v>
      </c>
      <c r="W83" s="2161">
        <v>189</v>
      </c>
      <c r="X83" s="2161">
        <v>153</v>
      </c>
      <c r="Y83" s="1090">
        <v>179</v>
      </c>
      <c r="Z83" s="2162">
        <v>152</v>
      </c>
      <c r="AA83" s="1563">
        <v>156</v>
      </c>
      <c r="AB83" s="1563"/>
      <c r="AC83" s="1415">
        <v>693</v>
      </c>
      <c r="AD83" s="1907">
        <v>424</v>
      </c>
    </row>
    <row r="84" spans="1:30" ht="15.6" x14ac:dyDescent="0.3">
      <c r="A84" s="280" t="s">
        <v>205</v>
      </c>
      <c r="B84" s="348" t="s">
        <v>270</v>
      </c>
      <c r="C84" s="677" t="s">
        <v>254</v>
      </c>
      <c r="D84" s="873">
        <v>1893</v>
      </c>
      <c r="E84" s="874">
        <v>1866</v>
      </c>
      <c r="F84" s="1566">
        <v>1817</v>
      </c>
      <c r="G84" s="1566">
        <v>1714</v>
      </c>
      <c r="H84" s="1566">
        <v>1452</v>
      </c>
      <c r="I84" s="1862">
        <v>1422</v>
      </c>
      <c r="J84" s="1408">
        <v>1364</v>
      </c>
      <c r="K84" s="863">
        <v>1319</v>
      </c>
      <c r="L84" s="873">
        <v>811</v>
      </c>
      <c r="M84" s="874">
        <v>806</v>
      </c>
      <c r="N84" s="1090">
        <v>800</v>
      </c>
      <c r="O84" s="1566">
        <v>691</v>
      </c>
      <c r="P84" s="1566">
        <v>688</v>
      </c>
      <c r="Q84" s="1862">
        <v>639</v>
      </c>
      <c r="R84" s="1408">
        <v>621</v>
      </c>
      <c r="S84" s="863">
        <v>643</v>
      </c>
      <c r="T84" s="873">
        <v>238</v>
      </c>
      <c r="U84" s="2161">
        <v>260</v>
      </c>
      <c r="V84" s="2161">
        <v>211</v>
      </c>
      <c r="W84" s="2161">
        <v>116</v>
      </c>
      <c r="X84" s="2161">
        <v>132</v>
      </c>
      <c r="Y84" s="1090">
        <v>125</v>
      </c>
      <c r="Z84" s="2162">
        <v>161</v>
      </c>
      <c r="AA84" s="1563">
        <v>121</v>
      </c>
      <c r="AB84" s="1563"/>
      <c r="AC84" s="1415">
        <v>760</v>
      </c>
      <c r="AD84" s="1907">
        <v>511</v>
      </c>
    </row>
    <row r="85" spans="1:30" ht="15.6" x14ac:dyDescent="0.3">
      <c r="A85" s="280" t="s">
        <v>207</v>
      </c>
      <c r="B85" s="348" t="s">
        <v>208</v>
      </c>
      <c r="C85" s="677" t="s">
        <v>255</v>
      </c>
      <c r="D85" s="873">
        <v>1992</v>
      </c>
      <c r="E85" s="874">
        <v>1914</v>
      </c>
      <c r="F85" s="1566">
        <v>2014</v>
      </c>
      <c r="G85" s="1566">
        <v>1848</v>
      </c>
      <c r="H85" s="1566">
        <v>1763</v>
      </c>
      <c r="I85" s="1862">
        <v>1729</v>
      </c>
      <c r="J85" s="1408">
        <v>1703</v>
      </c>
      <c r="K85" s="863">
        <v>1640</v>
      </c>
      <c r="L85" s="873">
        <v>1107</v>
      </c>
      <c r="M85" s="874">
        <v>1117</v>
      </c>
      <c r="N85" s="1090">
        <v>1023</v>
      </c>
      <c r="O85" s="1566">
        <v>993</v>
      </c>
      <c r="P85" s="1566">
        <v>1040</v>
      </c>
      <c r="Q85" s="1862">
        <v>1007</v>
      </c>
      <c r="R85" s="1408">
        <v>1027</v>
      </c>
      <c r="S85" s="863">
        <v>1062</v>
      </c>
      <c r="T85" s="873">
        <v>446</v>
      </c>
      <c r="U85" s="2161">
        <v>569</v>
      </c>
      <c r="V85" s="2161">
        <v>450</v>
      </c>
      <c r="W85" s="2161">
        <v>311</v>
      </c>
      <c r="X85" s="2161">
        <v>289</v>
      </c>
      <c r="Y85" s="1090">
        <v>351</v>
      </c>
      <c r="Z85" s="2162">
        <v>285</v>
      </c>
      <c r="AA85" s="1563">
        <v>321</v>
      </c>
      <c r="AB85" s="1563"/>
      <c r="AC85" s="1415">
        <v>1104</v>
      </c>
      <c r="AD85" s="1907">
        <v>599</v>
      </c>
    </row>
    <row r="86" spans="1:30" ht="15.6" x14ac:dyDescent="0.3">
      <c r="A86" s="280" t="s">
        <v>209</v>
      </c>
      <c r="B86" s="348" t="s">
        <v>210</v>
      </c>
      <c r="C86" s="677" t="s">
        <v>255</v>
      </c>
      <c r="D86" s="873">
        <v>1442</v>
      </c>
      <c r="E86" s="874">
        <v>1350</v>
      </c>
      <c r="F86" s="1566">
        <v>1370</v>
      </c>
      <c r="G86" s="1566">
        <v>1307</v>
      </c>
      <c r="H86" s="1566">
        <v>1229</v>
      </c>
      <c r="I86" s="1862">
        <v>1165</v>
      </c>
      <c r="J86" s="1408">
        <v>1128</v>
      </c>
      <c r="K86" s="863">
        <v>1111</v>
      </c>
      <c r="L86" s="873">
        <v>599</v>
      </c>
      <c r="M86" s="874">
        <v>623</v>
      </c>
      <c r="N86" s="1090">
        <v>663</v>
      </c>
      <c r="O86" s="1566">
        <v>626</v>
      </c>
      <c r="P86" s="1566">
        <v>666</v>
      </c>
      <c r="Q86" s="1862">
        <v>689</v>
      </c>
      <c r="R86" s="1408">
        <v>645</v>
      </c>
      <c r="S86" s="863">
        <v>671</v>
      </c>
      <c r="T86" s="873">
        <v>251</v>
      </c>
      <c r="U86" s="2161">
        <v>303</v>
      </c>
      <c r="V86" s="2161">
        <v>217</v>
      </c>
      <c r="W86" s="2161">
        <v>165</v>
      </c>
      <c r="X86" s="2161">
        <v>114</v>
      </c>
      <c r="Y86" s="1090">
        <v>176</v>
      </c>
      <c r="Z86" s="2162">
        <v>162</v>
      </c>
      <c r="AA86" s="1563">
        <v>110</v>
      </c>
      <c r="AB86" s="1563"/>
      <c r="AC86" s="1415">
        <v>678</v>
      </c>
      <c r="AD86" s="1907">
        <v>471</v>
      </c>
    </row>
    <row r="87" spans="1:30" ht="15.6" x14ac:dyDescent="0.3">
      <c r="A87" s="280" t="s">
        <v>211</v>
      </c>
      <c r="B87" s="348" t="s">
        <v>212</v>
      </c>
      <c r="C87" s="677" t="s">
        <v>254</v>
      </c>
      <c r="D87" s="873">
        <v>1003</v>
      </c>
      <c r="E87" s="874">
        <v>937</v>
      </c>
      <c r="F87" s="1566">
        <v>862</v>
      </c>
      <c r="G87" s="1566">
        <v>768</v>
      </c>
      <c r="H87" s="1566">
        <v>717</v>
      </c>
      <c r="I87" s="1862">
        <v>714</v>
      </c>
      <c r="J87" s="1408">
        <v>675</v>
      </c>
      <c r="K87" s="863">
        <v>671</v>
      </c>
      <c r="L87" s="873">
        <v>493</v>
      </c>
      <c r="M87" s="874">
        <v>463</v>
      </c>
      <c r="N87" s="1090">
        <v>379</v>
      </c>
      <c r="O87" s="1566">
        <v>364</v>
      </c>
      <c r="P87" s="1566">
        <v>402</v>
      </c>
      <c r="Q87" s="1862">
        <v>378</v>
      </c>
      <c r="R87" s="1408">
        <v>390</v>
      </c>
      <c r="S87" s="863">
        <v>420</v>
      </c>
      <c r="T87" s="873">
        <v>170</v>
      </c>
      <c r="U87" s="2161">
        <v>256</v>
      </c>
      <c r="V87" s="2161">
        <v>115</v>
      </c>
      <c r="W87" s="2161">
        <v>61</v>
      </c>
      <c r="X87" s="2161">
        <v>52</v>
      </c>
      <c r="Y87" s="1090">
        <v>84</v>
      </c>
      <c r="Z87" s="2162">
        <v>101</v>
      </c>
      <c r="AA87" s="1563">
        <v>86</v>
      </c>
      <c r="AB87" s="1563"/>
      <c r="AC87" s="1415">
        <v>420</v>
      </c>
      <c r="AD87" s="1907">
        <v>277</v>
      </c>
    </row>
    <row r="88" spans="1:30" ht="15.6" x14ac:dyDescent="0.3">
      <c r="A88" s="280" t="s">
        <v>213</v>
      </c>
      <c r="B88" s="348" t="s">
        <v>214</v>
      </c>
      <c r="C88" s="677" t="s">
        <v>255</v>
      </c>
      <c r="D88" s="873">
        <v>1909</v>
      </c>
      <c r="E88" s="874">
        <v>1793</v>
      </c>
      <c r="F88" s="1566">
        <v>1737</v>
      </c>
      <c r="G88" s="1566">
        <v>1611</v>
      </c>
      <c r="H88" s="1566">
        <v>1537</v>
      </c>
      <c r="I88" s="1862">
        <v>1483</v>
      </c>
      <c r="J88" s="1408">
        <v>1501</v>
      </c>
      <c r="K88" s="863">
        <v>1427</v>
      </c>
      <c r="L88" s="873">
        <v>762</v>
      </c>
      <c r="M88" s="874">
        <v>785</v>
      </c>
      <c r="N88" s="1090">
        <v>808</v>
      </c>
      <c r="O88" s="1566">
        <v>773</v>
      </c>
      <c r="P88" s="1566">
        <v>769</v>
      </c>
      <c r="Q88" s="1862">
        <v>767</v>
      </c>
      <c r="R88" s="1408">
        <v>732</v>
      </c>
      <c r="S88" s="863">
        <v>769</v>
      </c>
      <c r="T88" s="873">
        <v>504</v>
      </c>
      <c r="U88" s="2161">
        <v>555</v>
      </c>
      <c r="V88" s="2161">
        <v>548</v>
      </c>
      <c r="W88" s="2161">
        <v>372</v>
      </c>
      <c r="X88" s="2161">
        <v>368</v>
      </c>
      <c r="Y88" s="1090">
        <v>415</v>
      </c>
      <c r="Z88" s="2162">
        <v>296</v>
      </c>
      <c r="AA88" s="1563">
        <v>270</v>
      </c>
      <c r="AB88" s="1563"/>
      <c r="AC88" s="1415">
        <v>793</v>
      </c>
      <c r="AD88" s="1907">
        <v>443</v>
      </c>
    </row>
    <row r="89" spans="1:30" ht="15.6" x14ac:dyDescent="0.3">
      <c r="A89" s="280" t="s">
        <v>215</v>
      </c>
      <c r="B89" s="348" t="s">
        <v>216</v>
      </c>
      <c r="C89" s="677" t="s">
        <v>251</v>
      </c>
      <c r="D89" s="873">
        <v>684</v>
      </c>
      <c r="E89" s="874">
        <v>624</v>
      </c>
      <c r="F89" s="1566">
        <v>572</v>
      </c>
      <c r="G89" s="1566">
        <v>571</v>
      </c>
      <c r="H89" s="1566">
        <v>514</v>
      </c>
      <c r="I89" s="1862">
        <v>521</v>
      </c>
      <c r="J89" s="1408">
        <v>496</v>
      </c>
      <c r="K89" s="863">
        <v>482</v>
      </c>
      <c r="L89" s="873">
        <v>338</v>
      </c>
      <c r="M89" s="874">
        <v>334</v>
      </c>
      <c r="N89" s="1090">
        <v>347</v>
      </c>
      <c r="O89" s="1566">
        <v>335</v>
      </c>
      <c r="P89" s="1566">
        <v>335</v>
      </c>
      <c r="Q89" s="1862">
        <v>307</v>
      </c>
      <c r="R89" s="1408">
        <v>312</v>
      </c>
      <c r="S89" s="863">
        <v>311</v>
      </c>
      <c r="T89" s="873">
        <v>155</v>
      </c>
      <c r="U89" s="2161">
        <v>148</v>
      </c>
      <c r="V89" s="2161">
        <v>133</v>
      </c>
      <c r="W89" s="2161">
        <v>77</v>
      </c>
      <c r="X89" s="2161">
        <v>96</v>
      </c>
      <c r="Y89" s="1090">
        <v>123</v>
      </c>
      <c r="Z89" s="2162">
        <v>107</v>
      </c>
      <c r="AA89" s="1563">
        <v>93</v>
      </c>
      <c r="AB89" s="1563"/>
      <c r="AC89" s="1415">
        <v>360</v>
      </c>
      <c r="AD89" s="1907">
        <v>214</v>
      </c>
    </row>
    <row r="90" spans="1:30" ht="15.6" x14ac:dyDescent="0.3">
      <c r="A90" s="280" t="s">
        <v>217</v>
      </c>
      <c r="B90" s="348" t="s">
        <v>218</v>
      </c>
      <c r="C90" s="677" t="s">
        <v>254</v>
      </c>
      <c r="D90" s="873">
        <v>829</v>
      </c>
      <c r="E90" s="874">
        <v>738</v>
      </c>
      <c r="F90" s="1566">
        <v>797</v>
      </c>
      <c r="G90" s="1566">
        <v>768</v>
      </c>
      <c r="H90" s="1566">
        <v>673</v>
      </c>
      <c r="I90" s="1862">
        <v>670</v>
      </c>
      <c r="J90" s="1408">
        <v>678</v>
      </c>
      <c r="K90" s="863">
        <v>676</v>
      </c>
      <c r="L90" s="873">
        <v>274</v>
      </c>
      <c r="M90" s="874">
        <v>260</v>
      </c>
      <c r="N90" s="1090">
        <v>297</v>
      </c>
      <c r="O90" s="1566">
        <v>311</v>
      </c>
      <c r="P90" s="1566">
        <v>302</v>
      </c>
      <c r="Q90" s="1862">
        <v>321</v>
      </c>
      <c r="R90" s="1408">
        <v>289</v>
      </c>
      <c r="S90" s="863">
        <v>357</v>
      </c>
      <c r="T90" s="873">
        <v>146</v>
      </c>
      <c r="U90" s="2161">
        <v>175</v>
      </c>
      <c r="V90" s="2161">
        <v>123</v>
      </c>
      <c r="W90" s="2161">
        <v>71</v>
      </c>
      <c r="X90" s="2161">
        <v>77</v>
      </c>
      <c r="Y90" s="1090">
        <v>114</v>
      </c>
      <c r="Z90" s="2162">
        <v>137</v>
      </c>
      <c r="AA90" s="1563">
        <v>119</v>
      </c>
      <c r="AB90" s="1563"/>
      <c r="AC90" s="1415">
        <v>310</v>
      </c>
      <c r="AD90" s="1907">
        <v>187</v>
      </c>
    </row>
    <row r="91" spans="1:30" ht="15.6" x14ac:dyDescent="0.3">
      <c r="A91" s="280" t="s">
        <v>219</v>
      </c>
      <c r="B91" s="348" t="s">
        <v>220</v>
      </c>
      <c r="C91" s="677" t="s">
        <v>254</v>
      </c>
      <c r="D91" s="873">
        <v>472</v>
      </c>
      <c r="E91" s="874">
        <v>422</v>
      </c>
      <c r="F91" s="1566">
        <v>471</v>
      </c>
      <c r="G91" s="1566">
        <v>399</v>
      </c>
      <c r="H91" s="1566">
        <v>326</v>
      </c>
      <c r="I91" s="1862">
        <v>367</v>
      </c>
      <c r="J91" s="1408">
        <v>333</v>
      </c>
      <c r="K91" s="863">
        <v>348</v>
      </c>
      <c r="L91" s="873">
        <v>140</v>
      </c>
      <c r="M91" s="874">
        <v>152</v>
      </c>
      <c r="N91" s="1090">
        <v>139</v>
      </c>
      <c r="O91" s="1566">
        <v>140</v>
      </c>
      <c r="P91" s="1566">
        <v>161</v>
      </c>
      <c r="Q91" s="1862">
        <v>146</v>
      </c>
      <c r="R91" s="1408">
        <v>161</v>
      </c>
      <c r="S91" s="863">
        <v>192</v>
      </c>
      <c r="T91" s="873">
        <v>108</v>
      </c>
      <c r="U91" s="2161">
        <v>103</v>
      </c>
      <c r="V91" s="2161">
        <v>93</v>
      </c>
      <c r="W91" s="2161">
        <v>61</v>
      </c>
      <c r="X91" s="2161">
        <v>68</v>
      </c>
      <c r="Y91" s="1090">
        <v>70</v>
      </c>
      <c r="Z91" s="2162">
        <v>104</v>
      </c>
      <c r="AA91" s="1563">
        <v>110</v>
      </c>
      <c r="AB91" s="1563"/>
      <c r="AC91" s="1415">
        <v>181</v>
      </c>
      <c r="AD91" s="1907">
        <v>107</v>
      </c>
    </row>
    <row r="92" spans="1:30" ht="15.6" x14ac:dyDescent="0.3">
      <c r="A92" s="280" t="s">
        <v>223</v>
      </c>
      <c r="B92" s="348" t="s">
        <v>224</v>
      </c>
      <c r="C92" s="677" t="s">
        <v>251</v>
      </c>
      <c r="D92" s="873">
        <v>228</v>
      </c>
      <c r="E92" s="874">
        <v>216</v>
      </c>
      <c r="F92" s="1566">
        <v>212</v>
      </c>
      <c r="G92" s="1566">
        <v>200</v>
      </c>
      <c r="H92" s="1566">
        <v>189</v>
      </c>
      <c r="I92" s="1862">
        <v>169</v>
      </c>
      <c r="J92" s="1408">
        <v>178</v>
      </c>
      <c r="K92" s="863">
        <v>164</v>
      </c>
      <c r="L92" s="873">
        <v>97</v>
      </c>
      <c r="M92" s="874">
        <v>109</v>
      </c>
      <c r="N92" s="1090">
        <v>101</v>
      </c>
      <c r="O92" s="1566">
        <v>92</v>
      </c>
      <c r="P92" s="1566">
        <v>85</v>
      </c>
      <c r="Q92" s="1862">
        <v>104</v>
      </c>
      <c r="R92" s="1408">
        <v>80</v>
      </c>
      <c r="S92" s="863">
        <v>86</v>
      </c>
      <c r="T92" s="873">
        <v>22</v>
      </c>
      <c r="U92" s="2161">
        <v>44</v>
      </c>
      <c r="V92" s="2161">
        <v>29</v>
      </c>
      <c r="W92" s="2161">
        <v>31</v>
      </c>
      <c r="X92" s="2161">
        <v>13</v>
      </c>
      <c r="Y92" s="1090">
        <v>35</v>
      </c>
      <c r="Z92" s="2162">
        <v>28</v>
      </c>
      <c r="AA92" s="1563">
        <v>23</v>
      </c>
      <c r="AB92" s="1563"/>
      <c r="AC92" s="1415">
        <v>100</v>
      </c>
      <c r="AD92" s="1907">
        <v>72</v>
      </c>
    </row>
    <row r="93" spans="1:30" ht="15.6" x14ac:dyDescent="0.3">
      <c r="A93" s="280" t="s">
        <v>225</v>
      </c>
      <c r="B93" s="348" t="s">
        <v>226</v>
      </c>
      <c r="C93" s="677" t="s">
        <v>251</v>
      </c>
      <c r="D93" s="873">
        <v>487</v>
      </c>
      <c r="E93" s="874">
        <v>460</v>
      </c>
      <c r="F93" s="1566">
        <v>458</v>
      </c>
      <c r="G93" s="1566">
        <v>437</v>
      </c>
      <c r="H93" s="1566">
        <v>409</v>
      </c>
      <c r="I93" s="1862">
        <v>400</v>
      </c>
      <c r="J93" s="1408">
        <v>400</v>
      </c>
      <c r="K93" s="863">
        <v>361</v>
      </c>
      <c r="L93" s="873">
        <v>207</v>
      </c>
      <c r="M93" s="874">
        <v>184</v>
      </c>
      <c r="N93" s="1090">
        <v>198</v>
      </c>
      <c r="O93" s="1566">
        <v>204</v>
      </c>
      <c r="P93" s="1566">
        <v>217</v>
      </c>
      <c r="Q93" s="1862">
        <v>229</v>
      </c>
      <c r="R93" s="1408">
        <v>223</v>
      </c>
      <c r="S93" s="863">
        <v>223</v>
      </c>
      <c r="T93" s="873">
        <v>52</v>
      </c>
      <c r="U93" s="2161">
        <v>63</v>
      </c>
      <c r="V93" s="2161">
        <v>57</v>
      </c>
      <c r="W93" s="2161">
        <v>37</v>
      </c>
      <c r="X93" s="2161">
        <v>38</v>
      </c>
      <c r="Y93" s="1090">
        <v>67</v>
      </c>
      <c r="Z93" s="2162">
        <v>43</v>
      </c>
      <c r="AA93" s="1563">
        <v>41</v>
      </c>
      <c r="AB93" s="1563"/>
      <c r="AC93" s="1415">
        <v>234</v>
      </c>
      <c r="AD93" s="1907">
        <v>144</v>
      </c>
    </row>
    <row r="94" spans="1:30" ht="15.6" x14ac:dyDescent="0.3">
      <c r="A94" s="280" t="s">
        <v>227</v>
      </c>
      <c r="B94" s="348" t="s">
        <v>228</v>
      </c>
      <c r="C94" s="677" t="s">
        <v>255</v>
      </c>
      <c r="D94" s="873">
        <v>2431</v>
      </c>
      <c r="E94" s="874">
        <v>2299</v>
      </c>
      <c r="F94" s="1566">
        <v>2483</v>
      </c>
      <c r="G94" s="1566">
        <v>2373</v>
      </c>
      <c r="H94" s="1566">
        <v>2343</v>
      </c>
      <c r="I94" s="1862">
        <v>2307</v>
      </c>
      <c r="J94" s="1408">
        <v>2255</v>
      </c>
      <c r="K94" s="863">
        <v>2150</v>
      </c>
      <c r="L94" s="873">
        <v>1090</v>
      </c>
      <c r="M94" s="874">
        <v>1088</v>
      </c>
      <c r="N94" s="1090">
        <v>1162</v>
      </c>
      <c r="O94" s="1566">
        <v>1213</v>
      </c>
      <c r="P94" s="1566">
        <v>1128</v>
      </c>
      <c r="Q94" s="1862">
        <v>1193</v>
      </c>
      <c r="R94" s="1408">
        <v>1168</v>
      </c>
      <c r="S94" s="863">
        <v>1248</v>
      </c>
      <c r="T94" s="873">
        <v>662</v>
      </c>
      <c r="U94" s="2161">
        <v>683</v>
      </c>
      <c r="V94" s="2161">
        <v>628</v>
      </c>
      <c r="W94" s="2161">
        <v>521</v>
      </c>
      <c r="X94" s="2161">
        <v>474</v>
      </c>
      <c r="Y94" s="1090">
        <v>547</v>
      </c>
      <c r="Z94" s="2162">
        <v>489</v>
      </c>
      <c r="AA94" s="1563">
        <v>462</v>
      </c>
      <c r="AB94" s="1563"/>
      <c r="AC94" s="1415">
        <v>1274</v>
      </c>
      <c r="AD94" s="1907">
        <v>817</v>
      </c>
    </row>
    <row r="95" spans="1:30" ht="15.6" x14ac:dyDescent="0.3">
      <c r="A95" s="280" t="s">
        <v>231</v>
      </c>
      <c r="B95" s="348" t="s">
        <v>232</v>
      </c>
      <c r="C95" s="677" t="s">
        <v>254</v>
      </c>
      <c r="D95" s="873">
        <v>661</v>
      </c>
      <c r="E95" s="874">
        <v>584</v>
      </c>
      <c r="F95" s="1566">
        <v>575</v>
      </c>
      <c r="G95" s="1566">
        <v>531</v>
      </c>
      <c r="H95" s="1566">
        <v>469</v>
      </c>
      <c r="I95" s="1862">
        <v>465</v>
      </c>
      <c r="J95" s="1408">
        <v>471</v>
      </c>
      <c r="K95" s="863">
        <v>454</v>
      </c>
      <c r="L95" s="873">
        <v>275</v>
      </c>
      <c r="M95" s="874">
        <v>248</v>
      </c>
      <c r="N95" s="1090">
        <v>244</v>
      </c>
      <c r="O95" s="1566">
        <v>235</v>
      </c>
      <c r="P95" s="1566">
        <v>231</v>
      </c>
      <c r="Q95" s="1862">
        <v>223</v>
      </c>
      <c r="R95" s="1408">
        <v>232</v>
      </c>
      <c r="S95" s="863">
        <v>264</v>
      </c>
      <c r="T95" s="873">
        <v>106</v>
      </c>
      <c r="U95" s="2161">
        <v>119</v>
      </c>
      <c r="V95" s="2161">
        <v>111</v>
      </c>
      <c r="W95" s="2161">
        <v>56</v>
      </c>
      <c r="X95" s="2161">
        <v>65</v>
      </c>
      <c r="Y95" s="1090">
        <v>73</v>
      </c>
      <c r="Z95" s="2162">
        <v>79</v>
      </c>
      <c r="AA95" s="1563">
        <v>54</v>
      </c>
      <c r="AB95" s="1563"/>
      <c r="AC95" s="1415">
        <v>268</v>
      </c>
      <c r="AD95" s="1907">
        <v>208</v>
      </c>
    </row>
    <row r="96" spans="1:30" ht="15.6" x14ac:dyDescent="0.3">
      <c r="A96" s="280" t="s">
        <v>233</v>
      </c>
      <c r="B96" s="348" t="s">
        <v>234</v>
      </c>
      <c r="C96" s="677" t="s">
        <v>255</v>
      </c>
      <c r="D96" s="873">
        <v>2048</v>
      </c>
      <c r="E96" s="874">
        <v>1930</v>
      </c>
      <c r="F96" s="1566">
        <v>1922</v>
      </c>
      <c r="G96" s="1566">
        <v>1815</v>
      </c>
      <c r="H96" s="1566">
        <v>1661</v>
      </c>
      <c r="I96" s="1862">
        <v>1597</v>
      </c>
      <c r="J96" s="1408">
        <v>1569</v>
      </c>
      <c r="K96" s="863">
        <v>1472</v>
      </c>
      <c r="L96" s="873">
        <v>773</v>
      </c>
      <c r="M96" s="874">
        <v>753</v>
      </c>
      <c r="N96" s="1090">
        <v>798</v>
      </c>
      <c r="O96" s="1566">
        <v>678</v>
      </c>
      <c r="P96" s="1566">
        <v>711</v>
      </c>
      <c r="Q96" s="1862">
        <v>774</v>
      </c>
      <c r="R96" s="1408">
        <v>676</v>
      </c>
      <c r="S96" s="863">
        <v>762</v>
      </c>
      <c r="T96" s="873">
        <v>290</v>
      </c>
      <c r="U96" s="2161">
        <v>265</v>
      </c>
      <c r="V96" s="2161">
        <v>187</v>
      </c>
      <c r="W96" s="2161">
        <v>110</v>
      </c>
      <c r="X96" s="2161">
        <v>136</v>
      </c>
      <c r="Y96" s="1090">
        <v>141</v>
      </c>
      <c r="Z96" s="2162">
        <v>138</v>
      </c>
      <c r="AA96" s="1563">
        <v>107</v>
      </c>
      <c r="AB96" s="1563"/>
      <c r="AC96" s="1415">
        <v>752</v>
      </c>
      <c r="AD96" s="1907">
        <v>476</v>
      </c>
    </row>
    <row r="97" spans="1:30" ht="15.6" x14ac:dyDescent="0.3">
      <c r="A97" s="280" t="s">
        <v>235</v>
      </c>
      <c r="B97" s="348" t="s">
        <v>236</v>
      </c>
      <c r="C97" s="677" t="s">
        <v>253</v>
      </c>
      <c r="D97" s="873">
        <v>773</v>
      </c>
      <c r="E97" s="874">
        <v>698</v>
      </c>
      <c r="F97" s="1566">
        <v>690</v>
      </c>
      <c r="G97" s="1566">
        <v>618</v>
      </c>
      <c r="H97" s="1566">
        <v>583</v>
      </c>
      <c r="I97" s="1862">
        <v>589</v>
      </c>
      <c r="J97" s="1408">
        <v>588</v>
      </c>
      <c r="K97" s="863">
        <v>598</v>
      </c>
      <c r="L97" s="873">
        <v>288</v>
      </c>
      <c r="M97" s="874">
        <v>297</v>
      </c>
      <c r="N97" s="1090">
        <v>287</v>
      </c>
      <c r="O97" s="1566">
        <v>289</v>
      </c>
      <c r="P97" s="1566">
        <v>277</v>
      </c>
      <c r="Q97" s="1862">
        <v>320</v>
      </c>
      <c r="R97" s="1408">
        <v>320</v>
      </c>
      <c r="S97" s="863">
        <v>320</v>
      </c>
      <c r="T97" s="873">
        <v>237</v>
      </c>
      <c r="U97" s="2161">
        <v>256</v>
      </c>
      <c r="V97" s="2161">
        <v>227</v>
      </c>
      <c r="W97" s="2161">
        <v>183</v>
      </c>
      <c r="X97" s="2161">
        <v>158</v>
      </c>
      <c r="Y97" s="1090">
        <v>173</v>
      </c>
      <c r="Z97" s="2162">
        <v>168</v>
      </c>
      <c r="AA97" s="1563">
        <v>129</v>
      </c>
      <c r="AB97" s="1563"/>
      <c r="AC97" s="1415">
        <v>320</v>
      </c>
      <c r="AD97" s="1907">
        <v>174</v>
      </c>
    </row>
    <row r="98" spans="1:30" ht="15.6" x14ac:dyDescent="0.3">
      <c r="A98" s="280" t="s">
        <v>241</v>
      </c>
      <c r="B98" s="348" t="s">
        <v>242</v>
      </c>
      <c r="C98" s="677" t="s">
        <v>255</v>
      </c>
      <c r="D98" s="873">
        <v>2535</v>
      </c>
      <c r="E98" s="874">
        <v>2428</v>
      </c>
      <c r="F98" s="1566">
        <v>2449</v>
      </c>
      <c r="G98" s="1566">
        <v>2457</v>
      </c>
      <c r="H98" s="1566">
        <v>2433</v>
      </c>
      <c r="I98" s="1862">
        <v>2338</v>
      </c>
      <c r="J98" s="1408">
        <v>2208</v>
      </c>
      <c r="K98" s="863">
        <v>2061</v>
      </c>
      <c r="L98" s="873">
        <v>1227</v>
      </c>
      <c r="M98" s="874">
        <v>1212</v>
      </c>
      <c r="N98" s="1090">
        <v>1242</v>
      </c>
      <c r="O98" s="1566">
        <v>1305</v>
      </c>
      <c r="P98" s="1566">
        <v>1328</v>
      </c>
      <c r="Q98" s="1862">
        <v>1370</v>
      </c>
      <c r="R98" s="1408">
        <v>1271</v>
      </c>
      <c r="S98" s="863">
        <v>1422</v>
      </c>
      <c r="T98" s="873">
        <v>403</v>
      </c>
      <c r="U98" s="2161">
        <v>503</v>
      </c>
      <c r="V98" s="2161">
        <v>378</v>
      </c>
      <c r="W98" s="2161">
        <v>310</v>
      </c>
      <c r="X98" s="2161">
        <v>331</v>
      </c>
      <c r="Y98" s="1090">
        <v>432</v>
      </c>
      <c r="Z98" s="2162">
        <v>375</v>
      </c>
      <c r="AA98" s="1563">
        <v>350</v>
      </c>
      <c r="AB98" s="1563"/>
      <c r="AC98" s="1415">
        <v>1510</v>
      </c>
      <c r="AD98" s="1907">
        <v>1065</v>
      </c>
    </row>
    <row r="99" spans="1:30" ht="15.6" x14ac:dyDescent="0.3">
      <c r="A99" s="280" t="s">
        <v>243</v>
      </c>
      <c r="B99" s="348" t="s">
        <v>244</v>
      </c>
      <c r="C99" s="677" t="s">
        <v>255</v>
      </c>
      <c r="D99" s="873">
        <v>1256</v>
      </c>
      <c r="E99" s="874">
        <v>1190</v>
      </c>
      <c r="F99" s="1566">
        <v>1170</v>
      </c>
      <c r="G99" s="1566">
        <v>1046</v>
      </c>
      <c r="H99" s="1566">
        <v>991</v>
      </c>
      <c r="I99" s="1862">
        <v>944</v>
      </c>
      <c r="J99" s="1408">
        <v>948</v>
      </c>
      <c r="K99" s="863">
        <v>946</v>
      </c>
      <c r="L99" s="873">
        <v>468</v>
      </c>
      <c r="M99" s="874">
        <v>461</v>
      </c>
      <c r="N99" s="1090">
        <v>432</v>
      </c>
      <c r="O99" s="1566">
        <v>407</v>
      </c>
      <c r="P99" s="1566">
        <v>432</v>
      </c>
      <c r="Q99" s="1862">
        <v>439</v>
      </c>
      <c r="R99" s="1408">
        <v>432</v>
      </c>
      <c r="S99" s="863">
        <v>438</v>
      </c>
      <c r="T99" s="873">
        <v>237</v>
      </c>
      <c r="U99" s="2161">
        <v>224</v>
      </c>
      <c r="V99" s="2161">
        <v>188</v>
      </c>
      <c r="W99" s="2161">
        <v>113</v>
      </c>
      <c r="X99" s="2161">
        <v>103</v>
      </c>
      <c r="Y99" s="1090">
        <v>133</v>
      </c>
      <c r="Z99" s="2162">
        <v>130</v>
      </c>
      <c r="AA99" s="1563">
        <v>113</v>
      </c>
      <c r="AB99" s="1563"/>
      <c r="AC99" s="1415">
        <v>477</v>
      </c>
      <c r="AD99" s="1907">
        <v>286</v>
      </c>
    </row>
    <row r="100" spans="1:30" ht="15.6" x14ac:dyDescent="0.3">
      <c r="A100" s="280" t="s">
        <v>245</v>
      </c>
      <c r="B100" s="348" t="s">
        <v>246</v>
      </c>
      <c r="C100" s="677" t="s">
        <v>251</v>
      </c>
      <c r="D100" s="873">
        <v>339</v>
      </c>
      <c r="E100" s="874">
        <v>310</v>
      </c>
      <c r="F100" s="1566">
        <v>316</v>
      </c>
      <c r="G100" s="1566">
        <v>302</v>
      </c>
      <c r="H100" s="1566">
        <v>267</v>
      </c>
      <c r="I100" s="1862">
        <v>258</v>
      </c>
      <c r="J100" s="1408">
        <v>237</v>
      </c>
      <c r="K100" s="863">
        <v>246</v>
      </c>
      <c r="L100" s="873">
        <v>153</v>
      </c>
      <c r="M100" s="874">
        <v>147</v>
      </c>
      <c r="N100" s="1090">
        <v>158</v>
      </c>
      <c r="O100" s="1566">
        <v>142</v>
      </c>
      <c r="P100" s="1566">
        <v>136</v>
      </c>
      <c r="Q100" s="1862">
        <v>133</v>
      </c>
      <c r="R100" s="1408">
        <v>149</v>
      </c>
      <c r="S100" s="863">
        <v>161</v>
      </c>
      <c r="T100" s="873">
        <v>45</v>
      </c>
      <c r="U100" s="2161">
        <v>47</v>
      </c>
      <c r="V100" s="2161">
        <v>36</v>
      </c>
      <c r="W100" s="2161">
        <v>39</v>
      </c>
      <c r="X100" s="2161">
        <v>34</v>
      </c>
      <c r="Y100" s="1090">
        <v>55</v>
      </c>
      <c r="Z100" s="2162">
        <v>31</v>
      </c>
      <c r="AA100" s="1563">
        <v>26</v>
      </c>
      <c r="AB100" s="1563"/>
      <c r="AC100" s="1415">
        <v>135</v>
      </c>
      <c r="AD100" s="1907">
        <v>74</v>
      </c>
    </row>
    <row r="101" spans="1:30" ht="15.6" x14ac:dyDescent="0.3">
      <c r="A101" s="280" t="s">
        <v>13</v>
      </c>
      <c r="B101" s="348" t="s">
        <v>14</v>
      </c>
      <c r="C101" s="677" t="s">
        <v>254</v>
      </c>
      <c r="D101" s="873">
        <v>732</v>
      </c>
      <c r="E101" s="874">
        <v>607</v>
      </c>
      <c r="F101" s="1566">
        <v>650</v>
      </c>
      <c r="G101" s="1566">
        <v>611</v>
      </c>
      <c r="H101" s="1566">
        <v>514</v>
      </c>
      <c r="I101" s="1862">
        <v>491</v>
      </c>
      <c r="J101" s="1408">
        <v>474</v>
      </c>
      <c r="K101" s="863">
        <v>470</v>
      </c>
      <c r="L101" s="873">
        <v>367</v>
      </c>
      <c r="M101" s="874">
        <v>384</v>
      </c>
      <c r="N101" s="1090">
        <v>402</v>
      </c>
      <c r="O101" s="1566">
        <v>294</v>
      </c>
      <c r="P101" s="1566">
        <v>297</v>
      </c>
      <c r="Q101" s="1862">
        <v>348</v>
      </c>
      <c r="R101" s="1408">
        <v>326</v>
      </c>
      <c r="S101" s="863">
        <v>345</v>
      </c>
      <c r="T101" s="873">
        <v>30</v>
      </c>
      <c r="U101" s="2161">
        <v>49</v>
      </c>
      <c r="V101" s="2161">
        <v>31</v>
      </c>
      <c r="W101" s="2161">
        <v>19</v>
      </c>
      <c r="X101" s="2161">
        <v>8</v>
      </c>
      <c r="Y101" s="1090">
        <v>17</v>
      </c>
      <c r="Z101" s="2162">
        <v>19</v>
      </c>
      <c r="AA101" s="1563">
        <v>25</v>
      </c>
      <c r="AB101" s="1563"/>
      <c r="AC101" s="1415">
        <v>298</v>
      </c>
      <c r="AD101" s="1907">
        <v>203</v>
      </c>
    </row>
    <row r="102" spans="1:30" ht="15.6" x14ac:dyDescent="0.3">
      <c r="A102" s="280" t="s">
        <v>33</v>
      </c>
      <c r="B102" s="348" t="s">
        <v>34</v>
      </c>
      <c r="C102" s="677" t="s">
        <v>255</v>
      </c>
      <c r="D102" s="873">
        <v>722</v>
      </c>
      <c r="E102" s="874">
        <v>649</v>
      </c>
      <c r="F102" s="1566">
        <v>670</v>
      </c>
      <c r="G102" s="1566">
        <v>703</v>
      </c>
      <c r="H102" s="1566">
        <v>692</v>
      </c>
      <c r="I102" s="1862">
        <v>688</v>
      </c>
      <c r="J102" s="1408">
        <v>712</v>
      </c>
      <c r="K102" s="863">
        <v>683</v>
      </c>
      <c r="L102" s="873">
        <v>322</v>
      </c>
      <c r="M102" s="874">
        <v>325</v>
      </c>
      <c r="N102" s="1090">
        <v>389</v>
      </c>
      <c r="O102" s="1566">
        <v>399</v>
      </c>
      <c r="P102" s="1566">
        <v>401</v>
      </c>
      <c r="Q102" s="1862">
        <v>425</v>
      </c>
      <c r="R102" s="1408">
        <v>437</v>
      </c>
      <c r="S102" s="863">
        <v>457</v>
      </c>
      <c r="T102" s="873">
        <v>12</v>
      </c>
      <c r="U102" s="2161">
        <v>21</v>
      </c>
      <c r="V102" s="2161">
        <v>23</v>
      </c>
      <c r="W102" s="2161">
        <v>39</v>
      </c>
      <c r="X102" s="2161">
        <v>33</v>
      </c>
      <c r="Y102" s="1090">
        <v>58</v>
      </c>
      <c r="Z102" s="2162">
        <v>68</v>
      </c>
      <c r="AA102" s="1563">
        <v>45</v>
      </c>
      <c r="AB102" s="1563"/>
      <c r="AC102" s="1415">
        <v>364</v>
      </c>
      <c r="AD102" s="1907">
        <v>267</v>
      </c>
    </row>
    <row r="103" spans="1:30" ht="15.6" x14ac:dyDescent="0.3">
      <c r="A103" s="280" t="s">
        <v>51</v>
      </c>
      <c r="B103" s="348" t="s">
        <v>52</v>
      </c>
      <c r="C103" s="677" t="s">
        <v>252</v>
      </c>
      <c r="D103" s="873">
        <v>761</v>
      </c>
      <c r="E103" s="874">
        <v>657</v>
      </c>
      <c r="F103" s="1566">
        <v>650</v>
      </c>
      <c r="G103" s="1566">
        <v>643</v>
      </c>
      <c r="H103" s="1566">
        <v>524</v>
      </c>
      <c r="I103" s="1862">
        <v>556</v>
      </c>
      <c r="J103" s="1408">
        <v>571</v>
      </c>
      <c r="K103" s="863">
        <v>551</v>
      </c>
      <c r="L103" s="873">
        <v>436</v>
      </c>
      <c r="M103" s="874">
        <v>404</v>
      </c>
      <c r="N103" s="1090">
        <v>227</v>
      </c>
      <c r="O103" s="1566">
        <v>344</v>
      </c>
      <c r="P103" s="1566">
        <v>331</v>
      </c>
      <c r="Q103" s="1862">
        <v>376</v>
      </c>
      <c r="R103" s="1408">
        <v>379</v>
      </c>
      <c r="S103" s="863">
        <v>380</v>
      </c>
      <c r="T103" s="873">
        <v>33</v>
      </c>
      <c r="U103" s="2161">
        <v>45</v>
      </c>
      <c r="V103" s="2161">
        <v>59</v>
      </c>
      <c r="W103" s="2161">
        <v>32</v>
      </c>
      <c r="X103" s="2161">
        <v>40</v>
      </c>
      <c r="Y103" s="1090">
        <v>34</v>
      </c>
      <c r="Z103" s="2162">
        <v>40</v>
      </c>
      <c r="AA103" s="1563">
        <v>39</v>
      </c>
      <c r="AB103" s="1563"/>
      <c r="AC103" s="1415">
        <v>343</v>
      </c>
      <c r="AD103" s="1907">
        <v>220</v>
      </c>
    </row>
    <row r="104" spans="1:30" ht="15.6" x14ac:dyDescent="0.3">
      <c r="A104" s="280" t="s">
        <v>53</v>
      </c>
      <c r="B104" s="348" t="s">
        <v>54</v>
      </c>
      <c r="C104" s="677" t="s">
        <v>251</v>
      </c>
      <c r="D104" s="873">
        <v>2313</v>
      </c>
      <c r="E104" s="874">
        <v>1989</v>
      </c>
      <c r="F104" s="1566">
        <v>2020</v>
      </c>
      <c r="G104" s="1566">
        <v>1864</v>
      </c>
      <c r="H104" s="1566">
        <v>1784</v>
      </c>
      <c r="I104" s="1862">
        <v>1714</v>
      </c>
      <c r="J104" s="1408">
        <v>1617</v>
      </c>
      <c r="K104" s="863">
        <v>1583</v>
      </c>
      <c r="L104" s="873">
        <v>1326</v>
      </c>
      <c r="M104" s="874">
        <v>1181</v>
      </c>
      <c r="N104" s="1090">
        <v>1245</v>
      </c>
      <c r="O104" s="1566">
        <v>1289</v>
      </c>
      <c r="P104" s="1566">
        <v>1299</v>
      </c>
      <c r="Q104" s="1862">
        <v>1130</v>
      </c>
      <c r="R104" s="1408">
        <v>1242</v>
      </c>
      <c r="S104" s="863">
        <v>1298</v>
      </c>
      <c r="T104" s="873">
        <v>198</v>
      </c>
      <c r="U104" s="2161">
        <v>196</v>
      </c>
      <c r="V104" s="2161">
        <v>227</v>
      </c>
      <c r="W104" s="2161">
        <v>182</v>
      </c>
      <c r="X104" s="2161">
        <v>239</v>
      </c>
      <c r="Y104" s="1090">
        <v>175</v>
      </c>
      <c r="Z104" s="2162">
        <v>224</v>
      </c>
      <c r="AA104" s="1563">
        <v>217</v>
      </c>
      <c r="AB104" s="1563"/>
      <c r="AC104" s="1415">
        <v>1360</v>
      </c>
      <c r="AD104" s="1907">
        <v>926</v>
      </c>
    </row>
    <row r="105" spans="1:30" ht="15.6" x14ac:dyDescent="0.3">
      <c r="A105" s="280" t="s">
        <v>65</v>
      </c>
      <c r="B105" s="348" t="s">
        <v>66</v>
      </c>
      <c r="C105" s="677" t="s">
        <v>252</v>
      </c>
      <c r="D105" s="873">
        <v>2862</v>
      </c>
      <c r="E105" s="874">
        <v>2656</v>
      </c>
      <c r="F105" s="1566">
        <v>2772</v>
      </c>
      <c r="G105" s="1566">
        <v>2650</v>
      </c>
      <c r="H105" s="1566">
        <v>2487</v>
      </c>
      <c r="I105" s="1862">
        <v>2497</v>
      </c>
      <c r="J105" s="1408">
        <v>2475</v>
      </c>
      <c r="K105" s="863">
        <v>2501</v>
      </c>
      <c r="L105" s="873">
        <v>1605</v>
      </c>
      <c r="M105" s="874">
        <v>1791</v>
      </c>
      <c r="N105" s="1090">
        <v>1841</v>
      </c>
      <c r="O105" s="1566">
        <v>1793</v>
      </c>
      <c r="P105" s="1566">
        <v>1861</v>
      </c>
      <c r="Q105" s="1862">
        <v>1977</v>
      </c>
      <c r="R105" s="1408">
        <v>1937</v>
      </c>
      <c r="S105" s="863">
        <v>2015</v>
      </c>
      <c r="T105" s="873">
        <v>231</v>
      </c>
      <c r="U105" s="2161">
        <v>198</v>
      </c>
      <c r="V105" s="2161">
        <v>318</v>
      </c>
      <c r="W105" s="2161">
        <v>183</v>
      </c>
      <c r="X105" s="2161">
        <v>235</v>
      </c>
      <c r="Y105" s="1090">
        <v>443</v>
      </c>
      <c r="Z105" s="2162">
        <v>311</v>
      </c>
      <c r="AA105" s="1563">
        <v>271</v>
      </c>
      <c r="AB105" s="1563"/>
      <c r="AC105" s="1415">
        <v>1956</v>
      </c>
      <c r="AD105" s="1907">
        <v>1429</v>
      </c>
    </row>
    <row r="106" spans="1:30" ht="15.6" x14ac:dyDescent="0.3">
      <c r="A106" s="280" t="s">
        <v>81</v>
      </c>
      <c r="B106" s="348" t="s">
        <v>82</v>
      </c>
      <c r="C106" s="677" t="s">
        <v>251</v>
      </c>
      <c r="D106" s="873">
        <v>602</v>
      </c>
      <c r="E106" s="874">
        <v>543</v>
      </c>
      <c r="F106" s="1566">
        <v>541</v>
      </c>
      <c r="G106" s="1566">
        <v>495</v>
      </c>
      <c r="H106" s="1566">
        <v>505</v>
      </c>
      <c r="I106" s="1862">
        <v>520</v>
      </c>
      <c r="J106" s="1408">
        <v>490</v>
      </c>
      <c r="K106" s="863">
        <v>440</v>
      </c>
      <c r="L106" s="873">
        <v>337</v>
      </c>
      <c r="M106" s="874">
        <v>357</v>
      </c>
      <c r="N106" s="1090">
        <v>359</v>
      </c>
      <c r="O106" s="1566">
        <v>341</v>
      </c>
      <c r="P106" s="1566">
        <v>345</v>
      </c>
      <c r="Q106" s="1862">
        <v>349</v>
      </c>
      <c r="R106" s="1408">
        <v>323</v>
      </c>
      <c r="S106" s="863">
        <v>349</v>
      </c>
      <c r="T106" s="873">
        <v>159</v>
      </c>
      <c r="U106" s="2161">
        <v>201</v>
      </c>
      <c r="V106" s="2161">
        <v>161</v>
      </c>
      <c r="W106" s="2161">
        <v>162</v>
      </c>
      <c r="X106" s="2161">
        <v>86</v>
      </c>
      <c r="Y106" s="1090">
        <v>95</v>
      </c>
      <c r="Z106" s="2162">
        <v>93</v>
      </c>
      <c r="AA106" s="1563">
        <v>90</v>
      </c>
      <c r="AB106" s="1563"/>
      <c r="AC106" s="1415">
        <v>389</v>
      </c>
      <c r="AD106" s="1907">
        <v>313</v>
      </c>
    </row>
    <row r="107" spans="1:30" ht="15.6" x14ac:dyDescent="0.3">
      <c r="A107" s="280" t="s">
        <v>87</v>
      </c>
      <c r="B107" s="348" t="s">
        <v>88</v>
      </c>
      <c r="C107" s="677" t="s">
        <v>254</v>
      </c>
      <c r="D107" s="873">
        <v>490</v>
      </c>
      <c r="E107" s="874">
        <v>461</v>
      </c>
      <c r="F107" s="1566">
        <v>473</v>
      </c>
      <c r="G107" s="1566">
        <v>470</v>
      </c>
      <c r="H107" s="1566">
        <v>477</v>
      </c>
      <c r="I107" s="1862">
        <v>457</v>
      </c>
      <c r="J107" s="1408">
        <v>444</v>
      </c>
      <c r="K107" s="863">
        <v>463</v>
      </c>
      <c r="L107" s="873">
        <v>285</v>
      </c>
      <c r="M107" s="874">
        <v>262</v>
      </c>
      <c r="N107" s="1090">
        <v>309</v>
      </c>
      <c r="O107" s="1566">
        <v>309</v>
      </c>
      <c r="P107" s="1566">
        <v>306</v>
      </c>
      <c r="Q107" s="1862">
        <v>304</v>
      </c>
      <c r="R107" s="1408">
        <v>317</v>
      </c>
      <c r="S107" s="863">
        <v>301</v>
      </c>
      <c r="T107" s="873">
        <v>53</v>
      </c>
      <c r="U107" s="2161">
        <v>51</v>
      </c>
      <c r="V107" s="2161">
        <v>73</v>
      </c>
      <c r="W107" s="2161">
        <v>45</v>
      </c>
      <c r="X107" s="2161">
        <v>37</v>
      </c>
      <c r="Y107" s="1090">
        <v>46</v>
      </c>
      <c r="Z107" s="2162">
        <v>46</v>
      </c>
      <c r="AA107" s="1563">
        <v>34</v>
      </c>
      <c r="AB107" s="1563"/>
      <c r="AC107" s="1415">
        <v>344</v>
      </c>
      <c r="AD107" s="1907">
        <v>212</v>
      </c>
    </row>
    <row r="108" spans="1:30" ht="15.6" x14ac:dyDescent="0.3">
      <c r="A108" s="280" t="s">
        <v>89</v>
      </c>
      <c r="B108" s="348" t="s">
        <v>90</v>
      </c>
      <c r="C108" s="677" t="s">
        <v>255</v>
      </c>
      <c r="D108" s="873">
        <v>633</v>
      </c>
      <c r="E108" s="874">
        <v>604</v>
      </c>
      <c r="F108" s="1566">
        <v>621</v>
      </c>
      <c r="G108" s="1566">
        <v>576</v>
      </c>
      <c r="H108" s="1566">
        <v>535</v>
      </c>
      <c r="I108" s="1862">
        <v>504</v>
      </c>
      <c r="J108" s="1408">
        <v>479</v>
      </c>
      <c r="K108" s="863">
        <v>454</v>
      </c>
      <c r="L108" s="873">
        <v>338</v>
      </c>
      <c r="M108" s="874">
        <v>350</v>
      </c>
      <c r="N108" s="1090">
        <v>359</v>
      </c>
      <c r="O108" s="1566">
        <v>333</v>
      </c>
      <c r="P108" s="1566">
        <v>332</v>
      </c>
      <c r="Q108" s="1862">
        <v>312</v>
      </c>
      <c r="R108" s="1408">
        <v>278</v>
      </c>
      <c r="S108" s="863">
        <v>316</v>
      </c>
      <c r="T108" s="873">
        <v>105</v>
      </c>
      <c r="U108" s="2161">
        <v>109</v>
      </c>
      <c r="V108" s="2161">
        <v>81</v>
      </c>
      <c r="W108" s="2161">
        <v>55</v>
      </c>
      <c r="X108" s="2161">
        <v>56</v>
      </c>
      <c r="Y108" s="1090">
        <v>43</v>
      </c>
      <c r="Z108" s="2162">
        <v>39</v>
      </c>
      <c r="AA108" s="1563">
        <v>41</v>
      </c>
      <c r="AB108" s="1563"/>
      <c r="AC108" s="1415">
        <v>340</v>
      </c>
      <c r="AD108" s="1907">
        <v>236</v>
      </c>
    </row>
    <row r="109" spans="1:30" ht="15.6" x14ac:dyDescent="0.3">
      <c r="A109" s="280" t="s">
        <v>105</v>
      </c>
      <c r="B109" s="348" t="s">
        <v>106</v>
      </c>
      <c r="C109" s="677" t="s">
        <v>251</v>
      </c>
      <c r="D109" s="873">
        <v>2352</v>
      </c>
      <c r="E109" s="874">
        <v>2044</v>
      </c>
      <c r="F109" s="1566">
        <v>2104</v>
      </c>
      <c r="G109" s="1566">
        <v>1950</v>
      </c>
      <c r="H109" s="1566">
        <v>1905</v>
      </c>
      <c r="I109" s="1862">
        <v>1993</v>
      </c>
      <c r="J109" s="1408">
        <v>2000</v>
      </c>
      <c r="K109" s="863">
        <v>1937</v>
      </c>
      <c r="L109" s="873">
        <v>1265</v>
      </c>
      <c r="M109" s="874">
        <v>1117</v>
      </c>
      <c r="N109" s="1090">
        <v>1148</v>
      </c>
      <c r="O109" s="1566">
        <v>1118</v>
      </c>
      <c r="P109" s="1566">
        <v>1304</v>
      </c>
      <c r="Q109" s="1862">
        <v>1350</v>
      </c>
      <c r="R109" s="1408">
        <v>1378</v>
      </c>
      <c r="S109" s="863">
        <v>1389</v>
      </c>
      <c r="T109" s="873">
        <v>205</v>
      </c>
      <c r="U109" s="2161">
        <v>207</v>
      </c>
      <c r="V109" s="2161">
        <v>198</v>
      </c>
      <c r="W109" s="2161">
        <v>205</v>
      </c>
      <c r="X109" s="2161">
        <v>207</v>
      </c>
      <c r="Y109" s="1090">
        <v>198</v>
      </c>
      <c r="Z109" s="2162">
        <v>189</v>
      </c>
      <c r="AA109" s="1563">
        <v>230</v>
      </c>
      <c r="AB109" s="1563"/>
      <c r="AC109" s="1415">
        <v>1337</v>
      </c>
      <c r="AD109" s="1907">
        <v>798</v>
      </c>
    </row>
    <row r="110" spans="1:30" ht="15.6" x14ac:dyDescent="0.3">
      <c r="A110" s="280" t="s">
        <v>115</v>
      </c>
      <c r="B110" s="348" t="s">
        <v>116</v>
      </c>
      <c r="C110" s="677" t="s">
        <v>253</v>
      </c>
      <c r="D110" s="873">
        <v>741</v>
      </c>
      <c r="E110" s="874">
        <v>699</v>
      </c>
      <c r="F110" s="1566">
        <v>711</v>
      </c>
      <c r="G110" s="1566">
        <v>668</v>
      </c>
      <c r="H110" s="1566">
        <v>677</v>
      </c>
      <c r="I110" s="1862">
        <v>728</v>
      </c>
      <c r="J110" s="1408">
        <v>679</v>
      </c>
      <c r="K110" s="863">
        <v>706</v>
      </c>
      <c r="L110" s="873">
        <v>478</v>
      </c>
      <c r="M110" s="874">
        <v>492</v>
      </c>
      <c r="N110" s="1090">
        <v>560</v>
      </c>
      <c r="O110" s="1566">
        <v>513</v>
      </c>
      <c r="P110" s="1566">
        <v>535</v>
      </c>
      <c r="Q110" s="1862">
        <v>479</v>
      </c>
      <c r="R110" s="1408">
        <v>473</v>
      </c>
      <c r="S110" s="863">
        <v>465</v>
      </c>
      <c r="T110" s="873">
        <v>95</v>
      </c>
      <c r="U110" s="2161">
        <v>125</v>
      </c>
      <c r="V110" s="2161">
        <v>119</v>
      </c>
      <c r="W110" s="2161">
        <v>114</v>
      </c>
      <c r="X110" s="2161">
        <v>113</v>
      </c>
      <c r="Y110" s="1090">
        <v>129</v>
      </c>
      <c r="Z110" s="2162">
        <v>102</v>
      </c>
      <c r="AA110" s="1563">
        <v>79</v>
      </c>
      <c r="AB110" s="1563"/>
      <c r="AC110" s="1415">
        <v>565</v>
      </c>
      <c r="AD110" s="1907">
        <v>346</v>
      </c>
    </row>
    <row r="111" spans="1:30" ht="15.6" x14ac:dyDescent="0.3">
      <c r="A111" s="280" t="s">
        <v>137</v>
      </c>
      <c r="B111" s="348" t="s">
        <v>138</v>
      </c>
      <c r="C111" s="677" t="s">
        <v>252</v>
      </c>
      <c r="D111" s="873">
        <v>2914</v>
      </c>
      <c r="E111" s="874">
        <v>2711</v>
      </c>
      <c r="F111" s="1566">
        <v>2733</v>
      </c>
      <c r="G111" s="1566">
        <v>2619</v>
      </c>
      <c r="H111" s="1566">
        <v>2433</v>
      </c>
      <c r="I111" s="1862">
        <v>2505</v>
      </c>
      <c r="J111" s="1408">
        <v>2369</v>
      </c>
      <c r="K111" s="863">
        <v>2162</v>
      </c>
      <c r="L111" s="873">
        <v>1703</v>
      </c>
      <c r="M111" s="874">
        <v>1672</v>
      </c>
      <c r="N111" s="1090">
        <v>1689</v>
      </c>
      <c r="O111" s="1566">
        <v>1657</v>
      </c>
      <c r="P111" s="1566">
        <v>1710</v>
      </c>
      <c r="Q111" s="1862">
        <v>1712</v>
      </c>
      <c r="R111" s="1408">
        <v>1595</v>
      </c>
      <c r="S111" s="863">
        <v>1600</v>
      </c>
      <c r="T111" s="873">
        <v>859</v>
      </c>
      <c r="U111" s="2161">
        <v>814</v>
      </c>
      <c r="V111" s="2161">
        <v>775</v>
      </c>
      <c r="W111" s="2161">
        <v>487</v>
      </c>
      <c r="X111" s="2161">
        <v>517</v>
      </c>
      <c r="Y111" s="1090">
        <v>518</v>
      </c>
      <c r="Z111" s="2162">
        <v>520</v>
      </c>
      <c r="AA111" s="1563">
        <v>495</v>
      </c>
      <c r="AB111" s="1563"/>
      <c r="AC111" s="1415">
        <v>1815</v>
      </c>
      <c r="AD111" s="1907">
        <v>1098</v>
      </c>
    </row>
    <row r="112" spans="1:30" ht="15.6" x14ac:dyDescent="0.3">
      <c r="A112" s="280" t="s">
        <v>141</v>
      </c>
      <c r="B112" s="348" t="s">
        <v>142</v>
      </c>
      <c r="C112" s="677" t="s">
        <v>254</v>
      </c>
      <c r="D112" s="873">
        <v>111</v>
      </c>
      <c r="E112" s="874">
        <v>118</v>
      </c>
      <c r="F112" s="1566">
        <v>117</v>
      </c>
      <c r="G112" s="1566">
        <v>122</v>
      </c>
      <c r="H112" s="1566">
        <v>115</v>
      </c>
      <c r="I112" s="1862">
        <v>114</v>
      </c>
      <c r="J112" s="1408">
        <v>107</v>
      </c>
      <c r="K112" s="863">
        <v>91</v>
      </c>
      <c r="L112" s="873">
        <v>64</v>
      </c>
      <c r="M112" s="874">
        <v>43</v>
      </c>
      <c r="N112" s="1090">
        <v>64</v>
      </c>
      <c r="O112" s="1566">
        <v>55</v>
      </c>
      <c r="P112" s="1566">
        <v>59</v>
      </c>
      <c r="Q112" s="1862">
        <v>57</v>
      </c>
      <c r="R112" s="1408">
        <v>52</v>
      </c>
      <c r="S112" s="863">
        <v>57</v>
      </c>
      <c r="T112" s="873">
        <v>10</v>
      </c>
      <c r="U112" s="2161">
        <v>16</v>
      </c>
      <c r="V112" s="2161">
        <v>11</v>
      </c>
      <c r="W112" s="2161">
        <v>8</v>
      </c>
      <c r="X112" s="2161">
        <v>5</v>
      </c>
      <c r="Y112" s="1090">
        <v>8</v>
      </c>
      <c r="Z112" s="2162">
        <v>13</v>
      </c>
      <c r="AA112" s="1563">
        <v>5</v>
      </c>
      <c r="AB112" s="1563"/>
      <c r="AC112" s="1415">
        <v>63</v>
      </c>
      <c r="AD112" s="1907">
        <v>54</v>
      </c>
    </row>
    <row r="113" spans="1:30" ht="15.6" x14ac:dyDescent="0.3">
      <c r="A113" s="280" t="s">
        <v>143</v>
      </c>
      <c r="B113" s="348" t="s">
        <v>144</v>
      </c>
      <c r="C113" s="677" t="s">
        <v>254</v>
      </c>
      <c r="D113" s="873">
        <v>50</v>
      </c>
      <c r="E113" s="874">
        <v>38</v>
      </c>
      <c r="F113" s="1566">
        <v>39</v>
      </c>
      <c r="G113" s="1566">
        <v>40</v>
      </c>
      <c r="H113" s="1566">
        <v>28</v>
      </c>
      <c r="I113" s="1862">
        <v>30</v>
      </c>
      <c r="J113" s="1408">
        <v>26</v>
      </c>
      <c r="K113" s="863">
        <v>26</v>
      </c>
      <c r="L113" s="873">
        <v>22</v>
      </c>
      <c r="M113" s="874">
        <v>25</v>
      </c>
      <c r="N113" s="1090">
        <v>22</v>
      </c>
      <c r="O113" s="1566">
        <v>19</v>
      </c>
      <c r="P113" s="1566">
        <v>20</v>
      </c>
      <c r="Q113" s="1862">
        <v>21</v>
      </c>
      <c r="R113" s="1408">
        <v>23</v>
      </c>
      <c r="S113" s="863">
        <v>19</v>
      </c>
      <c r="T113" s="873">
        <v>8</v>
      </c>
      <c r="U113" s="2161">
        <v>10</v>
      </c>
      <c r="V113" s="2161">
        <v>7</v>
      </c>
      <c r="W113" s="2161">
        <v>4</v>
      </c>
      <c r="X113" s="2161">
        <v>1</v>
      </c>
      <c r="Y113" s="1090">
        <v>3</v>
      </c>
      <c r="Z113" s="2162"/>
      <c r="AA113" s="1563">
        <v>2</v>
      </c>
      <c r="AB113" s="1563"/>
      <c r="AC113" s="1415">
        <v>21</v>
      </c>
      <c r="AD113" s="1907">
        <v>14</v>
      </c>
    </row>
    <row r="114" spans="1:30" ht="15.6" x14ac:dyDescent="0.3">
      <c r="A114" s="280" t="s">
        <v>157</v>
      </c>
      <c r="B114" s="348" t="s">
        <v>158</v>
      </c>
      <c r="C114" s="677" t="s">
        <v>251</v>
      </c>
      <c r="D114" s="873">
        <v>4034</v>
      </c>
      <c r="E114" s="874">
        <v>3548</v>
      </c>
      <c r="F114" s="1566">
        <v>3669</v>
      </c>
      <c r="G114" s="1566">
        <v>3465</v>
      </c>
      <c r="H114" s="1566">
        <v>3283</v>
      </c>
      <c r="I114" s="1862">
        <v>3190</v>
      </c>
      <c r="J114" s="1408">
        <v>3237</v>
      </c>
      <c r="K114" s="863">
        <v>3069</v>
      </c>
      <c r="L114" s="873">
        <v>2020</v>
      </c>
      <c r="M114" s="874">
        <v>1950</v>
      </c>
      <c r="N114" s="1090">
        <v>2025</v>
      </c>
      <c r="O114" s="1566">
        <v>2170</v>
      </c>
      <c r="P114" s="1566">
        <v>2196</v>
      </c>
      <c r="Q114" s="1862">
        <v>2273</v>
      </c>
      <c r="R114" s="1408">
        <v>2380</v>
      </c>
      <c r="S114" s="863">
        <v>2260</v>
      </c>
      <c r="T114" s="873">
        <v>247</v>
      </c>
      <c r="U114" s="2161">
        <v>309</v>
      </c>
      <c r="V114" s="2161">
        <v>237</v>
      </c>
      <c r="W114" s="2161">
        <v>207</v>
      </c>
      <c r="X114" s="2161">
        <v>230</v>
      </c>
      <c r="Y114" s="1090">
        <v>338</v>
      </c>
      <c r="Z114" s="2162">
        <v>311</v>
      </c>
      <c r="AA114" s="1563">
        <v>312</v>
      </c>
      <c r="AB114" s="1563"/>
      <c r="AC114" s="1415">
        <v>2137</v>
      </c>
      <c r="AD114" s="1907">
        <v>1303</v>
      </c>
    </row>
    <row r="115" spans="1:30" ht="15.6" x14ac:dyDescent="0.3">
      <c r="A115" s="280" t="s">
        <v>159</v>
      </c>
      <c r="B115" s="348" t="s">
        <v>160</v>
      </c>
      <c r="C115" s="677" t="s">
        <v>251</v>
      </c>
      <c r="D115" s="873">
        <v>5020</v>
      </c>
      <c r="E115" s="874">
        <v>4442</v>
      </c>
      <c r="F115" s="1566">
        <v>4426</v>
      </c>
      <c r="G115" s="1566">
        <v>3961</v>
      </c>
      <c r="H115" s="1566">
        <v>3719</v>
      </c>
      <c r="I115" s="1862">
        <v>3599</v>
      </c>
      <c r="J115" s="1408">
        <v>3580</v>
      </c>
      <c r="K115" s="863">
        <v>3505</v>
      </c>
      <c r="L115" s="873">
        <v>2862</v>
      </c>
      <c r="M115" s="874">
        <v>2668</v>
      </c>
      <c r="N115" s="1090">
        <v>2699</v>
      </c>
      <c r="O115" s="1566">
        <v>2707</v>
      </c>
      <c r="P115" s="1566">
        <v>2619</v>
      </c>
      <c r="Q115" s="1862">
        <v>2646</v>
      </c>
      <c r="R115" s="1408">
        <v>2751</v>
      </c>
      <c r="S115" s="863">
        <v>2640</v>
      </c>
      <c r="T115" s="873">
        <v>268</v>
      </c>
      <c r="U115" s="2161">
        <v>310</v>
      </c>
      <c r="V115" s="2161">
        <v>298</v>
      </c>
      <c r="W115" s="2161">
        <v>239</v>
      </c>
      <c r="X115" s="2161">
        <v>246</v>
      </c>
      <c r="Y115" s="1090">
        <v>327</v>
      </c>
      <c r="Z115" s="2162">
        <v>342</v>
      </c>
      <c r="AA115" s="1563">
        <v>289</v>
      </c>
      <c r="AB115" s="1563"/>
      <c r="AC115" s="1415">
        <v>2766</v>
      </c>
      <c r="AD115" s="1907">
        <v>1958</v>
      </c>
    </row>
    <row r="116" spans="1:30" ht="15.6" x14ac:dyDescent="0.3">
      <c r="A116" s="280" t="s">
        <v>165</v>
      </c>
      <c r="B116" s="348" t="s">
        <v>166</v>
      </c>
      <c r="C116" s="677" t="s">
        <v>255</v>
      </c>
      <c r="D116" s="873">
        <v>374</v>
      </c>
      <c r="E116" s="874">
        <v>338</v>
      </c>
      <c r="F116" s="1566">
        <v>365</v>
      </c>
      <c r="G116" s="1566">
        <v>354</v>
      </c>
      <c r="H116" s="1566">
        <v>344</v>
      </c>
      <c r="I116" s="1862">
        <v>344</v>
      </c>
      <c r="J116" s="1408">
        <v>333</v>
      </c>
      <c r="K116" s="863">
        <v>318</v>
      </c>
      <c r="L116" s="873">
        <v>218</v>
      </c>
      <c r="M116" s="874">
        <v>230</v>
      </c>
      <c r="N116" s="1090">
        <v>222</v>
      </c>
      <c r="O116" s="1566">
        <v>244</v>
      </c>
      <c r="P116" s="1566">
        <v>231</v>
      </c>
      <c r="Q116" s="1862">
        <v>249</v>
      </c>
      <c r="R116" s="1408">
        <v>246</v>
      </c>
      <c r="S116" s="863">
        <v>289</v>
      </c>
      <c r="T116" s="873">
        <v>34</v>
      </c>
      <c r="U116" s="2161">
        <v>41</v>
      </c>
      <c r="V116" s="2161">
        <v>32</v>
      </c>
      <c r="W116" s="2161">
        <v>31</v>
      </c>
      <c r="X116" s="2161">
        <v>24</v>
      </c>
      <c r="Y116" s="1090">
        <v>29</v>
      </c>
      <c r="Z116" s="2162">
        <v>19</v>
      </c>
      <c r="AA116" s="1563">
        <v>28</v>
      </c>
      <c r="AB116" s="1563"/>
      <c r="AC116" s="1415">
        <v>246</v>
      </c>
      <c r="AD116" s="1907">
        <v>214</v>
      </c>
    </row>
    <row r="117" spans="1:30" ht="15.6" x14ac:dyDescent="0.3">
      <c r="A117" s="280" t="s">
        <v>175</v>
      </c>
      <c r="B117" s="348" t="s">
        <v>176</v>
      </c>
      <c r="C117" s="677" t="s">
        <v>253</v>
      </c>
      <c r="D117" s="873">
        <v>1812</v>
      </c>
      <c r="E117" s="874">
        <v>1516</v>
      </c>
      <c r="F117" s="1566">
        <v>1524</v>
      </c>
      <c r="G117" s="1566">
        <v>1431</v>
      </c>
      <c r="H117" s="1566">
        <v>1410</v>
      </c>
      <c r="I117" s="1862">
        <v>1511</v>
      </c>
      <c r="J117" s="1408">
        <v>1604</v>
      </c>
      <c r="K117" s="863">
        <v>1607</v>
      </c>
      <c r="L117" s="873">
        <v>851</v>
      </c>
      <c r="M117" s="874">
        <v>892</v>
      </c>
      <c r="N117" s="1090">
        <v>953</v>
      </c>
      <c r="O117" s="1566">
        <v>903</v>
      </c>
      <c r="P117" s="1566">
        <v>1001</v>
      </c>
      <c r="Q117" s="1862">
        <v>996</v>
      </c>
      <c r="R117" s="1408">
        <v>1024</v>
      </c>
      <c r="S117" s="863">
        <v>966</v>
      </c>
      <c r="T117" s="873">
        <v>210</v>
      </c>
      <c r="U117" s="2161">
        <v>217</v>
      </c>
      <c r="V117" s="2161">
        <v>211</v>
      </c>
      <c r="W117" s="2161">
        <v>181</v>
      </c>
      <c r="X117" s="2161">
        <v>170</v>
      </c>
      <c r="Y117" s="1090">
        <v>222</v>
      </c>
      <c r="Z117" s="2162">
        <v>221</v>
      </c>
      <c r="AA117" s="1563">
        <v>218</v>
      </c>
      <c r="AB117" s="1563"/>
      <c r="AC117" s="1415">
        <v>983</v>
      </c>
      <c r="AD117" s="1907">
        <v>544</v>
      </c>
    </row>
    <row r="118" spans="1:30" ht="15.6" x14ac:dyDescent="0.3">
      <c r="A118" s="280" t="s">
        <v>179</v>
      </c>
      <c r="B118" s="348" t="s">
        <v>180</v>
      </c>
      <c r="C118" s="677" t="s">
        <v>251</v>
      </c>
      <c r="D118" s="873">
        <v>2045</v>
      </c>
      <c r="E118" s="874">
        <v>1850</v>
      </c>
      <c r="F118" s="1566">
        <v>1672</v>
      </c>
      <c r="G118" s="1566">
        <v>1754</v>
      </c>
      <c r="H118" s="1566">
        <v>1633</v>
      </c>
      <c r="I118" s="1862">
        <v>1817</v>
      </c>
      <c r="J118" s="1408">
        <v>1790</v>
      </c>
      <c r="K118" s="863">
        <v>1719</v>
      </c>
      <c r="L118" s="873">
        <v>1390</v>
      </c>
      <c r="M118" s="874">
        <v>1238</v>
      </c>
      <c r="N118" s="1090">
        <v>1300</v>
      </c>
      <c r="O118" s="1566">
        <v>1214</v>
      </c>
      <c r="P118" s="1566">
        <v>1287</v>
      </c>
      <c r="Q118" s="1862">
        <v>1265</v>
      </c>
      <c r="R118" s="1408">
        <v>1306</v>
      </c>
      <c r="S118" s="863">
        <v>1258</v>
      </c>
      <c r="T118" s="873">
        <v>290</v>
      </c>
      <c r="U118" s="2161">
        <v>190</v>
      </c>
      <c r="V118" s="2161">
        <v>291</v>
      </c>
      <c r="W118" s="2161">
        <v>154</v>
      </c>
      <c r="X118" s="2161">
        <v>351</v>
      </c>
      <c r="Y118" s="1090">
        <v>260</v>
      </c>
      <c r="Z118" s="2162">
        <v>254</v>
      </c>
      <c r="AA118" s="1563">
        <v>237</v>
      </c>
      <c r="AB118" s="1563"/>
      <c r="AC118" s="1415">
        <v>1261</v>
      </c>
      <c r="AD118" s="1907">
        <v>721</v>
      </c>
    </row>
    <row r="119" spans="1:30" ht="15.6" x14ac:dyDescent="0.3">
      <c r="A119" s="280" t="s">
        <v>191</v>
      </c>
      <c r="B119" s="348" t="s">
        <v>192</v>
      </c>
      <c r="C119" s="677" t="s">
        <v>255</v>
      </c>
      <c r="D119" s="873">
        <v>378</v>
      </c>
      <c r="E119" s="874">
        <v>353</v>
      </c>
      <c r="F119" s="1566">
        <v>327</v>
      </c>
      <c r="G119" s="1566">
        <v>322</v>
      </c>
      <c r="H119" s="1566">
        <v>302</v>
      </c>
      <c r="I119" s="1862">
        <v>288</v>
      </c>
      <c r="J119" s="1408">
        <v>265</v>
      </c>
      <c r="K119" s="863">
        <v>282</v>
      </c>
      <c r="L119" s="873">
        <v>301</v>
      </c>
      <c r="M119" s="874">
        <v>232</v>
      </c>
      <c r="N119" s="1090">
        <v>232</v>
      </c>
      <c r="O119" s="1566">
        <v>238</v>
      </c>
      <c r="P119" s="1566">
        <v>239</v>
      </c>
      <c r="Q119" s="1862">
        <v>240</v>
      </c>
      <c r="R119" s="1408">
        <v>240</v>
      </c>
      <c r="S119" s="863">
        <v>241</v>
      </c>
      <c r="T119" s="873">
        <v>117</v>
      </c>
      <c r="U119" s="2161">
        <v>69</v>
      </c>
      <c r="V119" s="2161">
        <v>49</v>
      </c>
      <c r="W119" s="2161">
        <v>28</v>
      </c>
      <c r="X119" s="2161">
        <v>22</v>
      </c>
      <c r="Y119" s="1090">
        <v>41</v>
      </c>
      <c r="Z119" s="2162">
        <v>42</v>
      </c>
      <c r="AA119" s="1563">
        <v>34</v>
      </c>
      <c r="AB119" s="1563"/>
      <c r="AC119" s="1415">
        <v>234</v>
      </c>
      <c r="AD119" s="1907">
        <v>142</v>
      </c>
    </row>
    <row r="120" spans="1:30" ht="15.6" x14ac:dyDescent="0.3">
      <c r="A120" s="280" t="s">
        <v>195</v>
      </c>
      <c r="B120" s="348" t="s">
        <v>196</v>
      </c>
      <c r="C120" s="677" t="s">
        <v>253</v>
      </c>
      <c r="D120" s="873">
        <v>5720</v>
      </c>
      <c r="E120" s="874">
        <v>5262</v>
      </c>
      <c r="F120" s="1566">
        <v>5439</v>
      </c>
      <c r="G120" s="1566">
        <v>4864</v>
      </c>
      <c r="H120" s="1566">
        <v>4472</v>
      </c>
      <c r="I120" s="1862">
        <v>4273</v>
      </c>
      <c r="J120" s="1408">
        <v>4108</v>
      </c>
      <c r="K120" s="863">
        <v>4014</v>
      </c>
      <c r="L120" s="873">
        <v>3288</v>
      </c>
      <c r="M120" s="874">
        <v>3177</v>
      </c>
      <c r="N120" s="1090">
        <v>2382</v>
      </c>
      <c r="O120" s="1566">
        <v>2501</v>
      </c>
      <c r="P120" s="1566">
        <v>3067</v>
      </c>
      <c r="Q120" s="1862">
        <v>2964</v>
      </c>
      <c r="R120" s="1408">
        <v>2683</v>
      </c>
      <c r="S120" s="863">
        <v>2605</v>
      </c>
      <c r="T120" s="873">
        <v>508</v>
      </c>
      <c r="U120" s="2161">
        <v>493</v>
      </c>
      <c r="V120" s="2161">
        <v>593</v>
      </c>
      <c r="W120" s="2161">
        <v>486</v>
      </c>
      <c r="X120" s="2161">
        <v>371</v>
      </c>
      <c r="Y120" s="1090">
        <v>429</v>
      </c>
      <c r="Z120" s="2162">
        <v>375</v>
      </c>
      <c r="AA120" s="1563">
        <v>367</v>
      </c>
      <c r="AB120" s="1563"/>
      <c r="AC120" s="1415">
        <v>3060</v>
      </c>
      <c r="AD120" s="1907">
        <v>1833</v>
      </c>
    </row>
    <row r="121" spans="1:30" ht="15.6" x14ac:dyDescent="0.3">
      <c r="A121" s="280" t="s">
        <v>199</v>
      </c>
      <c r="B121" s="348" t="s">
        <v>200</v>
      </c>
      <c r="C121" s="677" t="s">
        <v>252</v>
      </c>
      <c r="D121" s="873">
        <v>3412</v>
      </c>
      <c r="E121" s="874">
        <v>3160</v>
      </c>
      <c r="F121" s="1566">
        <v>3288</v>
      </c>
      <c r="G121" s="1566">
        <v>3047</v>
      </c>
      <c r="H121" s="1566">
        <v>3012</v>
      </c>
      <c r="I121" s="1862">
        <v>2895</v>
      </c>
      <c r="J121" s="1408">
        <v>2821</v>
      </c>
      <c r="K121" s="863">
        <v>2708</v>
      </c>
      <c r="L121" s="873">
        <v>1804</v>
      </c>
      <c r="M121" s="874">
        <v>1823</v>
      </c>
      <c r="N121" s="1090">
        <v>1844</v>
      </c>
      <c r="O121" s="1566">
        <v>1894</v>
      </c>
      <c r="P121" s="1566">
        <v>1983</v>
      </c>
      <c r="Q121" s="1862">
        <v>2064</v>
      </c>
      <c r="R121" s="1408">
        <v>2216</v>
      </c>
      <c r="S121" s="863">
        <v>2075</v>
      </c>
      <c r="T121" s="873">
        <v>441</v>
      </c>
      <c r="U121" s="2161">
        <v>486</v>
      </c>
      <c r="V121" s="2161">
        <v>335</v>
      </c>
      <c r="W121" s="2161">
        <v>299</v>
      </c>
      <c r="X121" s="2161">
        <v>213</v>
      </c>
      <c r="Y121" s="1090">
        <v>237</v>
      </c>
      <c r="Z121" s="2162">
        <v>226</v>
      </c>
      <c r="AA121" s="1563">
        <v>226</v>
      </c>
      <c r="AB121" s="1563"/>
      <c r="AC121" s="1415">
        <v>1908</v>
      </c>
      <c r="AD121" s="1907">
        <v>1175</v>
      </c>
    </row>
    <row r="122" spans="1:30" ht="15.6" x14ac:dyDescent="0.3">
      <c r="A122" s="280" t="s">
        <v>221</v>
      </c>
      <c r="B122" s="348" t="s">
        <v>222</v>
      </c>
      <c r="C122" s="677" t="s">
        <v>251</v>
      </c>
      <c r="D122" s="873">
        <v>2075</v>
      </c>
      <c r="E122" s="874">
        <v>1790</v>
      </c>
      <c r="F122" s="1566">
        <v>1833</v>
      </c>
      <c r="G122" s="1566">
        <v>1675</v>
      </c>
      <c r="H122" s="1566">
        <v>1597</v>
      </c>
      <c r="I122" s="1862">
        <v>1543</v>
      </c>
      <c r="J122" s="1408">
        <v>1499</v>
      </c>
      <c r="K122" s="863">
        <v>1451</v>
      </c>
      <c r="L122" s="873">
        <v>1046</v>
      </c>
      <c r="M122" s="874">
        <v>1017</v>
      </c>
      <c r="N122" s="1090">
        <v>1055</v>
      </c>
      <c r="O122" s="1566">
        <v>1068</v>
      </c>
      <c r="P122" s="1566">
        <v>1056</v>
      </c>
      <c r="Q122" s="1862">
        <v>1100</v>
      </c>
      <c r="R122" s="1408">
        <v>1065</v>
      </c>
      <c r="S122" s="863">
        <v>1012</v>
      </c>
      <c r="T122" s="873">
        <v>262</v>
      </c>
      <c r="U122" s="2161">
        <v>236</v>
      </c>
      <c r="V122" s="2161">
        <v>202</v>
      </c>
      <c r="W122" s="2161">
        <v>142</v>
      </c>
      <c r="X122" s="2161">
        <v>137</v>
      </c>
      <c r="Y122" s="1090">
        <v>185</v>
      </c>
      <c r="Z122" s="2162">
        <v>174</v>
      </c>
      <c r="AA122" s="1563">
        <v>155</v>
      </c>
      <c r="AB122" s="1563"/>
      <c r="AC122" s="1415">
        <v>1075</v>
      </c>
      <c r="AD122" s="1907">
        <v>633</v>
      </c>
    </row>
    <row r="123" spans="1:30" ht="15.6" x14ac:dyDescent="0.3">
      <c r="A123" s="280" t="s">
        <v>229</v>
      </c>
      <c r="B123" s="348" t="s">
        <v>230</v>
      </c>
      <c r="C123" s="677" t="s">
        <v>251</v>
      </c>
      <c r="D123" s="873">
        <v>2782</v>
      </c>
      <c r="E123" s="874">
        <v>2413</v>
      </c>
      <c r="F123" s="1566">
        <v>2321</v>
      </c>
      <c r="G123" s="1566">
        <v>2161</v>
      </c>
      <c r="H123" s="1566">
        <v>2009</v>
      </c>
      <c r="I123" s="1862">
        <v>1978</v>
      </c>
      <c r="J123" s="1408">
        <v>1896</v>
      </c>
      <c r="K123" s="863">
        <v>1832</v>
      </c>
      <c r="L123" s="873">
        <v>1280</v>
      </c>
      <c r="M123" s="874">
        <v>1237</v>
      </c>
      <c r="N123" s="1090">
        <v>1149</v>
      </c>
      <c r="O123" s="1566">
        <v>1181</v>
      </c>
      <c r="P123" s="1566">
        <v>1273</v>
      </c>
      <c r="Q123" s="1862">
        <v>1296</v>
      </c>
      <c r="R123" s="1408">
        <v>1278</v>
      </c>
      <c r="S123" s="863">
        <v>1411</v>
      </c>
      <c r="T123" s="873">
        <v>275</v>
      </c>
      <c r="U123" s="2161">
        <v>293</v>
      </c>
      <c r="V123" s="2161">
        <v>251</v>
      </c>
      <c r="W123" s="2161">
        <v>222</v>
      </c>
      <c r="X123" s="2161">
        <v>187</v>
      </c>
      <c r="Y123" s="1090">
        <v>250</v>
      </c>
      <c r="Z123" s="2162">
        <v>267</v>
      </c>
      <c r="AA123" s="1563">
        <v>174</v>
      </c>
      <c r="AB123" s="1563"/>
      <c r="AC123" s="1415">
        <v>1338</v>
      </c>
      <c r="AD123" s="1907">
        <v>883</v>
      </c>
    </row>
    <row r="124" spans="1:30" ht="15.6" x14ac:dyDescent="0.3">
      <c r="A124" s="280" t="s">
        <v>237</v>
      </c>
      <c r="B124" s="348" t="s">
        <v>238</v>
      </c>
      <c r="C124" s="677" t="s">
        <v>251</v>
      </c>
      <c r="D124" s="873">
        <v>55</v>
      </c>
      <c r="E124" s="874">
        <v>42</v>
      </c>
      <c r="F124" s="1566">
        <v>41</v>
      </c>
      <c r="G124" s="1566">
        <v>43</v>
      </c>
      <c r="H124" s="1566">
        <v>39</v>
      </c>
      <c r="I124" s="1862">
        <v>47</v>
      </c>
      <c r="J124" s="1408">
        <v>59</v>
      </c>
      <c r="K124" s="863">
        <v>49</v>
      </c>
      <c r="L124" s="873">
        <v>24</v>
      </c>
      <c r="M124" s="874">
        <v>22</v>
      </c>
      <c r="N124" s="1090">
        <v>31</v>
      </c>
      <c r="O124" s="1566">
        <v>26</v>
      </c>
      <c r="P124" s="1566">
        <v>29</v>
      </c>
      <c r="Q124" s="1862">
        <v>40</v>
      </c>
      <c r="R124" s="1408">
        <v>40</v>
      </c>
      <c r="S124" s="863">
        <v>40</v>
      </c>
      <c r="T124" s="873">
        <v>5</v>
      </c>
      <c r="U124" s="2161">
        <v>4</v>
      </c>
      <c r="V124" s="2161">
        <v>11</v>
      </c>
      <c r="W124" s="2161">
        <v>3</v>
      </c>
      <c r="X124" s="2161">
        <v>1</v>
      </c>
      <c r="Y124" s="1090">
        <v>5</v>
      </c>
      <c r="Z124" s="2162">
        <v>2</v>
      </c>
      <c r="AA124" s="1563">
        <v>1</v>
      </c>
      <c r="AB124" s="1563"/>
      <c r="AC124" s="1415">
        <v>30</v>
      </c>
      <c r="AD124" s="1907">
        <v>23</v>
      </c>
    </row>
    <row r="125" spans="1:30" ht="15.6" x14ac:dyDescent="0.3">
      <c r="A125" s="281" t="s">
        <v>239</v>
      </c>
      <c r="B125" s="282" t="s">
        <v>240</v>
      </c>
      <c r="C125" s="678" t="s">
        <v>254</v>
      </c>
      <c r="D125" s="875">
        <v>456</v>
      </c>
      <c r="E125" s="876">
        <v>395</v>
      </c>
      <c r="F125" s="1016">
        <v>396</v>
      </c>
      <c r="G125" s="1016">
        <v>391</v>
      </c>
      <c r="H125" s="1016">
        <v>344</v>
      </c>
      <c r="I125" s="1980">
        <v>329</v>
      </c>
      <c r="J125" s="1981">
        <v>337</v>
      </c>
      <c r="K125" s="2165">
        <v>326</v>
      </c>
      <c r="L125" s="875">
        <v>220</v>
      </c>
      <c r="M125" s="876">
        <v>191</v>
      </c>
      <c r="N125" s="1915">
        <v>211</v>
      </c>
      <c r="O125" s="1016">
        <v>191</v>
      </c>
      <c r="P125" s="1016">
        <v>181</v>
      </c>
      <c r="Q125" s="1980">
        <v>173</v>
      </c>
      <c r="R125" s="1981">
        <v>197</v>
      </c>
      <c r="S125" s="2165">
        <v>196</v>
      </c>
      <c r="T125" s="875">
        <v>81</v>
      </c>
      <c r="U125" s="1016">
        <v>77</v>
      </c>
      <c r="V125" s="1016">
        <v>56</v>
      </c>
      <c r="W125" s="1016">
        <v>42</v>
      </c>
      <c r="X125" s="1016">
        <v>33</v>
      </c>
      <c r="Y125" s="1980">
        <v>35</v>
      </c>
      <c r="Z125" s="2163">
        <v>36</v>
      </c>
      <c r="AA125" s="1563">
        <v>32</v>
      </c>
      <c r="AB125" s="1563"/>
      <c r="AC125" s="1560">
        <v>219</v>
      </c>
      <c r="AD125" s="1908">
        <v>134</v>
      </c>
    </row>
    <row r="127" spans="1:30" ht="30.75" customHeight="1" x14ac:dyDescent="0.3">
      <c r="A127" s="2540" t="s">
        <v>948</v>
      </c>
      <c r="B127" s="2540"/>
      <c r="C127" s="2540"/>
      <c r="D127" s="2540"/>
      <c r="E127" s="2540"/>
      <c r="F127" s="2540"/>
      <c r="G127" s="2540"/>
      <c r="H127" s="2540"/>
      <c r="I127" s="2540"/>
      <c r="J127" s="2540"/>
      <c r="K127" s="2540"/>
      <c r="L127" s="2540"/>
      <c r="M127" s="2540"/>
      <c r="N127" s="2540"/>
      <c r="O127" s="1000"/>
      <c r="P127" s="1910"/>
      <c r="Q127" s="1910"/>
      <c r="R127" s="1979"/>
      <c r="S127" s="2126"/>
      <c r="U127" s="654"/>
      <c r="V127" s="861"/>
      <c r="W127" s="1000"/>
      <c r="X127" s="1910"/>
      <c r="Y127" s="1910"/>
      <c r="Z127" s="1979"/>
      <c r="AA127" s="2126"/>
      <c r="AB127" s="1561"/>
    </row>
    <row r="129" spans="1:28" s="193" customFormat="1" ht="15.6" x14ac:dyDescent="0.3">
      <c r="A129" s="193" t="s">
        <v>247</v>
      </c>
      <c r="AB129" s="513"/>
    </row>
    <row r="130" spans="1:28" s="193" customFormat="1" ht="15.6" x14ac:dyDescent="0.3">
      <c r="A130" s="194" t="s">
        <v>248</v>
      </c>
      <c r="B130" s="195" t="s">
        <v>249</v>
      </c>
      <c r="C130" s="195"/>
      <c r="AB130" s="513"/>
    </row>
  </sheetData>
  <autoFilter ref="A4:C125"/>
  <sortState ref="A6:AA125">
    <sortCondition ref="A6:A125"/>
  </sortState>
  <mergeCells count="5">
    <mergeCell ref="AC3:AD3"/>
    <mergeCell ref="A127:N127"/>
    <mergeCell ref="T3:AA3"/>
    <mergeCell ref="D3:K3"/>
    <mergeCell ref="L3:S3"/>
  </mergeCells>
  <hyperlinks>
    <hyperlink ref="B13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35" workbookViewId="0">
      <selection activeCell="A44" sqref="A44:A46"/>
    </sheetView>
  </sheetViews>
  <sheetFormatPr defaultRowHeight="15.6" x14ac:dyDescent="0.3"/>
  <cols>
    <col min="1" max="1" width="22.5" customWidth="1"/>
    <col min="2" max="2" width="17.69921875" customWidth="1"/>
    <col min="3" max="3" width="14.59765625" customWidth="1"/>
    <col min="4" max="4" width="13.19921875" customWidth="1"/>
    <col min="5" max="5" width="16.796875" customWidth="1"/>
    <col min="6" max="6" width="11.69921875" customWidth="1"/>
  </cols>
  <sheetData>
    <row r="1" spans="1:19" x14ac:dyDescent="0.3">
      <c r="A1" t="s">
        <v>550</v>
      </c>
      <c r="F1" t="s">
        <v>549</v>
      </c>
      <c r="L1" s="2488" t="str">
        <f>Profile!D3</f>
        <v>Accomack</v>
      </c>
      <c r="M1" s="2488"/>
      <c r="N1" s="2488" t="str">
        <f>Profile!D3</f>
        <v>Accomack</v>
      </c>
      <c r="O1" s="2488"/>
      <c r="P1" s="2488" t="str">
        <f>Profile!D3</f>
        <v>Accomack</v>
      </c>
      <c r="Q1" s="2488"/>
      <c r="R1" s="2488" t="str">
        <f>Profile!D3</f>
        <v>Accomack</v>
      </c>
      <c r="S1" s="2488"/>
    </row>
    <row r="2" spans="1:19" x14ac:dyDescent="0.3">
      <c r="B2" t="str">
        <f>Profile!D3</f>
        <v>Accomack</v>
      </c>
      <c r="C2" t="str">
        <f>Profile!K3</f>
        <v>Eastern</v>
      </c>
      <c r="D2" t="s">
        <v>529</v>
      </c>
      <c r="G2" t="str">
        <f>Profile!D3</f>
        <v>Accomack</v>
      </c>
      <c r="H2" t="str">
        <f>Profile!K3</f>
        <v>Eastern</v>
      </c>
      <c r="I2" t="s">
        <v>529</v>
      </c>
      <c r="L2" s="2488" t="s">
        <v>291</v>
      </c>
      <c r="M2" s="2488"/>
      <c r="N2" s="2488" t="s">
        <v>297</v>
      </c>
      <c r="O2" s="2488"/>
      <c r="P2" s="2488" t="s">
        <v>730</v>
      </c>
      <c r="Q2" s="2488"/>
      <c r="R2" s="2488" t="s">
        <v>762</v>
      </c>
      <c r="S2" s="2488"/>
    </row>
    <row r="3" spans="1:19" x14ac:dyDescent="0.3">
      <c r="A3">
        <v>1998</v>
      </c>
      <c r="B3" s="1629">
        <f>VLOOKUP(Profile!$I$3,NMBirths_Trend,4,FALSE)</f>
        <v>0.5298329355608592</v>
      </c>
      <c r="C3" s="1629">
        <f>VLOOKUP(Profile!$K$3,NMBirths_Trend,4,FALSE)</f>
        <v>0.37341746714360358</v>
      </c>
      <c r="D3" s="1629">
        <f>'NM Births_Trend'!D5</f>
        <v>0.2981171770406103</v>
      </c>
      <c r="F3">
        <v>1998</v>
      </c>
      <c r="G3" s="724">
        <f>VLOOKUP(Profile!$I$3,TeenBirths_Trend,4,FALSE)</f>
        <v>33.483258370814596</v>
      </c>
      <c r="H3" s="724">
        <f>VLOOKUP(Profile!$K$3,TeenBirths_Trend,4,FALSE)</f>
        <v>26.16430374830064</v>
      </c>
      <c r="I3" s="724">
        <f>'Teen Births_Trend'!D5</f>
        <v>21.993094229370861</v>
      </c>
      <c r="L3" t="s">
        <v>728</v>
      </c>
      <c r="M3" t="s">
        <v>729</v>
      </c>
      <c r="N3" t="s">
        <v>728</v>
      </c>
      <c r="O3" t="s">
        <v>729</v>
      </c>
      <c r="P3" t="s">
        <v>728</v>
      </c>
      <c r="Q3" t="s">
        <v>729</v>
      </c>
      <c r="R3" t="s">
        <v>728</v>
      </c>
      <c r="S3" t="s">
        <v>729</v>
      </c>
    </row>
    <row r="4" spans="1:19" x14ac:dyDescent="0.3">
      <c r="A4">
        <v>1999</v>
      </c>
      <c r="B4" s="1629">
        <f>VLOOKUP(Profile!$I$3,NMBirths_Trend,5,FALSE)</f>
        <v>0.51756440281030447</v>
      </c>
      <c r="C4" s="1629">
        <f>VLOOKUP(Profile!$K$3,NMBirths_Trend,5,FALSE)</f>
        <v>0.37722880362269035</v>
      </c>
      <c r="D4" s="1629">
        <f>'NM Births_Trend'!E5</f>
        <v>0.29729956830905291</v>
      </c>
      <c r="F4">
        <v>1999</v>
      </c>
      <c r="G4" s="724">
        <f>VLOOKUP(Profile!$I$3,TeenBirths_Trend,5,FALSE)</f>
        <v>40.520260130065033</v>
      </c>
      <c r="H4" s="724">
        <f>VLOOKUP(Profile!$K$3,TeenBirths_Trend,5,FALSE)</f>
        <v>25.422437567612867</v>
      </c>
      <c r="I4" s="724">
        <f>'Teen Births_Trend'!E5</f>
        <v>21.672451714894493</v>
      </c>
      <c r="K4" s="1135" t="s">
        <v>866</v>
      </c>
      <c r="L4">
        <f>VLOOKUP(Profile!I3,snap_apps_recvd,4,FALSE)</f>
        <v>144</v>
      </c>
      <c r="M4">
        <f>VLOOKUP(Profile!I3,snap_apps_disp,4,FALSE)</f>
        <v>128</v>
      </c>
      <c r="N4">
        <f>VLOOKUP(Profile!I3,tanf_apps_recvd,4,FALSE)</f>
        <v>22</v>
      </c>
      <c r="O4">
        <f>VLOOKUP(Profile!I3,tanf_apps_disp,4,FALSE)</f>
        <v>19</v>
      </c>
      <c r="P4">
        <f>VLOOKUP(Profile!I3,ma_apps_recvd,4,FALSE)</f>
        <v>152</v>
      </c>
      <c r="Q4">
        <f>VLOOKUP(Profile!I3,ma_apps_disp,4,FALSE)</f>
        <v>178</v>
      </c>
      <c r="R4">
        <f>VLOOKUP(Profile!I3,cc_apps_recvd,4,FALSE)</f>
        <v>4</v>
      </c>
      <c r="S4">
        <f>VLOOKUP(Profile!I3,cc_apps_disp,4,FALSE)</f>
        <v>5</v>
      </c>
    </row>
    <row r="5" spans="1:19" x14ac:dyDescent="0.3">
      <c r="A5">
        <v>2000</v>
      </c>
      <c r="B5" s="1629">
        <f>VLOOKUP(Profile!$I$3,NMBirths_Trend,6,FALSE)</f>
        <v>0.4946236559139785</v>
      </c>
      <c r="C5" s="1629">
        <f>VLOOKUP(Profile!$K$3,NMBirths_Trend,6,FALSE)</f>
        <v>0.37406208040439143</v>
      </c>
      <c r="D5" s="1629">
        <f>'NM Births_Trend'!F5</f>
        <v>0.29975521929114746</v>
      </c>
      <c r="F5">
        <v>2000</v>
      </c>
      <c r="G5" s="724">
        <f>VLOOKUP(Profile!$I$3,TeenBirths_Trend,6,FALSE)</f>
        <v>34.803723188992308</v>
      </c>
      <c r="H5" s="724">
        <f>VLOOKUP(Profile!$K$3,TeenBirths_Trend,6,FALSE)</f>
        <v>24.942933231881302</v>
      </c>
      <c r="I5" s="724">
        <f>'Teen Births_Trend'!F5</f>
        <v>20.498076279692203</v>
      </c>
      <c r="K5" s="1135" t="s">
        <v>867</v>
      </c>
      <c r="L5">
        <f>VLOOKUP(Profile!I3,snap_apps_recvd,5,FALSE)</f>
        <v>118</v>
      </c>
      <c r="M5">
        <f>VLOOKUP(Profile!I3,snap_apps_disp,5,FALSE)</f>
        <v>130</v>
      </c>
      <c r="N5">
        <f>VLOOKUP(Profile!I3,tanf_apps_recvd,5,FALSE)</f>
        <v>20</v>
      </c>
      <c r="O5">
        <f>VLOOKUP(Profile!I3,tanf_apps_disp,5,FALSE)</f>
        <v>19</v>
      </c>
      <c r="P5">
        <f>VLOOKUP(Profile!I3,ma_apps_recvd,5,FALSE)</f>
        <v>157</v>
      </c>
      <c r="Q5">
        <f>VLOOKUP(Profile!I3,ma_apps_disp,5,FALSE)</f>
        <v>164</v>
      </c>
      <c r="R5">
        <f>VLOOKUP(Profile!I3,cc_apps_recvd,5,FALSE)</f>
        <v>2</v>
      </c>
      <c r="S5">
        <f>VLOOKUP(Profile!I3,cc_apps_disp,5,FALSE)</f>
        <v>9</v>
      </c>
    </row>
    <row r="6" spans="1:19" x14ac:dyDescent="0.3">
      <c r="A6">
        <v>2001</v>
      </c>
      <c r="B6" s="1629">
        <f>VLOOKUP(Profile!$I$3,NMBirths_Trend,7,FALSE)</f>
        <v>0.48988764044943822</v>
      </c>
      <c r="C6" s="1629">
        <f>VLOOKUP(Profile!$K$3,NMBirths_Trend,7,FALSE)</f>
        <v>0.3923052157115261</v>
      </c>
      <c r="D6" s="1629">
        <f>'NM Births_Trend'!G5</f>
        <v>0.303681074991627</v>
      </c>
      <c r="F6">
        <v>2001</v>
      </c>
      <c r="G6" s="724">
        <f>VLOOKUP(Profile!$I$3,TeenBirths_Trend,7,FALSE)</f>
        <v>23.668639053254438</v>
      </c>
      <c r="H6" s="724">
        <f>VLOOKUP(Profile!$K$3,TeenBirths_Trend,7,FALSE)</f>
        <v>24.200348308497308</v>
      </c>
      <c r="I6" s="724">
        <f>'Teen Births_Trend'!G5</f>
        <v>19.688543968751606</v>
      </c>
      <c r="K6" s="1135" t="s">
        <v>868</v>
      </c>
      <c r="L6">
        <f>VLOOKUP(Profile!I3,snap_apps_recvd,6,FALSE)</f>
        <v>135</v>
      </c>
      <c r="M6">
        <f>VLOOKUP(Profile!I3,snap_apps_disp,6,FALSE)</f>
        <v>122</v>
      </c>
      <c r="N6">
        <f>VLOOKUP(Profile!I3,tanf_apps_recvd,6,FALSE)</f>
        <v>30</v>
      </c>
      <c r="O6">
        <f>VLOOKUP(Profile!I3,tanf_apps_disp,6,FALSE)</f>
        <v>23</v>
      </c>
      <c r="P6">
        <f>VLOOKUP(Profile!I3,ma_apps_recvd,6,FALSE)</f>
        <v>189</v>
      </c>
      <c r="Q6">
        <f>VLOOKUP(Profile!I3,ma_apps_disp,6,FALSE)</f>
        <v>134</v>
      </c>
      <c r="R6">
        <f>VLOOKUP(Profile!I3,cc_apps_recvd,6,FALSE)</f>
        <v>3</v>
      </c>
      <c r="S6">
        <f>VLOOKUP(Profile!I3,cc_apps_disp,6,FALSE)</f>
        <v>0</v>
      </c>
    </row>
    <row r="7" spans="1:19" x14ac:dyDescent="0.3">
      <c r="A7">
        <v>2002</v>
      </c>
      <c r="B7" s="1629">
        <f>VLOOKUP(Profile!$I$3,NMBirths_Trend,8,FALSE)</f>
        <v>0.54716981132075471</v>
      </c>
      <c r="C7" s="1629">
        <f>VLOOKUP(Profile!$K$3,NMBirths_Trend,8,FALSE)</f>
        <v>0.38504755407520364</v>
      </c>
      <c r="D7" s="1629">
        <f>'NM Births_Trend'!H5</f>
        <v>0.30455988310575904</v>
      </c>
      <c r="F7">
        <v>2002</v>
      </c>
      <c r="G7" s="724">
        <f>VLOOKUP(Profile!$I$3,TeenBirths_Trend,8,FALSE)</f>
        <v>33.307210031347964</v>
      </c>
      <c r="H7" s="724">
        <f>VLOOKUP(Profile!$K$3,TeenBirths_Trend,8,FALSE)</f>
        <v>23.263812888902788</v>
      </c>
      <c r="I7" s="724">
        <f>'Teen Births_Trend'!H5</f>
        <v>18.674449210372391</v>
      </c>
      <c r="K7" s="1135" t="s">
        <v>869</v>
      </c>
      <c r="L7">
        <f>VLOOKUP(Profile!I3,snap_apps_recvd,7,FALSE)</f>
        <v>178</v>
      </c>
      <c r="M7">
        <f>VLOOKUP(Profile!I3,snap_apps_disp,7,FALSE)</f>
        <v>162</v>
      </c>
      <c r="N7">
        <f>VLOOKUP(Profile!I3,tanf_apps_recvd,7,FALSE)</f>
        <v>30</v>
      </c>
      <c r="O7">
        <f>VLOOKUP(Profile!I3,tanf_apps_disp,7,FALSE)</f>
        <v>43</v>
      </c>
      <c r="P7">
        <f>VLOOKUP(Profile!I3,ma_apps_recvd,7,FALSE)</f>
        <v>223</v>
      </c>
      <c r="Q7">
        <f>VLOOKUP(Profile!I3,ma_apps_disp,7,FALSE)</f>
        <v>224</v>
      </c>
      <c r="R7">
        <f>VLOOKUP(Profile!I3,cc_apps_recvd,7,FALSE)</f>
        <v>3</v>
      </c>
      <c r="S7">
        <f>VLOOKUP(Profile!I3,cc_apps_disp,7,FALSE)</f>
        <v>4</v>
      </c>
    </row>
    <row r="8" spans="1:19" x14ac:dyDescent="0.3">
      <c r="A8">
        <v>2003</v>
      </c>
      <c r="B8" s="1629">
        <f>VLOOKUP(Profile!$I$3,NMBirths_Trend,9,FALSE)</f>
        <v>0.57236842105263153</v>
      </c>
      <c r="C8" s="1629">
        <f>VLOOKUP(Profile!$K$3,NMBirths_Trend,9,FALSE)</f>
        <v>0.37942966233146402</v>
      </c>
      <c r="D8" s="1629">
        <f>'NM Births_Trend'!I5</f>
        <v>0.3059734887282346</v>
      </c>
      <c r="F8">
        <v>2003</v>
      </c>
      <c r="G8" s="724">
        <f>VLOOKUP(Profile!$I$3,TeenBirths_Trend,9,FALSE)</f>
        <v>33.397312859884835</v>
      </c>
      <c r="H8" s="724">
        <f>VLOOKUP(Profile!$K$3,TeenBirths_Trend,9,FALSE)</f>
        <v>21.303566215447969</v>
      </c>
      <c r="I8" s="724">
        <f>'Teen Births_Trend'!I5</f>
        <v>17.903555881281065</v>
      </c>
      <c r="K8" s="1135" t="s">
        <v>870</v>
      </c>
      <c r="L8">
        <f>VLOOKUP(Profile!I3,snap_apps_recvd,8,FALSE)</f>
        <v>147</v>
      </c>
      <c r="M8">
        <f>VLOOKUP(Profile!I3,snap_apps_disp,8,FALSE)</f>
        <v>139</v>
      </c>
      <c r="N8">
        <f>VLOOKUP(Profile!I3,tanf_apps_recvd,8,FALSE)</f>
        <v>20</v>
      </c>
      <c r="O8">
        <f>VLOOKUP(Profile!I3,tanf_apps_disp,8,FALSE)</f>
        <v>14</v>
      </c>
      <c r="P8">
        <f>VLOOKUP(Profile!I3,ma_apps_recvd,8,FALSE)</f>
        <v>247</v>
      </c>
      <c r="Q8">
        <f>VLOOKUP(Profile!I3,ma_apps_disp,8,FALSE)</f>
        <v>254</v>
      </c>
      <c r="R8">
        <f>VLOOKUP(Profile!I3,cc_apps_recvd,8,FALSE)</f>
        <v>3</v>
      </c>
      <c r="S8">
        <f>VLOOKUP(Profile!I3,cc_apps_disp,8,FALSE)</f>
        <v>2</v>
      </c>
    </row>
    <row r="9" spans="1:19" x14ac:dyDescent="0.3">
      <c r="A9">
        <v>2004</v>
      </c>
      <c r="B9" s="1629">
        <f>VLOOKUP(Profile!$I$3,NMBirths_Trend,10,FALSE)</f>
        <v>0.55463917525773199</v>
      </c>
      <c r="C9" s="1629">
        <f>VLOOKUP(Profile!$K$3,NMBirths_Trend,10,FALSE)</f>
        <v>0.37898931075437725</v>
      </c>
      <c r="D9" s="1629">
        <f>'NM Births_Trend'!J5</f>
        <v>0.31002600404507369</v>
      </c>
      <c r="F9">
        <v>2004</v>
      </c>
      <c r="G9" s="724">
        <f>VLOOKUP(Profile!$I$3,TeenBirths_Trend,10,FALSE)</f>
        <v>28.974158183241972</v>
      </c>
      <c r="H9" s="724">
        <f>VLOOKUP(Profile!$K$3,TeenBirths_Trend,10,FALSE)</f>
        <v>21.586554001015838</v>
      </c>
      <c r="I9" s="724">
        <f>'Teen Births_Trend'!J5</f>
        <v>17.707166297187989</v>
      </c>
      <c r="K9" s="1135" t="s">
        <v>871</v>
      </c>
      <c r="L9">
        <f>VLOOKUP(Profile!I3,snap_apps_recvd,9,FALSE)</f>
        <v>115</v>
      </c>
      <c r="M9">
        <f>VLOOKUP(Profile!I3,snap_apps_disp,9,FALSE)</f>
        <v>158</v>
      </c>
      <c r="N9">
        <f>VLOOKUP(Profile!I3,tanf_apps_recvd,9,FALSE)</f>
        <v>17</v>
      </c>
      <c r="O9">
        <f>VLOOKUP(Profile!I3,tanf_apps_disp,9,FALSE)</f>
        <v>22</v>
      </c>
      <c r="P9">
        <f>VLOOKUP(Profile!I3,ma_apps_recvd,9,FALSE)</f>
        <v>267</v>
      </c>
      <c r="Q9">
        <f>VLOOKUP(Profile!I3,ma_apps_disp,9,FALSE)</f>
        <v>306</v>
      </c>
      <c r="R9">
        <f>VLOOKUP(Profile!I3,cc_apps_recvd,9,FALSE)</f>
        <v>7</v>
      </c>
      <c r="S9">
        <f>VLOOKUP(Profile!I3,cc_apps_disp,9,FALSE)</f>
        <v>6</v>
      </c>
    </row>
    <row r="10" spans="1:19" x14ac:dyDescent="0.3">
      <c r="A10">
        <v>2005</v>
      </c>
      <c r="B10" s="1629">
        <f>VLOOKUP(Profile!$I$3,NMBirths_Trend,11,FALSE)</f>
        <v>0.59023354564755837</v>
      </c>
      <c r="C10" s="1629">
        <f>VLOOKUP(Profile!$K$3,NMBirths_Trend,11,FALSE)</f>
        <v>0.38483135114057321</v>
      </c>
      <c r="D10" s="1629">
        <f>'NM Births_Trend'!K5</f>
        <v>0.32234323558686168</v>
      </c>
      <c r="F10">
        <v>2005</v>
      </c>
      <c r="G10" s="724">
        <f>VLOOKUP(Profile!$I$3,TeenBirths_Trend,11,FALSE)</f>
        <v>34.194831013916499</v>
      </c>
      <c r="H10" s="724">
        <f>VLOOKUP(Profile!$K$3,TeenBirths_Trend,11,FALSE)</f>
        <v>21.111042222084446</v>
      </c>
      <c r="I10" s="724">
        <f>'Teen Births_Trend'!K5</f>
        <v>17.591687162315662</v>
      </c>
      <c r="K10" s="1135" t="s">
        <v>872</v>
      </c>
      <c r="L10">
        <f>VLOOKUP(Profile!I3,snap_apps_recvd,10,FALSE)</f>
        <v>151</v>
      </c>
      <c r="M10">
        <f>VLOOKUP(Profile!I3,snap_apps_disp,10,FALSE)</f>
        <v>127</v>
      </c>
      <c r="N10">
        <f>VLOOKUP(Profile!I3,tanf_apps_recvd,10,FALSE)</f>
        <v>29</v>
      </c>
      <c r="O10">
        <f>VLOOKUP(Profile!I3,tanf_apps_disp,10,FALSE)</f>
        <v>30</v>
      </c>
      <c r="P10">
        <f>VLOOKUP(Profile!I3,ma_apps_recvd,10,FALSE)</f>
        <v>165</v>
      </c>
      <c r="Q10">
        <f>VLOOKUP(Profile!I3,ma_apps_disp,10,FALSE)</f>
        <v>161</v>
      </c>
      <c r="R10">
        <f>VLOOKUP(Profile!I3,cc_apps_recvd,10,FALSE)</f>
        <v>8</v>
      </c>
      <c r="S10">
        <f>VLOOKUP(Profile!I3,cc_apps_disp,10,FALSE)</f>
        <v>6</v>
      </c>
    </row>
    <row r="11" spans="1:19" x14ac:dyDescent="0.3">
      <c r="A11">
        <v>2006</v>
      </c>
      <c r="B11" s="1629">
        <f>VLOOKUP(Profile!$I$3,NMBirths_Trend,12,FALSE)</f>
        <v>0.65638766519823788</v>
      </c>
      <c r="C11" s="1629">
        <f>VLOOKUP(Profile!$K$3,NMBirths_Trend,12,FALSE)</f>
        <v>0.39784905228633538</v>
      </c>
      <c r="D11" s="1629">
        <f>'NM Births_Trend'!L5</f>
        <v>0.34083438210267297</v>
      </c>
      <c r="F11">
        <v>2006</v>
      </c>
      <c r="G11" s="724">
        <f>VLOOKUP(Profile!$I$3,TeenBirths_Trend,12,FALSE)</f>
        <v>32.271241830065364</v>
      </c>
      <c r="H11" s="724">
        <f>VLOOKUP(Profile!$K$3,TeenBirths_Trend,12,FALSE)</f>
        <v>21.461512562932111</v>
      </c>
      <c r="I11" s="724">
        <f>'Teen Births_Trend'!L5</f>
        <v>18.306180625228926</v>
      </c>
      <c r="K11" s="1135" t="s">
        <v>873</v>
      </c>
      <c r="L11">
        <f>VLOOKUP(Profile!I3,snap_apps_recvd,11,FALSE)</f>
        <v>129</v>
      </c>
      <c r="M11">
        <f>VLOOKUP(Profile!I3,snap_apps_disp,11,FALSE)</f>
        <v>128</v>
      </c>
      <c r="N11">
        <f>VLOOKUP(Profile!I3,tanf_apps_recvd,11,FALSE)</f>
        <v>13</v>
      </c>
      <c r="O11">
        <f>VLOOKUP(Profile!I3,tanf_apps_disp,11,FALSE)</f>
        <v>12</v>
      </c>
      <c r="P11">
        <f>VLOOKUP(Profile!I3,ma_apps_recvd,11,FALSE)</f>
        <v>181</v>
      </c>
      <c r="Q11">
        <f>VLOOKUP(Profile!I3,ma_apps_disp,11,FALSE)</f>
        <v>172</v>
      </c>
      <c r="R11">
        <f>VLOOKUP(Profile!I3,cc_apps_recvd,11,FALSE)</f>
        <v>1</v>
      </c>
      <c r="S11">
        <f>VLOOKUP(Profile!I3,cc_apps_disp,11,FALSE)</f>
        <v>6</v>
      </c>
    </row>
    <row r="12" spans="1:19" x14ac:dyDescent="0.3">
      <c r="A12">
        <v>2007</v>
      </c>
      <c r="B12" s="1629">
        <f>VLOOKUP(Profile!$I$3,NMBirths_Trend,13,FALSE)</f>
        <v>0.62204724409448819</v>
      </c>
      <c r="C12" s="1629">
        <f>VLOOKUP(Profile!$K$3,NMBirths_Trend,13,FALSE)</f>
        <v>0.40717948717948715</v>
      </c>
      <c r="D12" s="1629">
        <f>'NM Births_Trend'!M5</f>
        <v>0.35309038250458874</v>
      </c>
      <c r="F12">
        <v>2007</v>
      </c>
      <c r="G12" s="724">
        <f>VLOOKUP(Profile!$I$3,TeenBirths_Trend,13,FALSE)</f>
        <v>37.663986457892513</v>
      </c>
      <c r="H12" s="724">
        <f>VLOOKUP(Profile!$K$3,TeenBirths_Trend,13,FALSE)</f>
        <v>21.50318710748461</v>
      </c>
      <c r="I12" s="724">
        <f>'Teen Births_Trend'!M5</f>
        <v>18.39683066850121</v>
      </c>
      <c r="K12" s="1135" t="s">
        <v>874</v>
      </c>
      <c r="L12">
        <f>VLOOKUP(Profile!I3,snap_apps_recvd,12,FALSE)</f>
        <v>214</v>
      </c>
      <c r="M12">
        <f>VLOOKUP(Profile!I3,snap_apps_disp,12,FALSE)</f>
        <v>179</v>
      </c>
      <c r="N12">
        <f>VLOOKUP(Profile!I3,tanf_apps_recvd,12,FALSE)</f>
        <v>19</v>
      </c>
      <c r="O12">
        <f>VLOOKUP(Profile!I3,tanf_apps_disp,12,FALSE)</f>
        <v>17</v>
      </c>
      <c r="P12">
        <f>VLOOKUP(Profile!I3,ma_apps_recvd,12,FALSE)</f>
        <v>147</v>
      </c>
      <c r="Q12">
        <f>VLOOKUP(Profile!I3,ma_apps_disp,12,FALSE)</f>
        <v>168</v>
      </c>
      <c r="R12">
        <f>VLOOKUP(Profile!I3,cc_apps_recvd,12,FALSE)</f>
        <v>6</v>
      </c>
      <c r="S12">
        <f>VLOOKUP(Profile!I3,cc_apps_disp,12,FALSE)</f>
        <v>2</v>
      </c>
    </row>
    <row r="13" spans="1:19" x14ac:dyDescent="0.3">
      <c r="A13">
        <v>2008</v>
      </c>
      <c r="B13" s="1629">
        <f>VLOOKUP(Profile!$I$3,NMBirths_Trend,14,FALSE)</f>
        <v>0.61814345991561181</v>
      </c>
      <c r="C13" s="1629">
        <f>VLOOKUP(Profile!$K$3,NMBirths_Trend,14,FALSE)</f>
        <v>0.42314872433105166</v>
      </c>
      <c r="D13" s="1629">
        <f>'NM Births_Trend'!N5</f>
        <v>0.35843232186755242</v>
      </c>
      <c r="F13">
        <v>2008</v>
      </c>
      <c r="G13" s="724">
        <f>VLOOKUP(Profile!$I$3,TeenBirths_Trend,14,FALSE)</f>
        <v>32.77274687365243</v>
      </c>
      <c r="H13" s="724">
        <f>VLOOKUP(Profile!$K$3,TeenBirths_Trend,14,FALSE)</f>
        <v>20.230346309403437</v>
      </c>
      <c r="I13" s="724">
        <f>'Teen Births_Trend'!N5</f>
        <v>17.690427455734188</v>
      </c>
      <c r="K13" s="1135" t="s">
        <v>875</v>
      </c>
      <c r="L13">
        <f>VLOOKUP(Profile!I3,snap_apps_recvd,13,FALSE)</f>
        <v>222</v>
      </c>
      <c r="M13">
        <f>VLOOKUP(Profile!I3,snap_apps_disp,13,FALSE)</f>
        <v>243</v>
      </c>
      <c r="N13">
        <f>VLOOKUP(Profile!I3,tanf_apps_recvd,13,FALSE)</f>
        <v>17</v>
      </c>
      <c r="O13">
        <f>VLOOKUP(Profile!I3,tanf_apps_disp,13,FALSE)</f>
        <v>19</v>
      </c>
      <c r="P13">
        <f>VLOOKUP(Profile!I3,ma_apps_recvd,13,FALSE)</f>
        <v>132</v>
      </c>
      <c r="Q13">
        <f>VLOOKUP(Profile!I3,ma_apps_disp,13,FALSE)</f>
        <v>152</v>
      </c>
      <c r="R13">
        <f>VLOOKUP(Profile!I3,cc_apps_recvd,13,FALSE)</f>
        <v>2</v>
      </c>
      <c r="S13">
        <f>VLOOKUP(Profile!I3,cc_apps_disp,13,FALSE)</f>
        <v>5</v>
      </c>
    </row>
    <row r="14" spans="1:19" x14ac:dyDescent="0.3">
      <c r="A14">
        <v>2009</v>
      </c>
      <c r="B14" s="1629">
        <f>VLOOKUP(Profile!$I$3,NMBirths_Trend,15,FALSE)</f>
        <v>0.62383177570093462</v>
      </c>
      <c r="C14" s="1629">
        <f>VLOOKUP(Profile!$K$3,NMBirths_Trend,15,FALSE)</f>
        <v>0.42440128678660788</v>
      </c>
      <c r="D14" s="1629">
        <f>'NM Births_Trend'!O5</f>
        <v>0.35824307718686593</v>
      </c>
      <c r="F14">
        <v>2009</v>
      </c>
      <c r="G14" s="724">
        <f>VLOOKUP(Profile!$I$3,TeenBirths_Trend,15,FALSE)</f>
        <v>21.557413110426747</v>
      </c>
      <c r="H14" s="724">
        <f>VLOOKUP(Profile!$K$3,TeenBirths_Trend,15,FALSE)</f>
        <v>19.306958769150995</v>
      </c>
      <c r="I14" s="724">
        <f>'Teen Births_Trend'!O5</f>
        <v>16.372318054611284</v>
      </c>
      <c r="K14" s="1135" t="s">
        <v>876</v>
      </c>
      <c r="L14">
        <f>VLOOKUP(Profile!I3,snap_apps_recvd,14,FALSE)</f>
        <v>133</v>
      </c>
      <c r="M14">
        <f>VLOOKUP(Profile!I3,snap_apps_disp,14,FALSE)</f>
        <v>158</v>
      </c>
      <c r="N14">
        <f>VLOOKUP(Profile!I3,tanf_apps_recvd,14,FALSE)</f>
        <v>14</v>
      </c>
      <c r="O14">
        <f>VLOOKUP(Profile!I3,tanf_apps_disp,14,FALSE)</f>
        <v>18</v>
      </c>
      <c r="P14">
        <f>VLOOKUP(Profile!I3,ma_apps_recvd,14,FALSE)</f>
        <v>87</v>
      </c>
      <c r="Q14">
        <f>VLOOKUP(Profile!I3,ma_apps_disp,14,FALSE)</f>
        <v>96</v>
      </c>
      <c r="R14">
        <f>VLOOKUP(Profile!I3,cc_apps_recvd,14,FALSE)</f>
        <v>2</v>
      </c>
      <c r="S14">
        <f>VLOOKUP(Profile!I3,cc_apps_disp,14,FALSE)</f>
        <v>2</v>
      </c>
    </row>
    <row r="15" spans="1:19" x14ac:dyDescent="0.3">
      <c r="A15">
        <v>2010</v>
      </c>
      <c r="B15" s="1629">
        <f>VLOOKUP(Profile!$I$3,NMBirths_Trend,16,FALSE)</f>
        <v>0.5889145496535797</v>
      </c>
      <c r="C15" s="1629">
        <f>VLOOKUP(Profile!$K$3,NMBirths_Trend,16,FALSE)</f>
        <v>0.42288821653446723</v>
      </c>
      <c r="D15" s="1629">
        <f>'NM Births_Trend'!P5</f>
        <v>0.35490702780422406</v>
      </c>
      <c r="F15">
        <v>2010</v>
      </c>
      <c r="G15" s="724">
        <f>VLOOKUP(Profile!$I$3,TeenBirths_Trend,16,FALSE)</f>
        <v>29.168959823885526</v>
      </c>
      <c r="H15" s="724">
        <f>VLOOKUP(Profile!$K$3,TeenBirths_Trend,16,FALSE)</f>
        <v>17.725513398910337</v>
      </c>
      <c r="I15" s="724">
        <f>'Teen Births_Trend'!P5</f>
        <v>14.340618588477803</v>
      </c>
      <c r="K15" s="1135" t="s">
        <v>877</v>
      </c>
      <c r="L15">
        <f>VLOOKUP(Profile!I3,snap_apps_recvd,15,FALSE)</f>
        <v>110</v>
      </c>
      <c r="M15">
        <f>VLOOKUP(Profile!I3,snap_apps_disp,15,FALSE)</f>
        <v>118</v>
      </c>
      <c r="N15">
        <f>VLOOKUP(Profile!I3,tanf_apps_recvd,15,FALSE)</f>
        <v>14</v>
      </c>
      <c r="O15">
        <f>VLOOKUP(Profile!I3,tanf_apps_disp,15,FALSE)</f>
        <v>13</v>
      </c>
      <c r="P15">
        <f>VLOOKUP(Profile!I3,ma_apps_recvd,15,FALSE)</f>
        <v>93</v>
      </c>
      <c r="Q15">
        <f>VLOOKUP(Profile!I3,ma_apps_disp,15,FALSE)</f>
        <v>84</v>
      </c>
      <c r="R15">
        <f>VLOOKUP(Profile!I3,cc_apps_recvd,15,FALSE)</f>
        <v>6</v>
      </c>
      <c r="S15">
        <f>VLOOKUP(Profile!I3,cc_apps_disp,15,FALSE)</f>
        <v>4</v>
      </c>
    </row>
    <row r="16" spans="1:19" x14ac:dyDescent="0.3">
      <c r="A16">
        <v>2011</v>
      </c>
      <c r="B16" s="1629">
        <f>VLOOKUP(Profile!$I$3,NMBirths_Trend,17,FALSE)</f>
        <v>0.57740585774058573</v>
      </c>
      <c r="C16" s="1629">
        <f>VLOOKUP(Profile!$K$3,NMBirths_Trend,17,FALSE)</f>
        <v>0.42436647971506941</v>
      </c>
      <c r="D16" s="1629">
        <f>'NM Births_Trend'!Q5</f>
        <v>0.35493782004389174</v>
      </c>
      <c r="F16">
        <v>2011</v>
      </c>
      <c r="G16" s="724">
        <f>VLOOKUP(Profile!$I$3,TeenBirths_Trend,17,FALSE)</f>
        <v>23.982152816508645</v>
      </c>
      <c r="H16" s="724">
        <f>VLOOKUP(Profile!$K$3,TeenBirths_Trend,17,FALSE)</f>
        <v>15.679046633170904</v>
      </c>
      <c r="I16" s="724">
        <f>'Teen Births_Trend'!Q5</f>
        <v>12.702167795404645</v>
      </c>
      <c r="K16" s="1135"/>
    </row>
    <row r="17" spans="1:11" x14ac:dyDescent="0.3">
      <c r="A17">
        <v>2012</v>
      </c>
      <c r="B17" s="1629">
        <f>VLOOKUP(Profile!$I$3,NMBirths_Trend,18,FALSE)</f>
        <v>0.56060606060606055</v>
      </c>
      <c r="C17" s="1629">
        <f>VLOOKUP(Profile!$K$3,NMBirths_Trend,18,FALSE)</f>
        <v>0.42346055560135193</v>
      </c>
      <c r="D17" s="1629">
        <f>'NM Births_Trend'!R5</f>
        <v>0.35279298907704426</v>
      </c>
      <c r="F17">
        <v>2012</v>
      </c>
      <c r="G17" s="724">
        <f>VLOOKUP(Profile!$I$3,TeenBirths_Trend,18,FALSE)</f>
        <v>18.212862834376779</v>
      </c>
      <c r="H17" s="724">
        <f>VLOOKUP(Profile!$K$3,TeenBirths_Trend,18,FALSE)</f>
        <v>14.462774596119328</v>
      </c>
      <c r="I17" s="724">
        <f>'Teen Births_Trend'!R5</f>
        <v>11.846432840922917</v>
      </c>
      <c r="K17" s="1135"/>
    </row>
    <row r="18" spans="1:11" x14ac:dyDescent="0.3">
      <c r="A18">
        <v>2013</v>
      </c>
      <c r="B18" s="1629">
        <f>VLOOKUP(Profile!$I$3,NMBirths_Trend,19,FALSE)</f>
        <v>0.55882352941176472</v>
      </c>
      <c r="C18" s="1629">
        <f>VLOOKUP(Profile!$K$3,NMBirths_Trend,19,FALSE)</f>
        <v>0.41241939757971913</v>
      </c>
      <c r="D18" s="1629">
        <f>'NM Births_Trend'!S5</f>
        <v>0.35096578196522776</v>
      </c>
      <c r="F18">
        <v>2013</v>
      </c>
      <c r="G18" s="724">
        <f>VLOOKUP(Profile!$I$3,TeenBirths_Trend,19,FALSE)</f>
        <v>13.248847926267281</v>
      </c>
      <c r="H18" s="724">
        <f>VLOOKUP(Profile!$K$3,TeenBirths_Trend,19,FALSE)</f>
        <v>12.707424753955959</v>
      </c>
      <c r="I18" s="724">
        <f>'Teen Births_Trend'!S5</f>
        <v>10.25553965050911</v>
      </c>
      <c r="K18" s="1135"/>
    </row>
    <row r="19" spans="1:11" x14ac:dyDescent="0.3">
      <c r="A19">
        <v>2014</v>
      </c>
      <c r="B19" s="1629">
        <f>VLOOKUP(Profile!$I$3,NMBirths_Trend,20,FALSE)</f>
        <v>0.55585106382978722</v>
      </c>
      <c r="C19" s="1629">
        <f>VLOOKUP(Profile!$K$3,NMBirths_Trend,20,FALSE)</f>
        <v>0.39805019705455302</v>
      </c>
      <c r="D19" s="1629">
        <f>'NM Births_Trend'!T5</f>
        <v>0.340045722068194</v>
      </c>
      <c r="F19">
        <v>2014</v>
      </c>
      <c r="G19" s="724">
        <f>VLOOKUP(Profile!$I$3,TeenBirths_Trend,20,FALSE)</f>
        <v>17.793594306049823</v>
      </c>
      <c r="H19" s="724">
        <f>VLOOKUP(Profile!$K$3,TeenBirths_Trend,20,FALSE)</f>
        <v>10.34276433883238</v>
      </c>
      <c r="I19" s="724">
        <f>'Teen Births_Trend'!T5</f>
        <v>9.405709207785387</v>
      </c>
      <c r="K19" s="1135"/>
    </row>
    <row r="20" spans="1:11" x14ac:dyDescent="0.3">
      <c r="A20">
        <v>2015</v>
      </c>
      <c r="B20" s="1629">
        <f>VLOOKUP(Profile!$I$3,NMBirths_Trend,21,FALSE)</f>
        <v>0.57622739018087854</v>
      </c>
      <c r="C20" s="1629">
        <f>VLOOKUP(Profile!$K$3,NMBirths_Trend,21,FALSE)</f>
        <v>0.40568625820932747</v>
      </c>
      <c r="D20" s="1629">
        <f>'NM Births_Trend'!U5</f>
        <v>0.34452917321535986</v>
      </c>
      <c r="F20">
        <v>2015</v>
      </c>
      <c r="G20" s="724">
        <f>VLOOKUP(Profile!$I$3,TeenBirths_Trend,21,FALSE)</f>
        <v>14.979029358897543</v>
      </c>
      <c r="H20" s="724">
        <f>VLOOKUP(Profile!$K$3,TeenBirths_Trend,21,FALSE)</f>
        <v>10.234008261187393</v>
      </c>
      <c r="I20" s="1014">
        <f>'Teen Births_Trend'!U5</f>
        <v>8.735085092108628</v>
      </c>
      <c r="K20" s="1135"/>
    </row>
    <row r="21" spans="1:11" x14ac:dyDescent="0.3">
      <c r="A21">
        <v>2016</v>
      </c>
      <c r="B21" s="1629">
        <f>VLOOKUP(Profile!$I$3,NMBirths_Trend,22,FALSE)</f>
        <v>0.58064516129032262</v>
      </c>
      <c r="C21" s="1629">
        <f>VLOOKUP(Profile!$K$3,NMBirths_Trend,22,FALSE)</f>
        <v>0.39988199098073923</v>
      </c>
      <c r="D21" s="1629">
        <f>'NM Births_Trend'!V5</f>
        <v>0.34030691587688155</v>
      </c>
      <c r="F21">
        <v>2016</v>
      </c>
      <c r="G21" s="724">
        <f>VLOOKUP(Profile!$I$3,TeenBirths_Trend,22,FALSE)</f>
        <v>12.131715771230503</v>
      </c>
      <c r="H21" s="724">
        <f>VLOOKUP(Profile!$K$3,TeenBirths_Trend,22,FALSE)</f>
        <v>9.2260560823792961</v>
      </c>
      <c r="I21" s="1014">
        <f>'Teen Births_Trend'!V5</f>
        <v>7.9419432438809618</v>
      </c>
      <c r="K21" s="1135"/>
    </row>
    <row r="22" spans="1:11" x14ac:dyDescent="0.3">
      <c r="A22">
        <v>2017</v>
      </c>
      <c r="B22" s="1629">
        <f>VLOOKUP(Profile!$I$3,NMBirths_Trend,23,FALSE)</f>
        <v>0.54591836734693877</v>
      </c>
      <c r="C22" s="1629">
        <f>VLOOKUP(Profile!$K$3,NMBirths_Trend,23,FALSE)</f>
        <v>0.40467212759502447</v>
      </c>
      <c r="D22" s="1629">
        <f>'NM Births_Trend'!W5</f>
        <v>0.34618124893380031</v>
      </c>
      <c r="F22">
        <v>2017</v>
      </c>
      <c r="G22" s="724">
        <f>VLOOKUP(Profile!$I$3,TeenBirths_Trend,23,FALSE)</f>
        <v>14.697236919459142</v>
      </c>
      <c r="H22" s="724">
        <f>VLOOKUP(Profile!$K$3,TeenBirths_Trend,23,FALSE)</f>
        <v>8.7405429461504216</v>
      </c>
      <c r="I22" s="1014">
        <f>'Teen Births_Trend'!W5</f>
        <v>7.6474440227776652</v>
      </c>
    </row>
    <row r="23" spans="1:11" x14ac:dyDescent="0.3">
      <c r="A23">
        <v>2018</v>
      </c>
      <c r="B23" s="1629">
        <f>VLOOKUP(Profile!$I$3,NMBirths_Trend,24,FALSE)</f>
        <v>0.54415954415954415</v>
      </c>
      <c r="C23" s="1629">
        <f>VLOOKUP(Profile!$K$3,NMBirths_Trend,24,FALSE)</f>
        <v>0.40094525403702247</v>
      </c>
      <c r="D23" s="1629">
        <f>'NM Births_Trend'!X5</f>
        <v>0.33788354796294251</v>
      </c>
      <c r="F23">
        <v>2018</v>
      </c>
      <c r="G23" s="724">
        <f>VLOOKUP(Profile!$I$3,TeenBirths_Trend,24,FALSE)</f>
        <v>12.941176470588236</v>
      </c>
      <c r="H23" s="724">
        <f>VLOOKUP(Profile!$K$3,TeenBirths_Trend,24,FALSE)</f>
        <v>8.2672666238125849</v>
      </c>
      <c r="I23" s="1014">
        <f>'Teen Births_Trend'!X5</f>
        <v>7.2760622499091445</v>
      </c>
    </row>
    <row r="24" spans="1:11" x14ac:dyDescent="0.3">
      <c r="A24">
        <v>2019</v>
      </c>
      <c r="B24" s="1629">
        <f>VLOOKUP(Profile!$I$3,NMBirths_Trend,25,FALSE)</f>
        <v>0.55882352941176472</v>
      </c>
      <c r="C24" s="1629">
        <f>VLOOKUP(Profile!$K$3,NMBirths_Trend,25,FALSE)</f>
        <v>0.41241939757971913</v>
      </c>
      <c r="D24" s="1629">
        <f>'NM Births_Trend'!Y5</f>
        <v>0.35096578196522776</v>
      </c>
      <c r="F24">
        <v>2019</v>
      </c>
      <c r="G24" s="724">
        <f>VLOOKUP(Profile!$I$3,TeenBirths_Trend,25,FALSE)</f>
        <v>14.318442153493699</v>
      </c>
      <c r="H24" s="724">
        <f>VLOOKUP(Profile!$K$3,TeenBirths_Trend,25,FALSE)</f>
        <v>8.3014677568126665</v>
      </c>
      <c r="I24" s="1014">
        <f>'Teen Births_Trend'!Y5</f>
        <v>6.9715219724194295</v>
      </c>
    </row>
    <row r="27" spans="1:11" x14ac:dyDescent="0.3">
      <c r="A27" s="19"/>
      <c r="B27" s="19" t="s">
        <v>821</v>
      </c>
      <c r="C27" s="19" t="s">
        <v>605</v>
      </c>
      <c r="D27" s="19" t="s">
        <v>604</v>
      </c>
      <c r="E27" s="4" t="s">
        <v>262</v>
      </c>
    </row>
    <row r="28" spans="1:11" x14ac:dyDescent="0.3">
      <c r="A28" s="19" t="s">
        <v>287</v>
      </c>
      <c r="B28" s="1850">
        <f>'Spending By Region'!D5</f>
        <v>366815823.25999999</v>
      </c>
      <c r="C28" s="1850">
        <f>'Spending By Region'!D10</f>
        <v>10601990.879999999</v>
      </c>
      <c r="D28" s="1850">
        <f>'Spending By Region'!D13</f>
        <v>7852752179.9243193</v>
      </c>
      <c r="E28" s="1851">
        <f>'Spending By Region'!D24</f>
        <v>8230169994.0643196</v>
      </c>
    </row>
    <row r="29" spans="1:11" x14ac:dyDescent="0.3">
      <c r="A29" s="19" t="s">
        <v>288</v>
      </c>
      <c r="B29" s="1850">
        <f>'Spending By Region'!E5</f>
        <v>111531387.14</v>
      </c>
      <c r="C29" s="1850">
        <f>'Spending By Region'!E10</f>
        <v>8642703.8000000007</v>
      </c>
      <c r="D29" s="1850">
        <f>'Spending By Region'!E13</f>
        <v>6535016028.0972023</v>
      </c>
      <c r="E29" s="1851">
        <f>'Spending By Region'!E24</f>
        <v>6655190119.0372019</v>
      </c>
    </row>
    <row r="30" spans="1:11" x14ac:dyDescent="0.3">
      <c r="A30" s="19" t="s">
        <v>289</v>
      </c>
      <c r="B30" s="1850">
        <f>'Spending By Region'!F5</f>
        <v>226416404.11999997</v>
      </c>
      <c r="C30" s="1850">
        <f>'Spending By Region'!F10</f>
        <v>3952816.6099999994</v>
      </c>
      <c r="D30" s="1850">
        <f>'Spending By Region'!F13</f>
        <v>168976600.09999999</v>
      </c>
      <c r="E30" s="1851">
        <f>'Spending By Region'!F24</f>
        <v>399345820.82999992</v>
      </c>
    </row>
    <row r="31" spans="1:11" x14ac:dyDescent="0.3">
      <c r="A31" s="4" t="s">
        <v>279</v>
      </c>
      <c r="B31" s="1850">
        <f>'Spending By Region'!G5</f>
        <v>39949117.840000004</v>
      </c>
      <c r="C31" s="1850">
        <f>'Spending By Region'!G10</f>
        <v>4605601.0600000005</v>
      </c>
      <c r="D31" s="1850">
        <f>'Spending By Region'!G13</f>
        <v>1465677.8199999998</v>
      </c>
      <c r="E31" s="1851">
        <f>'Spending By Region'!G24</f>
        <v>46020396.720000006</v>
      </c>
    </row>
    <row r="32" spans="1:11" x14ac:dyDescent="0.3">
      <c r="A32" s="19" t="s">
        <v>262</v>
      </c>
      <c r="B32" s="1850">
        <f>'Spending By Region'!H5</f>
        <v>744712732.36000001</v>
      </c>
      <c r="C32" s="1850">
        <f>'Spending By Region'!H10</f>
        <v>27803112.350000001</v>
      </c>
      <c r="D32" s="1850">
        <f>'Spending By Region'!H13</f>
        <v>14558210485.941521</v>
      </c>
      <c r="E32" s="1852">
        <f>'Spending By Region'!H24</f>
        <v>15330726330.65152</v>
      </c>
    </row>
    <row r="33" spans="1:8" x14ac:dyDescent="0.3">
      <c r="A33" s="19" t="s">
        <v>824</v>
      </c>
      <c r="B33" s="1850">
        <f>B30+B31</f>
        <v>266365521.95999998</v>
      </c>
      <c r="C33" s="1850">
        <f>C30+C31</f>
        <v>8558417.6699999999</v>
      </c>
      <c r="D33" s="1850">
        <f>D30+D31</f>
        <v>170442277.91999999</v>
      </c>
      <c r="E33" s="1850">
        <f>E30+E31</f>
        <v>445366217.54999995</v>
      </c>
    </row>
    <row r="35" spans="1:8" x14ac:dyDescent="0.3">
      <c r="B35" t="s">
        <v>979</v>
      </c>
      <c r="C35" t="s">
        <v>970</v>
      </c>
      <c r="D35" t="s">
        <v>983</v>
      </c>
      <c r="E35" t="s">
        <v>969</v>
      </c>
      <c r="F35" t="s">
        <v>980</v>
      </c>
      <c r="G35" t="s">
        <v>981</v>
      </c>
      <c r="H35" t="s">
        <v>982</v>
      </c>
    </row>
    <row r="36" spans="1:8" x14ac:dyDescent="0.3">
      <c r="A36">
        <v>2010</v>
      </c>
      <c r="B36" s="2176">
        <f>VLOOKUP(Profile!$I$3,AliceHHs,5,FALSE)</f>
        <v>2856</v>
      </c>
      <c r="C36" s="2176">
        <f>VLOOKUP(Profile!$I$3,AliceHHs,6,FALSE)</f>
        <v>3210</v>
      </c>
      <c r="D36" s="2176">
        <f>VLOOKUP(Profile!$I$3,AliceHHs,7,FALSE)</f>
        <v>7610</v>
      </c>
      <c r="E36" s="2176">
        <f>VLOOKUP(Profile!$I$3,AliceHHs,4,FALSE)</f>
        <v>13676</v>
      </c>
      <c r="F36" s="2182">
        <f>B36/E36</f>
        <v>0.20883299210295408</v>
      </c>
      <c r="G36" s="2181">
        <f>C36/E36</f>
        <v>0.23471775372916057</v>
      </c>
      <c r="H36" s="2181">
        <f>D36/E36</f>
        <v>0.55644925416788538</v>
      </c>
    </row>
    <row r="37" spans="1:8" x14ac:dyDescent="0.3">
      <c r="A37">
        <v>2012</v>
      </c>
      <c r="B37" s="2176">
        <f>VLOOKUP(Profile!$I$3,AliceHHs,12,FALSE)</f>
        <v>2942</v>
      </c>
      <c r="C37" s="2176">
        <f>VLOOKUP(Profile!$I$3,AliceHHs,13,FALSE)</f>
        <v>3555</v>
      </c>
      <c r="D37" s="2176">
        <f>VLOOKUP(Profile!$I$3,AliceHHs,14,FALSE)</f>
        <v>7986</v>
      </c>
      <c r="E37" s="2176">
        <f>VLOOKUP(Profile!$I$3,AliceHHs,11,FALSE)</f>
        <v>14483</v>
      </c>
      <c r="F37" s="2182">
        <f t="shared" ref="F37:F40" si="0">B37/E37</f>
        <v>0.2031347096596009</v>
      </c>
      <c r="G37" s="2181">
        <f t="shared" ref="G37:G40" si="1">C37/E37</f>
        <v>0.24546019471104052</v>
      </c>
      <c r="H37" s="2181">
        <f t="shared" ref="H37:H40" si="2">D37/E37</f>
        <v>0.55140509562935858</v>
      </c>
    </row>
    <row r="38" spans="1:8" x14ac:dyDescent="0.3">
      <c r="A38">
        <v>2014</v>
      </c>
      <c r="B38" s="2176">
        <f>VLOOKUP(Profile!$I$3,AliceHHs,19,FALSE)</f>
        <v>2754</v>
      </c>
      <c r="C38" s="2176">
        <f>VLOOKUP(Profile!$I$3,AliceHHs,20,FALSE)</f>
        <v>4310</v>
      </c>
      <c r="D38" s="2176">
        <f>VLOOKUP(Profile!$I$3,AliceHHs,21,FALSE)</f>
        <v>7225</v>
      </c>
      <c r="E38" s="2176">
        <f>VLOOKUP(Profile!$I$3,AliceHHs,18,FALSE)</f>
        <v>14289</v>
      </c>
      <c r="F38" s="2182">
        <f t="shared" si="0"/>
        <v>0.19273567079571699</v>
      </c>
      <c r="G38" s="2181">
        <f t="shared" si="1"/>
        <v>0.30163062495626008</v>
      </c>
      <c r="H38" s="2181">
        <f t="shared" si="2"/>
        <v>0.50563370424802301</v>
      </c>
    </row>
    <row r="39" spans="1:8" x14ac:dyDescent="0.3">
      <c r="A39">
        <v>2016</v>
      </c>
      <c r="B39" s="2176">
        <f>VLOOKUP(Profile!$I$3,AliceHHs,26,FALSE)</f>
        <v>2561</v>
      </c>
      <c r="C39" s="2176">
        <f>VLOOKUP(Profile!$I$3,AliceHHs,27,FALSE)</f>
        <v>4612</v>
      </c>
      <c r="D39" s="2176">
        <f>VLOOKUP(Profile!$I$3,AliceHHs,28,FALSE)</f>
        <v>6646</v>
      </c>
      <c r="E39" s="2176">
        <f>VLOOKUP(Profile!$I$3,AliceHHs,25,FALSE)</f>
        <v>13819</v>
      </c>
      <c r="F39" s="2182">
        <f t="shared" si="0"/>
        <v>0.18532455315145813</v>
      </c>
      <c r="G39" s="2181">
        <f t="shared" si="1"/>
        <v>0.33374339677255954</v>
      </c>
      <c r="H39" s="2181">
        <f t="shared" si="2"/>
        <v>0.48093205007598233</v>
      </c>
    </row>
    <row r="40" spans="1:8" x14ac:dyDescent="0.3">
      <c r="A40">
        <v>2018</v>
      </c>
      <c r="B40" s="2176">
        <f>VLOOKUP(Profile!$I$3,AliceHHs,33,FALSE)</f>
        <v>2085</v>
      </c>
      <c r="C40" s="2176">
        <f>VLOOKUP(Profile!$I$3,AliceHHs,34,FALSE)</f>
        <v>4645</v>
      </c>
      <c r="D40" s="2176">
        <f>VLOOKUP(Profile!$I$3,AliceHHs,35,FALSE)</f>
        <v>6671</v>
      </c>
      <c r="E40" s="2176">
        <f>VLOOKUP(Profile!$I$3,AliceHHs,32,FALSE)</f>
        <v>13401</v>
      </c>
      <c r="F40" s="2182">
        <f t="shared" si="0"/>
        <v>0.15558540407432281</v>
      </c>
      <c r="G40" s="2181">
        <f t="shared" si="1"/>
        <v>0.34661592418476234</v>
      </c>
      <c r="H40" s="2181">
        <f t="shared" si="2"/>
        <v>0.49779867174091486</v>
      </c>
    </row>
    <row r="42" spans="1:8" x14ac:dyDescent="0.3">
      <c r="A42" t="s">
        <v>1005</v>
      </c>
      <c r="C42" t="s">
        <v>262</v>
      </c>
      <c r="D42" t="s">
        <v>1035</v>
      </c>
      <c r="E42" t="s">
        <v>1036</v>
      </c>
    </row>
    <row r="43" spans="1:8" x14ac:dyDescent="0.3">
      <c r="B43" t="s">
        <v>1044</v>
      </c>
      <c r="C43" s="2176">
        <f>VLOOKUP(Profile!$I$3,uninsured,4,FALSE)</f>
        <v>23820</v>
      </c>
      <c r="D43" s="2176">
        <f>VLOOKUP(Profile!$I$3,uninsured,5,FALSE)</f>
        <v>20219</v>
      </c>
      <c r="E43" s="2176">
        <f>VLOOKUP(Profile!$I$3,uninsured,6,FALSE)</f>
        <v>3601</v>
      </c>
    </row>
    <row r="44" spans="1:8" x14ac:dyDescent="0.3">
      <c r="B44" t="s">
        <v>1045</v>
      </c>
      <c r="C44" s="2176">
        <f>VLOOKUP(Profile!$I$3,uninsured,8,FALSE)</f>
        <v>6715</v>
      </c>
      <c r="D44" s="2176">
        <f>VLOOKUP(Profile!$I$3,uninsured,9,FALSE)</f>
        <v>5395</v>
      </c>
      <c r="E44" s="2176">
        <f>VLOOKUP(Profile!$I$3,uninsured,10,FALSE)</f>
        <v>1320</v>
      </c>
    </row>
    <row r="45" spans="1:8" x14ac:dyDescent="0.3">
      <c r="B45" t="s">
        <v>1046</v>
      </c>
      <c r="C45" s="2176">
        <f>VLOOKUP(Profile!$I$3,uninsured,12,FALSE)</f>
        <v>10159</v>
      </c>
      <c r="D45" s="2176">
        <f>VLOOKUP(Profile!$I$3,uninsured,13,FALSE)</f>
        <v>8168</v>
      </c>
      <c r="E45" s="2176">
        <f>VLOOKUP(Profile!$I$3,uninsured,14,FALSE)</f>
        <v>1991</v>
      </c>
    </row>
    <row r="46" spans="1:8" x14ac:dyDescent="0.3">
      <c r="C46" s="2176"/>
      <c r="D46" s="2176"/>
      <c r="E46" s="2176"/>
    </row>
    <row r="49" spans="2:6" ht="29.4" customHeight="1" x14ac:dyDescent="0.3">
      <c r="C49" s="2208" t="s">
        <v>1047</v>
      </c>
      <c r="D49" s="2208" t="s">
        <v>1048</v>
      </c>
      <c r="E49" s="2208" t="str">
        <f>Profile!$D$3</f>
        <v>Accomack</v>
      </c>
      <c r="F49" s="2208" t="s">
        <v>529</v>
      </c>
    </row>
    <row r="50" spans="2:6" x14ac:dyDescent="0.3">
      <c r="B50">
        <v>2012</v>
      </c>
      <c r="C50" s="2200">
        <f>VLOOKUP(Profile!$I$3,uninsured_annual,4,FALSE)</f>
        <v>11973</v>
      </c>
      <c r="D50" s="2200">
        <f>VLOOKUP(Profile!$I$3,uninsured_annual,5,FALSE)</f>
        <v>3600</v>
      </c>
      <c r="E50" s="1629">
        <f>VLOOKUP(Profile!$I$3,uninsured_annual,6,FALSE)</f>
        <v>0.30067652217489349</v>
      </c>
      <c r="F50" s="1629">
        <f>'Uninsured by Year'!F6</f>
        <v>0.28023391047387231</v>
      </c>
    </row>
    <row r="51" spans="2:6" x14ac:dyDescent="0.3">
      <c r="B51">
        <v>2013</v>
      </c>
      <c r="C51" s="2200">
        <f>VLOOKUP(Profile!$I$3,uninsured_annual,7,FALSE)</f>
        <v>11985</v>
      </c>
      <c r="D51" s="2200">
        <f>VLOOKUP(Profile!$I$3,uninsured_annual,8,FALSE)</f>
        <v>3472</v>
      </c>
      <c r="E51" s="1629">
        <f>VLOOKUP(Profile!$I$3,uninsured_annual,9,FALSE)</f>
        <v>0.28969545264914476</v>
      </c>
      <c r="F51" s="1629">
        <f>'Uninsured by Year'!I6</f>
        <v>0.2691241812992341</v>
      </c>
    </row>
    <row r="52" spans="2:6" x14ac:dyDescent="0.3">
      <c r="B52">
        <v>2014</v>
      </c>
      <c r="C52" s="2200">
        <f>VLOOKUP(Profile!$I$3,uninsured_annual,10,FALSE)</f>
        <v>11798</v>
      </c>
      <c r="D52" s="2200">
        <f>VLOOKUP(Profile!$I$3,uninsured_annual,11,FALSE)</f>
        <v>3138</v>
      </c>
      <c r="E52" s="1629">
        <f>VLOOKUP(Profile!$I$3,uninsured_annual,12,FALSE)</f>
        <v>0.26597728428547213</v>
      </c>
      <c r="F52" s="1629">
        <f>'Uninsured by Year'!L6</f>
        <v>0.24366502454773439</v>
      </c>
    </row>
    <row r="53" spans="2:6" x14ac:dyDescent="0.3">
      <c r="B53">
        <v>2015</v>
      </c>
      <c r="C53" s="2200">
        <f>VLOOKUP(Profile!$I$3,uninsured_annual,13,FALSE)</f>
        <v>11306</v>
      </c>
      <c r="D53" s="2200">
        <f>VLOOKUP(Profile!$I$3,uninsured_annual,14,FALSE)</f>
        <v>3039</v>
      </c>
      <c r="E53" s="1629">
        <f>VLOOKUP(Profile!$I$3,uninsured_annual,15,FALSE)</f>
        <v>0.26879532991332034</v>
      </c>
      <c r="F53" s="1629">
        <f>'Uninsured by Year'!O6</f>
        <v>0.20727938155394221</v>
      </c>
    </row>
    <row r="54" spans="2:6" x14ac:dyDescent="0.3">
      <c r="B54">
        <v>2016</v>
      </c>
      <c r="C54" s="2200">
        <f>VLOOKUP(Profile!$I$3,uninsured_annual,16,FALSE)</f>
        <v>10789</v>
      </c>
      <c r="D54" s="2200">
        <f>VLOOKUP(Profile!$I$3,uninsured_annual,17,FALSE)</f>
        <v>2772</v>
      </c>
      <c r="E54" s="1629">
        <f>VLOOKUP(Profile!$I$3,uninsured_annual,18,FALSE)</f>
        <v>0.25692835295208083</v>
      </c>
      <c r="F54" s="1629">
        <f>'Uninsured by Year'!R6</f>
        <v>0.19816538066695366</v>
      </c>
    </row>
    <row r="55" spans="2:6" x14ac:dyDescent="0.3">
      <c r="B55">
        <v>2017</v>
      </c>
      <c r="C55" s="2200">
        <f>VLOOKUP(Profile!$I$3,uninsured_annual,19,FALSE)</f>
        <v>10579</v>
      </c>
      <c r="D55" s="2200">
        <f>VLOOKUP(Profile!$I$3,uninsured_annual,20,FALSE)</f>
        <v>2389</v>
      </c>
      <c r="E55" s="1629">
        <f>VLOOKUP(Profile!$I$3,uninsured_annual,21,FALSE)</f>
        <v>0.2258247471405615</v>
      </c>
      <c r="F55" s="1629">
        <f>'Uninsured by Year'!U6</f>
        <v>0.19697898181722828</v>
      </c>
    </row>
    <row r="56" spans="2:6" x14ac:dyDescent="0.3">
      <c r="B56">
        <v>2018</v>
      </c>
      <c r="C56" s="2200">
        <f>VLOOKUP(Profile!$I$3,uninsured_annual,22,FALSE)</f>
        <v>10440</v>
      </c>
      <c r="D56" s="2200">
        <f>VLOOKUP(Profile!$I$3,uninsured_annual,23,FALSE)</f>
        <v>2458</v>
      </c>
      <c r="E56" s="1629">
        <f>VLOOKUP(Profile!$I$3,uninsured_annual,24,FALSE)</f>
        <v>0.23544061302681993</v>
      </c>
      <c r="F56" s="1629">
        <f>'Uninsured by Year'!X6</f>
        <v>0.19597792024509583</v>
      </c>
    </row>
    <row r="57" spans="2:6" x14ac:dyDescent="0.3">
      <c r="B57">
        <v>2019</v>
      </c>
      <c r="C57" s="2200">
        <f>VLOOKUP(Profile!$I$3,uninsured_annual,25,FALSE)</f>
        <v>10159</v>
      </c>
      <c r="D57" s="2200">
        <f>VLOOKUP(Profile!$I$3,uninsured_annual,26,FALSE)</f>
        <v>1991</v>
      </c>
      <c r="E57" s="1629">
        <f>VLOOKUP(Profile!$I$3,uninsured_annual,27,FALSE)</f>
        <v>0.19598385667880697</v>
      </c>
      <c r="F57" s="1629">
        <f>'Uninsured by Year'!AA6</f>
        <v>0.1676783334824635</v>
      </c>
    </row>
  </sheetData>
  <mergeCells count="8">
    <mergeCell ref="R1:S1"/>
    <mergeCell ref="L2:M2"/>
    <mergeCell ref="L1:M1"/>
    <mergeCell ref="N1:O1"/>
    <mergeCell ref="N2:O2"/>
    <mergeCell ref="P1:Q1"/>
    <mergeCell ref="P2:Q2"/>
    <mergeCell ref="R2:S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workbookViewId="0">
      <selection activeCell="A4" sqref="A4:G124"/>
    </sheetView>
  </sheetViews>
  <sheetFormatPr defaultColWidth="9" defaultRowHeight="15.6" x14ac:dyDescent="0.3"/>
  <cols>
    <col min="1" max="1" width="5.796875" style="275" customWidth="1"/>
    <col min="2" max="2" width="29.5" style="275" customWidth="1"/>
    <col min="3" max="3" width="16.19921875" style="275" customWidth="1"/>
    <col min="4" max="7" width="11.296875" style="275" customWidth="1"/>
    <col min="8" max="8" width="3.796875" style="275" customWidth="1"/>
    <col min="9" max="16384" width="9" style="275"/>
  </cols>
  <sheetData>
    <row r="1" spans="1:7" x14ac:dyDescent="0.3">
      <c r="A1" s="95" t="s">
        <v>784</v>
      </c>
    </row>
    <row r="3" spans="1:7" x14ac:dyDescent="0.3">
      <c r="A3" s="351" t="s">
        <v>4</v>
      </c>
      <c r="B3" s="322" t="s">
        <v>5</v>
      </c>
      <c r="C3" s="322" t="s">
        <v>250</v>
      </c>
      <c r="D3" s="1414" t="s">
        <v>538</v>
      </c>
      <c r="E3" s="1414" t="s">
        <v>628</v>
      </c>
      <c r="F3" s="1414" t="s">
        <v>704</v>
      </c>
      <c r="G3" s="1414" t="s">
        <v>783</v>
      </c>
    </row>
    <row r="4" spans="1:7" x14ac:dyDescent="0.3">
      <c r="A4" s="930">
        <v>999</v>
      </c>
      <c r="B4" s="931" t="s">
        <v>506</v>
      </c>
      <c r="C4" s="931"/>
      <c r="D4" s="1558">
        <f>SUM(D5:D124)</f>
        <v>26081</v>
      </c>
      <c r="E4" s="1558">
        <f>SUM(E5:E124)</f>
        <v>25344</v>
      </c>
      <c r="F4" s="1558">
        <f>SUM(F5:F124)</f>
        <v>22359</v>
      </c>
      <c r="G4" s="1558">
        <v>19929</v>
      </c>
    </row>
    <row r="5" spans="1:7" s="350" customFormat="1" x14ac:dyDescent="0.3">
      <c r="A5" s="347" t="s">
        <v>9</v>
      </c>
      <c r="B5" s="348" t="s">
        <v>10</v>
      </c>
      <c r="C5" s="348" t="s">
        <v>251</v>
      </c>
      <c r="D5" s="1538">
        <v>62</v>
      </c>
      <c r="E5" s="1538">
        <v>55</v>
      </c>
      <c r="F5" s="1538">
        <v>52</v>
      </c>
      <c r="G5" s="1538">
        <v>27</v>
      </c>
    </row>
    <row r="6" spans="1:7" s="350" customFormat="1" x14ac:dyDescent="0.3">
      <c r="A6" s="347" t="s">
        <v>11</v>
      </c>
      <c r="B6" s="348" t="s">
        <v>12</v>
      </c>
      <c r="C6" s="348" t="s">
        <v>252</v>
      </c>
      <c r="D6" s="1538">
        <v>196</v>
      </c>
      <c r="E6" s="1538">
        <v>180</v>
      </c>
      <c r="F6" s="1538">
        <v>159</v>
      </c>
      <c r="G6" s="1538">
        <v>146</v>
      </c>
    </row>
    <row r="7" spans="1:7" s="350" customFormat="1" x14ac:dyDescent="0.3">
      <c r="A7" s="347" t="s">
        <v>15</v>
      </c>
      <c r="B7" s="348" t="s">
        <v>273</v>
      </c>
      <c r="C7" s="348" t="s">
        <v>252</v>
      </c>
      <c r="D7" s="1538">
        <v>56</v>
      </c>
      <c r="E7" s="1538">
        <v>50</v>
      </c>
      <c r="F7" s="1538">
        <v>48</v>
      </c>
      <c r="G7" s="1538">
        <v>33</v>
      </c>
    </row>
    <row r="8" spans="1:7" s="350" customFormat="1" x14ac:dyDescent="0.3">
      <c r="A8" s="347" t="s">
        <v>17</v>
      </c>
      <c r="B8" s="348" t="s">
        <v>18</v>
      </c>
      <c r="C8" s="348" t="s">
        <v>253</v>
      </c>
      <c r="D8" s="1538">
        <v>31</v>
      </c>
      <c r="E8" s="1538">
        <v>29</v>
      </c>
      <c r="F8" s="1538">
        <v>21</v>
      </c>
      <c r="G8" s="1538">
        <v>15</v>
      </c>
    </row>
    <row r="9" spans="1:7" s="350" customFormat="1" x14ac:dyDescent="0.3">
      <c r="A9" s="347" t="s">
        <v>19</v>
      </c>
      <c r="B9" s="348" t="s">
        <v>20</v>
      </c>
      <c r="C9" s="348" t="s">
        <v>252</v>
      </c>
      <c r="D9" s="1538">
        <v>108</v>
      </c>
      <c r="E9" s="1538">
        <v>84</v>
      </c>
      <c r="F9" s="1538">
        <v>85</v>
      </c>
      <c r="G9" s="1538">
        <v>69</v>
      </c>
    </row>
    <row r="10" spans="1:7" s="350" customFormat="1" x14ac:dyDescent="0.3">
      <c r="A10" s="347" t="s">
        <v>21</v>
      </c>
      <c r="B10" s="348" t="s">
        <v>22</v>
      </c>
      <c r="C10" s="348" t="s">
        <v>252</v>
      </c>
      <c r="D10" s="1538">
        <v>34</v>
      </c>
      <c r="E10" s="1538">
        <v>32</v>
      </c>
      <c r="F10" s="1538">
        <v>27</v>
      </c>
      <c r="G10" s="1538">
        <v>18</v>
      </c>
    </row>
    <row r="11" spans="1:7" s="350" customFormat="1" x14ac:dyDescent="0.3">
      <c r="A11" s="347" t="s">
        <v>23</v>
      </c>
      <c r="B11" s="348" t="s">
        <v>24</v>
      </c>
      <c r="C11" s="348" t="s">
        <v>254</v>
      </c>
      <c r="D11" s="1538">
        <v>384</v>
      </c>
      <c r="E11" s="1538">
        <v>352</v>
      </c>
      <c r="F11" s="1538">
        <v>309</v>
      </c>
      <c r="G11" s="1538">
        <v>255</v>
      </c>
    </row>
    <row r="12" spans="1:7" s="350" customFormat="1" x14ac:dyDescent="0.3">
      <c r="A12" s="347" t="s">
        <v>25</v>
      </c>
      <c r="B12" s="348" t="s">
        <v>444</v>
      </c>
      <c r="C12" s="348" t="s">
        <v>252</v>
      </c>
      <c r="D12" s="1538">
        <v>392</v>
      </c>
      <c r="E12" s="1538">
        <v>312</v>
      </c>
      <c r="F12" s="1538">
        <v>262</v>
      </c>
      <c r="G12" s="1538">
        <v>264</v>
      </c>
    </row>
    <row r="13" spans="1:7" s="350" customFormat="1" x14ac:dyDescent="0.3">
      <c r="A13" s="347" t="s">
        <v>26</v>
      </c>
      <c r="B13" s="348" t="s">
        <v>27</v>
      </c>
      <c r="C13" s="348" t="s">
        <v>252</v>
      </c>
      <c r="D13" s="1538">
        <v>1</v>
      </c>
      <c r="E13" s="1538">
        <v>1</v>
      </c>
      <c r="F13" s="1538">
        <v>1</v>
      </c>
      <c r="G13" s="1538">
        <v>0</v>
      </c>
    </row>
    <row r="14" spans="1:7" s="350" customFormat="1" x14ac:dyDescent="0.3">
      <c r="A14" s="347" t="s">
        <v>28</v>
      </c>
      <c r="B14" s="348" t="s">
        <v>568</v>
      </c>
      <c r="C14" s="348" t="s">
        <v>252</v>
      </c>
      <c r="D14" s="1538">
        <v>142</v>
      </c>
      <c r="E14" s="1538">
        <v>138</v>
      </c>
      <c r="F14" s="1538">
        <v>131</v>
      </c>
      <c r="G14" s="1538">
        <v>102</v>
      </c>
    </row>
    <row r="15" spans="1:7" s="350" customFormat="1" x14ac:dyDescent="0.3">
      <c r="A15" s="347" t="s">
        <v>29</v>
      </c>
      <c r="B15" s="348" t="s">
        <v>30</v>
      </c>
      <c r="C15" s="348" t="s">
        <v>255</v>
      </c>
      <c r="D15" s="1538">
        <v>6</v>
      </c>
      <c r="E15" s="1538">
        <v>6</v>
      </c>
      <c r="F15" s="1538">
        <v>5</v>
      </c>
      <c r="G15" s="1538">
        <v>12</v>
      </c>
    </row>
    <row r="16" spans="1:7" s="350" customFormat="1" x14ac:dyDescent="0.3">
      <c r="A16" s="347" t="s">
        <v>31</v>
      </c>
      <c r="B16" s="348" t="s">
        <v>32</v>
      </c>
      <c r="C16" s="348" t="s">
        <v>252</v>
      </c>
      <c r="D16" s="1538">
        <v>57</v>
      </c>
      <c r="E16" s="1538">
        <v>50</v>
      </c>
      <c r="F16" s="1538">
        <v>52</v>
      </c>
      <c r="G16" s="1538">
        <v>43</v>
      </c>
    </row>
    <row r="17" spans="1:7" s="350" customFormat="1" x14ac:dyDescent="0.3">
      <c r="A17" s="347" t="s">
        <v>35</v>
      </c>
      <c r="B17" s="348" t="s">
        <v>36</v>
      </c>
      <c r="C17" s="348" t="s">
        <v>251</v>
      </c>
      <c r="D17" s="1538">
        <v>38</v>
      </c>
      <c r="E17" s="1538">
        <v>28</v>
      </c>
      <c r="F17" s="1538">
        <v>25</v>
      </c>
      <c r="G17" s="1538">
        <v>20</v>
      </c>
    </row>
    <row r="18" spans="1:7" s="350" customFormat="1" x14ac:dyDescent="0.3">
      <c r="A18" s="347" t="s">
        <v>37</v>
      </c>
      <c r="B18" s="348" t="s">
        <v>38</v>
      </c>
      <c r="C18" s="348" t="s">
        <v>255</v>
      </c>
      <c r="D18" s="1538">
        <v>6</v>
      </c>
      <c r="E18" s="1538">
        <v>1</v>
      </c>
      <c r="F18" s="1538">
        <v>0</v>
      </c>
      <c r="G18" s="1538">
        <v>4</v>
      </c>
    </row>
    <row r="19" spans="1:7" s="350" customFormat="1" x14ac:dyDescent="0.3">
      <c r="A19" s="347" t="s">
        <v>39</v>
      </c>
      <c r="B19" s="348" t="s">
        <v>40</v>
      </c>
      <c r="C19" s="348" t="s">
        <v>253</v>
      </c>
      <c r="D19" s="1538">
        <v>26</v>
      </c>
      <c r="E19" s="1538">
        <v>24</v>
      </c>
      <c r="F19" s="1538">
        <v>18</v>
      </c>
      <c r="G19" s="1538">
        <v>13</v>
      </c>
    </row>
    <row r="20" spans="1:7" s="350" customFormat="1" x14ac:dyDescent="0.3">
      <c r="A20" s="347" t="s">
        <v>41</v>
      </c>
      <c r="B20" s="348" t="s">
        <v>42</v>
      </c>
      <c r="C20" s="348" t="s">
        <v>252</v>
      </c>
      <c r="D20" s="1538">
        <v>164</v>
      </c>
      <c r="E20" s="1538">
        <v>180</v>
      </c>
      <c r="F20" s="1538">
        <v>141</v>
      </c>
      <c r="G20" s="1538">
        <v>150</v>
      </c>
    </row>
    <row r="21" spans="1:7" s="350" customFormat="1" x14ac:dyDescent="0.3">
      <c r="A21" s="347" t="s">
        <v>43</v>
      </c>
      <c r="B21" s="348" t="s">
        <v>44</v>
      </c>
      <c r="C21" s="348" t="s">
        <v>253</v>
      </c>
      <c r="D21" s="1538">
        <v>89</v>
      </c>
      <c r="E21" s="1538">
        <v>93</v>
      </c>
      <c r="F21" s="1538">
        <v>101</v>
      </c>
      <c r="G21" s="1538">
        <v>87</v>
      </c>
    </row>
    <row r="22" spans="1:7" s="350" customFormat="1" x14ac:dyDescent="0.3">
      <c r="A22" s="347" t="s">
        <v>45</v>
      </c>
      <c r="B22" s="348" t="s">
        <v>46</v>
      </c>
      <c r="C22" s="348" t="s">
        <v>255</v>
      </c>
      <c r="D22" s="1538">
        <v>106</v>
      </c>
      <c r="E22" s="1538">
        <v>118</v>
      </c>
      <c r="F22" s="1538">
        <v>111</v>
      </c>
      <c r="G22" s="1538">
        <v>97</v>
      </c>
    </row>
    <row r="23" spans="1:7" s="350" customFormat="1" x14ac:dyDescent="0.3">
      <c r="A23" s="347" t="s">
        <v>47</v>
      </c>
      <c r="B23" s="348" t="s">
        <v>256</v>
      </c>
      <c r="C23" s="348" t="s">
        <v>253</v>
      </c>
      <c r="D23" s="1538">
        <v>25</v>
      </c>
      <c r="E23" s="1538">
        <v>29</v>
      </c>
      <c r="F23" s="1538">
        <v>33</v>
      </c>
      <c r="G23" s="1538">
        <v>15</v>
      </c>
    </row>
    <row r="24" spans="1:7" s="350" customFormat="1" x14ac:dyDescent="0.3">
      <c r="A24" s="347" t="s">
        <v>49</v>
      </c>
      <c r="B24" s="348" t="s">
        <v>50</v>
      </c>
      <c r="C24" s="348" t="s">
        <v>252</v>
      </c>
      <c r="D24" s="1538">
        <v>15</v>
      </c>
      <c r="E24" s="1538">
        <v>8</v>
      </c>
      <c r="F24" s="1538">
        <v>5</v>
      </c>
      <c r="G24" s="1538">
        <v>6</v>
      </c>
    </row>
    <row r="25" spans="1:7" s="350" customFormat="1" x14ac:dyDescent="0.3">
      <c r="A25" s="347" t="s">
        <v>55</v>
      </c>
      <c r="B25" s="348" t="s">
        <v>271</v>
      </c>
      <c r="C25" s="348" t="s">
        <v>253</v>
      </c>
      <c r="D25" s="1538">
        <v>576</v>
      </c>
      <c r="E25" s="1538">
        <v>525</v>
      </c>
      <c r="F25" s="1538">
        <v>534</v>
      </c>
      <c r="G25" s="1538">
        <v>496</v>
      </c>
    </row>
    <row r="26" spans="1:7" s="350" customFormat="1" x14ac:dyDescent="0.3">
      <c r="A26" s="347" t="s">
        <v>57</v>
      </c>
      <c r="B26" s="348" t="s">
        <v>58</v>
      </c>
      <c r="C26" s="348" t="s">
        <v>254</v>
      </c>
      <c r="D26" s="1538">
        <v>29</v>
      </c>
      <c r="E26" s="1538">
        <v>33</v>
      </c>
      <c r="F26" s="1538">
        <v>27</v>
      </c>
      <c r="G26" s="1538">
        <v>11</v>
      </c>
    </row>
    <row r="27" spans="1:7" s="350" customFormat="1" x14ac:dyDescent="0.3">
      <c r="A27" s="347" t="s">
        <v>59</v>
      </c>
      <c r="B27" s="348" t="s">
        <v>60</v>
      </c>
      <c r="C27" s="348" t="s">
        <v>252</v>
      </c>
      <c r="D27" s="1538">
        <v>16</v>
      </c>
      <c r="E27" s="1538">
        <v>24</v>
      </c>
      <c r="F27" s="1538">
        <v>27</v>
      </c>
      <c r="G27" s="1538">
        <v>33</v>
      </c>
    </row>
    <row r="28" spans="1:7" s="350" customFormat="1" x14ac:dyDescent="0.3">
      <c r="A28" s="347" t="s">
        <v>61</v>
      </c>
      <c r="B28" s="348" t="s">
        <v>62</v>
      </c>
      <c r="C28" s="348" t="s">
        <v>254</v>
      </c>
      <c r="D28" s="1538">
        <v>262</v>
      </c>
      <c r="E28" s="1538">
        <v>244</v>
      </c>
      <c r="F28" s="1538">
        <v>238</v>
      </c>
      <c r="G28" s="1538">
        <v>292</v>
      </c>
    </row>
    <row r="29" spans="1:7" s="350" customFormat="1" x14ac:dyDescent="0.3">
      <c r="A29" s="347" t="s">
        <v>63</v>
      </c>
      <c r="B29" s="348" t="s">
        <v>64</v>
      </c>
      <c r="C29" s="348" t="s">
        <v>253</v>
      </c>
      <c r="D29" s="1538">
        <v>24</v>
      </c>
      <c r="E29" s="1538">
        <v>32</v>
      </c>
      <c r="F29" s="1538">
        <v>29</v>
      </c>
      <c r="G29" s="1538">
        <v>21</v>
      </c>
    </row>
    <row r="30" spans="1:7" s="350" customFormat="1" x14ac:dyDescent="0.3">
      <c r="A30" s="347" t="s">
        <v>67</v>
      </c>
      <c r="B30" s="348" t="s">
        <v>68</v>
      </c>
      <c r="C30" s="348" t="s">
        <v>255</v>
      </c>
      <c r="D30" s="1538">
        <v>19</v>
      </c>
      <c r="E30" s="1538">
        <v>15</v>
      </c>
      <c r="F30" s="1538">
        <v>16</v>
      </c>
      <c r="G30" s="1538">
        <v>15</v>
      </c>
    </row>
    <row r="31" spans="1:7" s="350" customFormat="1" x14ac:dyDescent="0.3">
      <c r="A31" s="347" t="s">
        <v>69</v>
      </c>
      <c r="B31" s="348" t="s">
        <v>70</v>
      </c>
      <c r="C31" s="348" t="s">
        <v>251</v>
      </c>
      <c r="D31" s="1538">
        <v>72</v>
      </c>
      <c r="E31" s="1538">
        <v>70</v>
      </c>
      <c r="F31" s="1538">
        <v>47</v>
      </c>
      <c r="G31" s="1538">
        <v>33</v>
      </c>
    </row>
    <row r="32" spans="1:7" s="350" customFormat="1" x14ac:dyDescent="0.3">
      <c r="A32" s="347" t="s">
        <v>71</v>
      </c>
      <c r="B32" s="348" t="s">
        <v>72</v>
      </c>
      <c r="C32" s="348" t="s">
        <v>253</v>
      </c>
      <c r="D32" s="1538">
        <v>97</v>
      </c>
      <c r="E32" s="1538">
        <v>79</v>
      </c>
      <c r="F32" s="1538">
        <v>69</v>
      </c>
      <c r="G32" s="1538">
        <v>45</v>
      </c>
    </row>
    <row r="33" spans="1:7" s="350" customFormat="1" x14ac:dyDescent="0.3">
      <c r="A33" s="347" t="s">
        <v>73</v>
      </c>
      <c r="B33" s="348" t="s">
        <v>272</v>
      </c>
      <c r="C33" s="348" t="s">
        <v>254</v>
      </c>
      <c r="D33" s="1538">
        <v>2566</v>
      </c>
      <c r="E33" s="1538">
        <v>2829</v>
      </c>
      <c r="F33" s="1538">
        <v>2441</v>
      </c>
      <c r="G33" s="1538">
        <v>2321</v>
      </c>
    </row>
    <row r="34" spans="1:7" s="350" customFormat="1" x14ac:dyDescent="0.3">
      <c r="A34" s="347" t="s">
        <v>75</v>
      </c>
      <c r="B34" s="348" t="s">
        <v>76</v>
      </c>
      <c r="C34" s="348" t="s">
        <v>254</v>
      </c>
      <c r="D34" s="1538">
        <v>177</v>
      </c>
      <c r="E34" s="1538">
        <v>142</v>
      </c>
      <c r="F34" s="1538">
        <v>121</v>
      </c>
      <c r="G34" s="1538">
        <v>100</v>
      </c>
    </row>
    <row r="35" spans="1:7" s="350" customFormat="1" x14ac:dyDescent="0.3">
      <c r="A35" s="347" t="s">
        <v>77</v>
      </c>
      <c r="B35" s="348" t="s">
        <v>78</v>
      </c>
      <c r="C35" s="348" t="s">
        <v>255</v>
      </c>
      <c r="D35" s="1538">
        <v>17</v>
      </c>
      <c r="E35" s="1538">
        <v>13</v>
      </c>
      <c r="F35" s="1538">
        <v>13</v>
      </c>
      <c r="G35" s="1538">
        <v>8</v>
      </c>
    </row>
    <row r="36" spans="1:7" s="350" customFormat="1" x14ac:dyDescent="0.3">
      <c r="A36" s="347" t="s">
        <v>79</v>
      </c>
      <c r="B36" s="348" t="s">
        <v>80</v>
      </c>
      <c r="C36" s="348" t="s">
        <v>253</v>
      </c>
      <c r="D36" s="1538">
        <v>55</v>
      </c>
      <c r="E36" s="1538">
        <v>45</v>
      </c>
      <c r="F36" s="1538">
        <v>38</v>
      </c>
      <c r="G36" s="1538">
        <v>33</v>
      </c>
    </row>
    <row r="37" spans="1:7" s="350" customFormat="1" x14ac:dyDescent="0.3">
      <c r="A37" s="347" t="s">
        <v>83</v>
      </c>
      <c r="B37" s="348" t="s">
        <v>84</v>
      </c>
      <c r="C37" s="348" t="s">
        <v>252</v>
      </c>
      <c r="D37" s="1538">
        <v>143</v>
      </c>
      <c r="E37" s="1538">
        <v>157</v>
      </c>
      <c r="F37" s="1538">
        <v>136</v>
      </c>
      <c r="G37" s="1538">
        <v>111</v>
      </c>
    </row>
    <row r="38" spans="1:7" s="350" customFormat="1" x14ac:dyDescent="0.3">
      <c r="A38" s="347" t="s">
        <v>85</v>
      </c>
      <c r="B38" s="348" t="s">
        <v>86</v>
      </c>
      <c r="C38" s="348" t="s">
        <v>254</v>
      </c>
      <c r="D38" s="1538">
        <v>158</v>
      </c>
      <c r="E38" s="1538">
        <v>139</v>
      </c>
      <c r="F38" s="1538">
        <v>138</v>
      </c>
      <c r="G38" s="1538">
        <v>144</v>
      </c>
    </row>
    <row r="39" spans="1:7" s="350" customFormat="1" x14ac:dyDescent="0.3">
      <c r="A39" s="347" t="s">
        <v>91</v>
      </c>
      <c r="B39" s="348" t="s">
        <v>92</v>
      </c>
      <c r="C39" s="348" t="s">
        <v>255</v>
      </c>
      <c r="D39" s="1538">
        <v>41</v>
      </c>
      <c r="E39" s="1538">
        <v>41</v>
      </c>
      <c r="F39" s="1538">
        <v>28</v>
      </c>
      <c r="G39" s="1538">
        <v>23</v>
      </c>
    </row>
    <row r="40" spans="1:7" s="350" customFormat="1" x14ac:dyDescent="0.3">
      <c r="A40" s="347" t="s">
        <v>93</v>
      </c>
      <c r="B40" s="348" t="s">
        <v>94</v>
      </c>
      <c r="C40" s="348" t="s">
        <v>251</v>
      </c>
      <c r="D40" s="1538">
        <v>100</v>
      </c>
      <c r="E40" s="1538">
        <v>101</v>
      </c>
      <c r="F40" s="1538">
        <v>93</v>
      </c>
      <c r="G40" s="1538">
        <v>74</v>
      </c>
    </row>
    <row r="41" spans="1:7" s="350" customFormat="1" x14ac:dyDescent="0.3">
      <c r="A41" s="347" t="s">
        <v>95</v>
      </c>
      <c r="B41" s="348" t="s">
        <v>96</v>
      </c>
      <c r="C41" s="348" t="s">
        <v>253</v>
      </c>
      <c r="D41" s="1538">
        <v>46</v>
      </c>
      <c r="E41" s="1538">
        <v>45</v>
      </c>
      <c r="F41" s="1538">
        <v>41</v>
      </c>
      <c r="G41" s="1538">
        <v>30</v>
      </c>
    </row>
    <row r="42" spans="1:7" s="350" customFormat="1" x14ac:dyDescent="0.3">
      <c r="A42" s="347" t="s">
        <v>97</v>
      </c>
      <c r="B42" s="348" t="s">
        <v>98</v>
      </c>
      <c r="C42" s="348" t="s">
        <v>255</v>
      </c>
      <c r="D42" s="1538">
        <v>18</v>
      </c>
      <c r="E42" s="1538">
        <v>16</v>
      </c>
      <c r="F42" s="1538">
        <v>16</v>
      </c>
      <c r="G42" s="1538">
        <v>16</v>
      </c>
    </row>
    <row r="43" spans="1:7" s="350" customFormat="1" x14ac:dyDescent="0.3">
      <c r="A43" s="347" t="s">
        <v>99</v>
      </c>
      <c r="B43" s="348" t="s">
        <v>100</v>
      </c>
      <c r="C43" s="348" t="s">
        <v>254</v>
      </c>
      <c r="D43" s="1538">
        <v>28</v>
      </c>
      <c r="E43" s="1538">
        <v>27</v>
      </c>
      <c r="F43" s="1538">
        <v>29</v>
      </c>
      <c r="G43" s="1538">
        <v>34</v>
      </c>
    </row>
    <row r="44" spans="1:7" s="350" customFormat="1" x14ac:dyDescent="0.3">
      <c r="A44" s="347" t="s">
        <v>101</v>
      </c>
      <c r="B44" s="348" t="s">
        <v>263</v>
      </c>
      <c r="C44" s="348" t="s">
        <v>251</v>
      </c>
      <c r="D44" s="1538">
        <v>103</v>
      </c>
      <c r="E44" s="1538">
        <v>95</v>
      </c>
      <c r="F44" s="1538">
        <v>79</v>
      </c>
      <c r="G44" s="1538">
        <v>83</v>
      </c>
    </row>
    <row r="45" spans="1:7" s="350" customFormat="1" x14ac:dyDescent="0.3">
      <c r="A45" s="347" t="s">
        <v>103</v>
      </c>
      <c r="B45" s="348" t="s">
        <v>104</v>
      </c>
      <c r="C45" s="348" t="s">
        <v>252</v>
      </c>
      <c r="D45" s="1538">
        <v>38</v>
      </c>
      <c r="E45" s="1538">
        <v>44</v>
      </c>
      <c r="F45" s="1538">
        <v>45</v>
      </c>
      <c r="G45" s="1538">
        <v>42</v>
      </c>
    </row>
    <row r="46" spans="1:7" s="350" customFormat="1" x14ac:dyDescent="0.3">
      <c r="A46" s="347" t="s">
        <v>107</v>
      </c>
      <c r="B46" s="348" t="s">
        <v>108</v>
      </c>
      <c r="C46" s="348" t="s">
        <v>253</v>
      </c>
      <c r="D46" s="1538">
        <v>154</v>
      </c>
      <c r="E46" s="1538">
        <v>164</v>
      </c>
      <c r="F46" s="1538">
        <v>131</v>
      </c>
      <c r="G46" s="1538">
        <v>154</v>
      </c>
    </row>
    <row r="47" spans="1:7" s="350" customFormat="1" x14ac:dyDescent="0.3">
      <c r="A47" s="347" t="s">
        <v>109</v>
      </c>
      <c r="B47" s="348" t="s">
        <v>110</v>
      </c>
      <c r="C47" s="348" t="s">
        <v>253</v>
      </c>
      <c r="D47" s="1538">
        <v>1135</v>
      </c>
      <c r="E47" s="1538">
        <v>1067</v>
      </c>
      <c r="F47" s="1538">
        <v>1029</v>
      </c>
      <c r="G47" s="1538">
        <v>976</v>
      </c>
    </row>
    <row r="48" spans="1:7" s="350" customFormat="1" x14ac:dyDescent="0.3">
      <c r="A48" s="347" t="s">
        <v>111</v>
      </c>
      <c r="B48" s="348" t="s">
        <v>275</v>
      </c>
      <c r="C48" s="348" t="s">
        <v>252</v>
      </c>
      <c r="D48" s="1538">
        <v>325</v>
      </c>
      <c r="E48" s="1538">
        <v>326</v>
      </c>
      <c r="F48" s="1538">
        <v>241</v>
      </c>
      <c r="G48" s="1538">
        <v>192</v>
      </c>
    </row>
    <row r="49" spans="1:7" s="350" customFormat="1" x14ac:dyDescent="0.3">
      <c r="A49" s="347" t="s">
        <v>113</v>
      </c>
      <c r="B49" s="348" t="s">
        <v>114</v>
      </c>
      <c r="C49" s="348" t="s">
        <v>252</v>
      </c>
      <c r="D49" s="1538">
        <v>0</v>
      </c>
      <c r="E49" s="1538">
        <v>0</v>
      </c>
      <c r="F49" s="1538">
        <v>0</v>
      </c>
      <c r="G49" s="1538">
        <v>0</v>
      </c>
    </row>
    <row r="50" spans="1:7" s="350" customFormat="1" x14ac:dyDescent="0.3">
      <c r="A50" s="347" t="s">
        <v>117</v>
      </c>
      <c r="B50" s="348" t="s">
        <v>257</v>
      </c>
      <c r="C50" s="348" t="s">
        <v>251</v>
      </c>
      <c r="D50" s="1538">
        <v>60</v>
      </c>
      <c r="E50" s="1538">
        <v>52</v>
      </c>
      <c r="F50" s="1538">
        <v>35</v>
      </c>
      <c r="G50" s="1538">
        <v>33</v>
      </c>
    </row>
    <row r="51" spans="1:7" s="350" customFormat="1" x14ac:dyDescent="0.3">
      <c r="A51" s="347" t="s">
        <v>119</v>
      </c>
      <c r="B51" s="348" t="s">
        <v>120</v>
      </c>
      <c r="C51" s="348" t="s">
        <v>251</v>
      </c>
      <c r="D51" s="1538">
        <v>191</v>
      </c>
      <c r="E51" s="1538">
        <v>186</v>
      </c>
      <c r="F51" s="1538">
        <v>153</v>
      </c>
      <c r="G51" s="1538">
        <v>96</v>
      </c>
    </row>
    <row r="52" spans="1:7" s="350" customFormat="1" x14ac:dyDescent="0.3">
      <c r="A52" s="347" t="s">
        <v>121</v>
      </c>
      <c r="B52" s="348" t="s">
        <v>268</v>
      </c>
      <c r="C52" s="348" t="s">
        <v>253</v>
      </c>
      <c r="D52" s="1538">
        <v>19</v>
      </c>
      <c r="E52" s="1538">
        <v>27</v>
      </c>
      <c r="F52" s="1538">
        <v>71</v>
      </c>
      <c r="G52" s="1538">
        <v>69</v>
      </c>
    </row>
    <row r="53" spans="1:7" s="350" customFormat="1" x14ac:dyDescent="0.3">
      <c r="A53" s="347" t="s">
        <v>123</v>
      </c>
      <c r="B53" s="348" t="s">
        <v>124</v>
      </c>
      <c r="C53" s="348" t="s">
        <v>254</v>
      </c>
      <c r="D53" s="1538">
        <v>82</v>
      </c>
      <c r="E53" s="1538">
        <v>81</v>
      </c>
      <c r="F53" s="1538">
        <v>54</v>
      </c>
      <c r="G53" s="1538">
        <v>35</v>
      </c>
    </row>
    <row r="54" spans="1:7" s="350" customFormat="1" x14ac:dyDescent="0.3">
      <c r="A54" s="347" t="s">
        <v>125</v>
      </c>
      <c r="B54" s="348" t="s">
        <v>126</v>
      </c>
      <c r="C54" s="348" t="s">
        <v>253</v>
      </c>
      <c r="D54" s="1538">
        <v>63</v>
      </c>
      <c r="E54" s="1538">
        <v>63</v>
      </c>
      <c r="F54" s="1538">
        <v>14</v>
      </c>
      <c r="G54" s="1538">
        <v>20</v>
      </c>
    </row>
    <row r="55" spans="1:7" s="350" customFormat="1" x14ac:dyDescent="0.3">
      <c r="A55" s="347" t="s">
        <v>127</v>
      </c>
      <c r="B55" s="348" t="s">
        <v>128</v>
      </c>
      <c r="C55" s="348" t="s">
        <v>253</v>
      </c>
      <c r="D55" s="1538">
        <v>20</v>
      </c>
      <c r="E55" s="1538">
        <v>20</v>
      </c>
      <c r="F55" s="1538">
        <v>18</v>
      </c>
      <c r="G55" s="1538">
        <v>8</v>
      </c>
    </row>
    <row r="56" spans="1:7" s="350" customFormat="1" x14ac:dyDescent="0.3">
      <c r="A56" s="347" t="s">
        <v>129</v>
      </c>
      <c r="B56" s="348" t="s">
        <v>130</v>
      </c>
      <c r="C56" s="348" t="s">
        <v>255</v>
      </c>
      <c r="D56" s="1538">
        <v>30</v>
      </c>
      <c r="E56" s="1538">
        <v>28</v>
      </c>
      <c r="F56" s="1538">
        <v>15</v>
      </c>
      <c r="G56" s="1538">
        <v>21</v>
      </c>
    </row>
    <row r="57" spans="1:7" s="350" customFormat="1" x14ac:dyDescent="0.3">
      <c r="A57" s="347" t="s">
        <v>131</v>
      </c>
      <c r="B57" s="348" t="s">
        <v>132</v>
      </c>
      <c r="C57" s="348" t="s">
        <v>254</v>
      </c>
      <c r="D57" s="1538">
        <v>398</v>
      </c>
      <c r="E57" s="1538">
        <v>367</v>
      </c>
      <c r="F57" s="1538">
        <v>354</v>
      </c>
      <c r="G57" s="1538">
        <v>323</v>
      </c>
    </row>
    <row r="58" spans="1:7" s="350" customFormat="1" x14ac:dyDescent="0.3">
      <c r="A58" s="347" t="s">
        <v>133</v>
      </c>
      <c r="B58" s="348" t="s">
        <v>134</v>
      </c>
      <c r="C58" s="348" t="s">
        <v>254</v>
      </c>
      <c r="D58" s="1538">
        <v>54</v>
      </c>
      <c r="E58" s="1538">
        <v>59</v>
      </c>
      <c r="F58" s="1538">
        <v>45</v>
      </c>
      <c r="G58" s="1538">
        <v>39</v>
      </c>
    </row>
    <row r="59" spans="1:7" s="350" customFormat="1" x14ac:dyDescent="0.3">
      <c r="A59" s="347" t="s">
        <v>135</v>
      </c>
      <c r="B59" s="348" t="s">
        <v>136</v>
      </c>
      <c r="C59" s="348" t="s">
        <v>253</v>
      </c>
      <c r="D59" s="1538">
        <v>10</v>
      </c>
      <c r="E59" s="1538">
        <v>12</v>
      </c>
      <c r="F59" s="1538">
        <v>9</v>
      </c>
      <c r="G59" s="1538">
        <v>4</v>
      </c>
    </row>
    <row r="60" spans="1:7" s="350" customFormat="1" x14ac:dyDescent="0.3">
      <c r="A60" s="347" t="s">
        <v>139</v>
      </c>
      <c r="B60" s="348" t="s">
        <v>140</v>
      </c>
      <c r="C60" s="348" t="s">
        <v>254</v>
      </c>
      <c r="D60" s="1538">
        <v>7</v>
      </c>
      <c r="E60" s="1538">
        <v>14</v>
      </c>
      <c r="F60" s="1538">
        <v>19</v>
      </c>
      <c r="G60" s="1538">
        <v>11</v>
      </c>
    </row>
    <row r="61" spans="1:7" s="350" customFormat="1" x14ac:dyDescent="0.3">
      <c r="A61" s="347" t="s">
        <v>145</v>
      </c>
      <c r="B61" s="348" t="s">
        <v>146</v>
      </c>
      <c r="C61" s="348" t="s">
        <v>251</v>
      </c>
      <c r="D61" s="1538">
        <v>23</v>
      </c>
      <c r="E61" s="1538">
        <v>23</v>
      </c>
      <c r="F61" s="1538">
        <v>18</v>
      </c>
      <c r="G61" s="1538">
        <v>14</v>
      </c>
    </row>
    <row r="62" spans="1:7" s="350" customFormat="1" x14ac:dyDescent="0.3">
      <c r="A62" s="347" t="s">
        <v>147</v>
      </c>
      <c r="B62" s="348" t="s">
        <v>148</v>
      </c>
      <c r="C62" s="348" t="s">
        <v>252</v>
      </c>
      <c r="D62" s="1538">
        <v>63</v>
      </c>
      <c r="E62" s="1538">
        <v>66</v>
      </c>
      <c r="F62" s="1538">
        <v>52</v>
      </c>
      <c r="G62" s="1538">
        <v>42</v>
      </c>
    </row>
    <row r="63" spans="1:7" s="350" customFormat="1" x14ac:dyDescent="0.3">
      <c r="A63" s="347" t="s">
        <v>149</v>
      </c>
      <c r="B63" s="348" t="s">
        <v>150</v>
      </c>
      <c r="C63" s="348" t="s">
        <v>253</v>
      </c>
      <c r="D63" s="1538">
        <v>45</v>
      </c>
      <c r="E63" s="1538">
        <v>51</v>
      </c>
      <c r="F63" s="1538">
        <v>50</v>
      </c>
      <c r="G63" s="1538">
        <v>34</v>
      </c>
    </row>
    <row r="64" spans="1:7" s="350" customFormat="1" x14ac:dyDescent="0.3">
      <c r="A64" s="347" t="s">
        <v>151</v>
      </c>
      <c r="B64" s="348" t="s">
        <v>152</v>
      </c>
      <c r="C64" s="348" t="s">
        <v>255</v>
      </c>
      <c r="D64" s="1538">
        <v>242</v>
      </c>
      <c r="E64" s="1538">
        <v>216</v>
      </c>
      <c r="F64" s="1538">
        <v>205</v>
      </c>
      <c r="G64" s="1538">
        <v>165</v>
      </c>
    </row>
    <row r="65" spans="1:7" s="350" customFormat="1" x14ac:dyDescent="0.3">
      <c r="A65" s="347" t="s">
        <v>153</v>
      </c>
      <c r="B65" s="348" t="s">
        <v>154</v>
      </c>
      <c r="C65" s="348" t="s">
        <v>252</v>
      </c>
      <c r="D65" s="1538">
        <v>19</v>
      </c>
      <c r="E65" s="1538">
        <v>22</v>
      </c>
      <c r="F65" s="1538">
        <v>20</v>
      </c>
      <c r="G65" s="1538">
        <v>12</v>
      </c>
    </row>
    <row r="66" spans="1:7" s="350" customFormat="1" x14ac:dyDescent="0.3">
      <c r="A66" s="347" t="s">
        <v>155</v>
      </c>
      <c r="B66" s="348" t="s">
        <v>156</v>
      </c>
      <c r="C66" s="348" t="s">
        <v>253</v>
      </c>
      <c r="D66" s="1538">
        <v>43</v>
      </c>
      <c r="E66" s="1538">
        <v>46</v>
      </c>
      <c r="F66" s="1538">
        <v>50</v>
      </c>
      <c r="G66" s="1538">
        <v>29</v>
      </c>
    </row>
    <row r="67" spans="1:7" s="350" customFormat="1" x14ac:dyDescent="0.3">
      <c r="A67" s="347" t="s">
        <v>161</v>
      </c>
      <c r="B67" s="348" t="s">
        <v>162</v>
      </c>
      <c r="C67" s="348" t="s">
        <v>251</v>
      </c>
      <c r="D67" s="1538">
        <v>83</v>
      </c>
      <c r="E67" s="1538">
        <v>84</v>
      </c>
      <c r="F67" s="1538">
        <v>90</v>
      </c>
      <c r="G67" s="1538">
        <v>54</v>
      </c>
    </row>
    <row r="68" spans="1:7" s="350" customFormat="1" x14ac:dyDescent="0.3">
      <c r="A68" s="347" t="s">
        <v>163</v>
      </c>
      <c r="B68" s="348" t="s">
        <v>164</v>
      </c>
      <c r="C68" s="348" t="s">
        <v>253</v>
      </c>
      <c r="D68" s="1538">
        <v>23</v>
      </c>
      <c r="E68" s="1538">
        <v>13</v>
      </c>
      <c r="F68" s="1538">
        <v>8</v>
      </c>
      <c r="G68" s="1538">
        <v>6</v>
      </c>
    </row>
    <row r="69" spans="1:7" s="350" customFormat="1" x14ac:dyDescent="0.3">
      <c r="A69" s="347" t="s">
        <v>167</v>
      </c>
      <c r="B69" s="348" t="s">
        <v>168</v>
      </c>
      <c r="C69" s="348" t="s">
        <v>253</v>
      </c>
      <c r="D69" s="1538">
        <v>50</v>
      </c>
      <c r="E69" s="1538">
        <v>48</v>
      </c>
      <c r="F69" s="1538">
        <v>37</v>
      </c>
      <c r="G69" s="1538">
        <v>33</v>
      </c>
    </row>
    <row r="70" spans="1:7" s="350" customFormat="1" x14ac:dyDescent="0.3">
      <c r="A70" s="347" t="s">
        <v>169</v>
      </c>
      <c r="B70" s="348" t="s">
        <v>170</v>
      </c>
      <c r="C70" s="348" t="s">
        <v>254</v>
      </c>
      <c r="D70" s="1538">
        <v>97</v>
      </c>
      <c r="E70" s="1538">
        <v>87</v>
      </c>
      <c r="F70" s="1538">
        <v>83</v>
      </c>
      <c r="G70" s="1538">
        <v>88</v>
      </c>
    </row>
    <row r="71" spans="1:7" s="350" customFormat="1" x14ac:dyDescent="0.3">
      <c r="A71" s="347" t="s">
        <v>171</v>
      </c>
      <c r="B71" s="348" t="s">
        <v>172</v>
      </c>
      <c r="C71" s="348" t="s">
        <v>254</v>
      </c>
      <c r="D71" s="1538">
        <v>40</v>
      </c>
      <c r="E71" s="1538">
        <v>38</v>
      </c>
      <c r="F71" s="1538">
        <v>21</v>
      </c>
      <c r="G71" s="1538">
        <v>22</v>
      </c>
    </row>
    <row r="72" spans="1:7" s="350" customFormat="1" x14ac:dyDescent="0.3">
      <c r="A72" s="347" t="s">
        <v>173</v>
      </c>
      <c r="B72" s="348" t="s">
        <v>174</v>
      </c>
      <c r="C72" s="348" t="s">
        <v>255</v>
      </c>
      <c r="D72" s="1538">
        <v>46</v>
      </c>
      <c r="E72" s="1538">
        <v>54</v>
      </c>
      <c r="F72" s="1538">
        <v>38</v>
      </c>
      <c r="G72" s="1538">
        <v>9</v>
      </c>
    </row>
    <row r="73" spans="1:7" s="350" customFormat="1" x14ac:dyDescent="0.3">
      <c r="A73" s="347" t="s">
        <v>177</v>
      </c>
      <c r="B73" s="348" t="s">
        <v>178</v>
      </c>
      <c r="C73" s="348" t="s">
        <v>252</v>
      </c>
      <c r="D73" s="1538">
        <v>145</v>
      </c>
      <c r="E73" s="1538">
        <v>110</v>
      </c>
      <c r="F73" s="1538">
        <v>87</v>
      </c>
      <c r="G73" s="1538">
        <v>75</v>
      </c>
    </row>
    <row r="74" spans="1:7" s="350" customFormat="1" x14ac:dyDescent="0.3">
      <c r="A74" s="347" t="s">
        <v>181</v>
      </c>
      <c r="B74" s="348" t="s">
        <v>182</v>
      </c>
      <c r="C74" s="348" t="s">
        <v>253</v>
      </c>
      <c r="D74" s="1538">
        <v>44</v>
      </c>
      <c r="E74" s="1538">
        <v>37</v>
      </c>
      <c r="F74" s="1538">
        <v>37</v>
      </c>
      <c r="G74" s="1538">
        <v>37</v>
      </c>
    </row>
    <row r="75" spans="1:7" s="350" customFormat="1" x14ac:dyDescent="0.3">
      <c r="A75" s="347" t="s">
        <v>183</v>
      </c>
      <c r="B75" s="348" t="s">
        <v>184</v>
      </c>
      <c r="C75" s="348" t="s">
        <v>253</v>
      </c>
      <c r="D75" s="1538">
        <v>62</v>
      </c>
      <c r="E75" s="1538">
        <v>66</v>
      </c>
      <c r="F75" s="1538">
        <v>52</v>
      </c>
      <c r="G75" s="1538">
        <v>24</v>
      </c>
    </row>
    <row r="76" spans="1:7" s="350" customFormat="1" x14ac:dyDescent="0.3">
      <c r="A76" s="347" t="s">
        <v>185</v>
      </c>
      <c r="B76" s="348" t="s">
        <v>186</v>
      </c>
      <c r="C76" s="348" t="s">
        <v>251</v>
      </c>
      <c r="D76" s="1538">
        <v>35</v>
      </c>
      <c r="E76" s="1538">
        <v>37</v>
      </c>
      <c r="F76" s="1538">
        <v>39</v>
      </c>
      <c r="G76" s="1538">
        <v>31</v>
      </c>
    </row>
    <row r="77" spans="1:7" s="350" customFormat="1" x14ac:dyDescent="0.3">
      <c r="A77" s="347" t="s">
        <v>187</v>
      </c>
      <c r="B77" s="348" t="s">
        <v>188</v>
      </c>
      <c r="C77" s="348" t="s">
        <v>254</v>
      </c>
      <c r="D77" s="1538">
        <v>983</v>
      </c>
      <c r="E77" s="1538">
        <v>875</v>
      </c>
      <c r="F77" s="1538">
        <v>804</v>
      </c>
      <c r="G77" s="1538">
        <v>695</v>
      </c>
    </row>
    <row r="78" spans="1:7" s="350" customFormat="1" x14ac:dyDescent="0.3">
      <c r="A78" s="347" t="s">
        <v>189</v>
      </c>
      <c r="B78" s="348" t="s">
        <v>190</v>
      </c>
      <c r="C78" s="348" t="s">
        <v>255</v>
      </c>
      <c r="D78" s="1538">
        <v>100</v>
      </c>
      <c r="E78" s="1538">
        <v>84</v>
      </c>
      <c r="F78" s="1538">
        <v>80</v>
      </c>
      <c r="G78" s="1538">
        <v>53</v>
      </c>
    </row>
    <row r="79" spans="1:7" s="350" customFormat="1" x14ac:dyDescent="0.3">
      <c r="A79" s="347" t="s">
        <v>193</v>
      </c>
      <c r="B79" s="348" t="s">
        <v>194</v>
      </c>
      <c r="C79" s="348" t="s">
        <v>254</v>
      </c>
      <c r="D79" s="1538">
        <v>17</v>
      </c>
      <c r="E79" s="1538">
        <v>15</v>
      </c>
      <c r="F79" s="1538">
        <v>15</v>
      </c>
      <c r="G79" s="1538">
        <v>7</v>
      </c>
    </row>
    <row r="80" spans="1:7" s="350" customFormat="1" x14ac:dyDescent="0.3">
      <c r="A80" s="347" t="s">
        <v>197</v>
      </c>
      <c r="B80" s="348" t="s">
        <v>259</v>
      </c>
      <c r="C80" s="348" t="s">
        <v>253</v>
      </c>
      <c r="D80" s="1538">
        <v>21</v>
      </c>
      <c r="E80" s="1538">
        <v>17</v>
      </c>
      <c r="F80" s="1538">
        <v>14</v>
      </c>
      <c r="G80" s="1538">
        <v>8</v>
      </c>
    </row>
    <row r="81" spans="1:7" s="350" customFormat="1" x14ac:dyDescent="0.3">
      <c r="A81" s="347" t="s">
        <v>201</v>
      </c>
      <c r="B81" s="348" t="s">
        <v>276</v>
      </c>
      <c r="C81" s="348" t="s">
        <v>252</v>
      </c>
      <c r="D81" s="1538">
        <v>350</v>
      </c>
      <c r="E81" s="1538">
        <v>348</v>
      </c>
      <c r="F81" s="1538">
        <v>356</v>
      </c>
      <c r="G81" s="1538">
        <v>307</v>
      </c>
    </row>
    <row r="82" spans="1:7" s="350" customFormat="1" x14ac:dyDescent="0.3">
      <c r="A82" s="347" t="s">
        <v>203</v>
      </c>
      <c r="B82" s="348" t="s">
        <v>269</v>
      </c>
      <c r="C82" s="348" t="s">
        <v>252</v>
      </c>
      <c r="D82" s="1538">
        <v>46</v>
      </c>
      <c r="E82" s="1538">
        <v>41</v>
      </c>
      <c r="F82" s="1538">
        <v>31</v>
      </c>
      <c r="G82" s="1538">
        <v>18</v>
      </c>
    </row>
    <row r="83" spans="1:7" s="350" customFormat="1" x14ac:dyDescent="0.3">
      <c r="A83" s="347" t="s">
        <v>205</v>
      </c>
      <c r="B83" s="348" t="s">
        <v>270</v>
      </c>
      <c r="C83" s="348" t="s">
        <v>254</v>
      </c>
      <c r="D83" s="1538">
        <v>273</v>
      </c>
      <c r="E83" s="1538">
        <v>268</v>
      </c>
      <c r="F83" s="1538">
        <v>209</v>
      </c>
      <c r="G83" s="1538">
        <v>230</v>
      </c>
    </row>
    <row r="84" spans="1:7" s="350" customFormat="1" x14ac:dyDescent="0.3">
      <c r="A84" s="347" t="s">
        <v>207</v>
      </c>
      <c r="B84" s="348" t="s">
        <v>208</v>
      </c>
      <c r="C84" s="348" t="s">
        <v>255</v>
      </c>
      <c r="D84" s="1538">
        <v>30</v>
      </c>
      <c r="E84" s="1538">
        <v>32</v>
      </c>
      <c r="F84" s="1538">
        <v>26</v>
      </c>
      <c r="G84" s="1538">
        <v>27</v>
      </c>
    </row>
    <row r="85" spans="1:7" s="350" customFormat="1" x14ac:dyDescent="0.3">
      <c r="A85" s="347" t="s">
        <v>209</v>
      </c>
      <c r="B85" s="348" t="s">
        <v>210</v>
      </c>
      <c r="C85" s="348" t="s">
        <v>255</v>
      </c>
      <c r="D85" s="1538">
        <v>14</v>
      </c>
      <c r="E85" s="1538">
        <v>12</v>
      </c>
      <c r="F85" s="1538">
        <v>8</v>
      </c>
      <c r="G85" s="1538">
        <v>4</v>
      </c>
    </row>
    <row r="86" spans="1:7" s="350" customFormat="1" x14ac:dyDescent="0.3">
      <c r="A86" s="347" t="s">
        <v>211</v>
      </c>
      <c r="B86" s="348" t="s">
        <v>212</v>
      </c>
      <c r="C86" s="348" t="s">
        <v>254</v>
      </c>
      <c r="D86" s="1538">
        <v>93</v>
      </c>
      <c r="E86" s="1538">
        <v>82</v>
      </c>
      <c r="F86" s="1538">
        <v>80</v>
      </c>
      <c r="G86" s="1538">
        <v>54</v>
      </c>
    </row>
    <row r="87" spans="1:7" s="350" customFormat="1" x14ac:dyDescent="0.3">
      <c r="A87" s="347" t="s">
        <v>213</v>
      </c>
      <c r="B87" s="348" t="s">
        <v>214</v>
      </c>
      <c r="C87" s="348" t="s">
        <v>255</v>
      </c>
      <c r="D87" s="1538">
        <v>76</v>
      </c>
      <c r="E87" s="1538">
        <v>83</v>
      </c>
      <c r="F87" s="1538">
        <v>64</v>
      </c>
      <c r="G87" s="1538">
        <v>54</v>
      </c>
    </row>
    <row r="88" spans="1:7" s="350" customFormat="1" x14ac:dyDescent="0.3">
      <c r="A88" s="347" t="s">
        <v>215</v>
      </c>
      <c r="B88" s="348" t="s">
        <v>216</v>
      </c>
      <c r="C88" s="348" t="s">
        <v>251</v>
      </c>
      <c r="D88" s="1538">
        <v>31</v>
      </c>
      <c r="E88" s="1538">
        <v>23</v>
      </c>
      <c r="F88" s="1538">
        <v>17</v>
      </c>
      <c r="G88" s="1538">
        <v>20</v>
      </c>
    </row>
    <row r="89" spans="1:7" s="350" customFormat="1" x14ac:dyDescent="0.3">
      <c r="A89" s="347" t="s">
        <v>217</v>
      </c>
      <c r="B89" s="348" t="s">
        <v>218</v>
      </c>
      <c r="C89" s="348" t="s">
        <v>254</v>
      </c>
      <c r="D89" s="1538">
        <v>260</v>
      </c>
      <c r="E89" s="1538">
        <v>234</v>
      </c>
      <c r="F89" s="1538">
        <v>200</v>
      </c>
      <c r="G89" s="1538">
        <v>210</v>
      </c>
    </row>
    <row r="90" spans="1:7" s="350" customFormat="1" x14ac:dyDescent="0.3">
      <c r="A90" s="347" t="s">
        <v>219</v>
      </c>
      <c r="B90" s="348" t="s">
        <v>220</v>
      </c>
      <c r="C90" s="348" t="s">
        <v>254</v>
      </c>
      <c r="D90" s="1538">
        <v>267</v>
      </c>
      <c r="E90" s="1538">
        <v>246</v>
      </c>
      <c r="F90" s="1538">
        <v>244</v>
      </c>
      <c r="G90" s="1538">
        <v>251</v>
      </c>
    </row>
    <row r="91" spans="1:7" s="350" customFormat="1" x14ac:dyDescent="0.3">
      <c r="A91" s="347" t="s">
        <v>223</v>
      </c>
      <c r="B91" s="348" t="s">
        <v>224</v>
      </c>
      <c r="C91" s="348" t="s">
        <v>251</v>
      </c>
      <c r="D91" s="1538">
        <v>35</v>
      </c>
      <c r="E91" s="1538">
        <v>31</v>
      </c>
      <c r="F91" s="1538">
        <v>26</v>
      </c>
      <c r="G91" s="1538">
        <v>21</v>
      </c>
    </row>
    <row r="92" spans="1:7" s="350" customFormat="1" x14ac:dyDescent="0.3">
      <c r="A92" s="347" t="s">
        <v>225</v>
      </c>
      <c r="B92" s="348" t="s">
        <v>226</v>
      </c>
      <c r="C92" s="348" t="s">
        <v>251</v>
      </c>
      <c r="D92" s="1538">
        <v>47</v>
      </c>
      <c r="E92" s="1538">
        <v>49</v>
      </c>
      <c r="F92" s="1538">
        <v>40</v>
      </c>
      <c r="G92" s="1538">
        <v>23</v>
      </c>
    </row>
    <row r="93" spans="1:7" s="350" customFormat="1" x14ac:dyDescent="0.3">
      <c r="A93" s="347" t="s">
        <v>227</v>
      </c>
      <c r="B93" s="348" t="s">
        <v>228</v>
      </c>
      <c r="C93" s="348" t="s">
        <v>255</v>
      </c>
      <c r="D93" s="1538">
        <v>113</v>
      </c>
      <c r="E93" s="1538">
        <v>91</v>
      </c>
      <c r="F93" s="1538">
        <v>74</v>
      </c>
      <c r="G93" s="1538">
        <v>67</v>
      </c>
    </row>
    <row r="94" spans="1:7" s="350" customFormat="1" x14ac:dyDescent="0.3">
      <c r="A94" s="347" t="s">
        <v>231</v>
      </c>
      <c r="B94" s="348" t="s">
        <v>232</v>
      </c>
      <c r="C94" s="348" t="s">
        <v>254</v>
      </c>
      <c r="D94" s="1538">
        <v>136</v>
      </c>
      <c r="E94" s="1538">
        <v>151</v>
      </c>
      <c r="F94" s="1538">
        <v>151</v>
      </c>
      <c r="G94" s="1538">
        <v>140</v>
      </c>
    </row>
    <row r="95" spans="1:7" s="350" customFormat="1" x14ac:dyDescent="0.3">
      <c r="A95" s="347" t="s">
        <v>233</v>
      </c>
      <c r="B95" s="348" t="s">
        <v>234</v>
      </c>
      <c r="C95" s="348" t="s">
        <v>255</v>
      </c>
      <c r="D95" s="1538">
        <v>65</v>
      </c>
      <c r="E95" s="1538">
        <v>68</v>
      </c>
      <c r="F95" s="1538">
        <v>61</v>
      </c>
      <c r="G95" s="1538">
        <v>65</v>
      </c>
    </row>
    <row r="96" spans="1:7" s="350" customFormat="1" x14ac:dyDescent="0.3">
      <c r="A96" s="347" t="s">
        <v>235</v>
      </c>
      <c r="B96" s="348" t="s">
        <v>236</v>
      </c>
      <c r="C96" s="348" t="s">
        <v>253</v>
      </c>
      <c r="D96" s="1538">
        <v>48</v>
      </c>
      <c r="E96" s="1538">
        <v>57</v>
      </c>
      <c r="F96" s="1538">
        <v>51</v>
      </c>
      <c r="G96" s="1538">
        <v>39</v>
      </c>
    </row>
    <row r="97" spans="1:7" s="350" customFormat="1" x14ac:dyDescent="0.3">
      <c r="A97" s="347" t="s">
        <v>241</v>
      </c>
      <c r="B97" s="348" t="s">
        <v>242</v>
      </c>
      <c r="C97" s="348" t="s">
        <v>255</v>
      </c>
      <c r="D97" s="1538">
        <v>67</v>
      </c>
      <c r="E97" s="1538">
        <v>65</v>
      </c>
      <c r="F97" s="1538">
        <v>58</v>
      </c>
      <c r="G97" s="1538">
        <v>50</v>
      </c>
    </row>
    <row r="98" spans="1:7" s="350" customFormat="1" x14ac:dyDescent="0.3">
      <c r="A98" s="347" t="s">
        <v>243</v>
      </c>
      <c r="B98" s="348" t="s">
        <v>244</v>
      </c>
      <c r="C98" s="348" t="s">
        <v>255</v>
      </c>
      <c r="D98" s="1538">
        <v>104</v>
      </c>
      <c r="E98" s="1538">
        <v>107</v>
      </c>
      <c r="F98" s="1538">
        <v>86</v>
      </c>
      <c r="G98" s="1538">
        <v>64</v>
      </c>
    </row>
    <row r="99" spans="1:7" s="350" customFormat="1" x14ac:dyDescent="0.3">
      <c r="A99" s="347" t="s">
        <v>245</v>
      </c>
      <c r="B99" s="348" t="s">
        <v>246</v>
      </c>
      <c r="C99" s="348" t="s">
        <v>251</v>
      </c>
      <c r="D99" s="1538">
        <v>150</v>
      </c>
      <c r="E99" s="1538">
        <v>145</v>
      </c>
      <c r="F99" s="1538">
        <v>140</v>
      </c>
      <c r="G99" s="1538">
        <v>137</v>
      </c>
    </row>
    <row r="100" spans="1:7" s="350" customFormat="1" x14ac:dyDescent="0.3">
      <c r="A100" s="347" t="s">
        <v>13</v>
      </c>
      <c r="B100" s="348" t="s">
        <v>14</v>
      </c>
      <c r="C100" s="348" t="s">
        <v>254</v>
      </c>
      <c r="D100" s="1538">
        <v>502</v>
      </c>
      <c r="E100" s="1538">
        <v>489</v>
      </c>
      <c r="F100" s="1538">
        <v>431</v>
      </c>
      <c r="G100" s="1538">
        <v>507</v>
      </c>
    </row>
    <row r="101" spans="1:7" s="350" customFormat="1" x14ac:dyDescent="0.3">
      <c r="A101" s="347" t="s">
        <v>33</v>
      </c>
      <c r="B101" s="348" t="s">
        <v>34</v>
      </c>
      <c r="C101" s="348" t="s">
        <v>255</v>
      </c>
      <c r="D101" s="1538">
        <v>203</v>
      </c>
      <c r="E101" s="1538">
        <v>176</v>
      </c>
      <c r="F101" s="1538">
        <v>170</v>
      </c>
      <c r="G101" s="1538">
        <v>129</v>
      </c>
    </row>
    <row r="102" spans="1:7" s="350" customFormat="1" x14ac:dyDescent="0.3">
      <c r="A102" s="347" t="s">
        <v>51</v>
      </c>
      <c r="B102" s="348" t="s">
        <v>52</v>
      </c>
      <c r="C102" s="348" t="s">
        <v>252</v>
      </c>
      <c r="D102" s="1538">
        <v>272</v>
      </c>
      <c r="E102" s="1538">
        <v>266</v>
      </c>
      <c r="F102" s="1538">
        <v>229</v>
      </c>
      <c r="G102" s="1538">
        <v>170</v>
      </c>
    </row>
    <row r="103" spans="1:7" s="350" customFormat="1" x14ac:dyDescent="0.3">
      <c r="A103" s="347" t="s">
        <v>53</v>
      </c>
      <c r="B103" s="348" t="s">
        <v>54</v>
      </c>
      <c r="C103" s="348" t="s">
        <v>251</v>
      </c>
      <c r="D103" s="1538">
        <v>930</v>
      </c>
      <c r="E103" s="1538">
        <v>851</v>
      </c>
      <c r="F103" s="1538">
        <v>760</v>
      </c>
      <c r="G103" s="1538">
        <v>781</v>
      </c>
    </row>
    <row r="104" spans="1:7" s="350" customFormat="1" x14ac:dyDescent="0.3">
      <c r="A104" s="347" t="s">
        <v>65</v>
      </c>
      <c r="B104" s="348" t="s">
        <v>66</v>
      </c>
      <c r="C104" s="348" t="s">
        <v>252</v>
      </c>
      <c r="D104" s="1538">
        <v>315</v>
      </c>
      <c r="E104" s="1538">
        <v>331</v>
      </c>
      <c r="F104" s="1538">
        <v>263</v>
      </c>
      <c r="G104" s="1538">
        <v>227</v>
      </c>
    </row>
    <row r="105" spans="1:7" s="350" customFormat="1" x14ac:dyDescent="0.3">
      <c r="A105" s="347" t="s">
        <v>81</v>
      </c>
      <c r="B105" s="348" t="s">
        <v>82</v>
      </c>
      <c r="C105" s="348" t="s">
        <v>251</v>
      </c>
      <c r="D105" s="1538">
        <v>46</v>
      </c>
      <c r="E105" s="1538">
        <v>40</v>
      </c>
      <c r="F105" s="1538">
        <v>31</v>
      </c>
      <c r="G105" s="1538">
        <v>47</v>
      </c>
    </row>
    <row r="106" spans="1:7" s="350" customFormat="1" x14ac:dyDescent="0.3">
      <c r="A106" s="347" t="s">
        <v>87</v>
      </c>
      <c r="B106" s="348" t="s">
        <v>88</v>
      </c>
      <c r="C106" s="348" t="s">
        <v>254</v>
      </c>
      <c r="D106" s="1538">
        <v>183</v>
      </c>
      <c r="E106" s="1538">
        <v>199</v>
      </c>
      <c r="F106" s="1538">
        <v>180</v>
      </c>
      <c r="G106" s="1538">
        <v>154</v>
      </c>
    </row>
    <row r="107" spans="1:7" s="350" customFormat="1" x14ac:dyDescent="0.3">
      <c r="A107" s="347" t="s">
        <v>89</v>
      </c>
      <c r="B107" s="348" t="s">
        <v>90</v>
      </c>
      <c r="C107" s="348" t="s">
        <v>255</v>
      </c>
      <c r="D107" s="1538">
        <v>45</v>
      </c>
      <c r="E107" s="1538">
        <v>35</v>
      </c>
      <c r="F107" s="1538">
        <v>27</v>
      </c>
      <c r="G107" s="1538">
        <v>24</v>
      </c>
    </row>
    <row r="108" spans="1:7" s="350" customFormat="1" x14ac:dyDescent="0.3">
      <c r="A108" s="347" t="s">
        <v>105</v>
      </c>
      <c r="B108" s="348" t="s">
        <v>106</v>
      </c>
      <c r="C108" s="348" t="s">
        <v>251</v>
      </c>
      <c r="D108" s="1538">
        <v>719</v>
      </c>
      <c r="E108" s="1538">
        <v>605</v>
      </c>
      <c r="F108" s="1538">
        <v>572</v>
      </c>
      <c r="G108" s="1538">
        <v>569</v>
      </c>
    </row>
    <row r="109" spans="1:7" s="350" customFormat="1" x14ac:dyDescent="0.3">
      <c r="A109" s="347" t="s">
        <v>115</v>
      </c>
      <c r="B109" s="348" t="s">
        <v>116</v>
      </c>
      <c r="C109" s="348" t="s">
        <v>253</v>
      </c>
      <c r="D109" s="1538">
        <v>160</v>
      </c>
      <c r="E109" s="1538">
        <v>157</v>
      </c>
      <c r="F109" s="1538">
        <v>159</v>
      </c>
      <c r="G109" s="1538">
        <v>140</v>
      </c>
    </row>
    <row r="110" spans="1:7" s="350" customFormat="1" x14ac:dyDescent="0.3">
      <c r="A110" s="347" t="s">
        <v>137</v>
      </c>
      <c r="B110" s="348" t="s">
        <v>138</v>
      </c>
      <c r="C110" s="348" t="s">
        <v>252</v>
      </c>
      <c r="D110" s="1538">
        <v>393</v>
      </c>
      <c r="E110" s="1538">
        <v>408</v>
      </c>
      <c r="F110" s="1538">
        <v>387</v>
      </c>
      <c r="G110" s="1538">
        <v>324</v>
      </c>
    </row>
    <row r="111" spans="1:7" s="350" customFormat="1" x14ac:dyDescent="0.3">
      <c r="A111" s="347" t="s">
        <v>141</v>
      </c>
      <c r="B111" s="348" t="s">
        <v>142</v>
      </c>
      <c r="C111" s="348" t="s">
        <v>254</v>
      </c>
      <c r="D111" s="1538">
        <v>182</v>
      </c>
      <c r="E111" s="1538">
        <v>209</v>
      </c>
      <c r="F111" s="1538">
        <v>183</v>
      </c>
      <c r="G111" s="1538">
        <v>123</v>
      </c>
    </row>
    <row r="112" spans="1:7" s="350" customFormat="1" x14ac:dyDescent="0.3">
      <c r="A112" s="347" t="s">
        <v>143</v>
      </c>
      <c r="B112" s="348" t="s">
        <v>144</v>
      </c>
      <c r="C112" s="348" t="s">
        <v>254</v>
      </c>
      <c r="D112" s="1538">
        <v>34</v>
      </c>
      <c r="E112" s="1538">
        <v>50</v>
      </c>
      <c r="F112" s="1538">
        <v>38</v>
      </c>
      <c r="G112" s="1538">
        <v>26</v>
      </c>
    </row>
    <row r="113" spans="1:8" s="350" customFormat="1" x14ac:dyDescent="0.3">
      <c r="A113" s="347" t="s">
        <v>157</v>
      </c>
      <c r="B113" s="348" t="s">
        <v>158</v>
      </c>
      <c r="C113" s="348" t="s">
        <v>251</v>
      </c>
      <c r="D113" s="1538">
        <v>1336</v>
      </c>
      <c r="E113" s="1538">
        <v>1365</v>
      </c>
      <c r="F113" s="1538">
        <v>1216</v>
      </c>
      <c r="G113" s="1538">
        <v>1185</v>
      </c>
    </row>
    <row r="114" spans="1:8" s="350" customFormat="1" x14ac:dyDescent="0.3">
      <c r="A114" s="347" t="s">
        <v>159</v>
      </c>
      <c r="B114" s="348" t="s">
        <v>160</v>
      </c>
      <c r="C114" s="348" t="s">
        <v>251</v>
      </c>
      <c r="D114" s="1538">
        <v>1767</v>
      </c>
      <c r="E114" s="1538">
        <v>1680</v>
      </c>
      <c r="F114" s="1538">
        <v>1411</v>
      </c>
      <c r="G114" s="1538">
        <v>1226</v>
      </c>
    </row>
    <row r="115" spans="1:8" s="350" customFormat="1" x14ac:dyDescent="0.3">
      <c r="A115" s="347" t="s">
        <v>165</v>
      </c>
      <c r="B115" s="348" t="s">
        <v>166</v>
      </c>
      <c r="C115" s="348" t="s">
        <v>255</v>
      </c>
      <c r="D115" s="1538">
        <v>16</v>
      </c>
      <c r="E115" s="1538">
        <v>13</v>
      </c>
      <c r="F115" s="1538">
        <v>11</v>
      </c>
      <c r="G115" s="1538">
        <v>7</v>
      </c>
    </row>
    <row r="116" spans="1:8" s="350" customFormat="1" x14ac:dyDescent="0.3">
      <c r="A116" s="347" t="s">
        <v>175</v>
      </c>
      <c r="B116" s="348" t="s">
        <v>176</v>
      </c>
      <c r="C116" s="348" t="s">
        <v>253</v>
      </c>
      <c r="D116" s="1538">
        <v>410</v>
      </c>
      <c r="E116" s="1538">
        <v>395</v>
      </c>
      <c r="F116" s="1538">
        <v>282</v>
      </c>
      <c r="G116" s="1538">
        <v>220</v>
      </c>
    </row>
    <row r="117" spans="1:8" s="350" customFormat="1" x14ac:dyDescent="0.3">
      <c r="A117" s="347" t="s">
        <v>179</v>
      </c>
      <c r="B117" s="348" t="s">
        <v>180</v>
      </c>
      <c r="C117" s="348" t="s">
        <v>251</v>
      </c>
      <c r="D117" s="1538">
        <v>591</v>
      </c>
      <c r="E117" s="1538">
        <v>615</v>
      </c>
      <c r="F117" s="1538">
        <v>623</v>
      </c>
      <c r="G117" s="1538">
        <v>480</v>
      </c>
    </row>
    <row r="118" spans="1:8" s="350" customFormat="1" x14ac:dyDescent="0.3">
      <c r="A118" s="347" t="s">
        <v>191</v>
      </c>
      <c r="B118" s="348" t="s">
        <v>192</v>
      </c>
      <c r="C118" s="348" t="s">
        <v>255</v>
      </c>
      <c r="D118" s="1538">
        <v>43</v>
      </c>
      <c r="E118" s="1538">
        <v>44</v>
      </c>
      <c r="F118" s="1538">
        <v>45</v>
      </c>
      <c r="G118" s="1538">
        <v>30</v>
      </c>
    </row>
    <row r="119" spans="1:8" s="350" customFormat="1" x14ac:dyDescent="0.3">
      <c r="A119" s="347" t="s">
        <v>195</v>
      </c>
      <c r="B119" s="348" t="s">
        <v>196</v>
      </c>
      <c r="C119" s="348" t="s">
        <v>253</v>
      </c>
      <c r="D119" s="1538">
        <v>1780</v>
      </c>
      <c r="E119" s="1538">
        <v>1488</v>
      </c>
      <c r="F119" s="1538">
        <v>1305</v>
      </c>
      <c r="G119" s="1538">
        <v>985</v>
      </c>
    </row>
    <row r="120" spans="1:8" s="350" customFormat="1" x14ac:dyDescent="0.3">
      <c r="A120" s="347" t="s">
        <v>199</v>
      </c>
      <c r="B120" s="348" t="s">
        <v>200</v>
      </c>
      <c r="C120" s="348" t="s">
        <v>252</v>
      </c>
      <c r="D120" s="1538">
        <v>775</v>
      </c>
      <c r="E120" s="1538">
        <v>824</v>
      </c>
      <c r="F120" s="1538">
        <v>806</v>
      </c>
      <c r="G120" s="1538">
        <v>698</v>
      </c>
    </row>
    <row r="121" spans="1:8" s="350" customFormat="1" x14ac:dyDescent="0.3">
      <c r="A121" s="347" t="s">
        <v>221</v>
      </c>
      <c r="B121" s="348" t="s">
        <v>222</v>
      </c>
      <c r="C121" s="348" t="s">
        <v>251</v>
      </c>
      <c r="D121" s="1538">
        <v>268</v>
      </c>
      <c r="E121" s="1538">
        <v>280</v>
      </c>
      <c r="F121" s="1538">
        <v>226</v>
      </c>
      <c r="G121" s="1538">
        <v>195</v>
      </c>
    </row>
    <row r="122" spans="1:8" s="350" customFormat="1" x14ac:dyDescent="0.3">
      <c r="A122" s="347" t="s">
        <v>229</v>
      </c>
      <c r="B122" s="348" t="s">
        <v>230</v>
      </c>
      <c r="C122" s="348" t="s">
        <v>251</v>
      </c>
      <c r="D122" s="1538">
        <v>1496</v>
      </c>
      <c r="E122" s="1538">
        <v>1584</v>
      </c>
      <c r="F122" s="1538">
        <v>1171</v>
      </c>
      <c r="G122" s="1538">
        <v>1120</v>
      </c>
    </row>
    <row r="123" spans="1:8" s="350" customFormat="1" x14ac:dyDescent="0.3">
      <c r="A123" s="347" t="s">
        <v>237</v>
      </c>
      <c r="B123" s="348" t="s">
        <v>238</v>
      </c>
      <c r="C123" s="348" t="s">
        <v>251</v>
      </c>
      <c r="D123" s="1538">
        <v>43</v>
      </c>
      <c r="E123" s="1538">
        <v>58</v>
      </c>
      <c r="F123" s="1538">
        <v>51</v>
      </c>
      <c r="G123" s="1538">
        <v>48</v>
      </c>
    </row>
    <row r="124" spans="1:8" s="350" customFormat="1" x14ac:dyDescent="0.3">
      <c r="A124" s="347" t="s">
        <v>239</v>
      </c>
      <c r="B124" s="348" t="s">
        <v>240</v>
      </c>
      <c r="C124" s="348" t="s">
        <v>254</v>
      </c>
      <c r="D124" s="1559">
        <v>115</v>
      </c>
      <c r="E124" s="1559">
        <v>108</v>
      </c>
      <c r="F124" s="1559">
        <v>81</v>
      </c>
      <c r="G124" s="1559">
        <v>73</v>
      </c>
    </row>
    <row r="126" spans="1:8" ht="12.75" customHeight="1" x14ac:dyDescent="0.3">
      <c r="A126" s="2540" t="s">
        <v>790</v>
      </c>
      <c r="B126" s="2541"/>
      <c r="C126" s="2541"/>
      <c r="D126" s="2541"/>
      <c r="E126" s="2541"/>
      <c r="F126" s="2541"/>
      <c r="G126" s="2541"/>
      <c r="H126" s="2541"/>
    </row>
    <row r="127" spans="1:8" x14ac:dyDescent="0.3">
      <c r="A127" s="2541"/>
      <c r="B127" s="2541"/>
      <c r="C127" s="2541"/>
      <c r="D127" s="2541"/>
      <c r="E127" s="2541"/>
      <c r="F127" s="2541"/>
      <c r="G127" s="2541"/>
      <c r="H127" s="2541"/>
    </row>
    <row r="128" spans="1:8" ht="18" customHeight="1" x14ac:dyDescent="0.3">
      <c r="A128" s="2541"/>
      <c r="B128" s="2541"/>
      <c r="C128" s="2541"/>
      <c r="D128" s="2541"/>
      <c r="E128" s="2541"/>
      <c r="F128" s="2541"/>
      <c r="G128" s="2541"/>
      <c r="H128" s="2541"/>
    </row>
    <row r="129" spans="1:8" x14ac:dyDescent="0.3">
      <c r="A129" s="803"/>
      <c r="B129" s="803"/>
      <c r="C129" s="803"/>
      <c r="D129" s="803"/>
      <c r="E129" s="885"/>
      <c r="F129" s="1031"/>
      <c r="G129" s="1540"/>
      <c r="H129" s="803"/>
    </row>
    <row r="130" spans="1:8" s="193" customFormat="1" x14ac:dyDescent="0.3">
      <c r="A130" s="193" t="s">
        <v>247</v>
      </c>
    </row>
    <row r="131" spans="1:8" s="193" customFormat="1" x14ac:dyDescent="0.3">
      <c r="A131" s="194" t="s">
        <v>248</v>
      </c>
      <c r="B131" s="195" t="s">
        <v>249</v>
      </c>
      <c r="C131" s="195"/>
    </row>
  </sheetData>
  <sortState ref="A5:I124">
    <sortCondition ref="A5:A124"/>
  </sortState>
  <mergeCells count="1">
    <mergeCell ref="A126:H128"/>
  </mergeCells>
  <hyperlinks>
    <hyperlink ref="B131"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D6" activePane="bottomRight" state="frozen"/>
      <selection pane="topRight" activeCell="D1" sqref="D1"/>
      <selection pane="bottomLeft" activeCell="A6" sqref="A6"/>
      <selection pane="bottomRight" activeCell="J6" sqref="J6:K125"/>
    </sheetView>
  </sheetViews>
  <sheetFormatPr defaultColWidth="14.296875" defaultRowHeight="15.6" x14ac:dyDescent="0.3"/>
  <cols>
    <col min="1" max="1" width="14.296875" style="247"/>
    <col min="2" max="2" width="32.19921875" style="247" customWidth="1"/>
    <col min="3" max="4" width="14.5" style="247" customWidth="1"/>
    <col min="5" max="5" width="11.796875" style="247" customWidth="1"/>
    <col min="6" max="7" width="11.09765625" style="247" customWidth="1"/>
    <col min="8" max="9" width="14.5" style="247" customWidth="1"/>
    <col min="10" max="12" width="9.59765625" style="247" customWidth="1"/>
    <col min="13" max="16" width="12.09765625" style="247" customWidth="1"/>
    <col min="17" max="16384" width="14.296875" style="247"/>
  </cols>
  <sheetData>
    <row r="1" spans="1:17" x14ac:dyDescent="0.3">
      <c r="A1" s="94" t="s">
        <v>855</v>
      </c>
    </row>
    <row r="2" spans="1:17" x14ac:dyDescent="0.3">
      <c r="B2" s="248"/>
      <c r="C2" s="248"/>
      <c r="D2" s="248"/>
      <c r="E2" s="248"/>
      <c r="F2" s="248"/>
      <c r="G2" s="248"/>
      <c r="H2" s="248"/>
      <c r="I2" s="248"/>
      <c r="J2" s="248"/>
      <c r="K2" s="248"/>
      <c r="L2" s="248"/>
    </row>
    <row r="3" spans="1:17" ht="23.25" customHeight="1" x14ac:dyDescent="0.3">
      <c r="A3" s="249"/>
      <c r="B3" s="250"/>
      <c r="C3" s="330"/>
      <c r="D3" s="330"/>
      <c r="E3" s="2552" t="s">
        <v>544</v>
      </c>
      <c r="F3" s="2553"/>
      <c r="G3" s="2553"/>
      <c r="H3" s="2553"/>
      <c r="I3" s="2554"/>
      <c r="J3" s="2552" t="s">
        <v>539</v>
      </c>
      <c r="K3" s="2553"/>
      <c r="L3" s="2554"/>
      <c r="M3" s="2552" t="s">
        <v>503</v>
      </c>
      <c r="N3" s="2553"/>
      <c r="O3" s="2553"/>
      <c r="P3" s="2554"/>
      <c r="Q3" s="2555" t="s">
        <v>766</v>
      </c>
    </row>
    <row r="4" spans="1:17" ht="35.25" customHeight="1" x14ac:dyDescent="0.3">
      <c r="A4" s="251" t="s">
        <v>4</v>
      </c>
      <c r="B4" s="250" t="s">
        <v>5</v>
      </c>
      <c r="C4" s="330" t="s">
        <v>250</v>
      </c>
      <c r="D4" s="330" t="s">
        <v>262</v>
      </c>
      <c r="E4" s="1526" t="s">
        <v>412</v>
      </c>
      <c r="F4" s="1527" t="s">
        <v>771</v>
      </c>
      <c r="G4" s="1527" t="s">
        <v>772</v>
      </c>
      <c r="H4" s="1527" t="s">
        <v>505</v>
      </c>
      <c r="I4" s="1528" t="s">
        <v>765</v>
      </c>
      <c r="J4" s="1500" t="s">
        <v>381</v>
      </c>
      <c r="K4" s="1482" t="s">
        <v>380</v>
      </c>
      <c r="L4" s="1501" t="s">
        <v>765</v>
      </c>
      <c r="M4" s="1500" t="s">
        <v>2</v>
      </c>
      <c r="N4" s="1482" t="s">
        <v>298</v>
      </c>
      <c r="O4" s="1482" t="s">
        <v>519</v>
      </c>
      <c r="P4" s="1501" t="s">
        <v>765</v>
      </c>
      <c r="Q4" s="2555"/>
    </row>
    <row r="5" spans="1:17" x14ac:dyDescent="0.3">
      <c r="A5" s="670" t="s">
        <v>7</v>
      </c>
      <c r="B5" s="671" t="s">
        <v>8</v>
      </c>
      <c r="C5" s="672"/>
      <c r="D5" s="1507">
        <v>943849</v>
      </c>
      <c r="E5" s="1507">
        <v>399253</v>
      </c>
      <c r="F5" s="1499">
        <v>201178</v>
      </c>
      <c r="G5" s="1499">
        <v>270183</v>
      </c>
      <c r="H5" s="1499">
        <v>73155</v>
      </c>
      <c r="I5" s="1514">
        <v>80</v>
      </c>
      <c r="J5" s="1507">
        <v>544414</v>
      </c>
      <c r="K5" s="1499">
        <v>399435</v>
      </c>
      <c r="L5" s="1499">
        <v>0</v>
      </c>
      <c r="M5" s="1502">
        <v>472595</v>
      </c>
      <c r="N5" s="1503">
        <v>430008</v>
      </c>
      <c r="O5" s="1503">
        <v>40232</v>
      </c>
      <c r="P5" s="1504">
        <v>1014</v>
      </c>
      <c r="Q5" s="1504">
        <v>49533</v>
      </c>
    </row>
    <row r="6" spans="1:17" s="329" customFormat="1" x14ac:dyDescent="0.3">
      <c r="A6" s="331" t="s">
        <v>9</v>
      </c>
      <c r="B6" s="327" t="s">
        <v>10</v>
      </c>
      <c r="C6" s="326" t="s">
        <v>251</v>
      </c>
      <c r="D6" s="1532">
        <v>6368</v>
      </c>
      <c r="E6" s="1508">
        <v>2818</v>
      </c>
      <c r="F6" s="562">
        <v>1263</v>
      </c>
      <c r="G6" s="562">
        <v>1743</v>
      </c>
      <c r="H6" s="562">
        <v>544</v>
      </c>
      <c r="I6" s="1509">
        <v>0</v>
      </c>
      <c r="J6" s="1508">
        <v>3615</v>
      </c>
      <c r="K6" s="562">
        <v>2753</v>
      </c>
      <c r="L6" s="1509"/>
      <c r="M6" s="1505">
        <v>3080</v>
      </c>
      <c r="N6" s="328">
        <v>3240</v>
      </c>
      <c r="O6" s="328">
        <v>46</v>
      </c>
      <c r="P6" s="1506">
        <v>2</v>
      </c>
      <c r="Q6" s="329">
        <v>351</v>
      </c>
    </row>
    <row r="7" spans="1:17" s="329" customFormat="1" x14ac:dyDescent="0.3">
      <c r="A7" s="331" t="s">
        <v>11</v>
      </c>
      <c r="B7" s="327" t="s">
        <v>12</v>
      </c>
      <c r="C7" s="326" t="s">
        <v>252</v>
      </c>
      <c r="D7" s="1532">
        <v>6754</v>
      </c>
      <c r="E7" s="1508">
        <v>2943</v>
      </c>
      <c r="F7" s="562">
        <v>1411</v>
      </c>
      <c r="G7" s="562">
        <v>1930</v>
      </c>
      <c r="H7" s="562">
        <v>470</v>
      </c>
      <c r="I7" s="1509">
        <v>0</v>
      </c>
      <c r="J7" s="1508">
        <v>3937</v>
      </c>
      <c r="K7" s="562">
        <v>2817</v>
      </c>
      <c r="L7" s="1509"/>
      <c r="M7" s="1505">
        <v>4166</v>
      </c>
      <c r="N7" s="328">
        <v>2207</v>
      </c>
      <c r="O7" s="328">
        <v>363</v>
      </c>
      <c r="P7" s="1506">
        <v>18</v>
      </c>
      <c r="Q7" s="329">
        <v>281</v>
      </c>
    </row>
    <row r="8" spans="1:17" s="329" customFormat="1" x14ac:dyDescent="0.3">
      <c r="A8" s="331" t="s">
        <v>15</v>
      </c>
      <c r="B8" s="327" t="s">
        <v>273</v>
      </c>
      <c r="C8" s="326" t="s">
        <v>252</v>
      </c>
      <c r="D8" s="1532">
        <v>4079</v>
      </c>
      <c r="E8" s="1508">
        <v>1614</v>
      </c>
      <c r="F8" s="562">
        <v>885</v>
      </c>
      <c r="G8" s="562">
        <v>1297</v>
      </c>
      <c r="H8" s="562">
        <v>282</v>
      </c>
      <c r="I8" s="1509">
        <v>1</v>
      </c>
      <c r="J8" s="1508">
        <v>2367</v>
      </c>
      <c r="K8" s="562">
        <v>1712</v>
      </c>
      <c r="L8" s="1509"/>
      <c r="M8" s="1505">
        <v>3560</v>
      </c>
      <c r="N8" s="328">
        <v>485</v>
      </c>
      <c r="O8" s="328">
        <v>34</v>
      </c>
      <c r="P8" s="1506">
        <v>0</v>
      </c>
      <c r="Q8" s="329">
        <v>50</v>
      </c>
    </row>
    <row r="9" spans="1:17" s="329" customFormat="1" x14ac:dyDescent="0.3">
      <c r="A9" s="331" t="s">
        <v>17</v>
      </c>
      <c r="B9" s="327" t="s">
        <v>18</v>
      </c>
      <c r="C9" s="326" t="s">
        <v>253</v>
      </c>
      <c r="D9" s="1532">
        <v>1851</v>
      </c>
      <c r="E9" s="1508">
        <v>733</v>
      </c>
      <c r="F9" s="562">
        <v>346</v>
      </c>
      <c r="G9" s="562">
        <v>585</v>
      </c>
      <c r="H9" s="562">
        <v>187</v>
      </c>
      <c r="I9" s="1509">
        <v>0</v>
      </c>
      <c r="J9" s="1508">
        <v>1023</v>
      </c>
      <c r="K9" s="562">
        <v>828</v>
      </c>
      <c r="L9" s="1509"/>
      <c r="M9" s="1505">
        <v>1170</v>
      </c>
      <c r="N9" s="328">
        <v>650</v>
      </c>
      <c r="O9" s="328">
        <v>31</v>
      </c>
      <c r="P9" s="1506">
        <v>0</v>
      </c>
      <c r="Q9" s="329">
        <v>68</v>
      </c>
    </row>
    <row r="10" spans="1:17" s="329" customFormat="1" x14ac:dyDescent="0.3">
      <c r="A10" s="331" t="s">
        <v>19</v>
      </c>
      <c r="B10" s="327" t="s">
        <v>20</v>
      </c>
      <c r="C10" s="326" t="s">
        <v>252</v>
      </c>
      <c r="D10" s="1532">
        <v>4519</v>
      </c>
      <c r="E10" s="1508">
        <v>1878</v>
      </c>
      <c r="F10" s="562">
        <v>977</v>
      </c>
      <c r="G10" s="562">
        <v>1373</v>
      </c>
      <c r="H10" s="562">
        <v>291</v>
      </c>
      <c r="I10" s="1509">
        <v>0</v>
      </c>
      <c r="J10" s="1508">
        <v>2555</v>
      </c>
      <c r="K10" s="562">
        <v>1964</v>
      </c>
      <c r="L10" s="1509"/>
      <c r="M10" s="1505">
        <v>3144</v>
      </c>
      <c r="N10" s="328">
        <v>1308</v>
      </c>
      <c r="O10" s="328">
        <v>65</v>
      </c>
      <c r="P10" s="1506">
        <v>2</v>
      </c>
      <c r="Q10" s="329">
        <v>85</v>
      </c>
    </row>
    <row r="11" spans="1:17" s="329" customFormat="1" x14ac:dyDescent="0.3">
      <c r="A11" s="331" t="s">
        <v>21</v>
      </c>
      <c r="B11" s="327" t="s">
        <v>22</v>
      </c>
      <c r="C11" s="326" t="s">
        <v>252</v>
      </c>
      <c r="D11" s="1532">
        <v>2812</v>
      </c>
      <c r="E11" s="1508">
        <v>1142</v>
      </c>
      <c r="F11" s="562">
        <v>603</v>
      </c>
      <c r="G11" s="562">
        <v>856</v>
      </c>
      <c r="H11" s="562">
        <v>211</v>
      </c>
      <c r="I11" s="1509">
        <v>0</v>
      </c>
      <c r="J11" s="1508">
        <v>1597</v>
      </c>
      <c r="K11" s="562">
        <v>1215</v>
      </c>
      <c r="L11" s="1509"/>
      <c r="M11" s="1505">
        <v>1769</v>
      </c>
      <c r="N11" s="328">
        <v>1023</v>
      </c>
      <c r="O11" s="328">
        <v>19</v>
      </c>
      <c r="P11" s="1506">
        <v>1</v>
      </c>
      <c r="Q11" s="329">
        <v>30</v>
      </c>
    </row>
    <row r="12" spans="1:17" s="329" customFormat="1" x14ac:dyDescent="0.3">
      <c r="A12" s="331" t="s">
        <v>23</v>
      </c>
      <c r="B12" s="327" t="s">
        <v>24</v>
      </c>
      <c r="C12" s="326" t="s">
        <v>254</v>
      </c>
      <c r="D12" s="1532">
        <v>8247</v>
      </c>
      <c r="E12" s="1508">
        <v>3318</v>
      </c>
      <c r="F12" s="562">
        <v>1089</v>
      </c>
      <c r="G12" s="562">
        <v>2229</v>
      </c>
      <c r="H12" s="562">
        <v>1611</v>
      </c>
      <c r="I12" s="1509">
        <v>0</v>
      </c>
      <c r="J12" s="1508">
        <v>4655</v>
      </c>
      <c r="K12" s="562">
        <v>3592</v>
      </c>
      <c r="L12" s="1509"/>
      <c r="M12" s="1505">
        <v>4220</v>
      </c>
      <c r="N12" s="328">
        <v>3125</v>
      </c>
      <c r="O12" s="328">
        <v>890</v>
      </c>
      <c r="P12" s="1506">
        <v>12</v>
      </c>
      <c r="Q12" s="329">
        <v>1165</v>
      </c>
    </row>
    <row r="13" spans="1:17" s="329" customFormat="1" x14ac:dyDescent="0.3">
      <c r="A13" s="331" t="s">
        <v>25</v>
      </c>
      <c r="B13" s="327" t="s">
        <v>444</v>
      </c>
      <c r="C13" s="326" t="s">
        <v>252</v>
      </c>
      <c r="D13" s="1532">
        <v>14760</v>
      </c>
      <c r="E13" s="1508">
        <v>5941</v>
      </c>
      <c r="F13" s="562">
        <v>3262</v>
      </c>
      <c r="G13" s="562">
        <v>4546</v>
      </c>
      <c r="H13" s="562">
        <v>1011</v>
      </c>
      <c r="I13" s="1509">
        <v>0</v>
      </c>
      <c r="J13" s="1508">
        <v>8509</v>
      </c>
      <c r="K13" s="562">
        <v>6251</v>
      </c>
      <c r="L13" s="1509"/>
      <c r="M13" s="1505">
        <v>12003</v>
      </c>
      <c r="N13" s="328">
        <v>2546</v>
      </c>
      <c r="O13" s="328">
        <v>203</v>
      </c>
      <c r="P13" s="1506">
        <v>8</v>
      </c>
      <c r="Q13" s="329">
        <v>428</v>
      </c>
    </row>
    <row r="14" spans="1:17" s="329" customFormat="1" x14ac:dyDescent="0.3">
      <c r="A14" s="331" t="s">
        <v>26</v>
      </c>
      <c r="B14" s="327" t="s">
        <v>27</v>
      </c>
      <c r="C14" s="326" t="s">
        <v>252</v>
      </c>
      <c r="D14" s="1532">
        <v>435</v>
      </c>
      <c r="E14" s="1508">
        <v>177</v>
      </c>
      <c r="F14" s="562">
        <v>92</v>
      </c>
      <c r="G14" s="562">
        <v>129</v>
      </c>
      <c r="H14" s="562">
        <v>37</v>
      </c>
      <c r="I14" s="1509">
        <v>0</v>
      </c>
      <c r="J14" s="1508">
        <v>252</v>
      </c>
      <c r="K14" s="562">
        <v>183</v>
      </c>
      <c r="L14" s="1509"/>
      <c r="M14" s="1505">
        <v>417</v>
      </c>
      <c r="N14" s="328">
        <v>16</v>
      </c>
      <c r="O14" s="328">
        <v>2</v>
      </c>
      <c r="P14" s="1506">
        <v>0</v>
      </c>
      <c r="Q14" s="329">
        <v>7</v>
      </c>
    </row>
    <row r="15" spans="1:17" s="329" customFormat="1" x14ac:dyDescent="0.3">
      <c r="A15" s="331" t="s">
        <v>28</v>
      </c>
      <c r="B15" s="327" t="s">
        <v>568</v>
      </c>
      <c r="C15" s="326" t="s">
        <v>252</v>
      </c>
      <c r="D15" s="1532">
        <v>7191</v>
      </c>
      <c r="E15" s="1508">
        <v>2915</v>
      </c>
      <c r="F15" s="562">
        <v>1542</v>
      </c>
      <c r="G15" s="562">
        <v>2290</v>
      </c>
      <c r="H15" s="562">
        <v>444</v>
      </c>
      <c r="I15" s="1509">
        <v>0</v>
      </c>
      <c r="J15" s="1508">
        <v>4104</v>
      </c>
      <c r="K15" s="562">
        <v>3087</v>
      </c>
      <c r="L15" s="1509"/>
      <c r="M15" s="1505">
        <v>5882</v>
      </c>
      <c r="N15" s="328">
        <v>1190</v>
      </c>
      <c r="O15" s="328">
        <v>118</v>
      </c>
      <c r="P15" s="1506">
        <v>1</v>
      </c>
      <c r="Q15" s="329">
        <v>129</v>
      </c>
    </row>
    <row r="16" spans="1:17" s="329" customFormat="1" x14ac:dyDescent="0.3">
      <c r="A16" s="331" t="s">
        <v>29</v>
      </c>
      <c r="B16" s="327" t="s">
        <v>30</v>
      </c>
      <c r="C16" s="326" t="s">
        <v>255</v>
      </c>
      <c r="D16" s="1532">
        <v>679</v>
      </c>
      <c r="E16" s="1508">
        <v>227</v>
      </c>
      <c r="F16" s="562">
        <v>145</v>
      </c>
      <c r="G16" s="562">
        <v>249</v>
      </c>
      <c r="H16" s="562">
        <v>58</v>
      </c>
      <c r="I16" s="1509">
        <v>0</v>
      </c>
      <c r="J16" s="1508">
        <v>379</v>
      </c>
      <c r="K16" s="562">
        <v>300</v>
      </c>
      <c r="L16" s="1509"/>
      <c r="M16" s="1505">
        <v>654</v>
      </c>
      <c r="N16" s="328">
        <v>19</v>
      </c>
      <c r="O16" s="328">
        <v>3</v>
      </c>
      <c r="P16" s="1506">
        <v>3</v>
      </c>
      <c r="Q16" s="329">
        <v>3</v>
      </c>
    </row>
    <row r="17" spans="1:17" s="329" customFormat="1" x14ac:dyDescent="0.3">
      <c r="A17" s="331" t="s">
        <v>31</v>
      </c>
      <c r="B17" s="327" t="s">
        <v>32</v>
      </c>
      <c r="C17" s="326" t="s">
        <v>252</v>
      </c>
      <c r="D17" s="1532">
        <v>2097</v>
      </c>
      <c r="E17" s="1508">
        <v>889</v>
      </c>
      <c r="F17" s="562">
        <v>430</v>
      </c>
      <c r="G17" s="562">
        <v>639</v>
      </c>
      <c r="H17" s="562">
        <v>139</v>
      </c>
      <c r="I17" s="1509">
        <v>0</v>
      </c>
      <c r="J17" s="1508">
        <v>1165</v>
      </c>
      <c r="K17" s="562">
        <v>932</v>
      </c>
      <c r="L17" s="1509"/>
      <c r="M17" s="1505">
        <v>1924</v>
      </c>
      <c r="N17" s="328">
        <v>124</v>
      </c>
      <c r="O17" s="328">
        <v>49</v>
      </c>
      <c r="P17" s="1506">
        <v>0</v>
      </c>
      <c r="Q17" s="329">
        <v>81</v>
      </c>
    </row>
    <row r="18" spans="1:17" s="329" customFormat="1" x14ac:dyDescent="0.3">
      <c r="A18" s="331" t="s">
        <v>35</v>
      </c>
      <c r="B18" s="327" t="s">
        <v>36</v>
      </c>
      <c r="C18" s="326" t="s">
        <v>251</v>
      </c>
      <c r="D18" s="1532">
        <v>3862</v>
      </c>
      <c r="E18" s="1508">
        <v>1369</v>
      </c>
      <c r="F18" s="562">
        <v>873</v>
      </c>
      <c r="G18" s="562">
        <v>1172</v>
      </c>
      <c r="H18" s="562">
        <v>448</v>
      </c>
      <c r="I18" s="1509">
        <v>0</v>
      </c>
      <c r="J18" s="1508">
        <v>2202</v>
      </c>
      <c r="K18" s="562">
        <v>1660</v>
      </c>
      <c r="L18" s="1509"/>
      <c r="M18" s="1505">
        <v>1060</v>
      </c>
      <c r="N18" s="328">
        <v>2772</v>
      </c>
      <c r="O18" s="328">
        <v>30</v>
      </c>
      <c r="P18" s="1506">
        <v>0</v>
      </c>
      <c r="Q18" s="329">
        <v>47</v>
      </c>
    </row>
    <row r="19" spans="1:17" s="329" customFormat="1" x14ac:dyDescent="0.3">
      <c r="A19" s="331" t="s">
        <v>37</v>
      </c>
      <c r="B19" s="327" t="s">
        <v>38</v>
      </c>
      <c r="C19" s="326" t="s">
        <v>255</v>
      </c>
      <c r="D19" s="1532">
        <v>5692</v>
      </c>
      <c r="E19" s="1508">
        <v>1762</v>
      </c>
      <c r="F19" s="562">
        <v>1420</v>
      </c>
      <c r="G19" s="562">
        <v>2175</v>
      </c>
      <c r="H19" s="562">
        <v>335</v>
      </c>
      <c r="I19" s="1509">
        <v>0</v>
      </c>
      <c r="J19" s="1508">
        <v>3115</v>
      </c>
      <c r="K19" s="562">
        <v>2577</v>
      </c>
      <c r="L19" s="1509"/>
      <c r="M19" s="1505">
        <v>5634</v>
      </c>
      <c r="N19" s="328">
        <v>42</v>
      </c>
      <c r="O19" s="328">
        <v>15</v>
      </c>
      <c r="P19" s="1506">
        <v>1</v>
      </c>
      <c r="Q19" s="329">
        <v>22</v>
      </c>
    </row>
    <row r="20" spans="1:17" s="329" customFormat="1" x14ac:dyDescent="0.3">
      <c r="A20" s="331" t="s">
        <v>39</v>
      </c>
      <c r="B20" s="327" t="s">
        <v>40</v>
      </c>
      <c r="C20" s="326" t="s">
        <v>253</v>
      </c>
      <c r="D20" s="1532">
        <v>3357</v>
      </c>
      <c r="E20" s="1508">
        <v>1258</v>
      </c>
      <c r="F20" s="562">
        <v>743</v>
      </c>
      <c r="G20" s="562">
        <v>1042</v>
      </c>
      <c r="H20" s="562">
        <v>314</v>
      </c>
      <c r="I20" s="1509">
        <v>0</v>
      </c>
      <c r="J20" s="1508">
        <v>1867</v>
      </c>
      <c r="K20" s="562">
        <v>1490</v>
      </c>
      <c r="L20" s="1509"/>
      <c r="M20" s="1505">
        <v>1783</v>
      </c>
      <c r="N20" s="328">
        <v>1547</v>
      </c>
      <c r="O20" s="328">
        <v>22</v>
      </c>
      <c r="P20" s="1506">
        <v>5</v>
      </c>
      <c r="Q20" s="329">
        <v>62</v>
      </c>
    </row>
    <row r="21" spans="1:17" s="329" customFormat="1" x14ac:dyDescent="0.3">
      <c r="A21" s="331" t="s">
        <v>41</v>
      </c>
      <c r="B21" s="327" t="s">
        <v>42</v>
      </c>
      <c r="C21" s="326" t="s">
        <v>252</v>
      </c>
      <c r="D21" s="1532">
        <v>8327</v>
      </c>
      <c r="E21" s="1508">
        <v>3443</v>
      </c>
      <c r="F21" s="562">
        <v>1854</v>
      </c>
      <c r="G21" s="562">
        <v>2419</v>
      </c>
      <c r="H21" s="562">
        <v>607</v>
      </c>
      <c r="I21" s="1509">
        <v>4</v>
      </c>
      <c r="J21" s="1508">
        <v>4845</v>
      </c>
      <c r="K21" s="562">
        <v>3482</v>
      </c>
      <c r="L21" s="1509"/>
      <c r="M21" s="1505">
        <v>5980</v>
      </c>
      <c r="N21" s="328">
        <v>2208</v>
      </c>
      <c r="O21" s="328">
        <v>124</v>
      </c>
      <c r="P21" s="1506">
        <v>15</v>
      </c>
      <c r="Q21" s="329">
        <v>158</v>
      </c>
    </row>
    <row r="22" spans="1:17" s="329" customFormat="1" x14ac:dyDescent="0.3">
      <c r="A22" s="331" t="s">
        <v>43</v>
      </c>
      <c r="B22" s="327" t="s">
        <v>44</v>
      </c>
      <c r="C22" s="326" t="s">
        <v>253</v>
      </c>
      <c r="D22" s="1532">
        <v>4813</v>
      </c>
      <c r="E22" s="1508">
        <v>2021</v>
      </c>
      <c r="F22" s="562">
        <v>1002</v>
      </c>
      <c r="G22" s="562">
        <v>1442</v>
      </c>
      <c r="H22" s="562">
        <v>348</v>
      </c>
      <c r="I22" s="1509">
        <v>0</v>
      </c>
      <c r="J22" s="1508">
        <v>2765</v>
      </c>
      <c r="K22" s="562">
        <v>2048</v>
      </c>
      <c r="L22" s="1509"/>
      <c r="M22" s="1505">
        <v>2781</v>
      </c>
      <c r="N22" s="328">
        <v>1909</v>
      </c>
      <c r="O22" s="328">
        <v>119</v>
      </c>
      <c r="P22" s="1506">
        <v>4</v>
      </c>
      <c r="Q22" s="329">
        <v>152</v>
      </c>
    </row>
    <row r="23" spans="1:17" s="329" customFormat="1" x14ac:dyDescent="0.3">
      <c r="A23" s="331" t="s">
        <v>45</v>
      </c>
      <c r="B23" s="327" t="s">
        <v>46</v>
      </c>
      <c r="C23" s="326" t="s">
        <v>255</v>
      </c>
      <c r="D23" s="1532">
        <v>5461</v>
      </c>
      <c r="E23" s="1508">
        <v>1890</v>
      </c>
      <c r="F23" s="562">
        <v>1273</v>
      </c>
      <c r="G23" s="562">
        <v>1788</v>
      </c>
      <c r="H23" s="562">
        <v>510</v>
      </c>
      <c r="I23" s="1509">
        <v>0</v>
      </c>
      <c r="J23" s="1508">
        <v>2979</v>
      </c>
      <c r="K23" s="562">
        <v>2482</v>
      </c>
      <c r="L23" s="1509"/>
      <c r="M23" s="1505">
        <v>5312</v>
      </c>
      <c r="N23" s="328">
        <v>107</v>
      </c>
      <c r="O23" s="328">
        <v>41</v>
      </c>
      <c r="P23" s="1506">
        <v>1</v>
      </c>
      <c r="Q23" s="329">
        <v>109</v>
      </c>
    </row>
    <row r="24" spans="1:17" s="329" customFormat="1" x14ac:dyDescent="0.3">
      <c r="A24" s="331" t="s">
        <v>47</v>
      </c>
      <c r="B24" s="327" t="s">
        <v>256</v>
      </c>
      <c r="C24" s="326" t="s">
        <v>253</v>
      </c>
      <c r="D24" s="1532">
        <v>1056</v>
      </c>
      <c r="E24" s="1508">
        <v>374</v>
      </c>
      <c r="F24" s="562">
        <v>218</v>
      </c>
      <c r="G24" s="562">
        <v>374</v>
      </c>
      <c r="H24" s="562">
        <v>90</v>
      </c>
      <c r="I24" s="1509">
        <v>0</v>
      </c>
      <c r="J24" s="1508">
        <v>612</v>
      </c>
      <c r="K24" s="562">
        <v>444</v>
      </c>
      <c r="L24" s="1509"/>
      <c r="M24" s="1505">
        <v>391</v>
      </c>
      <c r="N24" s="328">
        <v>630</v>
      </c>
      <c r="O24" s="328">
        <v>31</v>
      </c>
      <c r="P24" s="1506">
        <v>4</v>
      </c>
      <c r="Q24" s="329">
        <v>7</v>
      </c>
    </row>
    <row r="25" spans="1:17" s="329" customFormat="1" x14ac:dyDescent="0.3">
      <c r="A25" s="331" t="s">
        <v>49</v>
      </c>
      <c r="B25" s="327" t="s">
        <v>50</v>
      </c>
      <c r="C25" s="326" t="s">
        <v>252</v>
      </c>
      <c r="D25" s="1532">
        <v>2458</v>
      </c>
      <c r="E25" s="1508">
        <v>940</v>
      </c>
      <c r="F25" s="562">
        <v>558</v>
      </c>
      <c r="G25" s="562">
        <v>706</v>
      </c>
      <c r="H25" s="562">
        <v>254</v>
      </c>
      <c r="I25" s="1509">
        <v>0</v>
      </c>
      <c r="J25" s="1508">
        <v>1396</v>
      </c>
      <c r="K25" s="562">
        <v>1062</v>
      </c>
      <c r="L25" s="1509"/>
      <c r="M25" s="1505">
        <v>1223</v>
      </c>
      <c r="N25" s="328">
        <v>1218</v>
      </c>
      <c r="O25" s="328">
        <v>16</v>
      </c>
      <c r="P25" s="1506">
        <v>1</v>
      </c>
      <c r="Q25" s="329">
        <v>36</v>
      </c>
    </row>
    <row r="26" spans="1:17" s="329" customFormat="1" x14ac:dyDescent="0.3">
      <c r="A26" s="331" t="s">
        <v>55</v>
      </c>
      <c r="B26" s="327" t="s">
        <v>271</v>
      </c>
      <c r="C26" s="326" t="s">
        <v>253</v>
      </c>
      <c r="D26" s="1532">
        <v>39498</v>
      </c>
      <c r="E26" s="1508">
        <v>18909</v>
      </c>
      <c r="F26" s="562">
        <v>8636</v>
      </c>
      <c r="G26" s="562">
        <v>10040</v>
      </c>
      <c r="H26" s="562">
        <v>1902</v>
      </c>
      <c r="I26" s="1509">
        <v>11</v>
      </c>
      <c r="J26" s="1508">
        <v>23276</v>
      </c>
      <c r="K26" s="562">
        <v>16222</v>
      </c>
      <c r="L26" s="1509"/>
      <c r="M26" s="1505">
        <v>19343</v>
      </c>
      <c r="N26" s="328">
        <v>18481</v>
      </c>
      <c r="O26" s="328">
        <v>1554</v>
      </c>
      <c r="P26" s="1506">
        <v>120</v>
      </c>
      <c r="Q26" s="329">
        <v>2858</v>
      </c>
    </row>
    <row r="27" spans="1:17" s="329" customFormat="1" x14ac:dyDescent="0.3">
      <c r="A27" s="331" t="s">
        <v>57</v>
      </c>
      <c r="B27" s="327" t="s">
        <v>58</v>
      </c>
      <c r="C27" s="326" t="s">
        <v>254</v>
      </c>
      <c r="D27" s="1532">
        <v>687</v>
      </c>
      <c r="E27" s="1508">
        <v>263</v>
      </c>
      <c r="F27" s="562">
        <v>131</v>
      </c>
      <c r="G27" s="562">
        <v>213</v>
      </c>
      <c r="H27" s="562">
        <v>80</v>
      </c>
      <c r="I27" s="1509">
        <v>0</v>
      </c>
      <c r="J27" s="1508">
        <v>394</v>
      </c>
      <c r="K27" s="562">
        <v>293</v>
      </c>
      <c r="L27" s="1509"/>
      <c r="M27" s="1505">
        <v>576</v>
      </c>
      <c r="N27" s="328">
        <v>103</v>
      </c>
      <c r="O27" s="328">
        <v>8</v>
      </c>
      <c r="P27" s="1506">
        <v>0</v>
      </c>
      <c r="Q27" s="329">
        <v>22</v>
      </c>
    </row>
    <row r="28" spans="1:17" s="329" customFormat="1" x14ac:dyDescent="0.3">
      <c r="A28" s="331" t="s">
        <v>59</v>
      </c>
      <c r="B28" s="327" t="s">
        <v>60</v>
      </c>
      <c r="C28" s="326" t="s">
        <v>252</v>
      </c>
      <c r="D28" s="1532">
        <v>601</v>
      </c>
      <c r="E28" s="1508">
        <v>215</v>
      </c>
      <c r="F28" s="562">
        <v>126</v>
      </c>
      <c r="G28" s="562">
        <v>207</v>
      </c>
      <c r="H28" s="562">
        <v>53</v>
      </c>
      <c r="I28" s="1509">
        <v>0</v>
      </c>
      <c r="J28" s="1508">
        <v>320</v>
      </c>
      <c r="K28" s="562">
        <v>281</v>
      </c>
      <c r="L28" s="1509"/>
      <c r="M28" s="1505">
        <v>590</v>
      </c>
      <c r="N28" s="328">
        <v>4</v>
      </c>
      <c r="O28" s="328">
        <v>6</v>
      </c>
      <c r="P28" s="1506">
        <v>1</v>
      </c>
      <c r="Q28" s="329">
        <v>6</v>
      </c>
    </row>
    <row r="29" spans="1:17" s="329" customFormat="1" x14ac:dyDescent="0.3">
      <c r="A29" s="331" t="s">
        <v>61</v>
      </c>
      <c r="B29" s="327" t="s">
        <v>62</v>
      </c>
      <c r="C29" s="326" t="s">
        <v>254</v>
      </c>
      <c r="D29" s="1532">
        <v>5663</v>
      </c>
      <c r="E29" s="1508">
        <v>2585</v>
      </c>
      <c r="F29" s="562">
        <v>1150</v>
      </c>
      <c r="G29" s="562">
        <v>1515</v>
      </c>
      <c r="H29" s="562">
        <v>413</v>
      </c>
      <c r="I29" s="1509">
        <v>0</v>
      </c>
      <c r="J29" s="1508">
        <v>3221</v>
      </c>
      <c r="K29" s="562">
        <v>2442</v>
      </c>
      <c r="L29" s="1509"/>
      <c r="M29" s="1505">
        <v>3705</v>
      </c>
      <c r="N29" s="328">
        <v>1802</v>
      </c>
      <c r="O29" s="328">
        <v>151</v>
      </c>
      <c r="P29" s="1506">
        <v>5</v>
      </c>
      <c r="Q29" s="329">
        <v>311</v>
      </c>
    </row>
    <row r="30" spans="1:17" s="329" customFormat="1" x14ac:dyDescent="0.3">
      <c r="A30" s="331" t="s">
        <v>63</v>
      </c>
      <c r="B30" s="327" t="s">
        <v>64</v>
      </c>
      <c r="C30" s="326" t="s">
        <v>253</v>
      </c>
      <c r="D30" s="1532">
        <v>2398</v>
      </c>
      <c r="E30" s="1508">
        <v>933</v>
      </c>
      <c r="F30" s="562">
        <v>568</v>
      </c>
      <c r="G30" s="562">
        <v>705</v>
      </c>
      <c r="H30" s="562">
        <v>192</v>
      </c>
      <c r="I30" s="1509">
        <v>0</v>
      </c>
      <c r="J30" s="1508">
        <v>1378</v>
      </c>
      <c r="K30" s="562">
        <v>1020</v>
      </c>
      <c r="L30" s="1509"/>
      <c r="M30" s="1505">
        <v>1250</v>
      </c>
      <c r="N30" s="328">
        <v>1130</v>
      </c>
      <c r="O30" s="328">
        <v>18</v>
      </c>
      <c r="P30" s="1506">
        <v>0</v>
      </c>
      <c r="Q30" s="329">
        <v>32</v>
      </c>
    </row>
    <row r="31" spans="1:17" s="329" customFormat="1" x14ac:dyDescent="0.3">
      <c r="A31" s="331" t="s">
        <v>67</v>
      </c>
      <c r="B31" s="327" t="s">
        <v>68</v>
      </c>
      <c r="C31" s="326" t="s">
        <v>255</v>
      </c>
      <c r="D31" s="1532">
        <v>3487</v>
      </c>
      <c r="E31" s="1508">
        <v>1107</v>
      </c>
      <c r="F31" s="562">
        <v>841</v>
      </c>
      <c r="G31" s="562">
        <v>1285</v>
      </c>
      <c r="H31" s="562">
        <v>254</v>
      </c>
      <c r="I31" s="1509">
        <v>0</v>
      </c>
      <c r="J31" s="1508">
        <v>1860</v>
      </c>
      <c r="K31" s="562">
        <v>1627</v>
      </c>
      <c r="L31" s="1509"/>
      <c r="M31" s="1505">
        <v>3441</v>
      </c>
      <c r="N31" s="328">
        <v>36</v>
      </c>
      <c r="O31" s="328">
        <v>10</v>
      </c>
      <c r="P31" s="1506">
        <v>0</v>
      </c>
      <c r="Q31" s="329">
        <v>6</v>
      </c>
    </row>
    <row r="32" spans="1:17" s="329" customFormat="1" x14ac:dyDescent="0.3">
      <c r="A32" s="331" t="s">
        <v>69</v>
      </c>
      <c r="B32" s="327" t="s">
        <v>70</v>
      </c>
      <c r="C32" s="326" t="s">
        <v>251</v>
      </c>
      <c r="D32" s="1532">
        <v>5131</v>
      </c>
      <c r="E32" s="1508">
        <v>2085</v>
      </c>
      <c r="F32" s="562">
        <v>1201</v>
      </c>
      <c r="G32" s="562">
        <v>1536</v>
      </c>
      <c r="H32" s="562">
        <v>309</v>
      </c>
      <c r="I32" s="1509">
        <v>0</v>
      </c>
      <c r="J32" s="1508">
        <v>2977</v>
      </c>
      <c r="K32" s="562">
        <v>2154</v>
      </c>
      <c r="L32" s="1509"/>
      <c r="M32" s="1505">
        <v>2905</v>
      </c>
      <c r="N32" s="328">
        <v>2141</v>
      </c>
      <c r="O32" s="328">
        <v>75</v>
      </c>
      <c r="P32" s="1506">
        <v>10</v>
      </c>
      <c r="Q32" s="329">
        <v>174</v>
      </c>
    </row>
    <row r="33" spans="1:17" s="329" customFormat="1" x14ac:dyDescent="0.3">
      <c r="A33" s="331" t="s">
        <v>71</v>
      </c>
      <c r="B33" s="327" t="s">
        <v>72</v>
      </c>
      <c r="C33" s="326" t="s">
        <v>253</v>
      </c>
      <c r="D33" s="1532">
        <v>2396</v>
      </c>
      <c r="E33" s="1508">
        <v>1003</v>
      </c>
      <c r="F33" s="562">
        <v>521</v>
      </c>
      <c r="G33" s="562">
        <v>719</v>
      </c>
      <c r="H33" s="562">
        <v>153</v>
      </c>
      <c r="I33" s="1509">
        <v>0</v>
      </c>
      <c r="J33" s="1508">
        <v>1418</v>
      </c>
      <c r="K33" s="562">
        <v>978</v>
      </c>
      <c r="L33" s="1509"/>
      <c r="M33" s="1505">
        <v>778</v>
      </c>
      <c r="N33" s="328">
        <v>1564</v>
      </c>
      <c r="O33" s="328">
        <v>47</v>
      </c>
      <c r="P33" s="1506">
        <v>7</v>
      </c>
      <c r="Q33" s="329">
        <v>53</v>
      </c>
    </row>
    <row r="34" spans="1:17" s="329" customFormat="1" x14ac:dyDescent="0.3">
      <c r="A34" s="331" t="s">
        <v>73</v>
      </c>
      <c r="B34" s="327" t="s">
        <v>272</v>
      </c>
      <c r="C34" s="326" t="s">
        <v>254</v>
      </c>
      <c r="D34" s="1532">
        <v>54501</v>
      </c>
      <c r="E34" s="1508">
        <v>26155</v>
      </c>
      <c r="F34" s="562">
        <v>7589</v>
      </c>
      <c r="G34" s="562">
        <v>11905</v>
      </c>
      <c r="H34" s="562">
        <v>8851</v>
      </c>
      <c r="I34" s="1509">
        <v>1</v>
      </c>
      <c r="J34" s="1508">
        <v>30728</v>
      </c>
      <c r="K34" s="562">
        <v>23773</v>
      </c>
      <c r="L34" s="1509"/>
      <c r="M34" s="1505">
        <v>29723</v>
      </c>
      <c r="N34" s="328">
        <v>14135</v>
      </c>
      <c r="O34" s="328">
        <v>10622</v>
      </c>
      <c r="P34" s="1506">
        <v>21</v>
      </c>
      <c r="Q34" s="329">
        <v>8293</v>
      </c>
    </row>
    <row r="35" spans="1:17" s="329" customFormat="1" x14ac:dyDescent="0.3">
      <c r="A35" s="331" t="s">
        <v>75</v>
      </c>
      <c r="B35" s="327" t="s">
        <v>76</v>
      </c>
      <c r="C35" s="326" t="s">
        <v>254</v>
      </c>
      <c r="D35" s="1532">
        <v>3929</v>
      </c>
      <c r="E35" s="1508">
        <v>1718</v>
      </c>
      <c r="F35" s="562">
        <v>765</v>
      </c>
      <c r="G35" s="562">
        <v>1127</v>
      </c>
      <c r="H35" s="562">
        <v>319</v>
      </c>
      <c r="I35" s="1509">
        <v>0</v>
      </c>
      <c r="J35" s="1508">
        <v>2239</v>
      </c>
      <c r="K35" s="562">
        <v>1690</v>
      </c>
      <c r="L35" s="1509"/>
      <c r="M35" s="1505">
        <v>2751</v>
      </c>
      <c r="N35" s="328">
        <v>1079</v>
      </c>
      <c r="O35" s="328">
        <v>94</v>
      </c>
      <c r="P35" s="1506">
        <v>5</v>
      </c>
      <c r="Q35" s="329">
        <v>148</v>
      </c>
    </row>
    <row r="36" spans="1:17" s="329" customFormat="1" x14ac:dyDescent="0.3">
      <c r="A36" s="331" t="s">
        <v>77</v>
      </c>
      <c r="B36" s="327" t="s">
        <v>78</v>
      </c>
      <c r="C36" s="326" t="s">
        <v>255</v>
      </c>
      <c r="D36" s="1532">
        <v>2166</v>
      </c>
      <c r="E36" s="1508">
        <v>845</v>
      </c>
      <c r="F36" s="562">
        <v>444</v>
      </c>
      <c r="G36" s="562">
        <v>695</v>
      </c>
      <c r="H36" s="562">
        <v>182</v>
      </c>
      <c r="I36" s="1509">
        <v>0</v>
      </c>
      <c r="J36" s="1508">
        <v>1169</v>
      </c>
      <c r="K36" s="562">
        <v>997</v>
      </c>
      <c r="L36" s="1509"/>
      <c r="M36" s="1505">
        <v>2069</v>
      </c>
      <c r="N36" s="328">
        <v>69</v>
      </c>
      <c r="O36" s="328">
        <v>25</v>
      </c>
      <c r="P36" s="1506">
        <v>3</v>
      </c>
      <c r="Q36" s="329">
        <v>75</v>
      </c>
    </row>
    <row r="37" spans="1:17" s="329" customFormat="1" x14ac:dyDescent="0.3">
      <c r="A37" s="331" t="s">
        <v>79</v>
      </c>
      <c r="B37" s="327" t="s">
        <v>80</v>
      </c>
      <c r="C37" s="326" t="s">
        <v>253</v>
      </c>
      <c r="D37" s="1532">
        <v>2001</v>
      </c>
      <c r="E37" s="1508">
        <v>872</v>
      </c>
      <c r="F37" s="562">
        <v>402</v>
      </c>
      <c r="G37" s="562">
        <v>573</v>
      </c>
      <c r="H37" s="562">
        <v>154</v>
      </c>
      <c r="I37" s="1509">
        <v>0</v>
      </c>
      <c r="J37" s="1508">
        <v>1142</v>
      </c>
      <c r="K37" s="562">
        <v>859</v>
      </c>
      <c r="L37" s="1509"/>
      <c r="M37" s="1505">
        <v>1268</v>
      </c>
      <c r="N37" s="328">
        <v>711</v>
      </c>
      <c r="O37" s="328">
        <v>22</v>
      </c>
      <c r="P37" s="1506">
        <v>0</v>
      </c>
      <c r="Q37" s="329">
        <v>39</v>
      </c>
    </row>
    <row r="38" spans="1:17" s="329" customFormat="1" x14ac:dyDescent="0.3">
      <c r="A38" s="331" t="s">
        <v>83</v>
      </c>
      <c r="B38" s="327" t="s">
        <v>84</v>
      </c>
      <c r="C38" s="326" t="s">
        <v>252</v>
      </c>
      <c r="D38" s="1532">
        <v>7858</v>
      </c>
      <c r="E38" s="1508">
        <v>3203</v>
      </c>
      <c r="F38" s="562">
        <v>1666</v>
      </c>
      <c r="G38" s="562">
        <v>2410</v>
      </c>
      <c r="H38" s="562">
        <v>579</v>
      </c>
      <c r="I38" s="1509">
        <v>0</v>
      </c>
      <c r="J38" s="1508">
        <v>4440</v>
      </c>
      <c r="K38" s="562">
        <v>3418</v>
      </c>
      <c r="L38" s="1509"/>
      <c r="M38" s="1505">
        <v>6593</v>
      </c>
      <c r="N38" s="328">
        <v>1152</v>
      </c>
      <c r="O38" s="328">
        <v>108</v>
      </c>
      <c r="P38" s="1506">
        <v>5</v>
      </c>
      <c r="Q38" s="329">
        <v>216</v>
      </c>
    </row>
    <row r="39" spans="1:17" s="329" customFormat="1" x14ac:dyDescent="0.3">
      <c r="A39" s="331" t="s">
        <v>85</v>
      </c>
      <c r="B39" s="327" t="s">
        <v>86</v>
      </c>
      <c r="C39" s="326" t="s">
        <v>254</v>
      </c>
      <c r="D39" s="1532">
        <v>6679</v>
      </c>
      <c r="E39" s="1508">
        <v>3125</v>
      </c>
      <c r="F39" s="562">
        <v>1386</v>
      </c>
      <c r="G39" s="562">
        <v>1756</v>
      </c>
      <c r="H39" s="562">
        <v>412</v>
      </c>
      <c r="I39" s="1509">
        <v>0</v>
      </c>
      <c r="J39" s="1508">
        <v>3854</v>
      </c>
      <c r="K39" s="562">
        <v>2825</v>
      </c>
      <c r="L39" s="1509"/>
      <c r="M39" s="1505">
        <v>5788</v>
      </c>
      <c r="N39" s="328">
        <v>749</v>
      </c>
      <c r="O39" s="328">
        <v>138</v>
      </c>
      <c r="P39" s="1506">
        <v>4</v>
      </c>
      <c r="Q39" s="329">
        <v>646</v>
      </c>
    </row>
    <row r="40" spans="1:17" s="329" customFormat="1" x14ac:dyDescent="0.3">
      <c r="A40" s="331" t="s">
        <v>91</v>
      </c>
      <c r="B40" s="327" t="s">
        <v>92</v>
      </c>
      <c r="C40" s="326" t="s">
        <v>255</v>
      </c>
      <c r="D40" s="1532">
        <v>2527</v>
      </c>
      <c r="E40" s="1508">
        <v>910</v>
      </c>
      <c r="F40" s="562">
        <v>592</v>
      </c>
      <c r="G40" s="562">
        <v>820</v>
      </c>
      <c r="H40" s="562">
        <v>205</v>
      </c>
      <c r="I40" s="1509">
        <v>0</v>
      </c>
      <c r="J40" s="1508">
        <v>1417</v>
      </c>
      <c r="K40" s="562">
        <v>1110</v>
      </c>
      <c r="L40" s="1509"/>
      <c r="M40" s="1505">
        <v>2433</v>
      </c>
      <c r="N40" s="328">
        <v>76</v>
      </c>
      <c r="O40" s="328">
        <v>14</v>
      </c>
      <c r="P40" s="1506">
        <v>4</v>
      </c>
      <c r="Q40" s="329">
        <v>33</v>
      </c>
    </row>
    <row r="41" spans="1:17" s="329" customFormat="1" x14ac:dyDescent="0.3">
      <c r="A41" s="331" t="s">
        <v>93</v>
      </c>
      <c r="B41" s="327" t="s">
        <v>94</v>
      </c>
      <c r="C41" s="326" t="s">
        <v>251</v>
      </c>
      <c r="D41" s="1532">
        <v>4455</v>
      </c>
      <c r="E41" s="1508">
        <v>1692</v>
      </c>
      <c r="F41" s="562">
        <v>970</v>
      </c>
      <c r="G41" s="562">
        <v>1496</v>
      </c>
      <c r="H41" s="562">
        <v>297</v>
      </c>
      <c r="I41" s="1509">
        <v>0</v>
      </c>
      <c r="J41" s="1508">
        <v>2526</v>
      </c>
      <c r="K41" s="562">
        <v>1929</v>
      </c>
      <c r="L41" s="1509"/>
      <c r="M41" s="1505">
        <v>3659</v>
      </c>
      <c r="N41" s="328">
        <v>716</v>
      </c>
      <c r="O41" s="328">
        <v>80</v>
      </c>
      <c r="P41" s="1506">
        <v>0</v>
      </c>
      <c r="Q41" s="329">
        <v>111</v>
      </c>
    </row>
    <row r="42" spans="1:17" s="329" customFormat="1" x14ac:dyDescent="0.3">
      <c r="A42" s="331" t="s">
        <v>95</v>
      </c>
      <c r="B42" s="327" t="s">
        <v>96</v>
      </c>
      <c r="C42" s="326" t="s">
        <v>253</v>
      </c>
      <c r="D42" s="1532">
        <v>1385</v>
      </c>
      <c r="E42" s="1508">
        <v>525</v>
      </c>
      <c r="F42" s="562">
        <v>264</v>
      </c>
      <c r="G42" s="562">
        <v>480</v>
      </c>
      <c r="H42" s="562">
        <v>116</v>
      </c>
      <c r="I42" s="1509">
        <v>0</v>
      </c>
      <c r="J42" s="1508">
        <v>776</v>
      </c>
      <c r="K42" s="562">
        <v>609</v>
      </c>
      <c r="L42" s="1509"/>
      <c r="M42" s="1505">
        <v>790</v>
      </c>
      <c r="N42" s="328">
        <v>566</v>
      </c>
      <c r="O42" s="328">
        <v>28</v>
      </c>
      <c r="P42" s="1506">
        <v>1</v>
      </c>
      <c r="Q42" s="329">
        <v>66</v>
      </c>
    </row>
    <row r="43" spans="1:17" s="329" customFormat="1" x14ac:dyDescent="0.3">
      <c r="A43" s="331" t="s">
        <v>97</v>
      </c>
      <c r="B43" s="327" t="s">
        <v>98</v>
      </c>
      <c r="C43" s="326" t="s">
        <v>255</v>
      </c>
      <c r="D43" s="1532">
        <v>2892</v>
      </c>
      <c r="E43" s="1508">
        <v>1028</v>
      </c>
      <c r="F43" s="562">
        <v>650</v>
      </c>
      <c r="G43" s="562">
        <v>940</v>
      </c>
      <c r="H43" s="562">
        <v>273</v>
      </c>
      <c r="I43" s="1509">
        <v>1</v>
      </c>
      <c r="J43" s="1508">
        <v>1602</v>
      </c>
      <c r="K43" s="562">
        <v>1290</v>
      </c>
      <c r="L43" s="1509"/>
      <c r="M43" s="1505">
        <v>2731</v>
      </c>
      <c r="N43" s="328">
        <v>138</v>
      </c>
      <c r="O43" s="328">
        <v>23</v>
      </c>
      <c r="P43" s="1506">
        <v>0</v>
      </c>
      <c r="Q43" s="329">
        <v>94</v>
      </c>
    </row>
    <row r="44" spans="1:17" s="329" customFormat="1" x14ac:dyDescent="0.3">
      <c r="A44" s="331" t="s">
        <v>99</v>
      </c>
      <c r="B44" s="327" t="s">
        <v>100</v>
      </c>
      <c r="C44" s="326" t="s">
        <v>254</v>
      </c>
      <c r="D44" s="1532">
        <v>2271</v>
      </c>
      <c r="E44" s="1508">
        <v>1016</v>
      </c>
      <c r="F44" s="562">
        <v>439</v>
      </c>
      <c r="G44" s="562">
        <v>665</v>
      </c>
      <c r="H44" s="562">
        <v>151</v>
      </c>
      <c r="I44" s="1509">
        <v>0</v>
      </c>
      <c r="J44" s="1508">
        <v>1273</v>
      </c>
      <c r="K44" s="562">
        <v>998</v>
      </c>
      <c r="L44" s="1509"/>
      <c r="M44" s="1505">
        <v>1809</v>
      </c>
      <c r="N44" s="328">
        <v>416</v>
      </c>
      <c r="O44" s="328">
        <v>46</v>
      </c>
      <c r="P44" s="1506">
        <v>0</v>
      </c>
      <c r="Q44" s="329">
        <v>45</v>
      </c>
    </row>
    <row r="45" spans="1:17" s="329" customFormat="1" x14ac:dyDescent="0.3">
      <c r="A45" s="331" t="s">
        <v>101</v>
      </c>
      <c r="B45" s="327" t="s">
        <v>263</v>
      </c>
      <c r="C45" s="326" t="s">
        <v>251</v>
      </c>
      <c r="D45" s="1532">
        <v>4638</v>
      </c>
      <c r="E45" s="1508">
        <v>1934</v>
      </c>
      <c r="F45" s="562">
        <v>1109</v>
      </c>
      <c r="G45" s="562">
        <v>1248</v>
      </c>
      <c r="H45" s="562">
        <v>346</v>
      </c>
      <c r="I45" s="1509">
        <v>1</v>
      </c>
      <c r="J45" s="1508">
        <v>2714</v>
      </c>
      <c r="K45" s="562">
        <v>1924</v>
      </c>
      <c r="L45" s="1509"/>
      <c r="M45" s="1505">
        <v>687</v>
      </c>
      <c r="N45" s="328">
        <v>3882</v>
      </c>
      <c r="O45" s="328">
        <v>67</v>
      </c>
      <c r="P45" s="1506">
        <v>2</v>
      </c>
      <c r="Q45" s="329">
        <v>154</v>
      </c>
    </row>
    <row r="46" spans="1:17" s="329" customFormat="1" x14ac:dyDescent="0.3">
      <c r="A46" s="331" t="s">
        <v>103</v>
      </c>
      <c r="B46" s="327" t="s">
        <v>104</v>
      </c>
      <c r="C46" s="326" t="s">
        <v>252</v>
      </c>
      <c r="D46" s="1532">
        <v>7589</v>
      </c>
      <c r="E46" s="1508">
        <v>2894</v>
      </c>
      <c r="F46" s="562">
        <v>1748</v>
      </c>
      <c r="G46" s="562">
        <v>2208</v>
      </c>
      <c r="H46" s="562">
        <v>739</v>
      </c>
      <c r="I46" s="1509">
        <v>0</v>
      </c>
      <c r="J46" s="1508">
        <v>4333</v>
      </c>
      <c r="K46" s="562">
        <v>3256</v>
      </c>
      <c r="L46" s="1509"/>
      <c r="M46" s="1505">
        <v>3150</v>
      </c>
      <c r="N46" s="328">
        <v>4353</v>
      </c>
      <c r="O46" s="328">
        <v>84</v>
      </c>
      <c r="P46" s="1506">
        <v>2</v>
      </c>
      <c r="Q46" s="329">
        <v>141</v>
      </c>
    </row>
    <row r="47" spans="1:17" s="329" customFormat="1" x14ac:dyDescent="0.3">
      <c r="A47" s="331" t="s">
        <v>107</v>
      </c>
      <c r="B47" s="327" t="s">
        <v>108</v>
      </c>
      <c r="C47" s="326" t="s">
        <v>253</v>
      </c>
      <c r="D47" s="1532">
        <v>6187</v>
      </c>
      <c r="E47" s="1508">
        <v>2601</v>
      </c>
      <c r="F47" s="562">
        <v>1245</v>
      </c>
      <c r="G47" s="562">
        <v>1914</v>
      </c>
      <c r="H47" s="562">
        <v>427</v>
      </c>
      <c r="I47" s="1509">
        <v>0</v>
      </c>
      <c r="J47" s="1508">
        <v>3597</v>
      </c>
      <c r="K47" s="562">
        <v>2590</v>
      </c>
      <c r="L47" s="1509"/>
      <c r="M47" s="1505">
        <v>4254</v>
      </c>
      <c r="N47" s="328">
        <v>1745</v>
      </c>
      <c r="O47" s="328">
        <v>181</v>
      </c>
      <c r="P47" s="1506">
        <v>7</v>
      </c>
      <c r="Q47" s="329">
        <v>215</v>
      </c>
    </row>
    <row r="48" spans="1:17" s="329" customFormat="1" x14ac:dyDescent="0.3">
      <c r="A48" s="331" t="s">
        <v>109</v>
      </c>
      <c r="B48" s="327" t="s">
        <v>110</v>
      </c>
      <c r="C48" s="326" t="s">
        <v>253</v>
      </c>
      <c r="D48" s="1532">
        <v>41954</v>
      </c>
      <c r="E48" s="1508">
        <v>18868</v>
      </c>
      <c r="F48" s="562">
        <v>9421</v>
      </c>
      <c r="G48" s="562">
        <v>11081</v>
      </c>
      <c r="H48" s="562">
        <v>2582</v>
      </c>
      <c r="I48" s="1509">
        <v>2</v>
      </c>
      <c r="J48" s="1508">
        <v>24791</v>
      </c>
      <c r="K48" s="562">
        <v>17163</v>
      </c>
      <c r="L48" s="1509"/>
      <c r="M48" s="1505">
        <v>13069</v>
      </c>
      <c r="N48" s="328">
        <v>26061</v>
      </c>
      <c r="O48" s="328">
        <v>2741</v>
      </c>
      <c r="P48" s="1506">
        <v>83</v>
      </c>
      <c r="Q48" s="329">
        <v>1614</v>
      </c>
    </row>
    <row r="49" spans="1:17" s="329" customFormat="1" x14ac:dyDescent="0.3">
      <c r="A49" s="331" t="s">
        <v>111</v>
      </c>
      <c r="B49" s="327" t="s">
        <v>275</v>
      </c>
      <c r="C49" s="326" t="s">
        <v>252</v>
      </c>
      <c r="D49" s="1532">
        <v>16896</v>
      </c>
      <c r="E49" s="1508">
        <v>6516</v>
      </c>
      <c r="F49" s="562">
        <v>3877</v>
      </c>
      <c r="G49" s="562">
        <v>5337</v>
      </c>
      <c r="H49" s="562">
        <v>1166</v>
      </c>
      <c r="I49" s="1509">
        <v>0</v>
      </c>
      <c r="J49" s="1508">
        <v>9535</v>
      </c>
      <c r="K49" s="562">
        <v>7361</v>
      </c>
      <c r="L49" s="1509"/>
      <c r="M49" s="1505">
        <v>10102</v>
      </c>
      <c r="N49" s="328">
        <v>6661</v>
      </c>
      <c r="O49" s="328">
        <v>129</v>
      </c>
      <c r="P49" s="1506">
        <v>4</v>
      </c>
      <c r="Q49" s="329">
        <v>1003</v>
      </c>
    </row>
    <row r="50" spans="1:17" s="329" customFormat="1" x14ac:dyDescent="0.3">
      <c r="A50" s="331" t="s">
        <v>113</v>
      </c>
      <c r="B50" s="327" t="s">
        <v>114</v>
      </c>
      <c r="C50" s="326" t="s">
        <v>252</v>
      </c>
      <c r="D50" s="1532">
        <v>168</v>
      </c>
      <c r="E50" s="1508">
        <v>47</v>
      </c>
      <c r="F50" s="562">
        <v>39</v>
      </c>
      <c r="G50" s="562">
        <v>64</v>
      </c>
      <c r="H50" s="562">
        <v>18</v>
      </c>
      <c r="I50" s="1509">
        <v>0</v>
      </c>
      <c r="J50" s="1508">
        <v>96</v>
      </c>
      <c r="K50" s="562">
        <v>72</v>
      </c>
      <c r="L50" s="1509"/>
      <c r="M50" s="1505">
        <v>164</v>
      </c>
      <c r="N50" s="328">
        <v>2</v>
      </c>
      <c r="O50" s="328">
        <v>2</v>
      </c>
      <c r="P50" s="1506">
        <v>0</v>
      </c>
    </row>
    <row r="51" spans="1:17" s="329" customFormat="1" x14ac:dyDescent="0.3">
      <c r="A51" s="331" t="s">
        <v>117</v>
      </c>
      <c r="B51" s="327" t="s">
        <v>257</v>
      </c>
      <c r="C51" s="326" t="s">
        <v>251</v>
      </c>
      <c r="D51" s="1532">
        <v>4183</v>
      </c>
      <c r="E51" s="1508">
        <v>1638</v>
      </c>
      <c r="F51" s="562">
        <v>897</v>
      </c>
      <c r="G51" s="562">
        <v>1297</v>
      </c>
      <c r="H51" s="562">
        <v>351</v>
      </c>
      <c r="I51" s="1509">
        <v>0</v>
      </c>
      <c r="J51" s="1508">
        <v>2407</v>
      </c>
      <c r="K51" s="562">
        <v>1776</v>
      </c>
      <c r="L51" s="1509"/>
      <c r="M51" s="1505">
        <v>1896</v>
      </c>
      <c r="N51" s="328">
        <v>2221</v>
      </c>
      <c r="O51" s="328">
        <v>63</v>
      </c>
      <c r="P51" s="1506">
        <v>3</v>
      </c>
      <c r="Q51" s="329">
        <v>81</v>
      </c>
    </row>
    <row r="52" spans="1:17" s="329" customFormat="1" x14ac:dyDescent="0.3">
      <c r="A52" s="331" t="s">
        <v>119</v>
      </c>
      <c r="B52" s="327" t="s">
        <v>120</v>
      </c>
      <c r="C52" s="326" t="s">
        <v>251</v>
      </c>
      <c r="D52" s="1532">
        <v>5425</v>
      </c>
      <c r="E52" s="1508">
        <v>2513</v>
      </c>
      <c r="F52" s="562">
        <v>1129</v>
      </c>
      <c r="G52" s="562">
        <v>1486</v>
      </c>
      <c r="H52" s="562">
        <v>297</v>
      </c>
      <c r="I52" s="1509">
        <v>0</v>
      </c>
      <c r="J52" s="1508">
        <v>3180</v>
      </c>
      <c r="K52" s="562">
        <v>2245</v>
      </c>
      <c r="L52" s="1509"/>
      <c r="M52" s="1505">
        <v>2615</v>
      </c>
      <c r="N52" s="328">
        <v>2527</v>
      </c>
      <c r="O52" s="328">
        <v>281</v>
      </c>
      <c r="P52" s="1506">
        <v>2</v>
      </c>
      <c r="Q52" s="329">
        <v>434</v>
      </c>
    </row>
    <row r="53" spans="1:17" s="329" customFormat="1" x14ac:dyDescent="0.3">
      <c r="A53" s="331" t="s">
        <v>121</v>
      </c>
      <c r="B53" s="327" t="s">
        <v>268</v>
      </c>
      <c r="C53" s="326" t="s">
        <v>253</v>
      </c>
      <c r="D53" s="1532">
        <v>1303</v>
      </c>
      <c r="E53" s="1508">
        <v>508</v>
      </c>
      <c r="F53" s="562">
        <v>277</v>
      </c>
      <c r="G53" s="562">
        <v>398</v>
      </c>
      <c r="H53" s="562">
        <v>120</v>
      </c>
      <c r="I53" s="1509">
        <v>0</v>
      </c>
      <c r="J53" s="1508">
        <v>780</v>
      </c>
      <c r="K53" s="562">
        <v>523</v>
      </c>
      <c r="L53" s="1509"/>
      <c r="M53" s="1505">
        <v>752</v>
      </c>
      <c r="N53" s="328">
        <v>531</v>
      </c>
      <c r="O53" s="328">
        <v>20</v>
      </c>
      <c r="P53" s="1506">
        <v>0</v>
      </c>
      <c r="Q53" s="329">
        <v>20</v>
      </c>
    </row>
    <row r="54" spans="1:17" s="329" customFormat="1" x14ac:dyDescent="0.3">
      <c r="A54" s="331" t="s">
        <v>123</v>
      </c>
      <c r="B54" s="327" t="s">
        <v>124</v>
      </c>
      <c r="C54" s="326" t="s">
        <v>254</v>
      </c>
      <c r="D54" s="1532">
        <v>2745</v>
      </c>
      <c r="E54" s="1508">
        <v>1193</v>
      </c>
      <c r="F54" s="562">
        <v>622</v>
      </c>
      <c r="G54" s="562">
        <v>768</v>
      </c>
      <c r="H54" s="562">
        <v>162</v>
      </c>
      <c r="I54" s="1509">
        <v>0</v>
      </c>
      <c r="J54" s="1508">
        <v>1588</v>
      </c>
      <c r="K54" s="562">
        <v>1157</v>
      </c>
      <c r="L54" s="1509"/>
      <c r="M54" s="1505">
        <v>1629</v>
      </c>
      <c r="N54" s="328">
        <v>1064</v>
      </c>
      <c r="O54" s="328">
        <v>52</v>
      </c>
      <c r="P54" s="1506">
        <v>0</v>
      </c>
      <c r="Q54" s="329">
        <v>84</v>
      </c>
    </row>
    <row r="55" spans="1:17" s="329" customFormat="1" x14ac:dyDescent="0.3">
      <c r="A55" s="331" t="s">
        <v>125</v>
      </c>
      <c r="B55" s="327" t="s">
        <v>126</v>
      </c>
      <c r="C55" s="326" t="s">
        <v>253</v>
      </c>
      <c r="D55" s="1532">
        <v>1830</v>
      </c>
      <c r="E55" s="1508">
        <v>750</v>
      </c>
      <c r="F55" s="562">
        <v>389</v>
      </c>
      <c r="G55" s="562">
        <v>561</v>
      </c>
      <c r="H55" s="562">
        <v>129</v>
      </c>
      <c r="I55" s="1509">
        <v>1</v>
      </c>
      <c r="J55" s="1508">
        <v>1079</v>
      </c>
      <c r="K55" s="562">
        <v>751</v>
      </c>
      <c r="L55" s="1509"/>
      <c r="M55" s="1505">
        <v>1052</v>
      </c>
      <c r="N55" s="328">
        <v>700</v>
      </c>
      <c r="O55" s="328">
        <v>71</v>
      </c>
      <c r="P55" s="1506">
        <v>7</v>
      </c>
      <c r="Q55" s="329">
        <v>51</v>
      </c>
    </row>
    <row r="56" spans="1:17" s="329" customFormat="1" x14ac:dyDescent="0.3">
      <c r="A56" s="331" t="s">
        <v>127</v>
      </c>
      <c r="B56" s="327" t="s">
        <v>128</v>
      </c>
      <c r="C56" s="326" t="s">
        <v>253</v>
      </c>
      <c r="D56" s="1532">
        <v>1776</v>
      </c>
      <c r="E56" s="1508">
        <v>717</v>
      </c>
      <c r="F56" s="562">
        <v>398</v>
      </c>
      <c r="G56" s="562">
        <v>500</v>
      </c>
      <c r="H56" s="562">
        <v>161</v>
      </c>
      <c r="I56" s="1509">
        <v>0</v>
      </c>
      <c r="J56" s="1508">
        <v>1060</v>
      </c>
      <c r="K56" s="562">
        <v>716</v>
      </c>
      <c r="L56" s="1509"/>
      <c r="M56" s="1505">
        <v>583</v>
      </c>
      <c r="N56" s="328">
        <v>1179</v>
      </c>
      <c r="O56" s="328">
        <v>14</v>
      </c>
      <c r="P56" s="1506">
        <v>0</v>
      </c>
      <c r="Q56" s="329">
        <v>9</v>
      </c>
    </row>
    <row r="57" spans="1:17" s="329" customFormat="1" x14ac:dyDescent="0.3">
      <c r="A57" s="331" t="s">
        <v>129</v>
      </c>
      <c r="B57" s="327" t="s">
        <v>130</v>
      </c>
      <c r="C57" s="326" t="s">
        <v>255</v>
      </c>
      <c r="D57" s="1532">
        <v>6759</v>
      </c>
      <c r="E57" s="1508">
        <v>2213</v>
      </c>
      <c r="F57" s="562">
        <v>1550</v>
      </c>
      <c r="G57" s="562">
        <v>2423</v>
      </c>
      <c r="H57" s="562">
        <v>573</v>
      </c>
      <c r="I57" s="1509">
        <v>0</v>
      </c>
      <c r="J57" s="1508">
        <v>3626</v>
      </c>
      <c r="K57" s="562">
        <v>3133</v>
      </c>
      <c r="L57" s="1509"/>
      <c r="M57" s="1505">
        <v>6675</v>
      </c>
      <c r="N57" s="328">
        <v>44</v>
      </c>
      <c r="O57" s="328">
        <v>37</v>
      </c>
      <c r="P57" s="1506">
        <v>3</v>
      </c>
      <c r="Q57" s="329">
        <v>34</v>
      </c>
    </row>
    <row r="58" spans="1:17" s="329" customFormat="1" x14ac:dyDescent="0.3">
      <c r="A58" s="331" t="s">
        <v>131</v>
      </c>
      <c r="B58" s="327" t="s">
        <v>132</v>
      </c>
      <c r="C58" s="326" t="s">
        <v>254</v>
      </c>
      <c r="D58" s="1532">
        <v>12893</v>
      </c>
      <c r="E58" s="1508">
        <v>6051</v>
      </c>
      <c r="F58" s="562">
        <v>1945</v>
      </c>
      <c r="G58" s="562">
        <v>2865</v>
      </c>
      <c r="H58" s="562">
        <v>2029</v>
      </c>
      <c r="I58" s="1509">
        <v>3</v>
      </c>
      <c r="J58" s="1508">
        <v>7459</v>
      </c>
      <c r="K58" s="562">
        <v>5434</v>
      </c>
      <c r="L58" s="1509"/>
      <c r="M58" s="1505">
        <v>8011</v>
      </c>
      <c r="N58" s="328">
        <v>2516</v>
      </c>
      <c r="O58" s="328">
        <v>2317</v>
      </c>
      <c r="P58" s="1506">
        <v>49</v>
      </c>
      <c r="Q58" s="329">
        <v>1178</v>
      </c>
    </row>
    <row r="59" spans="1:17" s="329" customFormat="1" x14ac:dyDescent="0.3">
      <c r="A59" s="331" t="s">
        <v>133</v>
      </c>
      <c r="B59" s="327" t="s">
        <v>134</v>
      </c>
      <c r="C59" s="326" t="s">
        <v>254</v>
      </c>
      <c r="D59" s="1532">
        <v>4469</v>
      </c>
      <c r="E59" s="1508">
        <v>1804</v>
      </c>
      <c r="F59" s="562">
        <v>867</v>
      </c>
      <c r="G59" s="562">
        <v>1396</v>
      </c>
      <c r="H59" s="562">
        <v>402</v>
      </c>
      <c r="I59" s="1509">
        <v>0</v>
      </c>
      <c r="J59" s="1508">
        <v>2583</v>
      </c>
      <c r="K59" s="562">
        <v>1886</v>
      </c>
      <c r="L59" s="1509"/>
      <c r="M59" s="1505">
        <v>3174</v>
      </c>
      <c r="N59" s="328">
        <v>1232</v>
      </c>
      <c r="O59" s="328">
        <v>60</v>
      </c>
      <c r="P59" s="1506">
        <v>3</v>
      </c>
      <c r="Q59" s="329">
        <v>106</v>
      </c>
    </row>
    <row r="60" spans="1:17" s="329" customFormat="1" x14ac:dyDescent="0.3">
      <c r="A60" s="331" t="s">
        <v>135</v>
      </c>
      <c r="B60" s="327" t="s">
        <v>136</v>
      </c>
      <c r="C60" s="326" t="s">
        <v>253</v>
      </c>
      <c r="D60" s="1532">
        <v>2622</v>
      </c>
      <c r="E60" s="1508">
        <v>1100</v>
      </c>
      <c r="F60" s="562">
        <v>539</v>
      </c>
      <c r="G60" s="562">
        <v>732</v>
      </c>
      <c r="H60" s="562">
        <v>251</v>
      </c>
      <c r="I60" s="1509">
        <v>0</v>
      </c>
      <c r="J60" s="1508">
        <v>1512</v>
      </c>
      <c r="K60" s="562">
        <v>1110</v>
      </c>
      <c r="L60" s="1509"/>
      <c r="M60" s="1505">
        <v>1302</v>
      </c>
      <c r="N60" s="328">
        <v>1224</v>
      </c>
      <c r="O60" s="328">
        <v>95</v>
      </c>
      <c r="P60" s="1506">
        <v>1</v>
      </c>
      <c r="Q60" s="329">
        <v>127</v>
      </c>
    </row>
    <row r="61" spans="1:17" s="329" customFormat="1" x14ac:dyDescent="0.3">
      <c r="A61" s="331" t="s">
        <v>139</v>
      </c>
      <c r="B61" s="327" t="s">
        <v>140</v>
      </c>
      <c r="C61" s="326" t="s">
        <v>254</v>
      </c>
      <c r="D61" s="1532">
        <v>1353</v>
      </c>
      <c r="E61" s="1508">
        <v>559</v>
      </c>
      <c r="F61" s="562">
        <v>287</v>
      </c>
      <c r="G61" s="562">
        <v>383</v>
      </c>
      <c r="H61" s="562">
        <v>124</v>
      </c>
      <c r="I61" s="1509">
        <v>0</v>
      </c>
      <c r="J61" s="1508">
        <v>742</v>
      </c>
      <c r="K61" s="562">
        <v>611</v>
      </c>
      <c r="L61" s="1509"/>
      <c r="M61" s="1505">
        <v>1089</v>
      </c>
      <c r="N61" s="328">
        <v>254</v>
      </c>
      <c r="O61" s="328">
        <v>8</v>
      </c>
      <c r="P61" s="1506">
        <v>2</v>
      </c>
      <c r="Q61" s="329">
        <v>25</v>
      </c>
    </row>
    <row r="62" spans="1:17" s="329" customFormat="1" x14ac:dyDescent="0.3">
      <c r="A62" s="331" t="s">
        <v>145</v>
      </c>
      <c r="B62" s="327" t="s">
        <v>146</v>
      </c>
      <c r="C62" s="326" t="s">
        <v>251</v>
      </c>
      <c r="D62" s="1532">
        <v>984</v>
      </c>
      <c r="E62" s="1508">
        <v>342</v>
      </c>
      <c r="F62" s="562">
        <v>214</v>
      </c>
      <c r="G62" s="562">
        <v>330</v>
      </c>
      <c r="H62" s="562">
        <v>98</v>
      </c>
      <c r="I62" s="1509">
        <v>0</v>
      </c>
      <c r="J62" s="1508">
        <v>545</v>
      </c>
      <c r="K62" s="562">
        <v>439</v>
      </c>
      <c r="L62" s="1509"/>
      <c r="M62" s="1505">
        <v>755</v>
      </c>
      <c r="N62" s="328">
        <v>221</v>
      </c>
      <c r="O62" s="328">
        <v>7</v>
      </c>
      <c r="P62" s="1506">
        <v>1</v>
      </c>
      <c r="Q62" s="329">
        <v>11</v>
      </c>
    </row>
    <row r="63" spans="1:17" s="329" customFormat="1" x14ac:dyDescent="0.3">
      <c r="A63" s="331" t="s">
        <v>147</v>
      </c>
      <c r="B63" s="327" t="s">
        <v>148</v>
      </c>
      <c r="C63" s="326" t="s">
        <v>252</v>
      </c>
      <c r="D63" s="1532">
        <v>5494</v>
      </c>
      <c r="E63" s="1508">
        <v>2154</v>
      </c>
      <c r="F63" s="562">
        <v>1177</v>
      </c>
      <c r="G63" s="562">
        <v>1640</v>
      </c>
      <c r="H63" s="562">
        <v>523</v>
      </c>
      <c r="I63" s="1509">
        <v>0</v>
      </c>
      <c r="J63" s="1508">
        <v>3199</v>
      </c>
      <c r="K63" s="562">
        <v>2295</v>
      </c>
      <c r="L63" s="1509"/>
      <c r="M63" s="1505">
        <v>2147</v>
      </c>
      <c r="N63" s="328">
        <v>3311</v>
      </c>
      <c r="O63" s="328">
        <v>35</v>
      </c>
      <c r="P63" s="1506">
        <v>1</v>
      </c>
      <c r="Q63" s="329">
        <v>68</v>
      </c>
    </row>
    <row r="64" spans="1:17" s="329" customFormat="1" x14ac:dyDescent="0.3">
      <c r="A64" s="331" t="s">
        <v>149</v>
      </c>
      <c r="B64" s="327" t="s">
        <v>150</v>
      </c>
      <c r="C64" s="326" t="s">
        <v>253</v>
      </c>
      <c r="D64" s="1532">
        <v>1880</v>
      </c>
      <c r="E64" s="1508">
        <v>712</v>
      </c>
      <c r="F64" s="562">
        <v>415</v>
      </c>
      <c r="G64" s="562">
        <v>589</v>
      </c>
      <c r="H64" s="562">
        <v>164</v>
      </c>
      <c r="I64" s="1509">
        <v>0</v>
      </c>
      <c r="J64" s="1508">
        <v>1054</v>
      </c>
      <c r="K64" s="562">
        <v>826</v>
      </c>
      <c r="L64" s="1509"/>
      <c r="M64" s="1505">
        <v>1289</v>
      </c>
      <c r="N64" s="328">
        <v>567</v>
      </c>
      <c r="O64" s="328">
        <v>22</v>
      </c>
      <c r="P64" s="1506">
        <v>2</v>
      </c>
      <c r="Q64" s="329">
        <v>31</v>
      </c>
    </row>
    <row r="65" spans="1:17" s="329" customFormat="1" x14ac:dyDescent="0.3">
      <c r="A65" s="331" t="s">
        <v>151</v>
      </c>
      <c r="B65" s="327" t="s">
        <v>152</v>
      </c>
      <c r="C65" s="326" t="s">
        <v>255</v>
      </c>
      <c r="D65" s="1532">
        <v>7550</v>
      </c>
      <c r="E65" s="1508">
        <v>3115</v>
      </c>
      <c r="F65" s="562">
        <v>1727</v>
      </c>
      <c r="G65" s="562">
        <v>2213</v>
      </c>
      <c r="H65" s="562">
        <v>495</v>
      </c>
      <c r="I65" s="1509">
        <v>0</v>
      </c>
      <c r="J65" s="1508">
        <v>4290</v>
      </c>
      <c r="K65" s="562">
        <v>3260</v>
      </c>
      <c r="L65" s="1509"/>
      <c r="M65" s="1505">
        <v>6455</v>
      </c>
      <c r="N65" s="328">
        <v>976</v>
      </c>
      <c r="O65" s="328">
        <v>112</v>
      </c>
      <c r="P65" s="1506">
        <v>7</v>
      </c>
      <c r="Q65" s="329">
        <v>238</v>
      </c>
    </row>
    <row r="66" spans="1:17" s="329" customFormat="1" x14ac:dyDescent="0.3">
      <c r="A66" s="331" t="s">
        <v>153</v>
      </c>
      <c r="B66" s="327" t="s">
        <v>154</v>
      </c>
      <c r="C66" s="326" t="s">
        <v>252</v>
      </c>
      <c r="D66" s="1532">
        <v>2115</v>
      </c>
      <c r="E66" s="1508">
        <v>813</v>
      </c>
      <c r="F66" s="562">
        <v>426</v>
      </c>
      <c r="G66" s="562">
        <v>663</v>
      </c>
      <c r="H66" s="562">
        <v>213</v>
      </c>
      <c r="I66" s="1509">
        <v>0</v>
      </c>
      <c r="J66" s="1508">
        <v>1143</v>
      </c>
      <c r="K66" s="562">
        <v>972</v>
      </c>
      <c r="L66" s="1509"/>
      <c r="M66" s="1505">
        <v>1594</v>
      </c>
      <c r="N66" s="328">
        <v>478</v>
      </c>
      <c r="O66" s="328">
        <v>43</v>
      </c>
      <c r="P66" s="1506">
        <v>0</v>
      </c>
      <c r="Q66" s="329">
        <v>69</v>
      </c>
    </row>
    <row r="67" spans="1:17" s="329" customFormat="1" x14ac:dyDescent="0.3">
      <c r="A67" s="331" t="s">
        <v>155</v>
      </c>
      <c r="B67" s="327" t="s">
        <v>156</v>
      </c>
      <c r="C67" s="326" t="s">
        <v>253</v>
      </c>
      <c r="D67" s="1532">
        <v>1454</v>
      </c>
      <c r="E67" s="1508">
        <v>616</v>
      </c>
      <c r="F67" s="562">
        <v>320</v>
      </c>
      <c r="G67" s="562">
        <v>426</v>
      </c>
      <c r="H67" s="562">
        <v>92</v>
      </c>
      <c r="I67" s="1509">
        <v>0</v>
      </c>
      <c r="J67" s="1508">
        <v>871</v>
      </c>
      <c r="K67" s="562">
        <v>583</v>
      </c>
      <c r="L67" s="1509"/>
      <c r="M67" s="1505">
        <v>1054</v>
      </c>
      <c r="N67" s="328">
        <v>361</v>
      </c>
      <c r="O67" s="328">
        <v>37</v>
      </c>
      <c r="P67" s="1506">
        <v>2</v>
      </c>
      <c r="Q67" s="329">
        <v>44</v>
      </c>
    </row>
    <row r="68" spans="1:17" s="329" customFormat="1" x14ac:dyDescent="0.3">
      <c r="A68" s="331" t="s">
        <v>161</v>
      </c>
      <c r="B68" s="327" t="s">
        <v>162</v>
      </c>
      <c r="C68" s="326" t="s">
        <v>251</v>
      </c>
      <c r="D68" s="1532">
        <v>2783</v>
      </c>
      <c r="E68" s="1508">
        <v>1043</v>
      </c>
      <c r="F68" s="562">
        <v>531</v>
      </c>
      <c r="G68" s="562">
        <v>785</v>
      </c>
      <c r="H68" s="562">
        <v>424</v>
      </c>
      <c r="I68" s="1509">
        <v>0</v>
      </c>
      <c r="J68" s="1508">
        <v>1597</v>
      </c>
      <c r="K68" s="562">
        <v>1186</v>
      </c>
      <c r="L68" s="1509"/>
      <c r="M68" s="1505">
        <v>1031</v>
      </c>
      <c r="N68" s="328">
        <v>1740</v>
      </c>
      <c r="O68" s="328">
        <v>12</v>
      </c>
      <c r="P68" s="1506">
        <v>0</v>
      </c>
      <c r="Q68" s="329">
        <v>127</v>
      </c>
    </row>
    <row r="69" spans="1:17" s="329" customFormat="1" x14ac:dyDescent="0.3">
      <c r="A69" s="331" t="s">
        <v>163</v>
      </c>
      <c r="B69" s="327" t="s">
        <v>164</v>
      </c>
      <c r="C69" s="326" t="s">
        <v>253</v>
      </c>
      <c r="D69" s="1532">
        <v>1971</v>
      </c>
      <c r="E69" s="1508">
        <v>770</v>
      </c>
      <c r="F69" s="562">
        <v>422</v>
      </c>
      <c r="G69" s="562">
        <v>592</v>
      </c>
      <c r="H69" s="562">
        <v>187</v>
      </c>
      <c r="I69" s="1509">
        <v>0</v>
      </c>
      <c r="J69" s="1508">
        <v>1072</v>
      </c>
      <c r="K69" s="562">
        <v>899</v>
      </c>
      <c r="L69" s="1509"/>
      <c r="M69" s="1505">
        <v>843</v>
      </c>
      <c r="N69" s="328">
        <v>1103</v>
      </c>
      <c r="O69" s="328">
        <v>25</v>
      </c>
      <c r="P69" s="1506">
        <v>0</v>
      </c>
      <c r="Q69" s="329">
        <v>28</v>
      </c>
    </row>
    <row r="70" spans="1:17" s="329" customFormat="1" x14ac:dyDescent="0.3">
      <c r="A70" s="331" t="s">
        <v>167</v>
      </c>
      <c r="B70" s="327" t="s">
        <v>168</v>
      </c>
      <c r="C70" s="326" t="s">
        <v>253</v>
      </c>
      <c r="D70" s="1532">
        <v>3372</v>
      </c>
      <c r="E70" s="1508">
        <v>1403</v>
      </c>
      <c r="F70" s="562">
        <v>732</v>
      </c>
      <c r="G70" s="562">
        <v>960</v>
      </c>
      <c r="H70" s="562">
        <v>277</v>
      </c>
      <c r="I70" s="1509">
        <v>0</v>
      </c>
      <c r="J70" s="1508">
        <v>1989</v>
      </c>
      <c r="K70" s="562">
        <v>1383</v>
      </c>
      <c r="L70" s="1509"/>
      <c r="M70" s="1505">
        <v>1518</v>
      </c>
      <c r="N70" s="328">
        <v>1819</v>
      </c>
      <c r="O70" s="328">
        <v>32</v>
      </c>
      <c r="P70" s="1506">
        <v>3</v>
      </c>
      <c r="Q70" s="329">
        <v>114</v>
      </c>
    </row>
    <row r="71" spans="1:17" s="329" customFormat="1" x14ac:dyDescent="0.3">
      <c r="A71" s="331" t="s">
        <v>169</v>
      </c>
      <c r="B71" s="327" t="s">
        <v>170</v>
      </c>
      <c r="C71" s="326" t="s">
        <v>254</v>
      </c>
      <c r="D71" s="1532">
        <v>4034</v>
      </c>
      <c r="E71" s="1508">
        <v>1698</v>
      </c>
      <c r="F71" s="562">
        <v>879</v>
      </c>
      <c r="G71" s="562">
        <v>1146</v>
      </c>
      <c r="H71" s="562">
        <v>311</v>
      </c>
      <c r="I71" s="1509">
        <v>0</v>
      </c>
      <c r="J71" s="1508">
        <v>2369</v>
      </c>
      <c r="K71" s="562">
        <v>1665</v>
      </c>
      <c r="L71" s="1509"/>
      <c r="M71" s="1505">
        <v>2881</v>
      </c>
      <c r="N71" s="328">
        <v>1084</v>
      </c>
      <c r="O71" s="328">
        <v>64</v>
      </c>
      <c r="P71" s="1506">
        <v>5</v>
      </c>
      <c r="Q71" s="329">
        <v>140</v>
      </c>
    </row>
    <row r="72" spans="1:17" s="329" customFormat="1" x14ac:dyDescent="0.3">
      <c r="A72" s="331" t="s">
        <v>171</v>
      </c>
      <c r="B72" s="327" t="s">
        <v>172</v>
      </c>
      <c r="C72" s="326" t="s">
        <v>254</v>
      </c>
      <c r="D72" s="1532">
        <v>3463</v>
      </c>
      <c r="E72" s="1508">
        <v>1271</v>
      </c>
      <c r="F72" s="562">
        <v>698</v>
      </c>
      <c r="G72" s="562">
        <v>1169</v>
      </c>
      <c r="H72" s="562">
        <v>325</v>
      </c>
      <c r="I72" s="1509">
        <v>0</v>
      </c>
      <c r="J72" s="1508">
        <v>1911</v>
      </c>
      <c r="K72" s="562">
        <v>1552</v>
      </c>
      <c r="L72" s="1509"/>
      <c r="M72" s="1505">
        <v>3321</v>
      </c>
      <c r="N72" s="328">
        <v>120</v>
      </c>
      <c r="O72" s="328">
        <v>22</v>
      </c>
      <c r="P72" s="1506">
        <v>0</v>
      </c>
      <c r="Q72" s="329">
        <v>42</v>
      </c>
    </row>
    <row r="73" spans="1:17" s="329" customFormat="1" x14ac:dyDescent="0.3">
      <c r="A73" s="331" t="s">
        <v>173</v>
      </c>
      <c r="B73" s="327" t="s">
        <v>174</v>
      </c>
      <c r="C73" s="326" t="s">
        <v>255</v>
      </c>
      <c r="D73" s="1532">
        <v>3253</v>
      </c>
      <c r="E73" s="1508">
        <v>1136</v>
      </c>
      <c r="F73" s="562">
        <v>709</v>
      </c>
      <c r="G73" s="562">
        <v>1098</v>
      </c>
      <c r="H73" s="562">
        <v>310</v>
      </c>
      <c r="I73" s="1509">
        <v>0</v>
      </c>
      <c r="J73" s="1508">
        <v>1777</v>
      </c>
      <c r="K73" s="562">
        <v>1476</v>
      </c>
      <c r="L73" s="1509"/>
      <c r="M73" s="1505">
        <v>2964</v>
      </c>
      <c r="N73" s="328">
        <v>254</v>
      </c>
      <c r="O73" s="328">
        <v>33</v>
      </c>
      <c r="P73" s="1506">
        <v>2</v>
      </c>
      <c r="Q73" s="329">
        <v>59</v>
      </c>
    </row>
    <row r="74" spans="1:17" s="329" customFormat="1" x14ac:dyDescent="0.3">
      <c r="A74" s="331" t="s">
        <v>177</v>
      </c>
      <c r="B74" s="327" t="s">
        <v>178</v>
      </c>
      <c r="C74" s="326" t="s">
        <v>252</v>
      </c>
      <c r="D74" s="1532">
        <v>10612</v>
      </c>
      <c r="E74" s="1508">
        <v>3968</v>
      </c>
      <c r="F74" s="562">
        <v>2277</v>
      </c>
      <c r="G74" s="562">
        <v>3485</v>
      </c>
      <c r="H74" s="562">
        <v>882</v>
      </c>
      <c r="I74" s="1509">
        <v>0</v>
      </c>
      <c r="J74" s="1508">
        <v>6069</v>
      </c>
      <c r="K74" s="562">
        <v>4543</v>
      </c>
      <c r="L74" s="1509"/>
      <c r="M74" s="1505">
        <v>6965</v>
      </c>
      <c r="N74" s="328">
        <v>3502</v>
      </c>
      <c r="O74" s="328">
        <v>126</v>
      </c>
      <c r="P74" s="1506">
        <v>19</v>
      </c>
      <c r="Q74" s="329">
        <v>232</v>
      </c>
    </row>
    <row r="75" spans="1:17" s="329" customFormat="1" x14ac:dyDescent="0.3">
      <c r="A75" s="331" t="s">
        <v>181</v>
      </c>
      <c r="B75" s="327" t="s">
        <v>182</v>
      </c>
      <c r="C75" s="326" t="s">
        <v>253</v>
      </c>
      <c r="D75" s="1532">
        <v>1641</v>
      </c>
      <c r="E75" s="1508">
        <v>668</v>
      </c>
      <c r="F75" s="562">
        <v>329</v>
      </c>
      <c r="G75" s="562">
        <v>547</v>
      </c>
      <c r="H75" s="562">
        <v>97</v>
      </c>
      <c r="I75" s="1509">
        <v>0</v>
      </c>
      <c r="J75" s="1508">
        <v>930</v>
      </c>
      <c r="K75" s="562">
        <v>711</v>
      </c>
      <c r="L75" s="1509"/>
      <c r="M75" s="1505">
        <v>1307</v>
      </c>
      <c r="N75" s="328">
        <v>315</v>
      </c>
      <c r="O75" s="328">
        <v>18</v>
      </c>
      <c r="P75" s="1506">
        <v>1</v>
      </c>
      <c r="Q75" s="329">
        <v>25</v>
      </c>
    </row>
    <row r="76" spans="1:17" s="329" customFormat="1" x14ac:dyDescent="0.3">
      <c r="A76" s="331" t="s">
        <v>183</v>
      </c>
      <c r="B76" s="327" t="s">
        <v>184</v>
      </c>
      <c r="C76" s="326" t="s">
        <v>253</v>
      </c>
      <c r="D76" s="1532">
        <v>3941</v>
      </c>
      <c r="E76" s="1508">
        <v>1553</v>
      </c>
      <c r="F76" s="562">
        <v>914</v>
      </c>
      <c r="G76" s="562">
        <v>1134</v>
      </c>
      <c r="H76" s="562">
        <v>340</v>
      </c>
      <c r="I76" s="1509">
        <v>0</v>
      </c>
      <c r="J76" s="1508">
        <v>2275</v>
      </c>
      <c r="K76" s="562">
        <v>1666</v>
      </c>
      <c r="L76" s="1509"/>
      <c r="M76" s="1505">
        <v>1488</v>
      </c>
      <c r="N76" s="328">
        <v>2417</v>
      </c>
      <c r="O76" s="328">
        <v>36</v>
      </c>
      <c r="P76" s="1506">
        <v>0</v>
      </c>
      <c r="Q76" s="329">
        <v>81</v>
      </c>
    </row>
    <row r="77" spans="1:17" s="329" customFormat="1" x14ac:dyDescent="0.3">
      <c r="A77" s="331" t="s">
        <v>185</v>
      </c>
      <c r="B77" s="327" t="s">
        <v>186</v>
      </c>
      <c r="C77" s="326" t="s">
        <v>251</v>
      </c>
      <c r="D77" s="1532">
        <v>4379</v>
      </c>
      <c r="E77" s="1508">
        <v>2004</v>
      </c>
      <c r="F77" s="562">
        <v>1103</v>
      </c>
      <c r="G77" s="562">
        <v>1139</v>
      </c>
      <c r="H77" s="562">
        <v>133</v>
      </c>
      <c r="I77" s="1509">
        <v>0</v>
      </c>
      <c r="J77" s="1508">
        <v>2635</v>
      </c>
      <c r="K77" s="562">
        <v>1744</v>
      </c>
      <c r="L77" s="1509"/>
      <c r="M77" s="1505">
        <v>2085</v>
      </c>
      <c r="N77" s="328">
        <v>2181</v>
      </c>
      <c r="O77" s="328">
        <v>100</v>
      </c>
      <c r="P77" s="1506">
        <v>13</v>
      </c>
      <c r="Q77" s="329">
        <v>207</v>
      </c>
    </row>
    <row r="78" spans="1:17" s="329" customFormat="1" x14ac:dyDescent="0.3">
      <c r="A78" s="331" t="s">
        <v>187</v>
      </c>
      <c r="B78" s="327" t="s">
        <v>188</v>
      </c>
      <c r="C78" s="326" t="s">
        <v>254</v>
      </c>
      <c r="D78" s="1532">
        <v>32595</v>
      </c>
      <c r="E78" s="1508">
        <v>16509</v>
      </c>
      <c r="F78" s="562">
        <v>6304</v>
      </c>
      <c r="G78" s="562">
        <v>7205</v>
      </c>
      <c r="H78" s="562">
        <v>2575</v>
      </c>
      <c r="I78" s="1509">
        <v>2</v>
      </c>
      <c r="J78" s="1508">
        <v>18897</v>
      </c>
      <c r="K78" s="562">
        <v>13698</v>
      </c>
      <c r="L78" s="1509"/>
      <c r="M78" s="1505">
        <v>15843</v>
      </c>
      <c r="N78" s="328">
        <v>12618</v>
      </c>
      <c r="O78" s="328">
        <v>4128</v>
      </c>
      <c r="P78" s="1506">
        <v>6</v>
      </c>
      <c r="Q78" s="329">
        <v>4246</v>
      </c>
    </row>
    <row r="79" spans="1:17" s="329" customFormat="1" x14ac:dyDescent="0.3">
      <c r="A79" s="331" t="s">
        <v>189</v>
      </c>
      <c r="B79" s="327" t="s">
        <v>190</v>
      </c>
      <c r="C79" s="326" t="s">
        <v>255</v>
      </c>
      <c r="D79" s="1532">
        <v>6094</v>
      </c>
      <c r="E79" s="1508">
        <v>2040</v>
      </c>
      <c r="F79" s="562">
        <v>1480</v>
      </c>
      <c r="G79" s="562">
        <v>2134</v>
      </c>
      <c r="H79" s="562">
        <v>438</v>
      </c>
      <c r="I79" s="1509">
        <v>2</v>
      </c>
      <c r="J79" s="1508">
        <v>3404</v>
      </c>
      <c r="K79" s="562">
        <v>2690</v>
      </c>
      <c r="L79" s="1509"/>
      <c r="M79" s="1505">
        <v>5367</v>
      </c>
      <c r="N79" s="328">
        <v>674</v>
      </c>
      <c r="O79" s="328">
        <v>53</v>
      </c>
      <c r="P79" s="1506">
        <v>0</v>
      </c>
      <c r="Q79" s="329">
        <v>86</v>
      </c>
    </row>
    <row r="80" spans="1:17" s="329" customFormat="1" x14ac:dyDescent="0.3">
      <c r="A80" s="331" t="s">
        <v>193</v>
      </c>
      <c r="B80" s="327" t="s">
        <v>194</v>
      </c>
      <c r="C80" s="326" t="s">
        <v>254</v>
      </c>
      <c r="D80" s="1532">
        <v>535</v>
      </c>
      <c r="E80" s="1508">
        <v>226</v>
      </c>
      <c r="F80" s="562">
        <v>114</v>
      </c>
      <c r="G80" s="562">
        <v>147</v>
      </c>
      <c r="H80" s="562">
        <v>48</v>
      </c>
      <c r="I80" s="1509">
        <v>0</v>
      </c>
      <c r="J80" s="1508">
        <v>300</v>
      </c>
      <c r="K80" s="562">
        <v>235</v>
      </c>
      <c r="L80" s="1509"/>
      <c r="M80" s="1505">
        <v>465</v>
      </c>
      <c r="N80" s="328">
        <v>60</v>
      </c>
      <c r="O80" s="328">
        <v>10</v>
      </c>
      <c r="P80" s="1506">
        <v>0</v>
      </c>
      <c r="Q80" s="329">
        <v>21</v>
      </c>
    </row>
    <row r="81" spans="1:17" s="329" customFormat="1" x14ac:dyDescent="0.3">
      <c r="A81" s="331" t="s">
        <v>197</v>
      </c>
      <c r="B81" s="327" t="s">
        <v>259</v>
      </c>
      <c r="C81" s="326" t="s">
        <v>253</v>
      </c>
      <c r="D81" s="1532">
        <v>1703</v>
      </c>
      <c r="E81" s="1508">
        <v>637</v>
      </c>
      <c r="F81" s="562">
        <v>393</v>
      </c>
      <c r="G81" s="562">
        <v>512</v>
      </c>
      <c r="H81" s="562">
        <v>161</v>
      </c>
      <c r="I81" s="1509">
        <v>0</v>
      </c>
      <c r="J81" s="1508">
        <v>982</v>
      </c>
      <c r="K81" s="562">
        <v>721</v>
      </c>
      <c r="L81" s="1509"/>
      <c r="M81" s="1505">
        <v>823</v>
      </c>
      <c r="N81" s="328">
        <v>863</v>
      </c>
      <c r="O81" s="328">
        <v>14</v>
      </c>
      <c r="P81" s="1506">
        <v>3</v>
      </c>
      <c r="Q81" s="329">
        <v>70</v>
      </c>
    </row>
    <row r="82" spans="1:17" s="329" customFormat="1" x14ac:dyDescent="0.3">
      <c r="A82" s="331" t="s">
        <v>201</v>
      </c>
      <c r="B82" s="327" t="s">
        <v>276</v>
      </c>
      <c r="C82" s="326" t="s">
        <v>252</v>
      </c>
      <c r="D82" s="1532">
        <v>9134</v>
      </c>
      <c r="E82" s="1508">
        <v>3803</v>
      </c>
      <c r="F82" s="562">
        <v>1817</v>
      </c>
      <c r="G82" s="562">
        <v>2835</v>
      </c>
      <c r="H82" s="562">
        <v>679</v>
      </c>
      <c r="I82" s="1509">
        <v>0</v>
      </c>
      <c r="J82" s="1508">
        <v>5272</v>
      </c>
      <c r="K82" s="562">
        <v>3862</v>
      </c>
      <c r="L82" s="1509"/>
      <c r="M82" s="1505">
        <v>7084</v>
      </c>
      <c r="N82" s="328">
        <v>1750</v>
      </c>
      <c r="O82" s="328">
        <v>292</v>
      </c>
      <c r="P82" s="1506">
        <v>8</v>
      </c>
      <c r="Q82" s="329">
        <v>271</v>
      </c>
    </row>
    <row r="83" spans="1:17" s="329" customFormat="1" x14ac:dyDescent="0.3">
      <c r="A83" s="331" t="s">
        <v>203</v>
      </c>
      <c r="B83" s="327" t="s">
        <v>269</v>
      </c>
      <c r="C83" s="326" t="s">
        <v>252</v>
      </c>
      <c r="D83" s="1532">
        <v>4499</v>
      </c>
      <c r="E83" s="1508">
        <v>1806</v>
      </c>
      <c r="F83" s="562">
        <v>908</v>
      </c>
      <c r="G83" s="562">
        <v>1402</v>
      </c>
      <c r="H83" s="562">
        <v>383</v>
      </c>
      <c r="I83" s="1509">
        <v>0</v>
      </c>
      <c r="J83" s="1508">
        <v>2643</v>
      </c>
      <c r="K83" s="562">
        <v>1856</v>
      </c>
      <c r="L83" s="1509"/>
      <c r="M83" s="1505">
        <v>4003</v>
      </c>
      <c r="N83" s="328">
        <v>426</v>
      </c>
      <c r="O83" s="328">
        <v>70</v>
      </c>
      <c r="P83" s="1506">
        <v>0</v>
      </c>
      <c r="Q83" s="329">
        <v>82</v>
      </c>
    </row>
    <row r="84" spans="1:17" s="329" customFormat="1" x14ac:dyDescent="0.3">
      <c r="A84" s="331" t="s">
        <v>205</v>
      </c>
      <c r="B84" s="327" t="s">
        <v>270</v>
      </c>
      <c r="C84" s="326" t="s">
        <v>254</v>
      </c>
      <c r="D84" s="1532">
        <v>11723</v>
      </c>
      <c r="E84" s="1508">
        <v>5326</v>
      </c>
      <c r="F84" s="562">
        <v>2403</v>
      </c>
      <c r="G84" s="562">
        <v>3202</v>
      </c>
      <c r="H84" s="562">
        <v>792</v>
      </c>
      <c r="I84" s="1509">
        <v>0</v>
      </c>
      <c r="J84" s="1508">
        <v>6660</v>
      </c>
      <c r="K84" s="562">
        <v>5063</v>
      </c>
      <c r="L84" s="1509"/>
      <c r="M84" s="1505">
        <v>9927</v>
      </c>
      <c r="N84" s="328">
        <v>1538</v>
      </c>
      <c r="O84" s="328">
        <v>253</v>
      </c>
      <c r="P84" s="1506">
        <v>5</v>
      </c>
      <c r="Q84" s="329">
        <v>1513</v>
      </c>
    </row>
    <row r="85" spans="1:17" s="329" customFormat="1" x14ac:dyDescent="0.3">
      <c r="A85" s="331" t="s">
        <v>207</v>
      </c>
      <c r="B85" s="327" t="s">
        <v>208</v>
      </c>
      <c r="C85" s="326" t="s">
        <v>255</v>
      </c>
      <c r="D85" s="1532">
        <v>6612</v>
      </c>
      <c r="E85" s="1508">
        <v>2261</v>
      </c>
      <c r="F85" s="562">
        <v>1555</v>
      </c>
      <c r="G85" s="562">
        <v>2314</v>
      </c>
      <c r="H85" s="562">
        <v>480</v>
      </c>
      <c r="I85" s="1509">
        <v>2</v>
      </c>
      <c r="J85" s="1508">
        <v>3716</v>
      </c>
      <c r="K85" s="562">
        <v>2896</v>
      </c>
      <c r="L85" s="1509"/>
      <c r="M85" s="1505">
        <v>6516</v>
      </c>
      <c r="N85" s="328">
        <v>57</v>
      </c>
      <c r="O85" s="328">
        <v>35</v>
      </c>
      <c r="P85" s="1506">
        <v>4</v>
      </c>
      <c r="Q85" s="329">
        <v>30</v>
      </c>
    </row>
    <row r="86" spans="1:17" s="329" customFormat="1" x14ac:dyDescent="0.3">
      <c r="A86" s="331" t="s">
        <v>209</v>
      </c>
      <c r="B86" s="327" t="s">
        <v>210</v>
      </c>
      <c r="C86" s="326" t="s">
        <v>255</v>
      </c>
      <c r="D86" s="1532">
        <v>4289</v>
      </c>
      <c r="E86" s="1508">
        <v>1450</v>
      </c>
      <c r="F86" s="562">
        <v>852</v>
      </c>
      <c r="G86" s="562">
        <v>1576</v>
      </c>
      <c r="H86" s="562">
        <v>410</v>
      </c>
      <c r="I86" s="1509">
        <v>1</v>
      </c>
      <c r="J86" s="1508">
        <v>2313</v>
      </c>
      <c r="K86" s="562">
        <v>1976</v>
      </c>
      <c r="L86" s="1509"/>
      <c r="M86" s="1505">
        <v>4220</v>
      </c>
      <c r="N86" s="328">
        <v>38</v>
      </c>
      <c r="O86" s="328">
        <v>26</v>
      </c>
      <c r="P86" s="1506">
        <v>5</v>
      </c>
      <c r="Q86" s="329">
        <v>39</v>
      </c>
    </row>
    <row r="87" spans="1:17" s="329" customFormat="1" x14ac:dyDescent="0.3">
      <c r="A87" s="331" t="s">
        <v>211</v>
      </c>
      <c r="B87" s="327" t="s">
        <v>212</v>
      </c>
      <c r="C87" s="326" t="s">
        <v>254</v>
      </c>
      <c r="D87" s="1532">
        <v>5969</v>
      </c>
      <c r="E87" s="1508">
        <v>2685</v>
      </c>
      <c r="F87" s="562">
        <v>1294</v>
      </c>
      <c r="G87" s="562">
        <v>1615</v>
      </c>
      <c r="H87" s="562">
        <v>375</v>
      </c>
      <c r="I87" s="1509">
        <v>0</v>
      </c>
      <c r="J87" s="1508">
        <v>3417</v>
      </c>
      <c r="K87" s="562">
        <v>2552</v>
      </c>
      <c r="L87" s="1509"/>
      <c r="M87" s="1505">
        <v>5380</v>
      </c>
      <c r="N87" s="328">
        <v>409</v>
      </c>
      <c r="O87" s="328">
        <v>177</v>
      </c>
      <c r="P87" s="1506">
        <v>3</v>
      </c>
      <c r="Q87" s="329">
        <v>566</v>
      </c>
    </row>
    <row r="88" spans="1:17" s="329" customFormat="1" x14ac:dyDescent="0.3">
      <c r="A88" s="331" t="s">
        <v>213</v>
      </c>
      <c r="B88" s="327" t="s">
        <v>214</v>
      </c>
      <c r="C88" s="326" t="s">
        <v>255</v>
      </c>
      <c r="D88" s="1532">
        <v>6919</v>
      </c>
      <c r="E88" s="1508">
        <v>2341</v>
      </c>
      <c r="F88" s="562">
        <v>1689</v>
      </c>
      <c r="G88" s="562">
        <v>2382</v>
      </c>
      <c r="H88" s="562">
        <v>507</v>
      </c>
      <c r="I88" s="1509">
        <v>0</v>
      </c>
      <c r="J88" s="1508">
        <v>3851</v>
      </c>
      <c r="K88" s="562">
        <v>3068</v>
      </c>
      <c r="L88" s="1509"/>
      <c r="M88" s="1505">
        <v>6686</v>
      </c>
      <c r="N88" s="328">
        <v>183</v>
      </c>
      <c r="O88" s="328">
        <v>49</v>
      </c>
      <c r="P88" s="1506">
        <v>1</v>
      </c>
      <c r="Q88" s="329">
        <v>76</v>
      </c>
    </row>
    <row r="89" spans="1:17" s="329" customFormat="1" x14ac:dyDescent="0.3">
      <c r="A89" s="331" t="s">
        <v>215</v>
      </c>
      <c r="B89" s="327" t="s">
        <v>216</v>
      </c>
      <c r="C89" s="326" t="s">
        <v>251</v>
      </c>
      <c r="D89" s="1532">
        <v>3035</v>
      </c>
      <c r="E89" s="1508">
        <v>1222</v>
      </c>
      <c r="F89" s="562">
        <v>606</v>
      </c>
      <c r="G89" s="562">
        <v>920</v>
      </c>
      <c r="H89" s="562">
        <v>286</v>
      </c>
      <c r="I89" s="1509">
        <v>1</v>
      </c>
      <c r="J89" s="1508">
        <v>1793</v>
      </c>
      <c r="K89" s="562">
        <v>1242</v>
      </c>
      <c r="L89" s="1509"/>
      <c r="M89" s="1505">
        <v>1072</v>
      </c>
      <c r="N89" s="328">
        <v>1944</v>
      </c>
      <c r="O89" s="328">
        <v>19</v>
      </c>
      <c r="P89" s="1506">
        <v>0</v>
      </c>
      <c r="Q89" s="329">
        <v>42</v>
      </c>
    </row>
    <row r="90" spans="1:17" s="329" customFormat="1" x14ac:dyDescent="0.3">
      <c r="A90" s="331" t="s">
        <v>217</v>
      </c>
      <c r="B90" s="327" t="s">
        <v>218</v>
      </c>
      <c r="C90" s="326" t="s">
        <v>254</v>
      </c>
      <c r="D90" s="1532">
        <v>14361</v>
      </c>
      <c r="E90" s="1508">
        <v>6735</v>
      </c>
      <c r="F90" s="562">
        <v>3129</v>
      </c>
      <c r="G90" s="562">
        <v>3719</v>
      </c>
      <c r="H90" s="562">
        <v>778</v>
      </c>
      <c r="I90" s="1509">
        <v>0</v>
      </c>
      <c r="J90" s="1508">
        <v>8369</v>
      </c>
      <c r="K90" s="562">
        <v>5992</v>
      </c>
      <c r="L90" s="1509"/>
      <c r="M90" s="1505">
        <v>8483</v>
      </c>
      <c r="N90" s="328">
        <v>5363</v>
      </c>
      <c r="O90" s="328">
        <v>498</v>
      </c>
      <c r="P90" s="1506">
        <v>17</v>
      </c>
      <c r="Q90" s="329">
        <v>618</v>
      </c>
    </row>
    <row r="91" spans="1:17" s="329" customFormat="1" x14ac:dyDescent="0.3">
      <c r="A91" s="331" t="s">
        <v>219</v>
      </c>
      <c r="B91" s="327" t="s">
        <v>220</v>
      </c>
      <c r="C91" s="326" t="s">
        <v>254</v>
      </c>
      <c r="D91" s="1532">
        <v>12764</v>
      </c>
      <c r="E91" s="1508">
        <v>6398</v>
      </c>
      <c r="F91" s="562">
        <v>2891</v>
      </c>
      <c r="G91" s="562">
        <v>2888</v>
      </c>
      <c r="H91" s="562">
        <v>587</v>
      </c>
      <c r="I91" s="1509">
        <v>0</v>
      </c>
      <c r="J91" s="1508">
        <v>7446</v>
      </c>
      <c r="K91" s="562">
        <v>5318</v>
      </c>
      <c r="L91" s="1509"/>
      <c r="M91" s="1505">
        <v>6624</v>
      </c>
      <c r="N91" s="328">
        <v>5102</v>
      </c>
      <c r="O91" s="328">
        <v>1018</v>
      </c>
      <c r="P91" s="1506">
        <v>20</v>
      </c>
      <c r="Q91" s="329">
        <v>1183</v>
      </c>
    </row>
    <row r="92" spans="1:17" s="329" customFormat="1" x14ac:dyDescent="0.3">
      <c r="A92" s="331" t="s">
        <v>223</v>
      </c>
      <c r="B92" s="327" t="s">
        <v>224</v>
      </c>
      <c r="C92" s="326" t="s">
        <v>251</v>
      </c>
      <c r="D92" s="1532">
        <v>1134</v>
      </c>
      <c r="E92" s="1508">
        <v>398</v>
      </c>
      <c r="F92" s="562">
        <v>264</v>
      </c>
      <c r="G92" s="562">
        <v>386</v>
      </c>
      <c r="H92" s="562">
        <v>86</v>
      </c>
      <c r="I92" s="1509">
        <v>0</v>
      </c>
      <c r="J92" s="1508">
        <v>617</v>
      </c>
      <c r="K92" s="562">
        <v>517</v>
      </c>
      <c r="L92" s="1509"/>
      <c r="M92" s="1505">
        <v>473</v>
      </c>
      <c r="N92" s="328">
        <v>649</v>
      </c>
      <c r="O92" s="328">
        <v>11</v>
      </c>
      <c r="P92" s="1506">
        <v>1</v>
      </c>
      <c r="Q92" s="329">
        <v>10</v>
      </c>
    </row>
    <row r="93" spans="1:17" s="329" customFormat="1" x14ac:dyDescent="0.3">
      <c r="A93" s="331" t="s">
        <v>225</v>
      </c>
      <c r="B93" s="327" t="s">
        <v>226</v>
      </c>
      <c r="C93" s="326" t="s">
        <v>251</v>
      </c>
      <c r="D93" s="1532">
        <v>2246</v>
      </c>
      <c r="E93" s="1508">
        <v>883</v>
      </c>
      <c r="F93" s="562">
        <v>496</v>
      </c>
      <c r="G93" s="562">
        <v>677</v>
      </c>
      <c r="H93" s="562">
        <v>190</v>
      </c>
      <c r="I93" s="1509">
        <v>0</v>
      </c>
      <c r="J93" s="1508">
        <v>1269</v>
      </c>
      <c r="K93" s="562">
        <v>977</v>
      </c>
      <c r="L93" s="1509"/>
      <c r="M93" s="1505">
        <v>581</v>
      </c>
      <c r="N93" s="328">
        <v>1636</v>
      </c>
      <c r="O93" s="328">
        <v>29</v>
      </c>
      <c r="P93" s="1506">
        <v>0</v>
      </c>
      <c r="Q93" s="329">
        <v>39</v>
      </c>
    </row>
    <row r="94" spans="1:17" s="329" customFormat="1" x14ac:dyDescent="0.3">
      <c r="A94" s="331" t="s">
        <v>227</v>
      </c>
      <c r="B94" s="327" t="s">
        <v>228</v>
      </c>
      <c r="C94" s="326" t="s">
        <v>255</v>
      </c>
      <c r="D94" s="1532">
        <v>9609</v>
      </c>
      <c r="E94" s="1508">
        <v>3395</v>
      </c>
      <c r="F94" s="562">
        <v>2217</v>
      </c>
      <c r="G94" s="562">
        <v>3357</v>
      </c>
      <c r="H94" s="562">
        <v>640</v>
      </c>
      <c r="I94" s="1509">
        <v>0</v>
      </c>
      <c r="J94" s="1508">
        <v>5436</v>
      </c>
      <c r="K94" s="562">
        <v>4173</v>
      </c>
      <c r="L94" s="1509"/>
      <c r="M94" s="1505">
        <v>9133</v>
      </c>
      <c r="N94" s="328">
        <v>405</v>
      </c>
      <c r="O94" s="328">
        <v>57</v>
      </c>
      <c r="P94" s="1506">
        <v>14</v>
      </c>
      <c r="Q94" s="329">
        <v>59</v>
      </c>
    </row>
    <row r="95" spans="1:17" s="329" customFormat="1" x14ac:dyDescent="0.3">
      <c r="A95" s="331" t="s">
        <v>231</v>
      </c>
      <c r="B95" s="327" t="s">
        <v>232</v>
      </c>
      <c r="C95" s="326" t="s">
        <v>254</v>
      </c>
      <c r="D95" s="1532">
        <v>5105</v>
      </c>
      <c r="E95" s="1508">
        <v>2245</v>
      </c>
      <c r="F95" s="562">
        <v>1083</v>
      </c>
      <c r="G95" s="562">
        <v>1479</v>
      </c>
      <c r="H95" s="562">
        <v>298</v>
      </c>
      <c r="I95" s="1509">
        <v>0</v>
      </c>
      <c r="J95" s="1508">
        <v>2864</v>
      </c>
      <c r="K95" s="562">
        <v>2241</v>
      </c>
      <c r="L95" s="1509"/>
      <c r="M95" s="1505">
        <v>4346</v>
      </c>
      <c r="N95" s="328">
        <v>646</v>
      </c>
      <c r="O95" s="328">
        <v>111</v>
      </c>
      <c r="P95" s="1506">
        <v>2</v>
      </c>
      <c r="Q95" s="329">
        <v>159</v>
      </c>
    </row>
    <row r="96" spans="1:17" s="329" customFormat="1" x14ac:dyDescent="0.3">
      <c r="A96" s="331" t="s">
        <v>233</v>
      </c>
      <c r="B96" s="327" t="s">
        <v>234</v>
      </c>
      <c r="C96" s="326" t="s">
        <v>255</v>
      </c>
      <c r="D96" s="1532">
        <v>8291</v>
      </c>
      <c r="E96" s="1508">
        <v>3067</v>
      </c>
      <c r="F96" s="562">
        <v>1777</v>
      </c>
      <c r="G96" s="562">
        <v>2807</v>
      </c>
      <c r="H96" s="562">
        <v>640</v>
      </c>
      <c r="I96" s="1509">
        <v>0</v>
      </c>
      <c r="J96" s="1508">
        <v>4736</v>
      </c>
      <c r="K96" s="562">
        <v>3555</v>
      </c>
      <c r="L96" s="1509"/>
      <c r="M96" s="1505">
        <v>8024</v>
      </c>
      <c r="N96" s="328">
        <v>171</v>
      </c>
      <c r="O96" s="328">
        <v>85</v>
      </c>
      <c r="P96" s="1506">
        <v>11</v>
      </c>
      <c r="Q96" s="329">
        <v>160</v>
      </c>
    </row>
    <row r="97" spans="1:17" s="329" customFormat="1" x14ac:dyDescent="0.3">
      <c r="A97" s="331" t="s">
        <v>235</v>
      </c>
      <c r="B97" s="327" t="s">
        <v>236</v>
      </c>
      <c r="C97" s="326" t="s">
        <v>253</v>
      </c>
      <c r="D97" s="1532">
        <v>3858</v>
      </c>
      <c r="E97" s="1508">
        <v>1561</v>
      </c>
      <c r="F97" s="562">
        <v>816</v>
      </c>
      <c r="G97" s="562">
        <v>1156</v>
      </c>
      <c r="H97" s="562">
        <v>325</v>
      </c>
      <c r="I97" s="1509">
        <v>0</v>
      </c>
      <c r="J97" s="1508">
        <v>2197</v>
      </c>
      <c r="K97" s="562">
        <v>1661</v>
      </c>
      <c r="L97" s="1509"/>
      <c r="M97" s="1505">
        <v>1998</v>
      </c>
      <c r="N97" s="328">
        <v>1777</v>
      </c>
      <c r="O97" s="328">
        <v>79</v>
      </c>
      <c r="P97" s="1506">
        <v>4</v>
      </c>
      <c r="Q97" s="329">
        <v>153</v>
      </c>
    </row>
    <row r="98" spans="1:17" s="329" customFormat="1" x14ac:dyDescent="0.3">
      <c r="A98" s="331" t="s">
        <v>241</v>
      </c>
      <c r="B98" s="327" t="s">
        <v>242</v>
      </c>
      <c r="C98" s="326" t="s">
        <v>255</v>
      </c>
      <c r="D98" s="1532">
        <v>9297</v>
      </c>
      <c r="E98" s="1508">
        <v>3288</v>
      </c>
      <c r="F98" s="562">
        <v>2149</v>
      </c>
      <c r="G98" s="562">
        <v>3279</v>
      </c>
      <c r="H98" s="562">
        <v>581</v>
      </c>
      <c r="I98" s="1509">
        <v>0</v>
      </c>
      <c r="J98" s="1508">
        <v>5288</v>
      </c>
      <c r="K98" s="562">
        <v>4009</v>
      </c>
      <c r="L98" s="1509"/>
      <c r="M98" s="1505">
        <v>9013</v>
      </c>
      <c r="N98" s="328">
        <v>250</v>
      </c>
      <c r="O98" s="328">
        <v>33</v>
      </c>
      <c r="P98" s="1506">
        <v>1</v>
      </c>
      <c r="Q98" s="329">
        <v>39</v>
      </c>
    </row>
    <row r="99" spans="1:17" s="329" customFormat="1" x14ac:dyDescent="0.3">
      <c r="A99" s="331" t="s">
        <v>243</v>
      </c>
      <c r="B99" s="327" t="s">
        <v>244</v>
      </c>
      <c r="C99" s="326" t="s">
        <v>255</v>
      </c>
      <c r="D99" s="1532">
        <v>5165</v>
      </c>
      <c r="E99" s="1508">
        <v>1866</v>
      </c>
      <c r="F99" s="562">
        <v>1187</v>
      </c>
      <c r="G99" s="562">
        <v>1728</v>
      </c>
      <c r="H99" s="562">
        <v>384</v>
      </c>
      <c r="I99" s="1509">
        <v>0</v>
      </c>
      <c r="J99" s="1508">
        <v>2909</v>
      </c>
      <c r="K99" s="562">
        <v>2256</v>
      </c>
      <c r="L99" s="1509"/>
      <c r="M99" s="1505">
        <v>4862</v>
      </c>
      <c r="N99" s="328">
        <v>279</v>
      </c>
      <c r="O99" s="328">
        <v>21</v>
      </c>
      <c r="P99" s="1506">
        <v>3</v>
      </c>
      <c r="Q99" s="329">
        <v>36</v>
      </c>
    </row>
    <row r="100" spans="1:17" s="329" customFormat="1" x14ac:dyDescent="0.3">
      <c r="A100" s="331" t="s">
        <v>245</v>
      </c>
      <c r="B100" s="327" t="s">
        <v>246</v>
      </c>
      <c r="C100" s="326" t="s">
        <v>251</v>
      </c>
      <c r="D100" s="1532">
        <v>3959</v>
      </c>
      <c r="E100" s="1508">
        <v>1802</v>
      </c>
      <c r="F100" s="562">
        <v>853</v>
      </c>
      <c r="G100" s="562">
        <v>1094</v>
      </c>
      <c r="H100" s="562">
        <v>210</v>
      </c>
      <c r="I100" s="1509">
        <v>0</v>
      </c>
      <c r="J100" s="1508">
        <v>2391</v>
      </c>
      <c r="K100" s="562">
        <v>1568</v>
      </c>
      <c r="L100" s="1509"/>
      <c r="M100" s="1505">
        <v>2340</v>
      </c>
      <c r="N100" s="328">
        <v>1437</v>
      </c>
      <c r="O100" s="328">
        <v>176</v>
      </c>
      <c r="P100" s="1506">
        <v>6</v>
      </c>
      <c r="Q100" s="329">
        <v>187</v>
      </c>
    </row>
    <row r="101" spans="1:17" s="329" customFormat="1" x14ac:dyDescent="0.3">
      <c r="A101" s="331" t="s">
        <v>13</v>
      </c>
      <c r="B101" s="327" t="s">
        <v>14</v>
      </c>
      <c r="C101" s="326" t="s">
        <v>254</v>
      </c>
      <c r="D101" s="1532">
        <v>12052</v>
      </c>
      <c r="E101" s="1508">
        <v>5814</v>
      </c>
      <c r="F101" s="562">
        <v>2108</v>
      </c>
      <c r="G101" s="562">
        <v>2876</v>
      </c>
      <c r="H101" s="562">
        <v>1254</v>
      </c>
      <c r="I101" s="1509">
        <v>0</v>
      </c>
      <c r="J101" s="1508">
        <v>6825</v>
      </c>
      <c r="K101" s="562">
        <v>5227</v>
      </c>
      <c r="L101" s="1509"/>
      <c r="M101" s="1505">
        <v>4999</v>
      </c>
      <c r="N101" s="328">
        <v>5557</v>
      </c>
      <c r="O101" s="328">
        <v>1469</v>
      </c>
      <c r="P101" s="1506">
        <v>27</v>
      </c>
      <c r="Q101" s="329">
        <v>1284</v>
      </c>
    </row>
    <row r="102" spans="1:17" s="329" customFormat="1" x14ac:dyDescent="0.3">
      <c r="A102" s="331" t="s">
        <v>33</v>
      </c>
      <c r="B102" s="327" t="s">
        <v>34</v>
      </c>
      <c r="C102" s="326" t="s">
        <v>255</v>
      </c>
      <c r="D102" s="1532">
        <v>5688</v>
      </c>
      <c r="E102" s="1508">
        <v>2135</v>
      </c>
      <c r="F102" s="562">
        <v>1378</v>
      </c>
      <c r="G102" s="562">
        <v>1802</v>
      </c>
      <c r="H102" s="562">
        <v>372</v>
      </c>
      <c r="I102" s="1509">
        <v>1</v>
      </c>
      <c r="J102" s="1508">
        <v>3205</v>
      </c>
      <c r="K102" s="562">
        <v>2483</v>
      </c>
      <c r="L102" s="1509"/>
      <c r="M102" s="1505">
        <v>4796</v>
      </c>
      <c r="N102" s="328">
        <v>806</v>
      </c>
      <c r="O102" s="328">
        <v>83</v>
      </c>
      <c r="P102" s="1506">
        <v>3</v>
      </c>
      <c r="Q102" s="329">
        <v>103</v>
      </c>
    </row>
    <row r="103" spans="1:17" s="329" customFormat="1" x14ac:dyDescent="0.3">
      <c r="A103" s="331" t="s">
        <v>51</v>
      </c>
      <c r="B103" s="327" t="s">
        <v>52</v>
      </c>
      <c r="C103" s="326" t="s">
        <v>252</v>
      </c>
      <c r="D103" s="1532">
        <v>5589</v>
      </c>
      <c r="E103" s="1508">
        <v>2258</v>
      </c>
      <c r="F103" s="562">
        <v>1162</v>
      </c>
      <c r="G103" s="562">
        <v>1770</v>
      </c>
      <c r="H103" s="562">
        <v>399</v>
      </c>
      <c r="I103" s="1509">
        <v>0</v>
      </c>
      <c r="J103" s="1508">
        <v>3035</v>
      </c>
      <c r="K103" s="562">
        <v>2554</v>
      </c>
      <c r="L103" s="1509"/>
      <c r="M103" s="1505">
        <v>2063</v>
      </c>
      <c r="N103" s="328">
        <v>3110</v>
      </c>
      <c r="O103" s="328">
        <v>413</v>
      </c>
      <c r="P103" s="1506">
        <v>3</v>
      </c>
      <c r="Q103" s="329">
        <v>238</v>
      </c>
    </row>
    <row r="104" spans="1:17" s="329" customFormat="1" x14ac:dyDescent="0.3">
      <c r="A104" s="331" t="s">
        <v>53</v>
      </c>
      <c r="B104" s="327" t="s">
        <v>54</v>
      </c>
      <c r="C104" s="326" t="s">
        <v>251</v>
      </c>
      <c r="D104" s="1532">
        <v>26526</v>
      </c>
      <c r="E104" s="1508">
        <v>12031</v>
      </c>
      <c r="F104" s="562">
        <v>5860</v>
      </c>
      <c r="G104" s="562">
        <v>7076</v>
      </c>
      <c r="H104" s="562">
        <v>1556</v>
      </c>
      <c r="I104" s="1509">
        <v>3</v>
      </c>
      <c r="J104" s="1508">
        <v>16086</v>
      </c>
      <c r="K104" s="562">
        <v>10440</v>
      </c>
      <c r="L104" s="1509"/>
      <c r="M104" s="1505">
        <v>8567</v>
      </c>
      <c r="N104" s="328">
        <v>17089</v>
      </c>
      <c r="O104" s="328">
        <v>834</v>
      </c>
      <c r="P104" s="1506">
        <v>36</v>
      </c>
      <c r="Q104" s="329">
        <v>1131</v>
      </c>
    </row>
    <row r="105" spans="1:17" s="329" customFormat="1" x14ac:dyDescent="0.3">
      <c r="A105" s="331" t="s">
        <v>65</v>
      </c>
      <c r="B105" s="327" t="s">
        <v>66</v>
      </c>
      <c r="C105" s="326" t="s">
        <v>252</v>
      </c>
      <c r="D105" s="1532">
        <v>15162</v>
      </c>
      <c r="E105" s="1508">
        <v>5830</v>
      </c>
      <c r="F105" s="562">
        <v>3689</v>
      </c>
      <c r="G105" s="562">
        <v>4548</v>
      </c>
      <c r="H105" s="562">
        <v>1093</v>
      </c>
      <c r="I105" s="1509">
        <v>2</v>
      </c>
      <c r="J105" s="1508">
        <v>8778</v>
      </c>
      <c r="K105" s="562">
        <v>6384</v>
      </c>
      <c r="L105" s="1509"/>
      <c r="M105" s="1505">
        <v>4217</v>
      </c>
      <c r="N105" s="328">
        <v>10719</v>
      </c>
      <c r="O105" s="328">
        <v>213</v>
      </c>
      <c r="P105" s="1506">
        <v>13</v>
      </c>
      <c r="Q105" s="329">
        <v>353</v>
      </c>
    </row>
    <row r="106" spans="1:17" s="329" customFormat="1" x14ac:dyDescent="0.3">
      <c r="A106" s="331" t="s">
        <v>81</v>
      </c>
      <c r="B106" s="327" t="s">
        <v>82</v>
      </c>
      <c r="C106" s="326" t="s">
        <v>251</v>
      </c>
      <c r="D106" s="1532">
        <v>3024</v>
      </c>
      <c r="E106" s="1508">
        <v>1286</v>
      </c>
      <c r="F106" s="562">
        <v>662</v>
      </c>
      <c r="G106" s="562">
        <v>860</v>
      </c>
      <c r="H106" s="562">
        <v>216</v>
      </c>
      <c r="I106" s="1509">
        <v>0</v>
      </c>
      <c r="J106" s="1508">
        <v>1786</v>
      </c>
      <c r="K106" s="562">
        <v>1238</v>
      </c>
      <c r="L106" s="1509"/>
      <c r="M106" s="1505">
        <v>422</v>
      </c>
      <c r="N106" s="328">
        <v>2580</v>
      </c>
      <c r="O106" s="328">
        <v>22</v>
      </c>
      <c r="P106" s="1506">
        <v>0</v>
      </c>
      <c r="Q106" s="329">
        <v>46</v>
      </c>
    </row>
    <row r="107" spans="1:17" s="329" customFormat="1" x14ac:dyDescent="0.3">
      <c r="A107" s="331" t="s">
        <v>87</v>
      </c>
      <c r="B107" s="327" t="s">
        <v>88</v>
      </c>
      <c r="C107" s="326" t="s">
        <v>254</v>
      </c>
      <c r="D107" s="1532">
        <v>5959</v>
      </c>
      <c r="E107" s="1508">
        <v>2632</v>
      </c>
      <c r="F107" s="562">
        <v>1391</v>
      </c>
      <c r="G107" s="562">
        <v>1607</v>
      </c>
      <c r="H107" s="562">
        <v>329</v>
      </c>
      <c r="I107" s="1509">
        <v>0</v>
      </c>
      <c r="J107" s="1508">
        <v>3385</v>
      </c>
      <c r="K107" s="562">
        <v>2574</v>
      </c>
      <c r="L107" s="1509"/>
      <c r="M107" s="1505">
        <v>2588</v>
      </c>
      <c r="N107" s="328">
        <v>2854</v>
      </c>
      <c r="O107" s="328">
        <v>508</v>
      </c>
      <c r="P107" s="1506">
        <v>9</v>
      </c>
      <c r="Q107" s="329">
        <v>302</v>
      </c>
    </row>
    <row r="108" spans="1:17" s="329" customFormat="1" x14ac:dyDescent="0.3">
      <c r="A108" s="331" t="s">
        <v>89</v>
      </c>
      <c r="B108" s="327" t="s">
        <v>90</v>
      </c>
      <c r="C108" s="326" t="s">
        <v>255</v>
      </c>
      <c r="D108" s="1532">
        <v>2044</v>
      </c>
      <c r="E108" s="1508">
        <v>774</v>
      </c>
      <c r="F108" s="562">
        <v>479</v>
      </c>
      <c r="G108" s="562">
        <v>611</v>
      </c>
      <c r="H108" s="562">
        <v>180</v>
      </c>
      <c r="I108" s="1509">
        <v>0</v>
      </c>
      <c r="J108" s="1508">
        <v>1137</v>
      </c>
      <c r="K108" s="562">
        <v>907</v>
      </c>
      <c r="L108" s="1509"/>
      <c r="M108" s="1505">
        <v>1812</v>
      </c>
      <c r="N108" s="328">
        <v>218</v>
      </c>
      <c r="O108" s="328">
        <v>14</v>
      </c>
      <c r="P108" s="1506">
        <v>0</v>
      </c>
      <c r="Q108" s="329">
        <v>249</v>
      </c>
    </row>
    <row r="109" spans="1:17" s="329" customFormat="1" x14ac:dyDescent="0.3">
      <c r="A109" s="331" t="s">
        <v>105</v>
      </c>
      <c r="B109" s="327" t="s">
        <v>106</v>
      </c>
      <c r="C109" s="326" t="s">
        <v>251</v>
      </c>
      <c r="D109" s="1532">
        <v>26683</v>
      </c>
      <c r="E109" s="1508">
        <v>11363</v>
      </c>
      <c r="F109" s="562">
        <v>6279</v>
      </c>
      <c r="G109" s="562">
        <v>7588</v>
      </c>
      <c r="H109" s="562">
        <v>1449</v>
      </c>
      <c r="I109" s="1509">
        <v>4</v>
      </c>
      <c r="J109" s="1508">
        <v>15602</v>
      </c>
      <c r="K109" s="562">
        <v>11081</v>
      </c>
      <c r="L109" s="1509"/>
      <c r="M109" s="1505">
        <v>6070</v>
      </c>
      <c r="N109" s="328">
        <v>19864</v>
      </c>
      <c r="O109" s="328">
        <v>729</v>
      </c>
      <c r="P109" s="1506">
        <v>20</v>
      </c>
      <c r="Q109" s="329">
        <v>1103</v>
      </c>
    </row>
    <row r="110" spans="1:17" s="329" customFormat="1" x14ac:dyDescent="0.3">
      <c r="A110" s="331" t="s">
        <v>115</v>
      </c>
      <c r="B110" s="327" t="s">
        <v>116</v>
      </c>
      <c r="C110" s="326" t="s">
        <v>253</v>
      </c>
      <c r="D110" s="1532">
        <v>8693</v>
      </c>
      <c r="E110" s="1508">
        <v>3773</v>
      </c>
      <c r="F110" s="562">
        <v>2130</v>
      </c>
      <c r="G110" s="562">
        <v>2399</v>
      </c>
      <c r="H110" s="562">
        <v>391</v>
      </c>
      <c r="I110" s="1509">
        <v>0</v>
      </c>
      <c r="J110" s="1508">
        <v>5021</v>
      </c>
      <c r="K110" s="562">
        <v>3672</v>
      </c>
      <c r="L110" s="1509"/>
      <c r="M110" s="1505">
        <v>3298</v>
      </c>
      <c r="N110" s="328">
        <v>5232</v>
      </c>
      <c r="O110" s="328">
        <v>154</v>
      </c>
      <c r="P110" s="1506">
        <v>9</v>
      </c>
      <c r="Q110" s="329">
        <v>468</v>
      </c>
    </row>
    <row r="111" spans="1:17" s="329" customFormat="1" x14ac:dyDescent="0.3">
      <c r="A111" s="331" t="s">
        <v>137</v>
      </c>
      <c r="B111" s="327" t="s">
        <v>138</v>
      </c>
      <c r="C111" s="326" t="s">
        <v>252</v>
      </c>
      <c r="D111" s="1532">
        <v>14625</v>
      </c>
      <c r="E111" s="1508">
        <v>6191</v>
      </c>
      <c r="F111" s="562">
        <v>3454</v>
      </c>
      <c r="G111" s="562">
        <v>4100</v>
      </c>
      <c r="H111" s="562">
        <v>879</v>
      </c>
      <c r="I111" s="1509">
        <v>1</v>
      </c>
      <c r="J111" s="1508">
        <v>8580</v>
      </c>
      <c r="K111" s="562">
        <v>6045</v>
      </c>
      <c r="L111" s="1509"/>
      <c r="M111" s="1505">
        <v>5141</v>
      </c>
      <c r="N111" s="328">
        <v>9256</v>
      </c>
      <c r="O111" s="328">
        <v>201</v>
      </c>
      <c r="P111" s="1506">
        <v>27</v>
      </c>
      <c r="Q111" s="329">
        <v>313</v>
      </c>
    </row>
    <row r="112" spans="1:17" s="329" customFormat="1" x14ac:dyDescent="0.3">
      <c r="A112" s="331" t="s">
        <v>141</v>
      </c>
      <c r="B112" s="327" t="s">
        <v>142</v>
      </c>
      <c r="C112" s="326" t="s">
        <v>254</v>
      </c>
      <c r="D112" s="1532">
        <v>4126</v>
      </c>
      <c r="E112" s="1508">
        <v>2423</v>
      </c>
      <c r="F112" s="562">
        <v>721</v>
      </c>
      <c r="G112" s="562">
        <v>763</v>
      </c>
      <c r="H112" s="562">
        <v>219</v>
      </c>
      <c r="I112" s="1509">
        <v>0</v>
      </c>
      <c r="J112" s="1508">
        <v>2284</v>
      </c>
      <c r="K112" s="562">
        <v>1842</v>
      </c>
      <c r="L112" s="1509"/>
      <c r="M112" s="1505">
        <v>2780</v>
      </c>
      <c r="N112" s="328">
        <v>1069</v>
      </c>
      <c r="O112" s="328">
        <v>265</v>
      </c>
      <c r="P112" s="1506">
        <v>12</v>
      </c>
      <c r="Q112" s="329">
        <v>1040</v>
      </c>
    </row>
    <row r="113" spans="1:17" s="329" customFormat="1" x14ac:dyDescent="0.3">
      <c r="A113" s="331" t="s">
        <v>143</v>
      </c>
      <c r="B113" s="327" t="s">
        <v>144</v>
      </c>
      <c r="C113" s="326" t="s">
        <v>254</v>
      </c>
      <c r="D113" s="1532">
        <v>1319</v>
      </c>
      <c r="E113" s="1508">
        <v>717</v>
      </c>
      <c r="F113" s="562">
        <v>210</v>
      </c>
      <c r="G113" s="562">
        <v>273</v>
      </c>
      <c r="H113" s="562">
        <v>119</v>
      </c>
      <c r="I113" s="1509">
        <v>0</v>
      </c>
      <c r="J113" s="1508">
        <v>766</v>
      </c>
      <c r="K113" s="562">
        <v>553</v>
      </c>
      <c r="L113" s="1509"/>
      <c r="M113" s="1505">
        <v>944</v>
      </c>
      <c r="N113" s="328">
        <v>258</v>
      </c>
      <c r="O113" s="328">
        <v>116</v>
      </c>
      <c r="P113" s="1506">
        <v>1</v>
      </c>
      <c r="Q113" s="329">
        <v>418</v>
      </c>
    </row>
    <row r="114" spans="1:17" s="329" customFormat="1" x14ac:dyDescent="0.3">
      <c r="A114" s="331" t="s">
        <v>157</v>
      </c>
      <c r="B114" s="327" t="s">
        <v>158</v>
      </c>
      <c r="C114" s="326" t="s">
        <v>251</v>
      </c>
      <c r="D114" s="1532">
        <v>40868</v>
      </c>
      <c r="E114" s="1508">
        <v>18403</v>
      </c>
      <c r="F114" s="562">
        <v>9771</v>
      </c>
      <c r="G114" s="562">
        <v>10672</v>
      </c>
      <c r="H114" s="562">
        <v>2021</v>
      </c>
      <c r="I114" s="1509">
        <v>1</v>
      </c>
      <c r="J114" s="1508">
        <v>24240</v>
      </c>
      <c r="K114" s="562">
        <v>16628</v>
      </c>
      <c r="L114" s="1509"/>
      <c r="M114" s="1505">
        <v>9206</v>
      </c>
      <c r="N114" s="328">
        <v>30305</v>
      </c>
      <c r="O114" s="328">
        <v>1340</v>
      </c>
      <c r="P114" s="1506">
        <v>17</v>
      </c>
      <c r="Q114" s="329">
        <v>2506</v>
      </c>
    </row>
    <row r="115" spans="1:17" s="329" customFormat="1" x14ac:dyDescent="0.3">
      <c r="A115" s="331" t="s">
        <v>159</v>
      </c>
      <c r="B115" s="327" t="s">
        <v>160</v>
      </c>
      <c r="C115" s="326" t="s">
        <v>251</v>
      </c>
      <c r="D115" s="1532">
        <v>48739</v>
      </c>
      <c r="E115" s="1508">
        <v>21099</v>
      </c>
      <c r="F115" s="562">
        <v>10795</v>
      </c>
      <c r="G115" s="562">
        <v>13712</v>
      </c>
      <c r="H115" s="562">
        <v>3131</v>
      </c>
      <c r="I115" s="1509">
        <v>2</v>
      </c>
      <c r="J115" s="1508">
        <v>29039</v>
      </c>
      <c r="K115" s="562">
        <v>19700</v>
      </c>
      <c r="L115" s="1509"/>
      <c r="M115" s="1505">
        <v>9514</v>
      </c>
      <c r="N115" s="328">
        <v>37967</v>
      </c>
      <c r="O115" s="328">
        <v>1202</v>
      </c>
      <c r="P115" s="1506">
        <v>56</v>
      </c>
      <c r="Q115" s="329">
        <v>1958</v>
      </c>
    </row>
    <row r="116" spans="1:17" s="329" customFormat="1" x14ac:dyDescent="0.3">
      <c r="A116" s="331" t="s">
        <v>165</v>
      </c>
      <c r="B116" s="327" t="s">
        <v>166</v>
      </c>
      <c r="C116" s="326" t="s">
        <v>255</v>
      </c>
      <c r="D116" s="1532">
        <v>1245</v>
      </c>
      <c r="E116" s="1508">
        <v>427</v>
      </c>
      <c r="F116" s="562">
        <v>297</v>
      </c>
      <c r="G116" s="562">
        <v>419</v>
      </c>
      <c r="H116" s="562">
        <v>102</v>
      </c>
      <c r="I116" s="1509">
        <v>0</v>
      </c>
      <c r="J116" s="1508">
        <v>746</v>
      </c>
      <c r="K116" s="562">
        <v>499</v>
      </c>
      <c r="L116" s="1509"/>
      <c r="M116" s="1505">
        <v>1133</v>
      </c>
      <c r="N116" s="328">
        <v>96</v>
      </c>
      <c r="O116" s="328">
        <v>16</v>
      </c>
      <c r="P116" s="1506">
        <v>0</v>
      </c>
      <c r="Q116" s="329">
        <v>18</v>
      </c>
    </row>
    <row r="117" spans="1:17" s="329" customFormat="1" x14ac:dyDescent="0.3">
      <c r="A117" s="331" t="s">
        <v>175</v>
      </c>
      <c r="B117" s="327" t="s">
        <v>176</v>
      </c>
      <c r="C117" s="326" t="s">
        <v>253</v>
      </c>
      <c r="D117" s="1532">
        <v>13030</v>
      </c>
      <c r="E117" s="1508">
        <v>4843</v>
      </c>
      <c r="F117" s="562">
        <v>3344</v>
      </c>
      <c r="G117" s="562">
        <v>3995</v>
      </c>
      <c r="H117" s="562">
        <v>846</v>
      </c>
      <c r="I117" s="1509">
        <v>2</v>
      </c>
      <c r="J117" s="1508">
        <v>7442</v>
      </c>
      <c r="K117" s="562">
        <v>5588</v>
      </c>
      <c r="L117" s="1509"/>
      <c r="M117" s="1505">
        <v>1490</v>
      </c>
      <c r="N117" s="328">
        <v>11365</v>
      </c>
      <c r="O117" s="328">
        <v>164</v>
      </c>
      <c r="P117" s="1506">
        <v>11</v>
      </c>
      <c r="Q117" s="329">
        <v>356</v>
      </c>
    </row>
    <row r="118" spans="1:17" s="329" customFormat="1" x14ac:dyDescent="0.3">
      <c r="A118" s="331" t="s">
        <v>179</v>
      </c>
      <c r="B118" s="327" t="s">
        <v>180</v>
      </c>
      <c r="C118" s="326" t="s">
        <v>251</v>
      </c>
      <c r="D118" s="1532">
        <v>27591</v>
      </c>
      <c r="E118" s="1508">
        <v>11883</v>
      </c>
      <c r="F118" s="562">
        <v>6513</v>
      </c>
      <c r="G118" s="562">
        <v>7705</v>
      </c>
      <c r="H118" s="562">
        <v>1473</v>
      </c>
      <c r="I118" s="1509">
        <v>17</v>
      </c>
      <c r="J118" s="1508">
        <v>16120</v>
      </c>
      <c r="K118" s="562">
        <v>11471</v>
      </c>
      <c r="L118" s="1509"/>
      <c r="M118" s="1505">
        <v>4617</v>
      </c>
      <c r="N118" s="328">
        <v>22544</v>
      </c>
      <c r="O118" s="328">
        <v>420</v>
      </c>
      <c r="P118" s="1506">
        <v>10</v>
      </c>
      <c r="Q118" s="329">
        <v>536</v>
      </c>
    </row>
    <row r="119" spans="1:17" s="329" customFormat="1" x14ac:dyDescent="0.3">
      <c r="A119" s="331" t="s">
        <v>191</v>
      </c>
      <c r="B119" s="327" t="s">
        <v>192</v>
      </c>
      <c r="C119" s="326" t="s">
        <v>255</v>
      </c>
      <c r="D119" s="1532">
        <v>2009</v>
      </c>
      <c r="E119" s="1508">
        <v>804</v>
      </c>
      <c r="F119" s="562">
        <v>556</v>
      </c>
      <c r="G119" s="562">
        <v>551</v>
      </c>
      <c r="H119" s="562">
        <v>98</v>
      </c>
      <c r="I119" s="1509">
        <v>0</v>
      </c>
      <c r="J119" s="1508">
        <v>1177</v>
      </c>
      <c r="K119" s="562">
        <v>832</v>
      </c>
      <c r="L119" s="1509"/>
      <c r="M119" s="1505">
        <v>1502</v>
      </c>
      <c r="N119" s="328">
        <v>486</v>
      </c>
      <c r="O119" s="328">
        <v>21</v>
      </c>
      <c r="P119" s="1506">
        <v>0</v>
      </c>
      <c r="Q119" s="329">
        <v>42</v>
      </c>
    </row>
    <row r="120" spans="1:17" s="329" customFormat="1" x14ac:dyDescent="0.3">
      <c r="A120" s="331" t="s">
        <v>195</v>
      </c>
      <c r="B120" s="327" t="s">
        <v>196</v>
      </c>
      <c r="C120" s="326" t="s">
        <v>253</v>
      </c>
      <c r="D120" s="1532">
        <v>50787</v>
      </c>
      <c r="E120" s="1508">
        <v>20634</v>
      </c>
      <c r="F120" s="562">
        <v>11991</v>
      </c>
      <c r="G120" s="562">
        <v>14709</v>
      </c>
      <c r="H120" s="562">
        <v>3442</v>
      </c>
      <c r="I120" s="1509">
        <v>11</v>
      </c>
      <c r="J120" s="1508">
        <v>29267</v>
      </c>
      <c r="K120" s="562">
        <v>21520</v>
      </c>
      <c r="L120" s="1509"/>
      <c r="M120" s="1505">
        <v>7506</v>
      </c>
      <c r="N120" s="328">
        <v>42328</v>
      </c>
      <c r="O120" s="328">
        <v>898</v>
      </c>
      <c r="P120" s="1506">
        <v>55</v>
      </c>
      <c r="Q120" s="329">
        <v>2147</v>
      </c>
    </row>
    <row r="121" spans="1:17" s="329" customFormat="1" x14ac:dyDescent="0.3">
      <c r="A121" s="331" t="s">
        <v>199</v>
      </c>
      <c r="B121" s="327" t="s">
        <v>200</v>
      </c>
      <c r="C121" s="326" t="s">
        <v>252</v>
      </c>
      <c r="D121" s="1532">
        <v>26794</v>
      </c>
      <c r="E121" s="1508">
        <v>11424</v>
      </c>
      <c r="F121" s="562">
        <v>5815</v>
      </c>
      <c r="G121" s="562">
        <v>7961</v>
      </c>
      <c r="H121" s="562">
        <v>1587</v>
      </c>
      <c r="I121" s="1509">
        <v>7</v>
      </c>
      <c r="J121" s="1508">
        <v>15333</v>
      </c>
      <c r="K121" s="562">
        <v>11461</v>
      </c>
      <c r="L121" s="1509"/>
      <c r="M121" s="1505">
        <v>12911</v>
      </c>
      <c r="N121" s="328">
        <v>12882</v>
      </c>
      <c r="O121" s="328">
        <v>956</v>
      </c>
      <c r="P121" s="1506">
        <v>45</v>
      </c>
      <c r="Q121" s="329">
        <v>1062</v>
      </c>
    </row>
    <row r="122" spans="1:17" s="329" customFormat="1" x14ac:dyDescent="0.3">
      <c r="A122" s="331" t="s">
        <v>221</v>
      </c>
      <c r="B122" s="327" t="s">
        <v>222</v>
      </c>
      <c r="C122" s="326" t="s">
        <v>251</v>
      </c>
      <c r="D122" s="1532">
        <v>14218</v>
      </c>
      <c r="E122" s="1508">
        <v>6142</v>
      </c>
      <c r="F122" s="562">
        <v>3102</v>
      </c>
      <c r="G122" s="562">
        <v>3993</v>
      </c>
      <c r="H122" s="562">
        <v>981</v>
      </c>
      <c r="I122" s="1509">
        <v>0</v>
      </c>
      <c r="J122" s="1508">
        <v>8348</v>
      </c>
      <c r="K122" s="562">
        <v>5870</v>
      </c>
      <c r="L122" s="1509"/>
      <c r="M122" s="1505">
        <v>3104</v>
      </c>
      <c r="N122" s="328">
        <v>10863</v>
      </c>
      <c r="O122" s="328">
        <v>238</v>
      </c>
      <c r="P122" s="1506">
        <v>13</v>
      </c>
      <c r="Q122" s="329">
        <v>308</v>
      </c>
    </row>
    <row r="123" spans="1:17" s="329" customFormat="1" x14ac:dyDescent="0.3">
      <c r="A123" s="331" t="s">
        <v>229</v>
      </c>
      <c r="B123" s="327" t="s">
        <v>230</v>
      </c>
      <c r="C123" s="326" t="s">
        <v>251</v>
      </c>
      <c r="D123" s="1532">
        <v>38458</v>
      </c>
      <c r="E123" s="1508">
        <v>16888</v>
      </c>
      <c r="F123" s="562">
        <v>8398</v>
      </c>
      <c r="G123" s="562">
        <v>10654</v>
      </c>
      <c r="H123" s="562">
        <v>2518</v>
      </c>
      <c r="I123" s="1509">
        <v>0</v>
      </c>
      <c r="J123" s="1508">
        <v>22811</v>
      </c>
      <c r="K123" s="562">
        <v>15647</v>
      </c>
      <c r="L123" s="1509"/>
      <c r="M123" s="1505">
        <v>16400</v>
      </c>
      <c r="N123" s="328">
        <v>19976</v>
      </c>
      <c r="O123" s="328">
        <v>2012</v>
      </c>
      <c r="P123" s="1506">
        <v>70</v>
      </c>
      <c r="Q123" s="329">
        <v>2368</v>
      </c>
    </row>
    <row r="124" spans="1:17" s="329" customFormat="1" x14ac:dyDescent="0.3">
      <c r="A124" s="331" t="s">
        <v>237</v>
      </c>
      <c r="B124" s="327" t="s">
        <v>238</v>
      </c>
      <c r="C124" s="326" t="s">
        <v>251</v>
      </c>
      <c r="D124" s="1532">
        <v>1711</v>
      </c>
      <c r="E124" s="1508">
        <v>712</v>
      </c>
      <c r="F124" s="562">
        <v>388</v>
      </c>
      <c r="G124" s="562">
        <v>528</v>
      </c>
      <c r="H124" s="562">
        <v>83</v>
      </c>
      <c r="I124" s="1509">
        <v>0</v>
      </c>
      <c r="J124" s="1508">
        <v>953</v>
      </c>
      <c r="K124" s="562">
        <v>758</v>
      </c>
      <c r="L124" s="1509"/>
      <c r="M124" s="1505">
        <v>762</v>
      </c>
      <c r="N124" s="328">
        <v>890</v>
      </c>
      <c r="O124" s="328">
        <v>57</v>
      </c>
      <c r="P124" s="1506">
        <v>2</v>
      </c>
      <c r="Q124" s="329">
        <v>104</v>
      </c>
    </row>
    <row r="125" spans="1:17" s="329" customFormat="1" x14ac:dyDescent="0.3">
      <c r="A125" s="331" t="s">
        <v>239</v>
      </c>
      <c r="B125" s="327" t="s">
        <v>240</v>
      </c>
      <c r="C125" s="326" t="s">
        <v>254</v>
      </c>
      <c r="D125" s="1532">
        <v>4649</v>
      </c>
      <c r="E125" s="1508">
        <v>2103</v>
      </c>
      <c r="F125" s="562">
        <v>948</v>
      </c>
      <c r="G125" s="562">
        <v>1312</v>
      </c>
      <c r="H125" s="562">
        <v>286</v>
      </c>
      <c r="I125" s="1509">
        <v>0</v>
      </c>
      <c r="J125" s="1508">
        <v>2527</v>
      </c>
      <c r="K125" s="562">
        <v>2122</v>
      </c>
      <c r="L125" s="1509"/>
      <c r="M125" s="1505">
        <v>3456</v>
      </c>
      <c r="N125" s="328">
        <v>1125</v>
      </c>
      <c r="O125" s="328">
        <v>68</v>
      </c>
      <c r="P125" s="1506">
        <v>0</v>
      </c>
      <c r="Q125" s="329">
        <v>586</v>
      </c>
    </row>
    <row r="126" spans="1:17" x14ac:dyDescent="0.3">
      <c r="B126" s="252"/>
      <c r="C126" s="252"/>
      <c r="D126" s="252"/>
      <c r="E126" s="252"/>
      <c r="F126" s="252"/>
      <c r="G126" s="252"/>
      <c r="H126" s="252"/>
      <c r="I126" s="252"/>
      <c r="J126" s="252"/>
      <c r="K126" s="252"/>
      <c r="L126" s="252"/>
    </row>
    <row r="127" spans="1:17" ht="15.75" customHeight="1" x14ac:dyDescent="0.3">
      <c r="A127" s="2551" t="s">
        <v>928</v>
      </c>
      <c r="B127" s="2551"/>
      <c r="C127" s="2551"/>
      <c r="D127" s="2551"/>
      <c r="E127" s="2551"/>
      <c r="F127" s="2551"/>
      <c r="G127" s="2551"/>
      <c r="H127" s="2551"/>
      <c r="I127" s="2551"/>
      <c r="J127" s="2551"/>
      <c r="K127" s="2551"/>
      <c r="L127" s="2551"/>
      <c r="M127" s="2551"/>
      <c r="N127" s="2551"/>
      <c r="O127" s="2551"/>
      <c r="P127" s="2551"/>
    </row>
    <row r="128" spans="1:17" x14ac:dyDescent="0.3">
      <c r="A128" s="2551"/>
      <c r="B128" s="2551"/>
      <c r="C128" s="2551"/>
      <c r="D128" s="2551"/>
      <c r="E128" s="2551"/>
      <c r="F128" s="2551"/>
      <c r="G128" s="2551"/>
      <c r="H128" s="2551"/>
      <c r="I128" s="2551"/>
      <c r="J128" s="2551"/>
      <c r="K128" s="2551"/>
      <c r="L128" s="2551"/>
      <c r="M128" s="2551"/>
      <c r="N128" s="2551"/>
      <c r="O128" s="2551"/>
      <c r="P128" s="2551"/>
    </row>
    <row r="129" spans="1:12" s="193" customFormat="1" x14ac:dyDescent="0.3">
      <c r="A129" s="193" t="s">
        <v>247</v>
      </c>
    </row>
    <row r="130" spans="1:12" s="193" customFormat="1" x14ac:dyDescent="0.3">
      <c r="A130" s="194" t="s">
        <v>248</v>
      </c>
      <c r="B130" s="195" t="s">
        <v>249</v>
      </c>
      <c r="C130" s="195"/>
      <c r="D130" s="195"/>
      <c r="E130" s="195"/>
      <c r="F130" s="195"/>
      <c r="G130" s="195"/>
      <c r="H130" s="195"/>
      <c r="I130" s="195"/>
      <c r="J130" s="195"/>
      <c r="K130" s="195"/>
      <c r="L130" s="195"/>
    </row>
  </sheetData>
  <autoFilter ref="A4:C4"/>
  <sortState ref="A6:Q125">
    <sortCondition ref="A6:A125"/>
  </sortState>
  <mergeCells count="5">
    <mergeCell ref="A127:P128"/>
    <mergeCell ref="M3:P3"/>
    <mergeCell ref="E3:I3"/>
    <mergeCell ref="J3:L3"/>
    <mergeCell ref="Q3:Q4"/>
  </mergeCells>
  <hyperlinks>
    <hyperlink ref="B130" r:id="rId1"/>
  </hyperlinks>
  <pageMargins left="0.75" right="0.75" top="1" bottom="1" header="0.5" footer="0.5"/>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119" activePane="bottomRight" state="frozen"/>
      <selection pane="topRight" activeCell="D1" sqref="D1"/>
      <selection pane="bottomLeft" activeCell="A6" sqref="A6"/>
      <selection pane="bottomRight" activeCell="E5" sqref="E5:I5"/>
    </sheetView>
  </sheetViews>
  <sheetFormatPr defaultColWidth="14.296875" defaultRowHeight="15.6" x14ac:dyDescent="0.3"/>
  <cols>
    <col min="1" max="1" width="14.296875" style="247"/>
    <col min="2" max="2" width="32.19921875" style="247" customWidth="1"/>
    <col min="3" max="4" width="14.5" style="247" customWidth="1"/>
    <col min="5" max="5" width="10.5" style="247" customWidth="1"/>
    <col min="6" max="7" width="11.09765625" style="247" customWidth="1"/>
    <col min="8" max="8" width="14.5" style="247" customWidth="1"/>
    <col min="9" max="9" width="11.59765625" style="247" customWidth="1"/>
    <col min="10" max="12" width="9.69921875" style="247" customWidth="1"/>
    <col min="13" max="16" width="10.69921875" style="247" customWidth="1"/>
    <col min="17" max="17" width="10.09765625" style="247" customWidth="1"/>
    <col min="18" max="16384" width="14.296875" style="247"/>
  </cols>
  <sheetData>
    <row r="1" spans="1:17" x14ac:dyDescent="0.3">
      <c r="A1" s="94" t="s">
        <v>859</v>
      </c>
    </row>
    <row r="2" spans="1:17" x14ac:dyDescent="0.3">
      <c r="B2" s="248"/>
      <c r="C2" s="248"/>
      <c r="D2" s="248"/>
      <c r="E2" s="248"/>
      <c r="F2" s="248"/>
      <c r="G2" s="248"/>
      <c r="H2" s="248"/>
      <c r="I2" s="248"/>
      <c r="J2" s="248"/>
      <c r="K2" s="248"/>
      <c r="L2" s="248"/>
    </row>
    <row r="3" spans="1:17" ht="23.25" customHeight="1" x14ac:dyDescent="0.3">
      <c r="A3" s="249"/>
      <c r="B3" s="250"/>
      <c r="C3" s="330"/>
      <c r="D3" s="330"/>
      <c r="E3" s="2552" t="s">
        <v>544</v>
      </c>
      <c r="F3" s="2553"/>
      <c r="G3" s="2553"/>
      <c r="H3" s="2553"/>
      <c r="I3" s="2553"/>
      <c r="J3" s="2552" t="s">
        <v>539</v>
      </c>
      <c r="K3" s="2553"/>
      <c r="L3" s="2554"/>
      <c r="M3" s="2553" t="s">
        <v>503</v>
      </c>
      <c r="N3" s="2553"/>
      <c r="O3" s="2553"/>
      <c r="P3" s="2553"/>
      <c r="Q3" s="2556" t="s">
        <v>766</v>
      </c>
    </row>
    <row r="4" spans="1:17" ht="35.25" customHeight="1" x14ac:dyDescent="0.3">
      <c r="A4" s="251" t="s">
        <v>4</v>
      </c>
      <c r="B4" s="250" t="s">
        <v>5</v>
      </c>
      <c r="C4" s="330" t="s">
        <v>250</v>
      </c>
      <c r="D4" s="330" t="s">
        <v>262</v>
      </c>
      <c r="E4" s="1511" t="s">
        <v>412</v>
      </c>
      <c r="F4" s="1512" t="s">
        <v>771</v>
      </c>
      <c r="G4" s="1512" t="s">
        <v>772</v>
      </c>
      <c r="H4" s="1512" t="s">
        <v>505</v>
      </c>
      <c r="I4" s="1512" t="s">
        <v>765</v>
      </c>
      <c r="J4" s="1511" t="s">
        <v>381</v>
      </c>
      <c r="K4" s="1512" t="s">
        <v>380</v>
      </c>
      <c r="L4" s="1513" t="s">
        <v>765</v>
      </c>
      <c r="M4" s="330" t="s">
        <v>2</v>
      </c>
      <c r="N4" s="330" t="s">
        <v>298</v>
      </c>
      <c r="O4" s="330" t="s">
        <v>519</v>
      </c>
      <c r="P4" s="862" t="s">
        <v>765</v>
      </c>
      <c r="Q4" s="2556"/>
    </row>
    <row r="5" spans="1:17" x14ac:dyDescent="0.3">
      <c r="A5" s="670" t="s">
        <v>7</v>
      </c>
      <c r="B5" s="671" t="s">
        <v>8</v>
      </c>
      <c r="C5" s="672"/>
      <c r="D5" s="1533">
        <v>66047</v>
      </c>
      <c r="E5" s="1507">
        <v>46761</v>
      </c>
      <c r="F5" s="1499">
        <v>12891</v>
      </c>
      <c r="G5" s="1499">
        <v>6377</v>
      </c>
      <c r="H5" s="1499">
        <v>15</v>
      </c>
      <c r="I5" s="1499">
        <v>3</v>
      </c>
      <c r="J5" s="1507">
        <v>39440</v>
      </c>
      <c r="K5" s="1499">
        <v>26607</v>
      </c>
      <c r="L5" s="1514">
        <v>0</v>
      </c>
      <c r="M5" s="673">
        <v>26922</v>
      </c>
      <c r="N5" s="673">
        <v>35716</v>
      </c>
      <c r="O5" s="673">
        <v>3405</v>
      </c>
      <c r="P5" s="673">
        <v>4</v>
      </c>
      <c r="Q5" s="1534">
        <v>3185</v>
      </c>
    </row>
    <row r="6" spans="1:17" s="329" customFormat="1" x14ac:dyDescent="0.3">
      <c r="A6" s="331" t="s">
        <v>9</v>
      </c>
      <c r="B6" s="327" t="s">
        <v>10</v>
      </c>
      <c r="C6" s="326" t="s">
        <v>251</v>
      </c>
      <c r="D6" s="1532">
        <v>314</v>
      </c>
      <c r="E6" s="1508">
        <v>230</v>
      </c>
      <c r="F6" s="562">
        <v>58</v>
      </c>
      <c r="G6" s="562">
        <v>26</v>
      </c>
      <c r="H6" s="562">
        <v>0</v>
      </c>
      <c r="I6" s="562">
        <v>0</v>
      </c>
      <c r="J6" s="1508">
        <v>192</v>
      </c>
      <c r="K6" s="562">
        <v>122</v>
      </c>
      <c r="L6" s="1509"/>
      <c r="M6" s="328">
        <v>132</v>
      </c>
      <c r="N6" s="328">
        <v>179</v>
      </c>
      <c r="O6" s="328">
        <v>3</v>
      </c>
      <c r="P6" s="328">
        <v>0</v>
      </c>
      <c r="Q6" s="1531">
        <v>19</v>
      </c>
    </row>
    <row r="7" spans="1:17" s="329" customFormat="1" x14ac:dyDescent="0.3">
      <c r="A7" s="331" t="s">
        <v>11</v>
      </c>
      <c r="B7" s="327" t="s">
        <v>12</v>
      </c>
      <c r="C7" s="326" t="s">
        <v>252</v>
      </c>
      <c r="D7" s="1532">
        <v>553</v>
      </c>
      <c r="E7" s="1508">
        <v>365</v>
      </c>
      <c r="F7" s="562">
        <v>107</v>
      </c>
      <c r="G7" s="562">
        <v>81</v>
      </c>
      <c r="H7" s="562">
        <v>0</v>
      </c>
      <c r="I7" s="562">
        <v>0</v>
      </c>
      <c r="J7" s="1508">
        <v>327</v>
      </c>
      <c r="K7" s="562">
        <v>226</v>
      </c>
      <c r="L7" s="1509"/>
      <c r="M7" s="328">
        <v>300</v>
      </c>
      <c r="N7" s="328">
        <v>213</v>
      </c>
      <c r="O7" s="328">
        <v>40</v>
      </c>
      <c r="P7" s="328">
        <v>0</v>
      </c>
      <c r="Q7" s="1531">
        <v>14</v>
      </c>
    </row>
    <row r="8" spans="1:17" s="329" customFormat="1" x14ac:dyDescent="0.3">
      <c r="A8" s="331" t="s">
        <v>15</v>
      </c>
      <c r="B8" s="327" t="s">
        <v>273</v>
      </c>
      <c r="C8" s="326" t="s">
        <v>252</v>
      </c>
      <c r="D8" s="1532">
        <v>160</v>
      </c>
      <c r="E8" s="1508">
        <v>123</v>
      </c>
      <c r="F8" s="562">
        <v>23</v>
      </c>
      <c r="G8" s="562">
        <v>14</v>
      </c>
      <c r="H8" s="562">
        <v>0</v>
      </c>
      <c r="I8" s="562">
        <v>0</v>
      </c>
      <c r="J8" s="1508">
        <v>88</v>
      </c>
      <c r="K8" s="562">
        <v>72</v>
      </c>
      <c r="L8" s="1509"/>
      <c r="M8" s="328">
        <v>128</v>
      </c>
      <c r="N8" s="328">
        <v>29</v>
      </c>
      <c r="O8" s="328">
        <v>3</v>
      </c>
      <c r="P8" s="328">
        <v>0</v>
      </c>
      <c r="Q8" s="1531">
        <v>4</v>
      </c>
    </row>
    <row r="9" spans="1:17" s="329" customFormat="1" x14ac:dyDescent="0.3">
      <c r="A9" s="331" t="s">
        <v>17</v>
      </c>
      <c r="B9" s="327" t="s">
        <v>18</v>
      </c>
      <c r="C9" s="326" t="s">
        <v>253</v>
      </c>
      <c r="D9" s="1532">
        <v>79</v>
      </c>
      <c r="E9" s="1508">
        <v>52</v>
      </c>
      <c r="F9" s="562">
        <v>17</v>
      </c>
      <c r="G9" s="562">
        <v>10</v>
      </c>
      <c r="H9" s="562">
        <v>0</v>
      </c>
      <c r="I9" s="562">
        <v>0</v>
      </c>
      <c r="J9" s="1508">
        <v>46</v>
      </c>
      <c r="K9" s="562">
        <v>33</v>
      </c>
      <c r="L9" s="1509"/>
      <c r="M9" s="328">
        <v>41</v>
      </c>
      <c r="N9" s="328">
        <v>37</v>
      </c>
      <c r="O9" s="328">
        <v>1</v>
      </c>
      <c r="P9" s="328">
        <v>0</v>
      </c>
      <c r="Q9" s="1531"/>
    </row>
    <row r="10" spans="1:17" s="329" customFormat="1" x14ac:dyDescent="0.3">
      <c r="A10" s="331" t="s">
        <v>19</v>
      </c>
      <c r="B10" s="327" t="s">
        <v>20</v>
      </c>
      <c r="C10" s="326" t="s">
        <v>252</v>
      </c>
      <c r="D10" s="1532">
        <v>225</v>
      </c>
      <c r="E10" s="1508">
        <v>174</v>
      </c>
      <c r="F10" s="562">
        <v>33</v>
      </c>
      <c r="G10" s="562">
        <v>18</v>
      </c>
      <c r="H10" s="562">
        <v>0</v>
      </c>
      <c r="I10" s="562">
        <v>0</v>
      </c>
      <c r="J10" s="1508">
        <v>140</v>
      </c>
      <c r="K10" s="562">
        <v>85</v>
      </c>
      <c r="L10" s="1509"/>
      <c r="M10" s="328">
        <v>147</v>
      </c>
      <c r="N10" s="328">
        <v>72</v>
      </c>
      <c r="O10" s="328">
        <v>6</v>
      </c>
      <c r="P10" s="328">
        <v>0</v>
      </c>
      <c r="Q10" s="1531">
        <v>7</v>
      </c>
    </row>
    <row r="11" spans="1:17" s="329" customFormat="1" x14ac:dyDescent="0.3">
      <c r="A11" s="331" t="s">
        <v>21</v>
      </c>
      <c r="B11" s="327" t="s">
        <v>22</v>
      </c>
      <c r="C11" s="326" t="s">
        <v>252</v>
      </c>
      <c r="D11" s="1532">
        <v>132</v>
      </c>
      <c r="E11" s="1508">
        <v>94</v>
      </c>
      <c r="F11" s="562">
        <v>30</v>
      </c>
      <c r="G11" s="562">
        <v>8</v>
      </c>
      <c r="H11" s="562">
        <v>0</v>
      </c>
      <c r="I11" s="562">
        <v>0</v>
      </c>
      <c r="J11" s="1508">
        <v>79</v>
      </c>
      <c r="K11" s="562">
        <v>53</v>
      </c>
      <c r="L11" s="1509"/>
      <c r="M11" s="328">
        <v>65</v>
      </c>
      <c r="N11" s="328">
        <v>66</v>
      </c>
      <c r="O11" s="328">
        <v>1</v>
      </c>
      <c r="P11" s="328">
        <v>0</v>
      </c>
      <c r="Q11" s="1531">
        <v>6</v>
      </c>
    </row>
    <row r="12" spans="1:17" s="329" customFormat="1" x14ac:dyDescent="0.3">
      <c r="A12" s="331" t="s">
        <v>23</v>
      </c>
      <c r="B12" s="327" t="s">
        <v>24</v>
      </c>
      <c r="C12" s="326" t="s">
        <v>254</v>
      </c>
      <c r="D12" s="1532">
        <v>436</v>
      </c>
      <c r="E12" s="1508">
        <v>301</v>
      </c>
      <c r="F12" s="562">
        <v>79</v>
      </c>
      <c r="G12" s="562">
        <v>56</v>
      </c>
      <c r="H12" s="562">
        <v>0</v>
      </c>
      <c r="I12" s="562">
        <v>0</v>
      </c>
      <c r="J12" s="1508">
        <v>261</v>
      </c>
      <c r="K12" s="562">
        <v>175</v>
      </c>
      <c r="L12" s="1509"/>
      <c r="M12" s="328">
        <v>197</v>
      </c>
      <c r="N12" s="328">
        <v>221</v>
      </c>
      <c r="O12" s="328">
        <v>18</v>
      </c>
      <c r="P12" s="328">
        <v>0</v>
      </c>
      <c r="Q12" s="1531">
        <v>47</v>
      </c>
    </row>
    <row r="13" spans="1:17" s="329" customFormat="1" x14ac:dyDescent="0.3">
      <c r="A13" s="331" t="s">
        <v>25</v>
      </c>
      <c r="B13" s="327" t="s">
        <v>444</v>
      </c>
      <c r="C13" s="326" t="s">
        <v>252</v>
      </c>
      <c r="D13" s="1532">
        <v>1343</v>
      </c>
      <c r="E13" s="1508">
        <v>970</v>
      </c>
      <c r="F13" s="562">
        <v>237</v>
      </c>
      <c r="G13" s="562">
        <v>136</v>
      </c>
      <c r="H13" s="562">
        <v>0</v>
      </c>
      <c r="I13" s="562">
        <v>0</v>
      </c>
      <c r="J13" s="1508">
        <v>802</v>
      </c>
      <c r="K13" s="562">
        <v>541</v>
      </c>
      <c r="L13" s="1509"/>
      <c r="M13" s="328">
        <v>1022</v>
      </c>
      <c r="N13" s="328">
        <v>319</v>
      </c>
      <c r="O13" s="328">
        <v>2</v>
      </c>
      <c r="P13" s="328">
        <v>0</v>
      </c>
      <c r="Q13" s="1531">
        <v>47</v>
      </c>
    </row>
    <row r="14" spans="1:17" s="329" customFormat="1" x14ac:dyDescent="0.3">
      <c r="A14" s="331" t="s">
        <v>26</v>
      </c>
      <c r="B14" s="327" t="s">
        <v>27</v>
      </c>
      <c r="C14" s="326" t="s">
        <v>252</v>
      </c>
      <c r="D14" s="1532">
        <v>20</v>
      </c>
      <c r="E14" s="1508">
        <v>17</v>
      </c>
      <c r="F14" s="562">
        <v>2</v>
      </c>
      <c r="G14" s="562">
        <v>1</v>
      </c>
      <c r="H14" s="562">
        <v>0</v>
      </c>
      <c r="I14" s="562">
        <v>0</v>
      </c>
      <c r="J14" s="1508">
        <v>13</v>
      </c>
      <c r="K14" s="562">
        <v>7</v>
      </c>
      <c r="L14" s="1509"/>
      <c r="M14" s="328">
        <v>19</v>
      </c>
      <c r="N14" s="328">
        <v>1</v>
      </c>
      <c r="O14" s="328">
        <v>0</v>
      </c>
      <c r="P14" s="328">
        <v>0</v>
      </c>
      <c r="Q14" s="1531"/>
    </row>
    <row r="15" spans="1:17" s="329" customFormat="1" x14ac:dyDescent="0.3">
      <c r="A15" s="331" t="s">
        <v>28</v>
      </c>
      <c r="B15" s="327" t="s">
        <v>568</v>
      </c>
      <c r="C15" s="326" t="s">
        <v>252</v>
      </c>
      <c r="D15" s="1532">
        <v>449</v>
      </c>
      <c r="E15" s="1508">
        <v>331</v>
      </c>
      <c r="F15" s="562">
        <v>79</v>
      </c>
      <c r="G15" s="562">
        <v>39</v>
      </c>
      <c r="H15" s="562">
        <v>0</v>
      </c>
      <c r="I15" s="562">
        <v>0</v>
      </c>
      <c r="J15" s="1508">
        <v>269</v>
      </c>
      <c r="K15" s="562">
        <v>180</v>
      </c>
      <c r="L15" s="1509"/>
      <c r="M15" s="328">
        <v>334</v>
      </c>
      <c r="N15" s="328">
        <v>108</v>
      </c>
      <c r="O15" s="328">
        <v>7</v>
      </c>
      <c r="P15" s="328">
        <v>0</v>
      </c>
      <c r="Q15" s="1531">
        <v>8</v>
      </c>
    </row>
    <row r="16" spans="1:17" s="329" customFormat="1" x14ac:dyDescent="0.3">
      <c r="A16" s="331" t="s">
        <v>29</v>
      </c>
      <c r="B16" s="327" t="s">
        <v>30</v>
      </c>
      <c r="C16" s="326" t="s">
        <v>255</v>
      </c>
      <c r="D16" s="1532">
        <v>30</v>
      </c>
      <c r="E16" s="1508">
        <v>22</v>
      </c>
      <c r="F16" s="562">
        <v>6</v>
      </c>
      <c r="G16" s="562">
        <v>2</v>
      </c>
      <c r="H16" s="562">
        <v>0</v>
      </c>
      <c r="I16" s="562">
        <v>0</v>
      </c>
      <c r="J16" s="1508">
        <v>15</v>
      </c>
      <c r="K16" s="562">
        <v>15</v>
      </c>
      <c r="L16" s="1509"/>
      <c r="M16" s="328">
        <v>29</v>
      </c>
      <c r="N16" s="328">
        <v>1</v>
      </c>
      <c r="O16" s="328">
        <v>0</v>
      </c>
      <c r="P16" s="328">
        <v>0</v>
      </c>
      <c r="Q16" s="1531">
        <v>1</v>
      </c>
    </row>
    <row r="17" spans="1:17" s="329" customFormat="1" x14ac:dyDescent="0.3">
      <c r="A17" s="331" t="s">
        <v>31</v>
      </c>
      <c r="B17" s="327" t="s">
        <v>32</v>
      </c>
      <c r="C17" s="326" t="s">
        <v>252</v>
      </c>
      <c r="D17" s="1532">
        <v>111</v>
      </c>
      <c r="E17" s="1508">
        <v>88</v>
      </c>
      <c r="F17" s="562">
        <v>15</v>
      </c>
      <c r="G17" s="562">
        <v>8</v>
      </c>
      <c r="H17" s="562">
        <v>0</v>
      </c>
      <c r="I17" s="562">
        <v>0</v>
      </c>
      <c r="J17" s="1508">
        <v>62</v>
      </c>
      <c r="K17" s="562">
        <v>49</v>
      </c>
      <c r="L17" s="1509"/>
      <c r="M17" s="328">
        <v>101</v>
      </c>
      <c r="N17" s="328">
        <v>9</v>
      </c>
      <c r="O17" s="328">
        <v>1</v>
      </c>
      <c r="P17" s="328">
        <v>0</v>
      </c>
      <c r="Q17" s="1531">
        <v>1</v>
      </c>
    </row>
    <row r="18" spans="1:17" s="329" customFormat="1" x14ac:dyDescent="0.3">
      <c r="A18" s="331" t="s">
        <v>35</v>
      </c>
      <c r="B18" s="327" t="s">
        <v>36</v>
      </c>
      <c r="C18" s="326" t="s">
        <v>251</v>
      </c>
      <c r="D18" s="1532">
        <v>190</v>
      </c>
      <c r="E18" s="1508">
        <v>132</v>
      </c>
      <c r="F18" s="562">
        <v>49</v>
      </c>
      <c r="G18" s="562">
        <v>9</v>
      </c>
      <c r="H18" s="562">
        <v>0</v>
      </c>
      <c r="I18" s="562">
        <v>0</v>
      </c>
      <c r="J18" s="1508">
        <v>128</v>
      </c>
      <c r="K18" s="562">
        <v>62</v>
      </c>
      <c r="L18" s="1509"/>
      <c r="M18" s="328">
        <v>26</v>
      </c>
      <c r="N18" s="328">
        <v>163</v>
      </c>
      <c r="O18" s="328">
        <v>1</v>
      </c>
      <c r="P18" s="328">
        <v>0</v>
      </c>
      <c r="Q18" s="1531"/>
    </row>
    <row r="19" spans="1:17" s="329" customFormat="1" x14ac:dyDescent="0.3">
      <c r="A19" s="331" t="s">
        <v>37</v>
      </c>
      <c r="B19" s="327" t="s">
        <v>38</v>
      </c>
      <c r="C19" s="326" t="s">
        <v>255</v>
      </c>
      <c r="D19" s="1532">
        <v>264</v>
      </c>
      <c r="E19" s="1508">
        <v>186</v>
      </c>
      <c r="F19" s="562">
        <v>40</v>
      </c>
      <c r="G19" s="562">
        <v>38</v>
      </c>
      <c r="H19" s="562">
        <v>0</v>
      </c>
      <c r="I19" s="562">
        <v>0</v>
      </c>
      <c r="J19" s="1508">
        <v>148</v>
      </c>
      <c r="K19" s="562">
        <v>116</v>
      </c>
      <c r="L19" s="1509"/>
      <c r="M19" s="328">
        <v>263</v>
      </c>
      <c r="N19" s="328">
        <v>1</v>
      </c>
      <c r="O19" s="328">
        <v>0</v>
      </c>
      <c r="P19" s="328">
        <v>0</v>
      </c>
      <c r="Q19" s="1531">
        <v>5</v>
      </c>
    </row>
    <row r="20" spans="1:17" s="329" customFormat="1" x14ac:dyDescent="0.3">
      <c r="A20" s="331" t="s">
        <v>39</v>
      </c>
      <c r="B20" s="327" t="s">
        <v>40</v>
      </c>
      <c r="C20" s="326" t="s">
        <v>253</v>
      </c>
      <c r="D20" s="1532">
        <v>122</v>
      </c>
      <c r="E20" s="1508">
        <v>91</v>
      </c>
      <c r="F20" s="562">
        <v>18</v>
      </c>
      <c r="G20" s="562">
        <v>13</v>
      </c>
      <c r="H20" s="562">
        <v>0</v>
      </c>
      <c r="I20" s="562">
        <v>0</v>
      </c>
      <c r="J20" s="1508">
        <v>75</v>
      </c>
      <c r="K20" s="562">
        <v>47</v>
      </c>
      <c r="L20" s="1509"/>
      <c r="M20" s="328">
        <v>51</v>
      </c>
      <c r="N20" s="328">
        <v>69</v>
      </c>
      <c r="O20" s="328">
        <v>2</v>
      </c>
      <c r="P20" s="328">
        <v>0</v>
      </c>
      <c r="Q20" s="1531">
        <v>3</v>
      </c>
    </row>
    <row r="21" spans="1:17" s="329" customFormat="1" x14ac:dyDescent="0.3">
      <c r="A21" s="331" t="s">
        <v>41</v>
      </c>
      <c r="B21" s="327" t="s">
        <v>42</v>
      </c>
      <c r="C21" s="326" t="s">
        <v>252</v>
      </c>
      <c r="D21" s="1532">
        <v>546</v>
      </c>
      <c r="E21" s="1508">
        <v>378</v>
      </c>
      <c r="F21" s="562">
        <v>128</v>
      </c>
      <c r="G21" s="562">
        <v>40</v>
      </c>
      <c r="H21" s="562">
        <v>0</v>
      </c>
      <c r="I21" s="562">
        <v>0</v>
      </c>
      <c r="J21" s="1508">
        <v>342</v>
      </c>
      <c r="K21" s="562">
        <v>204</v>
      </c>
      <c r="L21" s="1509"/>
      <c r="M21" s="328">
        <v>353</v>
      </c>
      <c r="N21" s="328">
        <v>191</v>
      </c>
      <c r="O21" s="328">
        <v>2</v>
      </c>
      <c r="P21" s="328">
        <v>0</v>
      </c>
      <c r="Q21" s="1531">
        <v>7</v>
      </c>
    </row>
    <row r="22" spans="1:17" s="329" customFormat="1" x14ac:dyDescent="0.3">
      <c r="A22" s="331" t="s">
        <v>43</v>
      </c>
      <c r="B22" s="327" t="s">
        <v>44</v>
      </c>
      <c r="C22" s="326" t="s">
        <v>253</v>
      </c>
      <c r="D22" s="1532">
        <v>301</v>
      </c>
      <c r="E22" s="1508">
        <v>219</v>
      </c>
      <c r="F22" s="562">
        <v>55</v>
      </c>
      <c r="G22" s="562">
        <v>27</v>
      </c>
      <c r="H22" s="562">
        <v>0</v>
      </c>
      <c r="I22" s="562">
        <v>0</v>
      </c>
      <c r="J22" s="1508">
        <v>201</v>
      </c>
      <c r="K22" s="562">
        <v>100</v>
      </c>
      <c r="L22" s="1509"/>
      <c r="M22" s="328">
        <v>124</v>
      </c>
      <c r="N22" s="328">
        <v>170</v>
      </c>
      <c r="O22" s="328">
        <v>7</v>
      </c>
      <c r="P22" s="328">
        <v>0</v>
      </c>
      <c r="Q22" s="1531">
        <v>16</v>
      </c>
    </row>
    <row r="23" spans="1:17" s="329" customFormat="1" x14ac:dyDescent="0.3">
      <c r="A23" s="331" t="s">
        <v>45</v>
      </c>
      <c r="B23" s="327" t="s">
        <v>46</v>
      </c>
      <c r="C23" s="326" t="s">
        <v>255</v>
      </c>
      <c r="D23" s="1532">
        <v>297</v>
      </c>
      <c r="E23" s="1508">
        <v>216</v>
      </c>
      <c r="F23" s="562">
        <v>53</v>
      </c>
      <c r="G23" s="562">
        <v>28</v>
      </c>
      <c r="H23" s="562">
        <v>0</v>
      </c>
      <c r="I23" s="562">
        <v>0</v>
      </c>
      <c r="J23" s="1508">
        <v>174</v>
      </c>
      <c r="K23" s="562">
        <v>123</v>
      </c>
      <c r="L23" s="1509"/>
      <c r="M23" s="328">
        <v>282</v>
      </c>
      <c r="N23" s="328">
        <v>15</v>
      </c>
      <c r="O23" s="328">
        <v>0</v>
      </c>
      <c r="P23" s="328">
        <v>0</v>
      </c>
      <c r="Q23" s="1531">
        <v>13</v>
      </c>
    </row>
    <row r="24" spans="1:17" s="329" customFormat="1" x14ac:dyDescent="0.3">
      <c r="A24" s="331" t="s">
        <v>47</v>
      </c>
      <c r="B24" s="327" t="s">
        <v>256</v>
      </c>
      <c r="C24" s="326" t="s">
        <v>253</v>
      </c>
      <c r="D24" s="1532">
        <v>31</v>
      </c>
      <c r="E24" s="1508">
        <v>26</v>
      </c>
      <c r="F24" s="562">
        <v>4</v>
      </c>
      <c r="G24" s="562">
        <v>1</v>
      </c>
      <c r="H24" s="562">
        <v>0</v>
      </c>
      <c r="I24" s="562">
        <v>0</v>
      </c>
      <c r="J24" s="1508">
        <v>16</v>
      </c>
      <c r="K24" s="562">
        <v>15</v>
      </c>
      <c r="L24" s="1509"/>
      <c r="M24" s="328">
        <v>13</v>
      </c>
      <c r="N24" s="328">
        <v>18</v>
      </c>
      <c r="O24" s="328">
        <v>0</v>
      </c>
      <c r="P24" s="328">
        <v>0</v>
      </c>
      <c r="Q24" s="1531"/>
    </row>
    <row r="25" spans="1:17" s="329" customFormat="1" x14ac:dyDescent="0.3">
      <c r="A25" s="331" t="s">
        <v>49</v>
      </c>
      <c r="B25" s="327" t="s">
        <v>50</v>
      </c>
      <c r="C25" s="326" t="s">
        <v>252</v>
      </c>
      <c r="D25" s="1532">
        <v>166</v>
      </c>
      <c r="E25" s="1508">
        <v>118</v>
      </c>
      <c r="F25" s="562">
        <v>38</v>
      </c>
      <c r="G25" s="562">
        <v>10</v>
      </c>
      <c r="H25" s="562">
        <v>0</v>
      </c>
      <c r="I25" s="562">
        <v>0</v>
      </c>
      <c r="J25" s="1508">
        <v>95</v>
      </c>
      <c r="K25" s="562">
        <v>71</v>
      </c>
      <c r="L25" s="1509"/>
      <c r="M25" s="328">
        <v>88</v>
      </c>
      <c r="N25" s="328">
        <v>78</v>
      </c>
      <c r="O25" s="328">
        <v>0</v>
      </c>
      <c r="P25" s="328">
        <v>0</v>
      </c>
      <c r="Q25" s="1531">
        <v>9</v>
      </c>
    </row>
    <row r="26" spans="1:17" s="329" customFormat="1" x14ac:dyDescent="0.3">
      <c r="A26" s="331" t="s">
        <v>55</v>
      </c>
      <c r="B26" s="327" t="s">
        <v>271</v>
      </c>
      <c r="C26" s="326" t="s">
        <v>253</v>
      </c>
      <c r="D26" s="1532">
        <v>1967</v>
      </c>
      <c r="E26" s="1508">
        <v>1425</v>
      </c>
      <c r="F26" s="562">
        <v>352</v>
      </c>
      <c r="G26" s="562">
        <v>187</v>
      </c>
      <c r="H26" s="562">
        <v>2</v>
      </c>
      <c r="I26" s="562">
        <v>1</v>
      </c>
      <c r="J26" s="1508">
        <v>1169</v>
      </c>
      <c r="K26" s="562">
        <v>798</v>
      </c>
      <c r="L26" s="1509"/>
      <c r="M26" s="328">
        <v>720</v>
      </c>
      <c r="N26" s="328">
        <v>1216</v>
      </c>
      <c r="O26" s="328">
        <v>30</v>
      </c>
      <c r="P26" s="328">
        <v>1</v>
      </c>
      <c r="Q26" s="1531">
        <v>120</v>
      </c>
    </row>
    <row r="27" spans="1:17" s="329" customFormat="1" x14ac:dyDescent="0.3">
      <c r="A27" s="331" t="s">
        <v>57</v>
      </c>
      <c r="B27" s="327" t="s">
        <v>58</v>
      </c>
      <c r="C27" s="326" t="s">
        <v>254</v>
      </c>
      <c r="D27" s="1532">
        <v>37</v>
      </c>
      <c r="E27" s="1508">
        <v>26</v>
      </c>
      <c r="F27" s="562">
        <v>6</v>
      </c>
      <c r="G27" s="562">
        <v>5</v>
      </c>
      <c r="H27" s="562">
        <v>0</v>
      </c>
      <c r="I27" s="562">
        <v>0</v>
      </c>
      <c r="J27" s="1508">
        <v>24</v>
      </c>
      <c r="K27" s="562">
        <v>13</v>
      </c>
      <c r="L27" s="1509"/>
      <c r="M27" s="328">
        <v>29</v>
      </c>
      <c r="N27" s="328">
        <v>8</v>
      </c>
      <c r="O27" s="328">
        <v>0</v>
      </c>
      <c r="P27" s="328">
        <v>0</v>
      </c>
      <c r="Q27" s="1531">
        <v>2</v>
      </c>
    </row>
    <row r="28" spans="1:17" s="329" customFormat="1" x14ac:dyDescent="0.3">
      <c r="A28" s="331" t="s">
        <v>59</v>
      </c>
      <c r="B28" s="327" t="s">
        <v>60</v>
      </c>
      <c r="C28" s="326" t="s">
        <v>252</v>
      </c>
      <c r="D28" s="1532">
        <v>43</v>
      </c>
      <c r="E28" s="1508">
        <v>31</v>
      </c>
      <c r="F28" s="562">
        <v>6</v>
      </c>
      <c r="G28" s="562">
        <v>6</v>
      </c>
      <c r="H28" s="562">
        <v>0</v>
      </c>
      <c r="I28" s="562">
        <v>0</v>
      </c>
      <c r="J28" s="1508">
        <v>23</v>
      </c>
      <c r="K28" s="562">
        <v>20</v>
      </c>
      <c r="L28" s="1509"/>
      <c r="M28" s="328">
        <v>42</v>
      </c>
      <c r="N28" s="328">
        <v>1</v>
      </c>
      <c r="O28" s="328">
        <v>0</v>
      </c>
      <c r="P28" s="328">
        <v>0</v>
      </c>
      <c r="Q28" s="1531">
        <v>1</v>
      </c>
    </row>
    <row r="29" spans="1:17" s="329" customFormat="1" x14ac:dyDescent="0.3">
      <c r="A29" s="331" t="s">
        <v>61</v>
      </c>
      <c r="B29" s="327" t="s">
        <v>62</v>
      </c>
      <c r="C29" s="326" t="s">
        <v>254</v>
      </c>
      <c r="D29" s="1532">
        <v>386</v>
      </c>
      <c r="E29" s="1508">
        <v>271</v>
      </c>
      <c r="F29" s="562">
        <v>78</v>
      </c>
      <c r="G29" s="562">
        <v>37</v>
      </c>
      <c r="H29" s="562">
        <v>0</v>
      </c>
      <c r="I29" s="562">
        <v>0</v>
      </c>
      <c r="J29" s="1508">
        <v>224</v>
      </c>
      <c r="K29" s="562">
        <v>162</v>
      </c>
      <c r="L29" s="1509"/>
      <c r="M29" s="328">
        <v>225</v>
      </c>
      <c r="N29" s="328">
        <v>155</v>
      </c>
      <c r="O29" s="328">
        <v>6</v>
      </c>
      <c r="P29" s="328">
        <v>0</v>
      </c>
      <c r="Q29" s="1531">
        <v>10</v>
      </c>
    </row>
    <row r="30" spans="1:17" s="329" customFormat="1" x14ac:dyDescent="0.3">
      <c r="A30" s="331" t="s">
        <v>63</v>
      </c>
      <c r="B30" s="327" t="s">
        <v>64</v>
      </c>
      <c r="C30" s="326" t="s">
        <v>253</v>
      </c>
      <c r="D30" s="1532">
        <v>145</v>
      </c>
      <c r="E30" s="1508">
        <v>104</v>
      </c>
      <c r="F30" s="562">
        <v>22</v>
      </c>
      <c r="G30" s="562">
        <v>19</v>
      </c>
      <c r="H30" s="562">
        <v>0</v>
      </c>
      <c r="I30" s="562">
        <v>0</v>
      </c>
      <c r="J30" s="1508">
        <v>89</v>
      </c>
      <c r="K30" s="562">
        <v>56</v>
      </c>
      <c r="L30" s="1509"/>
      <c r="M30" s="328">
        <v>77</v>
      </c>
      <c r="N30" s="328">
        <v>68</v>
      </c>
      <c r="O30" s="328">
        <v>0</v>
      </c>
      <c r="P30" s="328">
        <v>0</v>
      </c>
      <c r="Q30" s="1531">
        <v>4</v>
      </c>
    </row>
    <row r="31" spans="1:17" s="329" customFormat="1" x14ac:dyDescent="0.3">
      <c r="A31" s="331" t="s">
        <v>67</v>
      </c>
      <c r="B31" s="327" t="s">
        <v>68</v>
      </c>
      <c r="C31" s="326" t="s">
        <v>255</v>
      </c>
      <c r="D31" s="1532">
        <v>138</v>
      </c>
      <c r="E31" s="1508">
        <v>101</v>
      </c>
      <c r="F31" s="562">
        <v>18</v>
      </c>
      <c r="G31" s="562">
        <v>19</v>
      </c>
      <c r="H31" s="562">
        <v>0</v>
      </c>
      <c r="I31" s="562">
        <v>0</v>
      </c>
      <c r="J31" s="1508">
        <v>80</v>
      </c>
      <c r="K31" s="562">
        <v>58</v>
      </c>
      <c r="L31" s="1509"/>
      <c r="M31" s="328">
        <v>137</v>
      </c>
      <c r="N31" s="328">
        <v>1</v>
      </c>
      <c r="O31" s="328">
        <v>0</v>
      </c>
      <c r="P31" s="328">
        <v>0</v>
      </c>
      <c r="Q31" s="1531"/>
    </row>
    <row r="32" spans="1:17" s="329" customFormat="1" x14ac:dyDescent="0.3">
      <c r="A32" s="331" t="s">
        <v>69</v>
      </c>
      <c r="B32" s="327" t="s">
        <v>70</v>
      </c>
      <c r="C32" s="326" t="s">
        <v>251</v>
      </c>
      <c r="D32" s="1532">
        <v>168</v>
      </c>
      <c r="E32" s="1508">
        <v>131</v>
      </c>
      <c r="F32" s="562">
        <v>23</v>
      </c>
      <c r="G32" s="562">
        <v>14</v>
      </c>
      <c r="H32" s="562">
        <v>0</v>
      </c>
      <c r="I32" s="562">
        <v>0</v>
      </c>
      <c r="J32" s="1508">
        <v>94</v>
      </c>
      <c r="K32" s="562">
        <v>74</v>
      </c>
      <c r="L32" s="1509"/>
      <c r="M32" s="328">
        <v>90</v>
      </c>
      <c r="N32" s="328">
        <v>76</v>
      </c>
      <c r="O32" s="328">
        <v>2</v>
      </c>
      <c r="P32" s="328">
        <v>0</v>
      </c>
      <c r="Q32" s="1531">
        <v>3</v>
      </c>
    </row>
    <row r="33" spans="1:17" s="329" customFormat="1" x14ac:dyDescent="0.3">
      <c r="A33" s="331" t="s">
        <v>71</v>
      </c>
      <c r="B33" s="327" t="s">
        <v>72</v>
      </c>
      <c r="C33" s="326" t="s">
        <v>253</v>
      </c>
      <c r="D33" s="1532">
        <v>185</v>
      </c>
      <c r="E33" s="1508">
        <v>131</v>
      </c>
      <c r="F33" s="562">
        <v>41</v>
      </c>
      <c r="G33" s="562">
        <v>13</v>
      </c>
      <c r="H33" s="562">
        <v>0</v>
      </c>
      <c r="I33" s="562">
        <v>0</v>
      </c>
      <c r="J33" s="1508">
        <v>102</v>
      </c>
      <c r="K33" s="562">
        <v>83</v>
      </c>
      <c r="L33" s="1509"/>
      <c r="M33" s="328">
        <v>59</v>
      </c>
      <c r="N33" s="328">
        <v>125</v>
      </c>
      <c r="O33" s="328">
        <v>1</v>
      </c>
      <c r="P33" s="328">
        <v>0</v>
      </c>
      <c r="Q33" s="1531">
        <v>3</v>
      </c>
    </row>
    <row r="34" spans="1:17" s="329" customFormat="1" x14ac:dyDescent="0.3">
      <c r="A34" s="331" t="s">
        <v>73</v>
      </c>
      <c r="B34" s="327" t="s">
        <v>272</v>
      </c>
      <c r="C34" s="326" t="s">
        <v>254</v>
      </c>
      <c r="D34" s="1532">
        <v>3587</v>
      </c>
      <c r="E34" s="1508">
        <v>2384</v>
      </c>
      <c r="F34" s="562">
        <v>621</v>
      </c>
      <c r="G34" s="562">
        <v>581</v>
      </c>
      <c r="H34" s="562">
        <v>1</v>
      </c>
      <c r="I34" s="562">
        <v>0</v>
      </c>
      <c r="J34" s="1508">
        <v>2060</v>
      </c>
      <c r="K34" s="562">
        <v>1527</v>
      </c>
      <c r="L34" s="1509"/>
      <c r="M34" s="328">
        <v>1478</v>
      </c>
      <c r="N34" s="328">
        <v>1337</v>
      </c>
      <c r="O34" s="328">
        <v>771</v>
      </c>
      <c r="P34" s="328">
        <v>1</v>
      </c>
      <c r="Q34" s="1531">
        <v>367</v>
      </c>
    </row>
    <row r="35" spans="1:17" s="329" customFormat="1" x14ac:dyDescent="0.3">
      <c r="A35" s="331" t="s">
        <v>75</v>
      </c>
      <c r="B35" s="327" t="s">
        <v>76</v>
      </c>
      <c r="C35" s="326" t="s">
        <v>254</v>
      </c>
      <c r="D35" s="1532">
        <v>258</v>
      </c>
      <c r="E35" s="1508">
        <v>191</v>
      </c>
      <c r="F35" s="562">
        <v>36</v>
      </c>
      <c r="G35" s="562">
        <v>31</v>
      </c>
      <c r="H35" s="562">
        <v>0</v>
      </c>
      <c r="I35" s="562">
        <v>0</v>
      </c>
      <c r="J35" s="1508">
        <v>146</v>
      </c>
      <c r="K35" s="562">
        <v>112</v>
      </c>
      <c r="L35" s="1509"/>
      <c r="M35" s="328">
        <v>163</v>
      </c>
      <c r="N35" s="328">
        <v>88</v>
      </c>
      <c r="O35" s="328">
        <v>7</v>
      </c>
      <c r="P35" s="328">
        <v>0</v>
      </c>
      <c r="Q35" s="1531">
        <v>5</v>
      </c>
    </row>
    <row r="36" spans="1:17" s="329" customFormat="1" x14ac:dyDescent="0.3">
      <c r="A36" s="331" t="s">
        <v>77</v>
      </c>
      <c r="B36" s="327" t="s">
        <v>78</v>
      </c>
      <c r="C36" s="326" t="s">
        <v>255</v>
      </c>
      <c r="D36" s="1532">
        <v>123</v>
      </c>
      <c r="E36" s="1508">
        <v>89</v>
      </c>
      <c r="F36" s="562">
        <v>23</v>
      </c>
      <c r="G36" s="562">
        <v>10</v>
      </c>
      <c r="H36" s="562">
        <v>1</v>
      </c>
      <c r="I36" s="562">
        <v>0</v>
      </c>
      <c r="J36" s="1508">
        <v>60</v>
      </c>
      <c r="K36" s="562">
        <v>63</v>
      </c>
      <c r="L36" s="1509"/>
      <c r="M36" s="328">
        <v>111</v>
      </c>
      <c r="N36" s="328">
        <v>6</v>
      </c>
      <c r="O36" s="328">
        <v>6</v>
      </c>
      <c r="P36" s="328">
        <v>0</v>
      </c>
      <c r="Q36" s="1531">
        <v>2</v>
      </c>
    </row>
    <row r="37" spans="1:17" s="329" customFormat="1" x14ac:dyDescent="0.3">
      <c r="A37" s="331" t="s">
        <v>79</v>
      </c>
      <c r="B37" s="327" t="s">
        <v>80</v>
      </c>
      <c r="C37" s="326" t="s">
        <v>253</v>
      </c>
      <c r="D37" s="1532">
        <v>93</v>
      </c>
      <c r="E37" s="1508">
        <v>75</v>
      </c>
      <c r="F37" s="562">
        <v>13</v>
      </c>
      <c r="G37" s="562">
        <v>5</v>
      </c>
      <c r="H37" s="562">
        <v>0</v>
      </c>
      <c r="I37" s="562">
        <v>0</v>
      </c>
      <c r="J37" s="1508">
        <v>51</v>
      </c>
      <c r="K37" s="562">
        <v>42</v>
      </c>
      <c r="L37" s="1509"/>
      <c r="M37" s="328">
        <v>45</v>
      </c>
      <c r="N37" s="328">
        <v>48</v>
      </c>
      <c r="O37" s="328">
        <v>0</v>
      </c>
      <c r="P37" s="328">
        <v>0</v>
      </c>
      <c r="Q37" s="1531">
        <v>1</v>
      </c>
    </row>
    <row r="38" spans="1:17" s="329" customFormat="1" x14ac:dyDescent="0.3">
      <c r="A38" s="331" t="s">
        <v>83</v>
      </c>
      <c r="B38" s="327" t="s">
        <v>84</v>
      </c>
      <c r="C38" s="326" t="s">
        <v>252</v>
      </c>
      <c r="D38" s="1532">
        <v>439</v>
      </c>
      <c r="E38" s="1508">
        <v>323</v>
      </c>
      <c r="F38" s="562">
        <v>85</v>
      </c>
      <c r="G38" s="562">
        <v>31</v>
      </c>
      <c r="H38" s="562">
        <v>0</v>
      </c>
      <c r="I38" s="562">
        <v>0</v>
      </c>
      <c r="J38" s="1508">
        <v>265</v>
      </c>
      <c r="K38" s="562">
        <v>174</v>
      </c>
      <c r="L38" s="1509"/>
      <c r="M38" s="328">
        <v>371</v>
      </c>
      <c r="N38" s="328">
        <v>62</v>
      </c>
      <c r="O38" s="328">
        <v>6</v>
      </c>
      <c r="P38" s="328">
        <v>0</v>
      </c>
      <c r="Q38" s="1531">
        <v>28</v>
      </c>
    </row>
    <row r="39" spans="1:17" s="329" customFormat="1" x14ac:dyDescent="0.3">
      <c r="A39" s="331" t="s">
        <v>85</v>
      </c>
      <c r="B39" s="327" t="s">
        <v>86</v>
      </c>
      <c r="C39" s="326" t="s">
        <v>254</v>
      </c>
      <c r="D39" s="1532">
        <v>388</v>
      </c>
      <c r="E39" s="1508">
        <v>272</v>
      </c>
      <c r="F39" s="562">
        <v>70</v>
      </c>
      <c r="G39" s="562">
        <v>45</v>
      </c>
      <c r="H39" s="562">
        <v>1</v>
      </c>
      <c r="I39" s="562">
        <v>0</v>
      </c>
      <c r="J39" s="1508">
        <v>223</v>
      </c>
      <c r="K39" s="562">
        <v>165</v>
      </c>
      <c r="L39" s="1509"/>
      <c r="M39" s="328">
        <v>323</v>
      </c>
      <c r="N39" s="328">
        <v>51</v>
      </c>
      <c r="O39" s="328">
        <v>14</v>
      </c>
      <c r="P39" s="328">
        <v>0</v>
      </c>
      <c r="Q39" s="1531">
        <v>18</v>
      </c>
    </row>
    <row r="40" spans="1:17" s="329" customFormat="1" x14ac:dyDescent="0.3">
      <c r="A40" s="331" t="s">
        <v>91</v>
      </c>
      <c r="B40" s="327" t="s">
        <v>92</v>
      </c>
      <c r="C40" s="326" t="s">
        <v>255</v>
      </c>
      <c r="D40" s="1532">
        <v>180</v>
      </c>
      <c r="E40" s="1508">
        <v>133</v>
      </c>
      <c r="F40" s="562">
        <v>25</v>
      </c>
      <c r="G40" s="562">
        <v>22</v>
      </c>
      <c r="H40" s="562">
        <v>0</v>
      </c>
      <c r="I40" s="562">
        <v>0</v>
      </c>
      <c r="J40" s="1508">
        <v>101</v>
      </c>
      <c r="K40" s="562">
        <v>79</v>
      </c>
      <c r="L40" s="1509"/>
      <c r="M40" s="328">
        <v>171</v>
      </c>
      <c r="N40" s="328">
        <v>8</v>
      </c>
      <c r="O40" s="328">
        <v>1</v>
      </c>
      <c r="P40" s="328">
        <v>0</v>
      </c>
      <c r="Q40" s="1531">
        <v>1</v>
      </c>
    </row>
    <row r="41" spans="1:17" s="329" customFormat="1" x14ac:dyDescent="0.3">
      <c r="A41" s="331" t="s">
        <v>93</v>
      </c>
      <c r="B41" s="327" t="s">
        <v>94</v>
      </c>
      <c r="C41" s="326" t="s">
        <v>251</v>
      </c>
      <c r="D41" s="1532">
        <v>304</v>
      </c>
      <c r="E41" s="1508">
        <v>209</v>
      </c>
      <c r="F41" s="562">
        <v>53</v>
      </c>
      <c r="G41" s="562">
        <v>42</v>
      </c>
      <c r="H41" s="562">
        <v>0</v>
      </c>
      <c r="I41" s="562">
        <v>0</v>
      </c>
      <c r="J41" s="1508">
        <v>165</v>
      </c>
      <c r="K41" s="562">
        <v>139</v>
      </c>
      <c r="L41" s="1509"/>
      <c r="M41" s="328">
        <v>244</v>
      </c>
      <c r="N41" s="328">
        <v>59</v>
      </c>
      <c r="O41" s="328">
        <v>1</v>
      </c>
      <c r="P41" s="328">
        <v>0</v>
      </c>
      <c r="Q41" s="1531">
        <v>9</v>
      </c>
    </row>
    <row r="42" spans="1:17" s="329" customFormat="1" x14ac:dyDescent="0.3">
      <c r="A42" s="331" t="s">
        <v>95</v>
      </c>
      <c r="B42" s="327" t="s">
        <v>96</v>
      </c>
      <c r="C42" s="326" t="s">
        <v>253</v>
      </c>
      <c r="D42" s="1532">
        <v>41</v>
      </c>
      <c r="E42" s="1508">
        <v>28</v>
      </c>
      <c r="F42" s="562">
        <v>7</v>
      </c>
      <c r="G42" s="562">
        <v>6</v>
      </c>
      <c r="H42" s="562">
        <v>0</v>
      </c>
      <c r="I42" s="562">
        <v>0</v>
      </c>
      <c r="J42" s="1508">
        <v>28</v>
      </c>
      <c r="K42" s="562">
        <v>13</v>
      </c>
      <c r="L42" s="1509"/>
      <c r="M42" s="328">
        <v>23</v>
      </c>
      <c r="N42" s="328">
        <v>18</v>
      </c>
      <c r="O42" s="328">
        <v>0</v>
      </c>
      <c r="P42" s="328">
        <v>0</v>
      </c>
      <c r="Q42" s="1531">
        <v>1</v>
      </c>
    </row>
    <row r="43" spans="1:17" s="329" customFormat="1" x14ac:dyDescent="0.3">
      <c r="A43" s="331" t="s">
        <v>97</v>
      </c>
      <c r="B43" s="327" t="s">
        <v>98</v>
      </c>
      <c r="C43" s="326" t="s">
        <v>255</v>
      </c>
      <c r="D43" s="1532">
        <v>90</v>
      </c>
      <c r="E43" s="1508">
        <v>69</v>
      </c>
      <c r="F43" s="562">
        <v>11</v>
      </c>
      <c r="G43" s="562">
        <v>10</v>
      </c>
      <c r="H43" s="562">
        <v>0</v>
      </c>
      <c r="I43" s="562">
        <v>0</v>
      </c>
      <c r="J43" s="1508">
        <v>48</v>
      </c>
      <c r="K43" s="562">
        <v>42</v>
      </c>
      <c r="L43" s="1509"/>
      <c r="M43" s="328">
        <v>82</v>
      </c>
      <c r="N43" s="328">
        <v>5</v>
      </c>
      <c r="O43" s="328">
        <v>3</v>
      </c>
      <c r="P43" s="328">
        <v>0</v>
      </c>
      <c r="Q43" s="1531">
        <v>11</v>
      </c>
    </row>
    <row r="44" spans="1:17" s="329" customFormat="1" x14ac:dyDescent="0.3">
      <c r="A44" s="331" t="s">
        <v>99</v>
      </c>
      <c r="B44" s="327" t="s">
        <v>100</v>
      </c>
      <c r="C44" s="326" t="s">
        <v>254</v>
      </c>
      <c r="D44" s="1532">
        <v>142</v>
      </c>
      <c r="E44" s="1508">
        <v>102</v>
      </c>
      <c r="F44" s="562">
        <v>22</v>
      </c>
      <c r="G44" s="562">
        <v>18</v>
      </c>
      <c r="H44" s="562">
        <v>0</v>
      </c>
      <c r="I44" s="562">
        <v>0</v>
      </c>
      <c r="J44" s="1508">
        <v>86</v>
      </c>
      <c r="K44" s="562">
        <v>56</v>
      </c>
      <c r="L44" s="1509"/>
      <c r="M44" s="328">
        <v>105</v>
      </c>
      <c r="N44" s="328">
        <v>35</v>
      </c>
      <c r="O44" s="328">
        <v>2</v>
      </c>
      <c r="P44" s="328">
        <v>0</v>
      </c>
      <c r="Q44" s="1531">
        <v>4</v>
      </c>
    </row>
    <row r="45" spans="1:17" s="329" customFormat="1" x14ac:dyDescent="0.3">
      <c r="A45" s="331" t="s">
        <v>101</v>
      </c>
      <c r="B45" s="327" t="s">
        <v>263</v>
      </c>
      <c r="C45" s="326" t="s">
        <v>251</v>
      </c>
      <c r="D45" s="1532">
        <v>355</v>
      </c>
      <c r="E45" s="1508">
        <v>261</v>
      </c>
      <c r="F45" s="562">
        <v>73</v>
      </c>
      <c r="G45" s="562">
        <v>21</v>
      </c>
      <c r="H45" s="562">
        <v>0</v>
      </c>
      <c r="I45" s="562">
        <v>0</v>
      </c>
      <c r="J45" s="1508">
        <v>198</v>
      </c>
      <c r="K45" s="562">
        <v>157</v>
      </c>
      <c r="L45" s="1509"/>
      <c r="M45" s="328">
        <v>32</v>
      </c>
      <c r="N45" s="328">
        <v>320</v>
      </c>
      <c r="O45" s="328">
        <v>3</v>
      </c>
      <c r="P45" s="328">
        <v>0</v>
      </c>
      <c r="Q45" s="1531">
        <v>20</v>
      </c>
    </row>
    <row r="46" spans="1:17" s="329" customFormat="1" x14ac:dyDescent="0.3">
      <c r="A46" s="331" t="s">
        <v>103</v>
      </c>
      <c r="B46" s="327" t="s">
        <v>104</v>
      </c>
      <c r="C46" s="326" t="s">
        <v>252</v>
      </c>
      <c r="D46" s="1532">
        <v>367</v>
      </c>
      <c r="E46" s="1508">
        <v>271</v>
      </c>
      <c r="F46" s="562">
        <v>67</v>
      </c>
      <c r="G46" s="562">
        <v>29</v>
      </c>
      <c r="H46" s="562">
        <v>0</v>
      </c>
      <c r="I46" s="562">
        <v>0</v>
      </c>
      <c r="J46" s="1508">
        <v>224</v>
      </c>
      <c r="K46" s="562">
        <v>143</v>
      </c>
      <c r="L46" s="1509"/>
      <c r="M46" s="328">
        <v>126</v>
      </c>
      <c r="N46" s="328">
        <v>238</v>
      </c>
      <c r="O46" s="328">
        <v>3</v>
      </c>
      <c r="P46" s="328">
        <v>0</v>
      </c>
      <c r="Q46" s="1531">
        <v>18</v>
      </c>
    </row>
    <row r="47" spans="1:17" s="329" customFormat="1" x14ac:dyDescent="0.3">
      <c r="A47" s="331" t="s">
        <v>107</v>
      </c>
      <c r="B47" s="327" t="s">
        <v>108</v>
      </c>
      <c r="C47" s="326" t="s">
        <v>253</v>
      </c>
      <c r="D47" s="1532">
        <v>374</v>
      </c>
      <c r="E47" s="1508">
        <v>263</v>
      </c>
      <c r="F47" s="562">
        <v>64</v>
      </c>
      <c r="G47" s="562">
        <v>47</v>
      </c>
      <c r="H47" s="562">
        <v>0</v>
      </c>
      <c r="I47" s="562">
        <v>0</v>
      </c>
      <c r="J47" s="1508">
        <v>224</v>
      </c>
      <c r="K47" s="562">
        <v>150</v>
      </c>
      <c r="L47" s="1509"/>
      <c r="M47" s="328">
        <v>223</v>
      </c>
      <c r="N47" s="328">
        <v>143</v>
      </c>
      <c r="O47" s="328">
        <v>8</v>
      </c>
      <c r="P47" s="328">
        <v>0</v>
      </c>
      <c r="Q47" s="1531">
        <v>21</v>
      </c>
    </row>
    <row r="48" spans="1:17" s="329" customFormat="1" x14ac:dyDescent="0.3">
      <c r="A48" s="331" t="s">
        <v>109</v>
      </c>
      <c r="B48" s="327" t="s">
        <v>110</v>
      </c>
      <c r="C48" s="326" t="s">
        <v>253</v>
      </c>
      <c r="D48" s="1532">
        <v>2992</v>
      </c>
      <c r="E48" s="1508">
        <v>2072</v>
      </c>
      <c r="F48" s="562">
        <v>605</v>
      </c>
      <c r="G48" s="562">
        <v>315</v>
      </c>
      <c r="H48" s="562">
        <v>0</v>
      </c>
      <c r="I48" s="562">
        <v>0</v>
      </c>
      <c r="J48" s="1508">
        <v>1805</v>
      </c>
      <c r="K48" s="562">
        <v>1187</v>
      </c>
      <c r="L48" s="1509"/>
      <c r="M48" s="328">
        <v>691</v>
      </c>
      <c r="N48" s="328">
        <v>1983</v>
      </c>
      <c r="O48" s="328">
        <v>318</v>
      </c>
      <c r="P48" s="328">
        <v>0</v>
      </c>
      <c r="Q48" s="1531">
        <v>86</v>
      </c>
    </row>
    <row r="49" spans="1:17" s="329" customFormat="1" x14ac:dyDescent="0.3">
      <c r="A49" s="331" t="s">
        <v>111</v>
      </c>
      <c r="B49" s="327" t="s">
        <v>275</v>
      </c>
      <c r="C49" s="326" t="s">
        <v>252</v>
      </c>
      <c r="D49" s="1532">
        <v>899</v>
      </c>
      <c r="E49" s="1508">
        <v>687</v>
      </c>
      <c r="F49" s="562">
        <v>145</v>
      </c>
      <c r="G49" s="562">
        <v>67</v>
      </c>
      <c r="H49" s="562">
        <v>0</v>
      </c>
      <c r="I49" s="562">
        <v>0</v>
      </c>
      <c r="J49" s="1508">
        <v>513</v>
      </c>
      <c r="K49" s="562">
        <v>386</v>
      </c>
      <c r="L49" s="1509"/>
      <c r="M49" s="328">
        <v>474</v>
      </c>
      <c r="N49" s="328">
        <v>423</v>
      </c>
      <c r="O49" s="328">
        <v>2</v>
      </c>
      <c r="P49" s="328">
        <v>0</v>
      </c>
      <c r="Q49" s="1531">
        <v>51</v>
      </c>
    </row>
    <row r="50" spans="1:17" s="329" customFormat="1" x14ac:dyDescent="0.3">
      <c r="A50" s="331" t="s">
        <v>113</v>
      </c>
      <c r="B50" s="327" t="s">
        <v>114</v>
      </c>
      <c r="C50" s="326" t="s">
        <v>252</v>
      </c>
      <c r="D50" s="1532">
        <v>2</v>
      </c>
      <c r="E50" s="1508">
        <v>2</v>
      </c>
      <c r="F50" s="562">
        <v>0</v>
      </c>
      <c r="G50" s="562">
        <v>0</v>
      </c>
      <c r="H50" s="562">
        <v>0</v>
      </c>
      <c r="I50" s="562">
        <v>0</v>
      </c>
      <c r="J50" s="1508">
        <v>1</v>
      </c>
      <c r="K50" s="562">
        <v>1</v>
      </c>
      <c r="L50" s="1509"/>
      <c r="M50" s="328">
        <v>2</v>
      </c>
      <c r="N50" s="328">
        <v>0</v>
      </c>
      <c r="O50" s="328">
        <v>0</v>
      </c>
      <c r="P50" s="328">
        <v>0</v>
      </c>
      <c r="Q50" s="1531"/>
    </row>
    <row r="51" spans="1:17" s="329" customFormat="1" x14ac:dyDescent="0.3">
      <c r="A51" s="331" t="s">
        <v>117</v>
      </c>
      <c r="B51" s="327" t="s">
        <v>257</v>
      </c>
      <c r="C51" s="326" t="s">
        <v>251</v>
      </c>
      <c r="D51" s="1532">
        <v>215</v>
      </c>
      <c r="E51" s="1508">
        <v>153</v>
      </c>
      <c r="F51" s="562">
        <v>42</v>
      </c>
      <c r="G51" s="562">
        <v>20</v>
      </c>
      <c r="H51" s="562">
        <v>0</v>
      </c>
      <c r="I51" s="562">
        <v>0</v>
      </c>
      <c r="J51" s="1508">
        <v>133</v>
      </c>
      <c r="K51" s="562">
        <v>82</v>
      </c>
      <c r="L51" s="1509"/>
      <c r="M51" s="328">
        <v>76</v>
      </c>
      <c r="N51" s="328">
        <v>134</v>
      </c>
      <c r="O51" s="328">
        <v>5</v>
      </c>
      <c r="P51" s="328">
        <v>0</v>
      </c>
      <c r="Q51" s="1531">
        <v>2</v>
      </c>
    </row>
    <row r="52" spans="1:17" s="329" customFormat="1" x14ac:dyDescent="0.3">
      <c r="A52" s="331" t="s">
        <v>119</v>
      </c>
      <c r="B52" s="327" t="s">
        <v>120</v>
      </c>
      <c r="C52" s="326" t="s">
        <v>251</v>
      </c>
      <c r="D52" s="1532">
        <v>415</v>
      </c>
      <c r="E52" s="1508">
        <v>289</v>
      </c>
      <c r="F52" s="562">
        <v>85</v>
      </c>
      <c r="G52" s="562">
        <v>41</v>
      </c>
      <c r="H52" s="562">
        <v>0</v>
      </c>
      <c r="I52" s="562">
        <v>0</v>
      </c>
      <c r="J52" s="1508">
        <v>231</v>
      </c>
      <c r="K52" s="562">
        <v>184</v>
      </c>
      <c r="L52" s="1509"/>
      <c r="M52" s="328">
        <v>202</v>
      </c>
      <c r="N52" s="328">
        <v>201</v>
      </c>
      <c r="O52" s="328">
        <v>12</v>
      </c>
      <c r="P52" s="328">
        <v>0</v>
      </c>
      <c r="Q52" s="1531">
        <v>28</v>
      </c>
    </row>
    <row r="53" spans="1:17" s="329" customFormat="1" x14ac:dyDescent="0.3">
      <c r="A53" s="331" t="s">
        <v>121</v>
      </c>
      <c r="B53" s="327" t="s">
        <v>268</v>
      </c>
      <c r="C53" s="326" t="s">
        <v>253</v>
      </c>
      <c r="D53" s="1532">
        <v>85</v>
      </c>
      <c r="E53" s="1508">
        <v>63</v>
      </c>
      <c r="F53" s="562">
        <v>13</v>
      </c>
      <c r="G53" s="562">
        <v>9</v>
      </c>
      <c r="H53" s="562">
        <v>0</v>
      </c>
      <c r="I53" s="562">
        <v>0</v>
      </c>
      <c r="J53" s="1508">
        <v>56</v>
      </c>
      <c r="K53" s="562">
        <v>29</v>
      </c>
      <c r="L53" s="1509"/>
      <c r="M53" s="328">
        <v>48</v>
      </c>
      <c r="N53" s="328">
        <v>35</v>
      </c>
      <c r="O53" s="328">
        <v>2</v>
      </c>
      <c r="P53" s="328">
        <v>0</v>
      </c>
      <c r="Q53" s="1531">
        <v>1</v>
      </c>
    </row>
    <row r="54" spans="1:17" s="329" customFormat="1" x14ac:dyDescent="0.3">
      <c r="A54" s="331" t="s">
        <v>123</v>
      </c>
      <c r="B54" s="327" t="s">
        <v>124</v>
      </c>
      <c r="C54" s="326" t="s">
        <v>254</v>
      </c>
      <c r="D54" s="1532">
        <v>128</v>
      </c>
      <c r="E54" s="1508">
        <v>100</v>
      </c>
      <c r="F54" s="562">
        <v>20</v>
      </c>
      <c r="G54" s="562">
        <v>8</v>
      </c>
      <c r="H54" s="562">
        <v>0</v>
      </c>
      <c r="I54" s="562">
        <v>0</v>
      </c>
      <c r="J54" s="1508">
        <v>78</v>
      </c>
      <c r="K54" s="562">
        <v>50</v>
      </c>
      <c r="L54" s="1509"/>
      <c r="M54" s="328">
        <v>67</v>
      </c>
      <c r="N54" s="328">
        <v>60</v>
      </c>
      <c r="O54" s="328">
        <v>1</v>
      </c>
      <c r="P54" s="328">
        <v>0</v>
      </c>
      <c r="Q54" s="1531">
        <v>7</v>
      </c>
    </row>
    <row r="55" spans="1:17" s="329" customFormat="1" x14ac:dyDescent="0.3">
      <c r="A55" s="331" t="s">
        <v>125</v>
      </c>
      <c r="B55" s="327" t="s">
        <v>126</v>
      </c>
      <c r="C55" s="326" t="s">
        <v>253</v>
      </c>
      <c r="D55" s="1532">
        <v>88</v>
      </c>
      <c r="E55" s="1508">
        <v>61</v>
      </c>
      <c r="F55" s="562">
        <v>18</v>
      </c>
      <c r="G55" s="562">
        <v>9</v>
      </c>
      <c r="H55" s="562">
        <v>0</v>
      </c>
      <c r="I55" s="562">
        <v>0</v>
      </c>
      <c r="J55" s="1508">
        <v>62</v>
      </c>
      <c r="K55" s="562">
        <v>26</v>
      </c>
      <c r="L55" s="1509"/>
      <c r="M55" s="328">
        <v>45</v>
      </c>
      <c r="N55" s="328">
        <v>41</v>
      </c>
      <c r="O55" s="328">
        <v>2</v>
      </c>
      <c r="P55" s="328">
        <v>0</v>
      </c>
      <c r="Q55" s="1531">
        <v>1</v>
      </c>
    </row>
    <row r="56" spans="1:17" s="329" customFormat="1" x14ac:dyDescent="0.3">
      <c r="A56" s="331" t="s">
        <v>127</v>
      </c>
      <c r="B56" s="327" t="s">
        <v>128</v>
      </c>
      <c r="C56" s="326" t="s">
        <v>253</v>
      </c>
      <c r="D56" s="1532">
        <v>115</v>
      </c>
      <c r="E56" s="1508">
        <v>82</v>
      </c>
      <c r="F56" s="562">
        <v>24</v>
      </c>
      <c r="G56" s="562">
        <v>9</v>
      </c>
      <c r="H56" s="562">
        <v>0</v>
      </c>
      <c r="I56" s="562">
        <v>0</v>
      </c>
      <c r="J56" s="1508">
        <v>81</v>
      </c>
      <c r="K56" s="562">
        <v>34</v>
      </c>
      <c r="L56" s="1509"/>
      <c r="M56" s="328">
        <v>16</v>
      </c>
      <c r="N56" s="328">
        <v>99</v>
      </c>
      <c r="O56" s="328">
        <v>0</v>
      </c>
      <c r="P56" s="328">
        <v>0</v>
      </c>
      <c r="Q56" s="1531">
        <v>1</v>
      </c>
    </row>
    <row r="57" spans="1:17" s="329" customFormat="1" x14ac:dyDescent="0.3">
      <c r="A57" s="331" t="s">
        <v>129</v>
      </c>
      <c r="B57" s="327" t="s">
        <v>130</v>
      </c>
      <c r="C57" s="326" t="s">
        <v>255</v>
      </c>
      <c r="D57" s="1532">
        <v>659</v>
      </c>
      <c r="E57" s="1508">
        <v>471</v>
      </c>
      <c r="F57" s="562">
        <v>126</v>
      </c>
      <c r="G57" s="562">
        <v>62</v>
      </c>
      <c r="H57" s="562">
        <v>0</v>
      </c>
      <c r="I57" s="562">
        <v>0</v>
      </c>
      <c r="J57" s="1508">
        <v>361</v>
      </c>
      <c r="K57" s="562">
        <v>298</v>
      </c>
      <c r="L57" s="1509"/>
      <c r="M57" s="328">
        <v>640</v>
      </c>
      <c r="N57" s="328">
        <v>15</v>
      </c>
      <c r="O57" s="328">
        <v>4</v>
      </c>
      <c r="P57" s="328">
        <v>0</v>
      </c>
      <c r="Q57" s="1531">
        <v>3</v>
      </c>
    </row>
    <row r="58" spans="1:17" s="329" customFormat="1" x14ac:dyDescent="0.3">
      <c r="A58" s="331" t="s">
        <v>131</v>
      </c>
      <c r="B58" s="327" t="s">
        <v>132</v>
      </c>
      <c r="C58" s="326" t="s">
        <v>254</v>
      </c>
      <c r="D58" s="1532">
        <v>864</v>
      </c>
      <c r="E58" s="1508">
        <v>561</v>
      </c>
      <c r="F58" s="562">
        <v>141</v>
      </c>
      <c r="G58" s="562">
        <v>162</v>
      </c>
      <c r="H58" s="562">
        <v>0</v>
      </c>
      <c r="I58" s="562">
        <v>0</v>
      </c>
      <c r="J58" s="1508">
        <v>478</v>
      </c>
      <c r="K58" s="562">
        <v>386</v>
      </c>
      <c r="L58" s="1509"/>
      <c r="M58" s="328">
        <v>499</v>
      </c>
      <c r="N58" s="328">
        <v>197</v>
      </c>
      <c r="O58" s="328">
        <v>168</v>
      </c>
      <c r="P58" s="328">
        <v>0</v>
      </c>
      <c r="Q58" s="1531">
        <v>56</v>
      </c>
    </row>
    <row r="59" spans="1:17" s="329" customFormat="1" x14ac:dyDescent="0.3">
      <c r="A59" s="331" t="s">
        <v>133</v>
      </c>
      <c r="B59" s="327" t="s">
        <v>134</v>
      </c>
      <c r="C59" s="326" t="s">
        <v>254</v>
      </c>
      <c r="D59" s="1532">
        <v>222</v>
      </c>
      <c r="E59" s="1508">
        <v>169</v>
      </c>
      <c r="F59" s="562">
        <v>33</v>
      </c>
      <c r="G59" s="562">
        <v>20</v>
      </c>
      <c r="H59" s="562">
        <v>0</v>
      </c>
      <c r="I59" s="562">
        <v>0</v>
      </c>
      <c r="J59" s="1508">
        <v>153</v>
      </c>
      <c r="K59" s="562">
        <v>69</v>
      </c>
      <c r="L59" s="1509"/>
      <c r="M59" s="328">
        <v>153</v>
      </c>
      <c r="N59" s="328">
        <v>65</v>
      </c>
      <c r="O59" s="328">
        <v>4</v>
      </c>
      <c r="P59" s="328">
        <v>0</v>
      </c>
      <c r="Q59" s="1531">
        <v>7</v>
      </c>
    </row>
    <row r="60" spans="1:17" s="329" customFormat="1" x14ac:dyDescent="0.3">
      <c r="A60" s="331" t="s">
        <v>135</v>
      </c>
      <c r="B60" s="327" t="s">
        <v>136</v>
      </c>
      <c r="C60" s="326" t="s">
        <v>253</v>
      </c>
      <c r="D60" s="1532">
        <v>193</v>
      </c>
      <c r="E60" s="1508">
        <v>133</v>
      </c>
      <c r="F60" s="562">
        <v>39</v>
      </c>
      <c r="G60" s="562">
        <v>21</v>
      </c>
      <c r="H60" s="562">
        <v>0</v>
      </c>
      <c r="I60" s="562">
        <v>0</v>
      </c>
      <c r="J60" s="1508">
        <v>118</v>
      </c>
      <c r="K60" s="562">
        <v>75</v>
      </c>
      <c r="L60" s="1509"/>
      <c r="M60" s="328">
        <v>101</v>
      </c>
      <c r="N60" s="328">
        <v>89</v>
      </c>
      <c r="O60" s="328">
        <v>3</v>
      </c>
      <c r="P60" s="328">
        <v>0</v>
      </c>
      <c r="Q60" s="1531">
        <v>3</v>
      </c>
    </row>
    <row r="61" spans="1:17" s="329" customFormat="1" x14ac:dyDescent="0.3">
      <c r="A61" s="331" t="s">
        <v>139</v>
      </c>
      <c r="B61" s="327" t="s">
        <v>140</v>
      </c>
      <c r="C61" s="326" t="s">
        <v>254</v>
      </c>
      <c r="D61" s="1532">
        <v>60</v>
      </c>
      <c r="E61" s="1508">
        <v>42</v>
      </c>
      <c r="F61" s="562">
        <v>10</v>
      </c>
      <c r="G61" s="562">
        <v>8</v>
      </c>
      <c r="H61" s="562">
        <v>0</v>
      </c>
      <c r="I61" s="562">
        <v>0</v>
      </c>
      <c r="J61" s="1508">
        <v>34</v>
      </c>
      <c r="K61" s="562">
        <v>26</v>
      </c>
      <c r="L61" s="1509"/>
      <c r="M61" s="328">
        <v>50</v>
      </c>
      <c r="N61" s="328">
        <v>10</v>
      </c>
      <c r="O61" s="328">
        <v>0</v>
      </c>
      <c r="P61" s="328">
        <v>0</v>
      </c>
      <c r="Q61" s="1531"/>
    </row>
    <row r="62" spans="1:17" s="329" customFormat="1" x14ac:dyDescent="0.3">
      <c r="A62" s="331" t="s">
        <v>145</v>
      </c>
      <c r="B62" s="327" t="s">
        <v>146</v>
      </c>
      <c r="C62" s="326" t="s">
        <v>251</v>
      </c>
      <c r="D62" s="1532">
        <v>61</v>
      </c>
      <c r="E62" s="1508">
        <v>46</v>
      </c>
      <c r="F62" s="562">
        <v>12</v>
      </c>
      <c r="G62" s="562">
        <v>3</v>
      </c>
      <c r="H62" s="562">
        <v>0</v>
      </c>
      <c r="I62" s="562">
        <v>0</v>
      </c>
      <c r="J62" s="1508">
        <v>35</v>
      </c>
      <c r="K62" s="562">
        <v>26</v>
      </c>
      <c r="L62" s="1509"/>
      <c r="M62" s="328">
        <v>39</v>
      </c>
      <c r="N62" s="328">
        <v>22</v>
      </c>
      <c r="O62" s="328">
        <v>0</v>
      </c>
      <c r="P62" s="328">
        <v>0</v>
      </c>
      <c r="Q62" s="1531"/>
    </row>
    <row r="63" spans="1:17" s="329" customFormat="1" x14ac:dyDescent="0.3">
      <c r="A63" s="331" t="s">
        <v>147</v>
      </c>
      <c r="B63" s="327" t="s">
        <v>148</v>
      </c>
      <c r="C63" s="326" t="s">
        <v>252</v>
      </c>
      <c r="D63" s="1532">
        <v>317</v>
      </c>
      <c r="E63" s="1508">
        <v>243</v>
      </c>
      <c r="F63" s="562">
        <v>53</v>
      </c>
      <c r="G63" s="562">
        <v>21</v>
      </c>
      <c r="H63" s="562">
        <v>0</v>
      </c>
      <c r="I63" s="562">
        <v>0</v>
      </c>
      <c r="J63" s="1508">
        <v>186</v>
      </c>
      <c r="K63" s="562">
        <v>131</v>
      </c>
      <c r="L63" s="1509"/>
      <c r="M63" s="328">
        <v>109</v>
      </c>
      <c r="N63" s="328">
        <v>207</v>
      </c>
      <c r="O63" s="328">
        <v>1</v>
      </c>
      <c r="P63" s="328">
        <v>0</v>
      </c>
      <c r="Q63" s="1531">
        <v>13</v>
      </c>
    </row>
    <row r="64" spans="1:17" s="329" customFormat="1" x14ac:dyDescent="0.3">
      <c r="A64" s="331" t="s">
        <v>149</v>
      </c>
      <c r="B64" s="327" t="s">
        <v>150</v>
      </c>
      <c r="C64" s="326" t="s">
        <v>253</v>
      </c>
      <c r="D64" s="1532">
        <v>174</v>
      </c>
      <c r="E64" s="1508">
        <v>122</v>
      </c>
      <c r="F64" s="562">
        <v>34</v>
      </c>
      <c r="G64" s="562">
        <v>18</v>
      </c>
      <c r="H64" s="562">
        <v>0</v>
      </c>
      <c r="I64" s="562">
        <v>0</v>
      </c>
      <c r="J64" s="1508">
        <v>102</v>
      </c>
      <c r="K64" s="562">
        <v>72</v>
      </c>
      <c r="L64" s="1509"/>
      <c r="M64" s="328">
        <v>128</v>
      </c>
      <c r="N64" s="328">
        <v>42</v>
      </c>
      <c r="O64" s="328">
        <v>4</v>
      </c>
      <c r="P64" s="328">
        <v>0</v>
      </c>
      <c r="Q64" s="1531">
        <v>6</v>
      </c>
    </row>
    <row r="65" spans="1:17" s="329" customFormat="1" x14ac:dyDescent="0.3">
      <c r="A65" s="331" t="s">
        <v>151</v>
      </c>
      <c r="B65" s="327" t="s">
        <v>152</v>
      </c>
      <c r="C65" s="326" t="s">
        <v>255</v>
      </c>
      <c r="D65" s="1532">
        <v>668</v>
      </c>
      <c r="E65" s="1508">
        <v>494</v>
      </c>
      <c r="F65" s="562">
        <v>126</v>
      </c>
      <c r="G65" s="562">
        <v>48</v>
      </c>
      <c r="H65" s="562">
        <v>0</v>
      </c>
      <c r="I65" s="562">
        <v>0</v>
      </c>
      <c r="J65" s="1508">
        <v>390</v>
      </c>
      <c r="K65" s="562">
        <v>278</v>
      </c>
      <c r="L65" s="1509"/>
      <c r="M65" s="328">
        <v>500</v>
      </c>
      <c r="N65" s="328">
        <v>156</v>
      </c>
      <c r="O65" s="328">
        <v>12</v>
      </c>
      <c r="P65" s="328">
        <v>0</v>
      </c>
      <c r="Q65" s="1531">
        <v>19</v>
      </c>
    </row>
    <row r="66" spans="1:17" s="329" customFormat="1" x14ac:dyDescent="0.3">
      <c r="A66" s="331" t="s">
        <v>153</v>
      </c>
      <c r="B66" s="327" t="s">
        <v>154</v>
      </c>
      <c r="C66" s="326" t="s">
        <v>252</v>
      </c>
      <c r="D66" s="1532">
        <v>101</v>
      </c>
      <c r="E66" s="1508">
        <v>73</v>
      </c>
      <c r="F66" s="562">
        <v>18</v>
      </c>
      <c r="G66" s="562">
        <v>10</v>
      </c>
      <c r="H66" s="562">
        <v>0</v>
      </c>
      <c r="I66" s="562">
        <v>0</v>
      </c>
      <c r="J66" s="1508">
        <v>58</v>
      </c>
      <c r="K66" s="562">
        <v>43</v>
      </c>
      <c r="L66" s="1509"/>
      <c r="M66" s="328">
        <v>75</v>
      </c>
      <c r="N66" s="328">
        <v>25</v>
      </c>
      <c r="O66" s="328">
        <v>1</v>
      </c>
      <c r="P66" s="328">
        <v>0</v>
      </c>
      <c r="Q66" s="1531"/>
    </row>
    <row r="67" spans="1:17" s="329" customFormat="1" x14ac:dyDescent="0.3">
      <c r="A67" s="331" t="s">
        <v>155</v>
      </c>
      <c r="B67" s="327" t="s">
        <v>156</v>
      </c>
      <c r="C67" s="326" t="s">
        <v>253</v>
      </c>
      <c r="D67" s="1532">
        <v>129</v>
      </c>
      <c r="E67" s="1508">
        <v>86</v>
      </c>
      <c r="F67" s="562">
        <v>20</v>
      </c>
      <c r="G67" s="562">
        <v>23</v>
      </c>
      <c r="H67" s="562">
        <v>0</v>
      </c>
      <c r="I67" s="562">
        <v>0</v>
      </c>
      <c r="J67" s="1508">
        <v>80</v>
      </c>
      <c r="K67" s="562">
        <v>49</v>
      </c>
      <c r="L67" s="1509"/>
      <c r="M67" s="328">
        <v>96</v>
      </c>
      <c r="N67" s="328">
        <v>30</v>
      </c>
      <c r="O67" s="328">
        <v>3</v>
      </c>
      <c r="P67" s="328">
        <v>0</v>
      </c>
      <c r="Q67" s="1531">
        <v>1</v>
      </c>
    </row>
    <row r="68" spans="1:17" s="329" customFormat="1" x14ac:dyDescent="0.3">
      <c r="A68" s="331" t="s">
        <v>161</v>
      </c>
      <c r="B68" s="327" t="s">
        <v>162</v>
      </c>
      <c r="C68" s="326" t="s">
        <v>251</v>
      </c>
      <c r="D68" s="1532">
        <v>110</v>
      </c>
      <c r="E68" s="1508">
        <v>75</v>
      </c>
      <c r="F68" s="562">
        <v>26</v>
      </c>
      <c r="G68" s="562">
        <v>9</v>
      </c>
      <c r="H68" s="562">
        <v>0</v>
      </c>
      <c r="I68" s="562">
        <v>0</v>
      </c>
      <c r="J68" s="1508">
        <v>65</v>
      </c>
      <c r="K68" s="562">
        <v>45</v>
      </c>
      <c r="L68" s="1509"/>
      <c r="M68" s="328">
        <v>37</v>
      </c>
      <c r="N68" s="328">
        <v>73</v>
      </c>
      <c r="O68" s="328">
        <v>0</v>
      </c>
      <c r="P68" s="328">
        <v>0</v>
      </c>
      <c r="Q68" s="1531">
        <v>5</v>
      </c>
    </row>
    <row r="69" spans="1:17" s="329" customFormat="1" x14ac:dyDescent="0.3">
      <c r="A69" s="331" t="s">
        <v>163</v>
      </c>
      <c r="B69" s="327" t="s">
        <v>164</v>
      </c>
      <c r="C69" s="326" t="s">
        <v>253</v>
      </c>
      <c r="D69" s="1532">
        <v>130</v>
      </c>
      <c r="E69" s="1508">
        <v>100</v>
      </c>
      <c r="F69" s="562">
        <v>22</v>
      </c>
      <c r="G69" s="562">
        <v>8</v>
      </c>
      <c r="H69" s="562">
        <v>0</v>
      </c>
      <c r="I69" s="562">
        <v>0</v>
      </c>
      <c r="J69" s="1508">
        <v>72</v>
      </c>
      <c r="K69" s="562">
        <v>58</v>
      </c>
      <c r="L69" s="1509"/>
      <c r="M69" s="328">
        <v>38</v>
      </c>
      <c r="N69" s="328">
        <v>92</v>
      </c>
      <c r="O69" s="328">
        <v>0</v>
      </c>
      <c r="P69" s="328">
        <v>0</v>
      </c>
      <c r="Q69" s="1531">
        <v>1</v>
      </c>
    </row>
    <row r="70" spans="1:17" s="329" customFormat="1" x14ac:dyDescent="0.3">
      <c r="A70" s="331" t="s">
        <v>167</v>
      </c>
      <c r="B70" s="327" t="s">
        <v>168</v>
      </c>
      <c r="C70" s="326" t="s">
        <v>253</v>
      </c>
      <c r="D70" s="1532">
        <v>272</v>
      </c>
      <c r="E70" s="1508">
        <v>195</v>
      </c>
      <c r="F70" s="562">
        <v>55</v>
      </c>
      <c r="G70" s="562">
        <v>22</v>
      </c>
      <c r="H70" s="562">
        <v>0</v>
      </c>
      <c r="I70" s="562">
        <v>0</v>
      </c>
      <c r="J70" s="1508">
        <v>170</v>
      </c>
      <c r="K70" s="562">
        <v>102</v>
      </c>
      <c r="L70" s="1509"/>
      <c r="M70" s="328">
        <v>87</v>
      </c>
      <c r="N70" s="328">
        <v>185</v>
      </c>
      <c r="O70" s="328">
        <v>0</v>
      </c>
      <c r="P70" s="328">
        <v>0</v>
      </c>
      <c r="Q70" s="1531">
        <v>8</v>
      </c>
    </row>
    <row r="71" spans="1:17" s="329" customFormat="1" x14ac:dyDescent="0.3">
      <c r="A71" s="331" t="s">
        <v>169</v>
      </c>
      <c r="B71" s="327" t="s">
        <v>170</v>
      </c>
      <c r="C71" s="326" t="s">
        <v>254</v>
      </c>
      <c r="D71" s="1532">
        <v>200</v>
      </c>
      <c r="E71" s="1508">
        <v>149</v>
      </c>
      <c r="F71" s="562">
        <v>39</v>
      </c>
      <c r="G71" s="562">
        <v>12</v>
      </c>
      <c r="H71" s="562">
        <v>0</v>
      </c>
      <c r="I71" s="562">
        <v>0</v>
      </c>
      <c r="J71" s="1508">
        <v>118</v>
      </c>
      <c r="K71" s="562">
        <v>82</v>
      </c>
      <c r="L71" s="1509"/>
      <c r="M71" s="328">
        <v>130</v>
      </c>
      <c r="N71" s="328">
        <v>64</v>
      </c>
      <c r="O71" s="328">
        <v>6</v>
      </c>
      <c r="P71" s="328">
        <v>0</v>
      </c>
      <c r="Q71" s="1531">
        <v>2</v>
      </c>
    </row>
    <row r="72" spans="1:17" s="329" customFormat="1" x14ac:dyDescent="0.3">
      <c r="A72" s="331" t="s">
        <v>171</v>
      </c>
      <c r="B72" s="327" t="s">
        <v>172</v>
      </c>
      <c r="C72" s="326" t="s">
        <v>254</v>
      </c>
      <c r="D72" s="1532">
        <v>104</v>
      </c>
      <c r="E72" s="1508">
        <v>76</v>
      </c>
      <c r="F72" s="562">
        <v>16</v>
      </c>
      <c r="G72" s="562">
        <v>12</v>
      </c>
      <c r="H72" s="562">
        <v>0</v>
      </c>
      <c r="I72" s="562">
        <v>0</v>
      </c>
      <c r="J72" s="1508">
        <v>56</v>
      </c>
      <c r="K72" s="562">
        <v>48</v>
      </c>
      <c r="L72" s="1509"/>
      <c r="M72" s="328">
        <v>101</v>
      </c>
      <c r="N72" s="328">
        <v>3</v>
      </c>
      <c r="O72" s="328">
        <v>0</v>
      </c>
      <c r="P72" s="328">
        <v>0</v>
      </c>
      <c r="Q72" s="1531">
        <v>1</v>
      </c>
    </row>
    <row r="73" spans="1:17" s="329" customFormat="1" x14ac:dyDescent="0.3">
      <c r="A73" s="331" t="s">
        <v>173</v>
      </c>
      <c r="B73" s="327" t="s">
        <v>174</v>
      </c>
      <c r="C73" s="326" t="s">
        <v>255</v>
      </c>
      <c r="D73" s="1532">
        <v>242</v>
      </c>
      <c r="E73" s="1508">
        <v>169</v>
      </c>
      <c r="F73" s="562">
        <v>43</v>
      </c>
      <c r="G73" s="562">
        <v>30</v>
      </c>
      <c r="H73" s="562">
        <v>0</v>
      </c>
      <c r="I73" s="562">
        <v>0</v>
      </c>
      <c r="J73" s="1508">
        <v>137</v>
      </c>
      <c r="K73" s="562">
        <v>105</v>
      </c>
      <c r="L73" s="1509"/>
      <c r="M73" s="328">
        <v>210</v>
      </c>
      <c r="N73" s="328">
        <v>22</v>
      </c>
      <c r="O73" s="328">
        <v>10</v>
      </c>
      <c r="P73" s="328">
        <v>0</v>
      </c>
      <c r="Q73" s="1531">
        <v>7</v>
      </c>
    </row>
    <row r="74" spans="1:17" s="329" customFormat="1" x14ac:dyDescent="0.3">
      <c r="A74" s="331" t="s">
        <v>177</v>
      </c>
      <c r="B74" s="327" t="s">
        <v>178</v>
      </c>
      <c r="C74" s="326" t="s">
        <v>252</v>
      </c>
      <c r="D74" s="1532">
        <v>472</v>
      </c>
      <c r="E74" s="1508">
        <v>348</v>
      </c>
      <c r="F74" s="562">
        <v>81</v>
      </c>
      <c r="G74" s="562">
        <v>43</v>
      </c>
      <c r="H74" s="562">
        <v>0</v>
      </c>
      <c r="I74" s="562">
        <v>0</v>
      </c>
      <c r="J74" s="1508">
        <v>283</v>
      </c>
      <c r="K74" s="562">
        <v>189</v>
      </c>
      <c r="L74" s="1509"/>
      <c r="M74" s="328">
        <v>270</v>
      </c>
      <c r="N74" s="328">
        <v>198</v>
      </c>
      <c r="O74" s="328">
        <v>4</v>
      </c>
      <c r="P74" s="328">
        <v>0</v>
      </c>
      <c r="Q74" s="1531">
        <v>16</v>
      </c>
    </row>
    <row r="75" spans="1:17" s="329" customFormat="1" x14ac:dyDescent="0.3">
      <c r="A75" s="331" t="s">
        <v>181</v>
      </c>
      <c r="B75" s="327" t="s">
        <v>182</v>
      </c>
      <c r="C75" s="326" t="s">
        <v>253</v>
      </c>
      <c r="D75" s="1532">
        <v>78</v>
      </c>
      <c r="E75" s="1508">
        <v>56</v>
      </c>
      <c r="F75" s="562">
        <v>13</v>
      </c>
      <c r="G75" s="562">
        <v>9</v>
      </c>
      <c r="H75" s="562">
        <v>0</v>
      </c>
      <c r="I75" s="562">
        <v>0</v>
      </c>
      <c r="J75" s="1508">
        <v>44</v>
      </c>
      <c r="K75" s="562">
        <v>34</v>
      </c>
      <c r="L75" s="1509"/>
      <c r="M75" s="328">
        <v>44</v>
      </c>
      <c r="N75" s="328">
        <v>29</v>
      </c>
      <c r="O75" s="328">
        <v>5</v>
      </c>
      <c r="P75" s="328">
        <v>0</v>
      </c>
      <c r="Q75" s="1531">
        <v>1</v>
      </c>
    </row>
    <row r="76" spans="1:17" s="329" customFormat="1" x14ac:dyDescent="0.3">
      <c r="A76" s="331" t="s">
        <v>183</v>
      </c>
      <c r="B76" s="327" t="s">
        <v>184</v>
      </c>
      <c r="C76" s="326" t="s">
        <v>253</v>
      </c>
      <c r="D76" s="1532">
        <v>258</v>
      </c>
      <c r="E76" s="1508">
        <v>189</v>
      </c>
      <c r="F76" s="562">
        <v>55</v>
      </c>
      <c r="G76" s="562">
        <v>14</v>
      </c>
      <c r="H76" s="562">
        <v>0</v>
      </c>
      <c r="I76" s="562">
        <v>0</v>
      </c>
      <c r="J76" s="1508">
        <v>158</v>
      </c>
      <c r="K76" s="562">
        <v>100</v>
      </c>
      <c r="L76" s="1509"/>
      <c r="M76" s="328">
        <v>89</v>
      </c>
      <c r="N76" s="328">
        <v>167</v>
      </c>
      <c r="O76" s="328">
        <v>2</v>
      </c>
      <c r="P76" s="328">
        <v>0</v>
      </c>
      <c r="Q76" s="1531">
        <v>16</v>
      </c>
    </row>
    <row r="77" spans="1:17" s="329" customFormat="1" x14ac:dyDescent="0.3">
      <c r="A77" s="331" t="s">
        <v>185</v>
      </c>
      <c r="B77" s="327" t="s">
        <v>186</v>
      </c>
      <c r="C77" s="326" t="s">
        <v>251</v>
      </c>
      <c r="D77" s="1532">
        <v>217</v>
      </c>
      <c r="E77" s="1508">
        <v>150</v>
      </c>
      <c r="F77" s="562">
        <v>52</v>
      </c>
      <c r="G77" s="562">
        <v>15</v>
      </c>
      <c r="H77" s="562">
        <v>0</v>
      </c>
      <c r="I77" s="562">
        <v>0</v>
      </c>
      <c r="J77" s="1508">
        <v>134</v>
      </c>
      <c r="K77" s="562">
        <v>83</v>
      </c>
      <c r="L77" s="1509"/>
      <c r="M77" s="328">
        <v>86</v>
      </c>
      <c r="N77" s="328">
        <v>125</v>
      </c>
      <c r="O77" s="328">
        <v>6</v>
      </c>
      <c r="P77" s="328">
        <v>0</v>
      </c>
      <c r="Q77" s="1531">
        <v>7</v>
      </c>
    </row>
    <row r="78" spans="1:17" s="329" customFormat="1" x14ac:dyDescent="0.3">
      <c r="A78" s="331" t="s">
        <v>187</v>
      </c>
      <c r="B78" s="327" t="s">
        <v>188</v>
      </c>
      <c r="C78" s="326" t="s">
        <v>254</v>
      </c>
      <c r="D78" s="1532">
        <v>2668</v>
      </c>
      <c r="E78" s="1508">
        <v>1822</v>
      </c>
      <c r="F78" s="562">
        <v>511</v>
      </c>
      <c r="G78" s="562">
        <v>333</v>
      </c>
      <c r="H78" s="562">
        <v>2</v>
      </c>
      <c r="I78" s="562">
        <v>0</v>
      </c>
      <c r="J78" s="1508">
        <v>1541</v>
      </c>
      <c r="K78" s="562">
        <v>1127</v>
      </c>
      <c r="L78" s="1509"/>
      <c r="M78" s="328">
        <v>1030</v>
      </c>
      <c r="N78" s="328">
        <v>1190</v>
      </c>
      <c r="O78" s="328">
        <v>448</v>
      </c>
      <c r="P78" s="328">
        <v>0</v>
      </c>
      <c r="Q78" s="1531">
        <v>234</v>
      </c>
    </row>
    <row r="79" spans="1:17" s="329" customFormat="1" x14ac:dyDescent="0.3">
      <c r="A79" s="331" t="s">
        <v>189</v>
      </c>
      <c r="B79" s="327" t="s">
        <v>190</v>
      </c>
      <c r="C79" s="326" t="s">
        <v>255</v>
      </c>
      <c r="D79" s="1532">
        <v>320</v>
      </c>
      <c r="E79" s="1508">
        <v>248</v>
      </c>
      <c r="F79" s="562">
        <v>51</v>
      </c>
      <c r="G79" s="562">
        <v>21</v>
      </c>
      <c r="H79" s="562">
        <v>0</v>
      </c>
      <c r="I79" s="562">
        <v>0</v>
      </c>
      <c r="J79" s="1508">
        <v>187</v>
      </c>
      <c r="K79" s="562">
        <v>133</v>
      </c>
      <c r="L79" s="1509"/>
      <c r="M79" s="328">
        <v>260</v>
      </c>
      <c r="N79" s="328">
        <v>59</v>
      </c>
      <c r="O79" s="328">
        <v>1</v>
      </c>
      <c r="P79" s="328">
        <v>0</v>
      </c>
      <c r="Q79" s="1531">
        <v>3</v>
      </c>
    </row>
    <row r="80" spans="1:17" s="329" customFormat="1" x14ac:dyDescent="0.3">
      <c r="A80" s="331" t="s">
        <v>193</v>
      </c>
      <c r="B80" s="327" t="s">
        <v>194</v>
      </c>
      <c r="C80" s="326" t="s">
        <v>254</v>
      </c>
      <c r="D80" s="1532">
        <v>15</v>
      </c>
      <c r="E80" s="1508">
        <v>10</v>
      </c>
      <c r="F80" s="562">
        <v>3</v>
      </c>
      <c r="G80" s="562">
        <v>2</v>
      </c>
      <c r="H80" s="562">
        <v>0</v>
      </c>
      <c r="I80" s="562">
        <v>0</v>
      </c>
      <c r="J80" s="1508">
        <v>8</v>
      </c>
      <c r="K80" s="562">
        <v>7</v>
      </c>
      <c r="L80" s="1509"/>
      <c r="M80" s="328">
        <v>13</v>
      </c>
      <c r="N80" s="328">
        <v>2</v>
      </c>
      <c r="O80" s="328">
        <v>0</v>
      </c>
      <c r="P80" s="328">
        <v>0</v>
      </c>
      <c r="Q80" s="1531">
        <v>4</v>
      </c>
    </row>
    <row r="81" spans="1:17" s="329" customFormat="1" x14ac:dyDescent="0.3">
      <c r="A81" s="331" t="s">
        <v>197</v>
      </c>
      <c r="B81" s="327" t="s">
        <v>259</v>
      </c>
      <c r="C81" s="326" t="s">
        <v>253</v>
      </c>
      <c r="D81" s="1532">
        <v>71</v>
      </c>
      <c r="E81" s="1508">
        <v>49</v>
      </c>
      <c r="F81" s="562">
        <v>18</v>
      </c>
      <c r="G81" s="562">
        <v>4</v>
      </c>
      <c r="H81" s="562">
        <v>0</v>
      </c>
      <c r="I81" s="562">
        <v>0</v>
      </c>
      <c r="J81" s="1508">
        <v>44</v>
      </c>
      <c r="K81" s="562">
        <v>27</v>
      </c>
      <c r="L81" s="1509"/>
      <c r="M81" s="328">
        <v>29</v>
      </c>
      <c r="N81" s="328">
        <v>42</v>
      </c>
      <c r="O81" s="328">
        <v>0</v>
      </c>
      <c r="P81" s="328">
        <v>0</v>
      </c>
      <c r="Q81" s="1531">
        <v>2</v>
      </c>
    </row>
    <row r="82" spans="1:17" s="329" customFormat="1" x14ac:dyDescent="0.3">
      <c r="A82" s="331" t="s">
        <v>201</v>
      </c>
      <c r="B82" s="327" t="s">
        <v>276</v>
      </c>
      <c r="C82" s="326" t="s">
        <v>252</v>
      </c>
      <c r="D82" s="1532">
        <v>652</v>
      </c>
      <c r="E82" s="1508">
        <v>492</v>
      </c>
      <c r="F82" s="562">
        <v>97</v>
      </c>
      <c r="G82" s="562">
        <v>63</v>
      </c>
      <c r="H82" s="562">
        <v>0</v>
      </c>
      <c r="I82" s="562">
        <v>0</v>
      </c>
      <c r="J82" s="1508">
        <v>401</v>
      </c>
      <c r="K82" s="562">
        <v>251</v>
      </c>
      <c r="L82" s="1509"/>
      <c r="M82" s="328">
        <v>457</v>
      </c>
      <c r="N82" s="328">
        <v>182</v>
      </c>
      <c r="O82" s="328">
        <v>13</v>
      </c>
      <c r="P82" s="328">
        <v>0</v>
      </c>
      <c r="Q82" s="1531">
        <v>23</v>
      </c>
    </row>
    <row r="83" spans="1:17" s="329" customFormat="1" x14ac:dyDescent="0.3">
      <c r="A83" s="331" t="s">
        <v>203</v>
      </c>
      <c r="B83" s="327" t="s">
        <v>269</v>
      </c>
      <c r="C83" s="326" t="s">
        <v>252</v>
      </c>
      <c r="D83" s="1532">
        <v>260</v>
      </c>
      <c r="E83" s="1508">
        <v>191</v>
      </c>
      <c r="F83" s="562">
        <v>37</v>
      </c>
      <c r="G83" s="562">
        <v>32</v>
      </c>
      <c r="H83" s="562">
        <v>0</v>
      </c>
      <c r="I83" s="562">
        <v>0</v>
      </c>
      <c r="J83" s="1508">
        <v>155</v>
      </c>
      <c r="K83" s="562">
        <v>105</v>
      </c>
      <c r="L83" s="1509"/>
      <c r="M83" s="328">
        <v>218</v>
      </c>
      <c r="N83" s="328">
        <v>37</v>
      </c>
      <c r="O83" s="328">
        <v>5</v>
      </c>
      <c r="P83" s="328">
        <v>0</v>
      </c>
      <c r="Q83" s="1531">
        <v>6</v>
      </c>
    </row>
    <row r="84" spans="1:17" s="329" customFormat="1" x14ac:dyDescent="0.3">
      <c r="A84" s="331" t="s">
        <v>205</v>
      </c>
      <c r="B84" s="327" t="s">
        <v>270</v>
      </c>
      <c r="C84" s="326" t="s">
        <v>254</v>
      </c>
      <c r="D84" s="1532">
        <v>962</v>
      </c>
      <c r="E84" s="1508">
        <v>685</v>
      </c>
      <c r="F84" s="562">
        <v>180</v>
      </c>
      <c r="G84" s="562">
        <v>96</v>
      </c>
      <c r="H84" s="562">
        <v>1</v>
      </c>
      <c r="I84" s="562">
        <v>0</v>
      </c>
      <c r="J84" s="1508">
        <v>564</v>
      </c>
      <c r="K84" s="562">
        <v>398</v>
      </c>
      <c r="L84" s="1509"/>
      <c r="M84" s="328">
        <v>713</v>
      </c>
      <c r="N84" s="328">
        <v>229</v>
      </c>
      <c r="O84" s="328">
        <v>20</v>
      </c>
      <c r="P84" s="328">
        <v>0</v>
      </c>
      <c r="Q84" s="1531">
        <v>152</v>
      </c>
    </row>
    <row r="85" spans="1:17" s="329" customFormat="1" x14ac:dyDescent="0.3">
      <c r="A85" s="331" t="s">
        <v>207</v>
      </c>
      <c r="B85" s="327" t="s">
        <v>208</v>
      </c>
      <c r="C85" s="326" t="s">
        <v>255</v>
      </c>
      <c r="D85" s="1532">
        <v>323</v>
      </c>
      <c r="E85" s="1508">
        <v>230</v>
      </c>
      <c r="F85" s="562">
        <v>63</v>
      </c>
      <c r="G85" s="562">
        <v>29</v>
      </c>
      <c r="H85" s="562">
        <v>0</v>
      </c>
      <c r="I85" s="562">
        <v>1</v>
      </c>
      <c r="J85" s="1508">
        <v>184</v>
      </c>
      <c r="K85" s="562">
        <v>139</v>
      </c>
      <c r="L85" s="1509"/>
      <c r="M85" s="328">
        <v>318</v>
      </c>
      <c r="N85" s="328">
        <v>5</v>
      </c>
      <c r="O85" s="328">
        <v>0</v>
      </c>
      <c r="P85" s="328">
        <v>0</v>
      </c>
      <c r="Q85" s="1531">
        <v>4</v>
      </c>
    </row>
    <row r="86" spans="1:17" s="329" customFormat="1" x14ac:dyDescent="0.3">
      <c r="A86" s="331" t="s">
        <v>209</v>
      </c>
      <c r="B86" s="327" t="s">
        <v>210</v>
      </c>
      <c r="C86" s="326" t="s">
        <v>255</v>
      </c>
      <c r="D86" s="1532">
        <v>349</v>
      </c>
      <c r="E86" s="1508">
        <v>243</v>
      </c>
      <c r="F86" s="562">
        <v>60</v>
      </c>
      <c r="G86" s="562">
        <v>46</v>
      </c>
      <c r="H86" s="562">
        <v>0</v>
      </c>
      <c r="I86" s="562">
        <v>0</v>
      </c>
      <c r="J86" s="1508">
        <v>193</v>
      </c>
      <c r="K86" s="562">
        <v>156</v>
      </c>
      <c r="L86" s="1509"/>
      <c r="M86" s="328">
        <v>340</v>
      </c>
      <c r="N86" s="328">
        <v>6</v>
      </c>
      <c r="O86" s="328">
        <v>3</v>
      </c>
      <c r="P86" s="328">
        <v>0</v>
      </c>
      <c r="Q86" s="1531">
        <v>3</v>
      </c>
    </row>
    <row r="87" spans="1:17" s="329" customFormat="1" x14ac:dyDescent="0.3">
      <c r="A87" s="331" t="s">
        <v>211</v>
      </c>
      <c r="B87" s="327" t="s">
        <v>212</v>
      </c>
      <c r="C87" s="326" t="s">
        <v>254</v>
      </c>
      <c r="D87" s="1532">
        <v>430</v>
      </c>
      <c r="E87" s="1508">
        <v>299</v>
      </c>
      <c r="F87" s="562">
        <v>73</v>
      </c>
      <c r="G87" s="562">
        <v>58</v>
      </c>
      <c r="H87" s="562">
        <v>0</v>
      </c>
      <c r="I87" s="562">
        <v>0</v>
      </c>
      <c r="J87" s="1508">
        <v>259</v>
      </c>
      <c r="K87" s="562">
        <v>171</v>
      </c>
      <c r="L87" s="1509"/>
      <c r="M87" s="328">
        <v>350</v>
      </c>
      <c r="N87" s="328">
        <v>72</v>
      </c>
      <c r="O87" s="328">
        <v>8</v>
      </c>
      <c r="P87" s="328">
        <v>0</v>
      </c>
      <c r="Q87" s="1531">
        <v>32</v>
      </c>
    </row>
    <row r="88" spans="1:17" s="329" customFormat="1" x14ac:dyDescent="0.3">
      <c r="A88" s="331" t="s">
        <v>213</v>
      </c>
      <c r="B88" s="327" t="s">
        <v>214</v>
      </c>
      <c r="C88" s="326" t="s">
        <v>255</v>
      </c>
      <c r="D88" s="1532">
        <v>476</v>
      </c>
      <c r="E88" s="1508">
        <v>349</v>
      </c>
      <c r="F88" s="562">
        <v>85</v>
      </c>
      <c r="G88" s="562">
        <v>42</v>
      </c>
      <c r="H88" s="562">
        <v>0</v>
      </c>
      <c r="I88" s="562">
        <v>0</v>
      </c>
      <c r="J88" s="1508">
        <v>273</v>
      </c>
      <c r="K88" s="562">
        <v>203</v>
      </c>
      <c r="L88" s="1509"/>
      <c r="M88" s="328">
        <v>454</v>
      </c>
      <c r="N88" s="328">
        <v>20</v>
      </c>
      <c r="O88" s="328">
        <v>2</v>
      </c>
      <c r="P88" s="328">
        <v>0</v>
      </c>
      <c r="Q88" s="1531">
        <v>7</v>
      </c>
    </row>
    <row r="89" spans="1:17" s="329" customFormat="1" x14ac:dyDescent="0.3">
      <c r="A89" s="331" t="s">
        <v>215</v>
      </c>
      <c r="B89" s="327" t="s">
        <v>216</v>
      </c>
      <c r="C89" s="326" t="s">
        <v>251</v>
      </c>
      <c r="D89" s="1532">
        <v>242</v>
      </c>
      <c r="E89" s="1508">
        <v>177</v>
      </c>
      <c r="F89" s="562">
        <v>45</v>
      </c>
      <c r="G89" s="562">
        <v>20</v>
      </c>
      <c r="H89" s="562">
        <v>0</v>
      </c>
      <c r="I89" s="562">
        <v>0</v>
      </c>
      <c r="J89" s="1508">
        <v>143</v>
      </c>
      <c r="K89" s="562">
        <v>99</v>
      </c>
      <c r="L89" s="1509"/>
      <c r="M89" s="328">
        <v>87</v>
      </c>
      <c r="N89" s="328">
        <v>155</v>
      </c>
      <c r="O89" s="328">
        <v>0</v>
      </c>
      <c r="P89" s="328">
        <v>0</v>
      </c>
      <c r="Q89" s="1531">
        <v>3</v>
      </c>
    </row>
    <row r="90" spans="1:17" s="329" customFormat="1" x14ac:dyDescent="0.3">
      <c r="A90" s="331" t="s">
        <v>217</v>
      </c>
      <c r="B90" s="327" t="s">
        <v>218</v>
      </c>
      <c r="C90" s="326" t="s">
        <v>254</v>
      </c>
      <c r="D90" s="1532">
        <v>1240</v>
      </c>
      <c r="E90" s="1508">
        <v>874</v>
      </c>
      <c r="F90" s="562">
        <v>241</v>
      </c>
      <c r="G90" s="562">
        <v>125</v>
      </c>
      <c r="H90" s="562">
        <v>0</v>
      </c>
      <c r="I90" s="562">
        <v>0</v>
      </c>
      <c r="J90" s="1508">
        <v>743</v>
      </c>
      <c r="K90" s="562">
        <v>497</v>
      </c>
      <c r="L90" s="1509"/>
      <c r="M90" s="328">
        <v>571</v>
      </c>
      <c r="N90" s="328">
        <v>623</v>
      </c>
      <c r="O90" s="328">
        <v>46</v>
      </c>
      <c r="P90" s="328">
        <v>0</v>
      </c>
      <c r="Q90" s="1531">
        <v>48</v>
      </c>
    </row>
    <row r="91" spans="1:17" s="329" customFormat="1" x14ac:dyDescent="0.3">
      <c r="A91" s="331" t="s">
        <v>219</v>
      </c>
      <c r="B91" s="327" t="s">
        <v>220</v>
      </c>
      <c r="C91" s="326" t="s">
        <v>254</v>
      </c>
      <c r="D91" s="1532">
        <v>1166</v>
      </c>
      <c r="E91" s="1508">
        <v>826</v>
      </c>
      <c r="F91" s="562">
        <v>224</v>
      </c>
      <c r="G91" s="562">
        <v>115</v>
      </c>
      <c r="H91" s="562">
        <v>1</v>
      </c>
      <c r="I91" s="562">
        <v>0</v>
      </c>
      <c r="J91" s="1508">
        <v>669</v>
      </c>
      <c r="K91" s="562">
        <v>497</v>
      </c>
      <c r="L91" s="1509"/>
      <c r="M91" s="328">
        <v>474</v>
      </c>
      <c r="N91" s="328">
        <v>583</v>
      </c>
      <c r="O91" s="328">
        <v>109</v>
      </c>
      <c r="P91" s="328">
        <v>0</v>
      </c>
      <c r="Q91" s="1531">
        <v>73</v>
      </c>
    </row>
    <row r="92" spans="1:17" s="329" customFormat="1" x14ac:dyDescent="0.3">
      <c r="A92" s="331" t="s">
        <v>223</v>
      </c>
      <c r="B92" s="327" t="s">
        <v>224</v>
      </c>
      <c r="C92" s="326" t="s">
        <v>251</v>
      </c>
      <c r="D92" s="1532">
        <v>53</v>
      </c>
      <c r="E92" s="1508">
        <v>35</v>
      </c>
      <c r="F92" s="562">
        <v>15</v>
      </c>
      <c r="G92" s="562">
        <v>3</v>
      </c>
      <c r="H92" s="562">
        <v>0</v>
      </c>
      <c r="I92" s="562">
        <v>0</v>
      </c>
      <c r="J92" s="1508">
        <v>37</v>
      </c>
      <c r="K92" s="562">
        <v>16</v>
      </c>
      <c r="L92" s="1509"/>
      <c r="M92" s="328">
        <v>14</v>
      </c>
      <c r="N92" s="328">
        <v>38</v>
      </c>
      <c r="O92" s="328">
        <v>1</v>
      </c>
      <c r="P92" s="328">
        <v>0</v>
      </c>
      <c r="Q92" s="1531"/>
    </row>
    <row r="93" spans="1:17" s="329" customFormat="1" x14ac:dyDescent="0.3">
      <c r="A93" s="331" t="s">
        <v>225</v>
      </c>
      <c r="B93" s="327" t="s">
        <v>226</v>
      </c>
      <c r="C93" s="326" t="s">
        <v>251</v>
      </c>
      <c r="D93" s="1532">
        <v>212</v>
      </c>
      <c r="E93" s="1508">
        <v>155</v>
      </c>
      <c r="F93" s="562">
        <v>40</v>
      </c>
      <c r="G93" s="562">
        <v>17</v>
      </c>
      <c r="H93" s="562">
        <v>0</v>
      </c>
      <c r="I93" s="562">
        <v>0</v>
      </c>
      <c r="J93" s="1508">
        <v>130</v>
      </c>
      <c r="K93" s="562">
        <v>82</v>
      </c>
      <c r="L93" s="1509"/>
      <c r="M93" s="328">
        <v>36</v>
      </c>
      <c r="N93" s="328">
        <v>168</v>
      </c>
      <c r="O93" s="328">
        <v>8</v>
      </c>
      <c r="P93" s="328">
        <v>0</v>
      </c>
      <c r="Q93" s="1531">
        <v>14</v>
      </c>
    </row>
    <row r="94" spans="1:17" s="329" customFormat="1" x14ac:dyDescent="0.3">
      <c r="A94" s="331" t="s">
        <v>227</v>
      </c>
      <c r="B94" s="327" t="s">
        <v>228</v>
      </c>
      <c r="C94" s="326" t="s">
        <v>255</v>
      </c>
      <c r="D94" s="1532">
        <v>466</v>
      </c>
      <c r="E94" s="1508">
        <v>347</v>
      </c>
      <c r="F94" s="562">
        <v>65</v>
      </c>
      <c r="G94" s="562">
        <v>54</v>
      </c>
      <c r="H94" s="562">
        <v>0</v>
      </c>
      <c r="I94" s="562">
        <v>0</v>
      </c>
      <c r="J94" s="1508">
        <v>259</v>
      </c>
      <c r="K94" s="562">
        <v>207</v>
      </c>
      <c r="L94" s="1509"/>
      <c r="M94" s="328">
        <v>417</v>
      </c>
      <c r="N94" s="328">
        <v>42</v>
      </c>
      <c r="O94" s="328">
        <v>7</v>
      </c>
      <c r="P94" s="328">
        <v>0</v>
      </c>
      <c r="Q94" s="1531">
        <v>7</v>
      </c>
    </row>
    <row r="95" spans="1:17" s="329" customFormat="1" x14ac:dyDescent="0.3">
      <c r="A95" s="331" t="s">
        <v>231</v>
      </c>
      <c r="B95" s="327" t="s">
        <v>232</v>
      </c>
      <c r="C95" s="326" t="s">
        <v>254</v>
      </c>
      <c r="D95" s="1532">
        <v>370</v>
      </c>
      <c r="E95" s="1508">
        <v>263</v>
      </c>
      <c r="F95" s="562">
        <v>84</v>
      </c>
      <c r="G95" s="562">
        <v>23</v>
      </c>
      <c r="H95" s="562">
        <v>0</v>
      </c>
      <c r="I95" s="562">
        <v>0</v>
      </c>
      <c r="J95" s="1508">
        <v>209</v>
      </c>
      <c r="K95" s="562">
        <v>161</v>
      </c>
      <c r="L95" s="1509"/>
      <c r="M95" s="328">
        <v>289</v>
      </c>
      <c r="N95" s="328">
        <v>69</v>
      </c>
      <c r="O95" s="328">
        <v>12</v>
      </c>
      <c r="P95" s="328">
        <v>0</v>
      </c>
      <c r="Q95" s="1531">
        <v>15</v>
      </c>
    </row>
    <row r="96" spans="1:17" s="329" customFormat="1" x14ac:dyDescent="0.3">
      <c r="A96" s="331" t="s">
        <v>233</v>
      </c>
      <c r="B96" s="327" t="s">
        <v>234</v>
      </c>
      <c r="C96" s="326" t="s">
        <v>255</v>
      </c>
      <c r="D96" s="1532">
        <v>584</v>
      </c>
      <c r="E96" s="1508">
        <v>419</v>
      </c>
      <c r="F96" s="562">
        <v>105</v>
      </c>
      <c r="G96" s="562">
        <v>60</v>
      </c>
      <c r="H96" s="562">
        <v>0</v>
      </c>
      <c r="I96" s="562">
        <v>0</v>
      </c>
      <c r="J96" s="1508">
        <v>332</v>
      </c>
      <c r="K96" s="562">
        <v>252</v>
      </c>
      <c r="L96" s="1509"/>
      <c r="M96" s="328">
        <v>564</v>
      </c>
      <c r="N96" s="328">
        <v>18</v>
      </c>
      <c r="O96" s="328">
        <v>2</v>
      </c>
      <c r="P96" s="328">
        <v>0</v>
      </c>
      <c r="Q96" s="1531">
        <v>17</v>
      </c>
    </row>
    <row r="97" spans="1:17" s="329" customFormat="1" x14ac:dyDescent="0.3">
      <c r="A97" s="331" t="s">
        <v>235</v>
      </c>
      <c r="B97" s="327" t="s">
        <v>236</v>
      </c>
      <c r="C97" s="326" t="s">
        <v>253</v>
      </c>
      <c r="D97" s="1532">
        <v>276</v>
      </c>
      <c r="E97" s="1508">
        <v>194</v>
      </c>
      <c r="F97" s="562">
        <v>52</v>
      </c>
      <c r="G97" s="562">
        <v>30</v>
      </c>
      <c r="H97" s="562">
        <v>0</v>
      </c>
      <c r="I97" s="562">
        <v>0</v>
      </c>
      <c r="J97" s="1508">
        <v>176</v>
      </c>
      <c r="K97" s="562">
        <v>100</v>
      </c>
      <c r="L97" s="1509"/>
      <c r="M97" s="328">
        <v>119</v>
      </c>
      <c r="N97" s="328">
        <v>151</v>
      </c>
      <c r="O97" s="328">
        <v>6</v>
      </c>
      <c r="P97" s="328">
        <v>0</v>
      </c>
      <c r="Q97" s="1531">
        <v>2</v>
      </c>
    </row>
    <row r="98" spans="1:17" s="329" customFormat="1" x14ac:dyDescent="0.3">
      <c r="A98" s="331" t="s">
        <v>241</v>
      </c>
      <c r="B98" s="327" t="s">
        <v>242</v>
      </c>
      <c r="C98" s="326" t="s">
        <v>255</v>
      </c>
      <c r="D98" s="1532">
        <v>796</v>
      </c>
      <c r="E98" s="1508">
        <v>585</v>
      </c>
      <c r="F98" s="562">
        <v>137</v>
      </c>
      <c r="G98" s="562">
        <v>74</v>
      </c>
      <c r="H98" s="562">
        <v>0</v>
      </c>
      <c r="I98" s="562">
        <v>0</v>
      </c>
      <c r="J98" s="1508">
        <v>428</v>
      </c>
      <c r="K98" s="562">
        <v>368</v>
      </c>
      <c r="L98" s="1509"/>
      <c r="M98" s="328">
        <v>752</v>
      </c>
      <c r="N98" s="328">
        <v>42</v>
      </c>
      <c r="O98" s="328">
        <v>2</v>
      </c>
      <c r="P98" s="328">
        <v>0</v>
      </c>
      <c r="Q98" s="1531">
        <v>9</v>
      </c>
    </row>
    <row r="99" spans="1:17" s="329" customFormat="1" x14ac:dyDescent="0.3">
      <c r="A99" s="331" t="s">
        <v>243</v>
      </c>
      <c r="B99" s="327" t="s">
        <v>244</v>
      </c>
      <c r="C99" s="326" t="s">
        <v>255</v>
      </c>
      <c r="D99" s="1532">
        <v>318</v>
      </c>
      <c r="E99" s="1508">
        <v>226</v>
      </c>
      <c r="F99" s="562">
        <v>68</v>
      </c>
      <c r="G99" s="562">
        <v>24</v>
      </c>
      <c r="H99" s="562">
        <v>0</v>
      </c>
      <c r="I99" s="562">
        <v>0</v>
      </c>
      <c r="J99" s="1508">
        <v>188</v>
      </c>
      <c r="K99" s="562">
        <v>130</v>
      </c>
      <c r="L99" s="1509"/>
      <c r="M99" s="328">
        <v>291</v>
      </c>
      <c r="N99" s="328">
        <v>26</v>
      </c>
      <c r="O99" s="328">
        <v>1</v>
      </c>
      <c r="P99" s="328">
        <v>0</v>
      </c>
      <c r="Q99" s="1531">
        <v>2</v>
      </c>
    </row>
    <row r="100" spans="1:17" s="329" customFormat="1" x14ac:dyDescent="0.3">
      <c r="A100" s="331" t="s">
        <v>245</v>
      </c>
      <c r="B100" s="327" t="s">
        <v>246</v>
      </c>
      <c r="C100" s="326" t="s">
        <v>251</v>
      </c>
      <c r="D100" s="1532">
        <v>289</v>
      </c>
      <c r="E100" s="1508">
        <v>195</v>
      </c>
      <c r="F100" s="562">
        <v>56</v>
      </c>
      <c r="G100" s="562">
        <v>38</v>
      </c>
      <c r="H100" s="562">
        <v>0</v>
      </c>
      <c r="I100" s="562">
        <v>0</v>
      </c>
      <c r="J100" s="1508">
        <v>182</v>
      </c>
      <c r="K100" s="562">
        <v>107</v>
      </c>
      <c r="L100" s="1509"/>
      <c r="M100" s="328">
        <v>137</v>
      </c>
      <c r="N100" s="328">
        <v>145</v>
      </c>
      <c r="O100" s="328">
        <v>7</v>
      </c>
      <c r="P100" s="328">
        <v>0</v>
      </c>
      <c r="Q100" s="1531">
        <v>14</v>
      </c>
    </row>
    <row r="101" spans="1:17" s="329" customFormat="1" x14ac:dyDescent="0.3">
      <c r="A101" s="331" t="s">
        <v>13</v>
      </c>
      <c r="B101" s="327" t="s">
        <v>14</v>
      </c>
      <c r="C101" s="326" t="s">
        <v>254</v>
      </c>
      <c r="D101" s="1532">
        <v>1706</v>
      </c>
      <c r="E101" s="1508">
        <v>1089</v>
      </c>
      <c r="F101" s="562">
        <v>372</v>
      </c>
      <c r="G101" s="562">
        <v>244</v>
      </c>
      <c r="H101" s="562">
        <v>1</v>
      </c>
      <c r="I101" s="562">
        <v>0</v>
      </c>
      <c r="J101" s="1508">
        <v>941</v>
      </c>
      <c r="K101" s="562">
        <v>765</v>
      </c>
      <c r="L101" s="1509"/>
      <c r="M101" s="328">
        <v>584</v>
      </c>
      <c r="N101" s="328">
        <v>621</v>
      </c>
      <c r="O101" s="328">
        <v>501</v>
      </c>
      <c r="P101" s="328">
        <v>0</v>
      </c>
      <c r="Q101" s="1531">
        <v>106</v>
      </c>
    </row>
    <row r="102" spans="1:17" s="329" customFormat="1" x14ac:dyDescent="0.3">
      <c r="A102" s="331" t="s">
        <v>33</v>
      </c>
      <c r="B102" s="327" t="s">
        <v>34</v>
      </c>
      <c r="C102" s="326" t="s">
        <v>255</v>
      </c>
      <c r="D102" s="1532">
        <v>612</v>
      </c>
      <c r="E102" s="1508">
        <v>416</v>
      </c>
      <c r="F102" s="562">
        <v>137</v>
      </c>
      <c r="G102" s="562">
        <v>59</v>
      </c>
      <c r="H102" s="562">
        <v>0</v>
      </c>
      <c r="I102" s="562">
        <v>0</v>
      </c>
      <c r="J102" s="1508">
        <v>371</v>
      </c>
      <c r="K102" s="562">
        <v>241</v>
      </c>
      <c r="L102" s="1509"/>
      <c r="M102" s="328">
        <v>469</v>
      </c>
      <c r="N102" s="328">
        <v>139</v>
      </c>
      <c r="O102" s="328">
        <v>4</v>
      </c>
      <c r="P102" s="328">
        <v>0</v>
      </c>
      <c r="Q102" s="1531">
        <v>15</v>
      </c>
    </row>
    <row r="103" spans="1:17" s="329" customFormat="1" x14ac:dyDescent="0.3">
      <c r="A103" s="331" t="s">
        <v>51</v>
      </c>
      <c r="B103" s="327" t="s">
        <v>52</v>
      </c>
      <c r="C103" s="326" t="s">
        <v>252</v>
      </c>
      <c r="D103" s="1532">
        <v>830</v>
      </c>
      <c r="E103" s="1508">
        <v>540</v>
      </c>
      <c r="F103" s="562">
        <v>177</v>
      </c>
      <c r="G103" s="562">
        <v>113</v>
      </c>
      <c r="H103" s="562">
        <v>0</v>
      </c>
      <c r="I103" s="562">
        <v>0</v>
      </c>
      <c r="J103" s="1508">
        <v>481</v>
      </c>
      <c r="K103" s="562">
        <v>349</v>
      </c>
      <c r="L103" s="1509"/>
      <c r="M103" s="328">
        <v>298</v>
      </c>
      <c r="N103" s="328">
        <v>424</v>
      </c>
      <c r="O103" s="328">
        <v>108</v>
      </c>
      <c r="P103" s="328">
        <v>0</v>
      </c>
      <c r="Q103" s="1531">
        <v>10</v>
      </c>
    </row>
    <row r="104" spans="1:17" s="329" customFormat="1" x14ac:dyDescent="0.3">
      <c r="A104" s="331" t="s">
        <v>53</v>
      </c>
      <c r="B104" s="327" t="s">
        <v>54</v>
      </c>
      <c r="C104" s="326" t="s">
        <v>251</v>
      </c>
      <c r="D104" s="1532">
        <v>1856</v>
      </c>
      <c r="E104" s="1508">
        <v>1334</v>
      </c>
      <c r="F104" s="562">
        <v>360</v>
      </c>
      <c r="G104" s="562">
        <v>161</v>
      </c>
      <c r="H104" s="562">
        <v>1</v>
      </c>
      <c r="I104" s="562">
        <v>0</v>
      </c>
      <c r="J104" s="1508">
        <v>1130</v>
      </c>
      <c r="K104" s="562">
        <v>726</v>
      </c>
      <c r="L104" s="1509"/>
      <c r="M104" s="328">
        <v>438</v>
      </c>
      <c r="N104" s="328">
        <v>1376</v>
      </c>
      <c r="O104" s="328">
        <v>42</v>
      </c>
      <c r="P104" s="328">
        <v>0</v>
      </c>
      <c r="Q104" s="1531">
        <v>70</v>
      </c>
    </row>
    <row r="105" spans="1:17" s="329" customFormat="1" x14ac:dyDescent="0.3">
      <c r="A105" s="331" t="s">
        <v>65</v>
      </c>
      <c r="B105" s="327" t="s">
        <v>66</v>
      </c>
      <c r="C105" s="326" t="s">
        <v>252</v>
      </c>
      <c r="D105" s="1532">
        <v>924</v>
      </c>
      <c r="E105" s="1508">
        <v>666</v>
      </c>
      <c r="F105" s="562">
        <v>191</v>
      </c>
      <c r="G105" s="562">
        <v>67</v>
      </c>
      <c r="H105" s="562">
        <v>0</v>
      </c>
      <c r="I105" s="562">
        <v>0</v>
      </c>
      <c r="J105" s="1508">
        <v>566</v>
      </c>
      <c r="K105" s="562">
        <v>358</v>
      </c>
      <c r="L105" s="1509"/>
      <c r="M105" s="328">
        <v>193</v>
      </c>
      <c r="N105" s="328">
        <v>718</v>
      </c>
      <c r="O105" s="328">
        <v>13</v>
      </c>
      <c r="P105" s="328">
        <v>0</v>
      </c>
      <c r="Q105" s="1531">
        <v>37</v>
      </c>
    </row>
    <row r="106" spans="1:17" s="329" customFormat="1" x14ac:dyDescent="0.3">
      <c r="A106" s="331" t="s">
        <v>81</v>
      </c>
      <c r="B106" s="327" t="s">
        <v>82</v>
      </c>
      <c r="C106" s="326" t="s">
        <v>251</v>
      </c>
      <c r="D106" s="1532">
        <v>230</v>
      </c>
      <c r="E106" s="1508">
        <v>170</v>
      </c>
      <c r="F106" s="562">
        <v>47</v>
      </c>
      <c r="G106" s="562">
        <v>13</v>
      </c>
      <c r="H106" s="562">
        <v>0</v>
      </c>
      <c r="I106" s="562">
        <v>0</v>
      </c>
      <c r="J106" s="1508">
        <v>135</v>
      </c>
      <c r="K106" s="562">
        <v>95</v>
      </c>
      <c r="L106" s="1509"/>
      <c r="M106" s="328">
        <v>26</v>
      </c>
      <c r="N106" s="328">
        <v>204</v>
      </c>
      <c r="O106" s="328">
        <v>0</v>
      </c>
      <c r="P106" s="328">
        <v>0</v>
      </c>
      <c r="Q106" s="1531">
        <v>2</v>
      </c>
    </row>
    <row r="107" spans="1:17" s="329" customFormat="1" x14ac:dyDescent="0.3">
      <c r="A107" s="331" t="s">
        <v>87</v>
      </c>
      <c r="B107" s="327" t="s">
        <v>88</v>
      </c>
      <c r="C107" s="326" t="s">
        <v>254</v>
      </c>
      <c r="D107" s="1532">
        <v>700</v>
      </c>
      <c r="E107" s="1508">
        <v>465</v>
      </c>
      <c r="F107" s="562">
        <v>173</v>
      </c>
      <c r="G107" s="562">
        <v>62</v>
      </c>
      <c r="H107" s="562">
        <v>0</v>
      </c>
      <c r="I107" s="562">
        <v>0</v>
      </c>
      <c r="J107" s="1508">
        <v>423</v>
      </c>
      <c r="K107" s="562">
        <v>277</v>
      </c>
      <c r="L107" s="1509"/>
      <c r="M107" s="328">
        <v>253</v>
      </c>
      <c r="N107" s="328">
        <v>339</v>
      </c>
      <c r="O107" s="328">
        <v>108</v>
      </c>
      <c r="P107" s="328">
        <v>0</v>
      </c>
      <c r="Q107" s="1531">
        <v>33</v>
      </c>
    </row>
    <row r="108" spans="1:17" s="329" customFormat="1" x14ac:dyDescent="0.3">
      <c r="A108" s="331" t="s">
        <v>89</v>
      </c>
      <c r="B108" s="327" t="s">
        <v>90</v>
      </c>
      <c r="C108" s="326" t="s">
        <v>255</v>
      </c>
      <c r="D108" s="1532">
        <v>73</v>
      </c>
      <c r="E108" s="1508">
        <v>60</v>
      </c>
      <c r="F108" s="562">
        <v>9</v>
      </c>
      <c r="G108" s="562">
        <v>4</v>
      </c>
      <c r="H108" s="562">
        <v>0</v>
      </c>
      <c r="I108" s="562">
        <v>0</v>
      </c>
      <c r="J108" s="1508">
        <v>35</v>
      </c>
      <c r="K108" s="562">
        <v>38</v>
      </c>
      <c r="L108" s="1509"/>
      <c r="M108" s="328">
        <v>65</v>
      </c>
      <c r="N108" s="328">
        <v>8</v>
      </c>
      <c r="O108" s="328">
        <v>0</v>
      </c>
      <c r="P108" s="328">
        <v>0</v>
      </c>
      <c r="Q108" s="1531">
        <v>26</v>
      </c>
    </row>
    <row r="109" spans="1:17" s="329" customFormat="1" x14ac:dyDescent="0.3">
      <c r="A109" s="331" t="s">
        <v>105</v>
      </c>
      <c r="B109" s="327" t="s">
        <v>106</v>
      </c>
      <c r="C109" s="326" t="s">
        <v>251</v>
      </c>
      <c r="D109" s="1532">
        <v>2403</v>
      </c>
      <c r="E109" s="1508">
        <v>1713</v>
      </c>
      <c r="F109" s="562">
        <v>475</v>
      </c>
      <c r="G109" s="562">
        <v>215</v>
      </c>
      <c r="H109" s="562">
        <v>0</v>
      </c>
      <c r="I109" s="562">
        <v>0</v>
      </c>
      <c r="J109" s="1508">
        <v>1486</v>
      </c>
      <c r="K109" s="562">
        <v>917</v>
      </c>
      <c r="L109" s="1509"/>
      <c r="M109" s="328">
        <v>392</v>
      </c>
      <c r="N109" s="328">
        <v>1963</v>
      </c>
      <c r="O109" s="328">
        <v>48</v>
      </c>
      <c r="P109" s="328">
        <v>0</v>
      </c>
      <c r="Q109" s="1531">
        <v>117</v>
      </c>
    </row>
    <row r="110" spans="1:17" s="329" customFormat="1" x14ac:dyDescent="0.3">
      <c r="A110" s="331" t="s">
        <v>115</v>
      </c>
      <c r="B110" s="327" t="s">
        <v>116</v>
      </c>
      <c r="C110" s="326" t="s">
        <v>253</v>
      </c>
      <c r="D110" s="1532">
        <v>745</v>
      </c>
      <c r="E110" s="1508">
        <v>529</v>
      </c>
      <c r="F110" s="562">
        <v>155</v>
      </c>
      <c r="G110" s="562">
        <v>61</v>
      </c>
      <c r="H110" s="562">
        <v>0</v>
      </c>
      <c r="I110" s="562">
        <v>0</v>
      </c>
      <c r="J110" s="1508">
        <v>431</v>
      </c>
      <c r="K110" s="562">
        <v>314</v>
      </c>
      <c r="L110" s="1509"/>
      <c r="M110" s="328">
        <v>214</v>
      </c>
      <c r="N110" s="328">
        <v>521</v>
      </c>
      <c r="O110" s="328">
        <v>10</v>
      </c>
      <c r="P110" s="328">
        <v>0</v>
      </c>
      <c r="Q110" s="1531">
        <v>42</v>
      </c>
    </row>
    <row r="111" spans="1:17" s="329" customFormat="1" x14ac:dyDescent="0.3">
      <c r="A111" s="331" t="s">
        <v>137</v>
      </c>
      <c r="B111" s="327" t="s">
        <v>138</v>
      </c>
      <c r="C111" s="326" t="s">
        <v>252</v>
      </c>
      <c r="D111" s="1532">
        <v>1094</v>
      </c>
      <c r="E111" s="1508">
        <v>781</v>
      </c>
      <c r="F111" s="562">
        <v>247</v>
      </c>
      <c r="G111" s="562">
        <v>66</v>
      </c>
      <c r="H111" s="562">
        <v>0</v>
      </c>
      <c r="I111" s="562">
        <v>0</v>
      </c>
      <c r="J111" s="1508">
        <v>660</v>
      </c>
      <c r="K111" s="562">
        <v>434</v>
      </c>
      <c r="L111" s="1509"/>
      <c r="M111" s="328">
        <v>269</v>
      </c>
      <c r="N111" s="328">
        <v>817</v>
      </c>
      <c r="O111" s="328">
        <v>8</v>
      </c>
      <c r="P111" s="328">
        <v>0</v>
      </c>
      <c r="Q111" s="1531">
        <v>25</v>
      </c>
    </row>
    <row r="112" spans="1:17" s="329" customFormat="1" x14ac:dyDescent="0.3">
      <c r="A112" s="331" t="s">
        <v>141</v>
      </c>
      <c r="B112" s="327" t="s">
        <v>142</v>
      </c>
      <c r="C112" s="326" t="s">
        <v>254</v>
      </c>
      <c r="D112" s="1532">
        <v>284</v>
      </c>
      <c r="E112" s="1508">
        <v>198</v>
      </c>
      <c r="F112" s="562">
        <v>51</v>
      </c>
      <c r="G112" s="562">
        <v>35</v>
      </c>
      <c r="H112" s="562">
        <v>0</v>
      </c>
      <c r="I112" s="562">
        <v>0</v>
      </c>
      <c r="J112" s="1508">
        <v>162</v>
      </c>
      <c r="K112" s="562">
        <v>122</v>
      </c>
      <c r="L112" s="1509"/>
      <c r="M112" s="328">
        <v>144</v>
      </c>
      <c r="N112" s="328">
        <v>115</v>
      </c>
      <c r="O112" s="328">
        <v>25</v>
      </c>
      <c r="P112" s="328">
        <v>0</v>
      </c>
      <c r="Q112" s="1531">
        <v>41</v>
      </c>
    </row>
    <row r="113" spans="1:17" s="329" customFormat="1" x14ac:dyDescent="0.3">
      <c r="A113" s="331" t="s">
        <v>143</v>
      </c>
      <c r="B113" s="327" t="s">
        <v>144</v>
      </c>
      <c r="C113" s="326" t="s">
        <v>254</v>
      </c>
      <c r="D113" s="1532">
        <v>79</v>
      </c>
      <c r="E113" s="1508">
        <v>54</v>
      </c>
      <c r="F113" s="562">
        <v>15</v>
      </c>
      <c r="G113" s="562">
        <v>10</v>
      </c>
      <c r="H113" s="562">
        <v>0</v>
      </c>
      <c r="I113" s="562">
        <v>0</v>
      </c>
      <c r="J113" s="1508">
        <v>46</v>
      </c>
      <c r="K113" s="562">
        <v>33</v>
      </c>
      <c r="L113" s="1509"/>
      <c r="M113" s="328">
        <v>40</v>
      </c>
      <c r="N113" s="328">
        <v>33</v>
      </c>
      <c r="O113" s="328">
        <v>6</v>
      </c>
      <c r="P113" s="328">
        <v>0</v>
      </c>
      <c r="Q113" s="1531">
        <v>11</v>
      </c>
    </row>
    <row r="114" spans="1:17" s="329" customFormat="1" x14ac:dyDescent="0.3">
      <c r="A114" s="331" t="s">
        <v>157</v>
      </c>
      <c r="B114" s="327" t="s">
        <v>158</v>
      </c>
      <c r="C114" s="326" t="s">
        <v>251</v>
      </c>
      <c r="D114" s="1532">
        <v>4071</v>
      </c>
      <c r="E114" s="1508">
        <v>2801</v>
      </c>
      <c r="F114" s="562">
        <v>944</v>
      </c>
      <c r="G114" s="562">
        <v>326</v>
      </c>
      <c r="H114" s="562">
        <v>0</v>
      </c>
      <c r="I114" s="562">
        <v>0</v>
      </c>
      <c r="J114" s="1508">
        <v>2533</v>
      </c>
      <c r="K114" s="562">
        <v>1538</v>
      </c>
      <c r="L114" s="1509"/>
      <c r="M114" s="328">
        <v>667</v>
      </c>
      <c r="N114" s="328">
        <v>3279</v>
      </c>
      <c r="O114" s="328">
        <v>124</v>
      </c>
      <c r="P114" s="328">
        <v>1</v>
      </c>
      <c r="Q114" s="1531">
        <v>229</v>
      </c>
    </row>
    <row r="115" spans="1:17" s="329" customFormat="1" x14ac:dyDescent="0.3">
      <c r="A115" s="331" t="s">
        <v>159</v>
      </c>
      <c r="B115" s="327" t="s">
        <v>160</v>
      </c>
      <c r="C115" s="326" t="s">
        <v>251</v>
      </c>
      <c r="D115" s="1532">
        <v>3606</v>
      </c>
      <c r="E115" s="1508">
        <v>2634</v>
      </c>
      <c r="F115" s="562">
        <v>721</v>
      </c>
      <c r="G115" s="562">
        <v>251</v>
      </c>
      <c r="H115" s="562">
        <v>0</v>
      </c>
      <c r="I115" s="562">
        <v>0</v>
      </c>
      <c r="J115" s="1508">
        <v>2244</v>
      </c>
      <c r="K115" s="562">
        <v>1362</v>
      </c>
      <c r="L115" s="1509"/>
      <c r="M115" s="328">
        <v>455</v>
      </c>
      <c r="N115" s="328">
        <v>3063</v>
      </c>
      <c r="O115" s="328">
        <v>88</v>
      </c>
      <c r="P115" s="328">
        <v>0</v>
      </c>
      <c r="Q115" s="1531">
        <v>192</v>
      </c>
    </row>
    <row r="116" spans="1:17" s="329" customFormat="1" x14ac:dyDescent="0.3">
      <c r="A116" s="331" t="s">
        <v>165</v>
      </c>
      <c r="B116" s="327" t="s">
        <v>166</v>
      </c>
      <c r="C116" s="326" t="s">
        <v>255</v>
      </c>
      <c r="D116" s="1532">
        <v>118</v>
      </c>
      <c r="E116" s="1508">
        <v>83</v>
      </c>
      <c r="F116" s="562">
        <v>29</v>
      </c>
      <c r="G116" s="562">
        <v>6</v>
      </c>
      <c r="H116" s="562">
        <v>0</v>
      </c>
      <c r="I116" s="562">
        <v>0</v>
      </c>
      <c r="J116" s="1508">
        <v>68</v>
      </c>
      <c r="K116" s="562">
        <v>50</v>
      </c>
      <c r="L116" s="1509"/>
      <c r="M116" s="328">
        <v>99</v>
      </c>
      <c r="N116" s="328">
        <v>19</v>
      </c>
      <c r="O116" s="328">
        <v>0</v>
      </c>
      <c r="P116" s="328">
        <v>0</v>
      </c>
      <c r="Q116" s="1531">
        <v>1</v>
      </c>
    </row>
    <row r="117" spans="1:17" s="329" customFormat="1" x14ac:dyDescent="0.3">
      <c r="A117" s="331" t="s">
        <v>175</v>
      </c>
      <c r="B117" s="327" t="s">
        <v>176</v>
      </c>
      <c r="C117" s="326" t="s">
        <v>253</v>
      </c>
      <c r="D117" s="1532">
        <v>973</v>
      </c>
      <c r="E117" s="1508">
        <v>685</v>
      </c>
      <c r="F117" s="562">
        <v>213</v>
      </c>
      <c r="G117" s="562">
        <v>75</v>
      </c>
      <c r="H117" s="562">
        <v>0</v>
      </c>
      <c r="I117" s="562">
        <v>0</v>
      </c>
      <c r="J117" s="1508">
        <v>603</v>
      </c>
      <c r="K117" s="562">
        <v>370</v>
      </c>
      <c r="L117" s="1509"/>
      <c r="M117" s="328">
        <v>86</v>
      </c>
      <c r="N117" s="328">
        <v>872</v>
      </c>
      <c r="O117" s="328">
        <v>15</v>
      </c>
      <c r="P117" s="328">
        <v>0</v>
      </c>
      <c r="Q117" s="1531">
        <v>33</v>
      </c>
    </row>
    <row r="118" spans="1:17" s="329" customFormat="1" x14ac:dyDescent="0.3">
      <c r="A118" s="331" t="s">
        <v>179</v>
      </c>
      <c r="B118" s="327" t="s">
        <v>180</v>
      </c>
      <c r="C118" s="326" t="s">
        <v>251</v>
      </c>
      <c r="D118" s="1532">
        <v>2302</v>
      </c>
      <c r="E118" s="1508">
        <v>1660</v>
      </c>
      <c r="F118" s="562">
        <v>508</v>
      </c>
      <c r="G118" s="562">
        <v>133</v>
      </c>
      <c r="H118" s="562">
        <v>0</v>
      </c>
      <c r="I118" s="562">
        <v>1</v>
      </c>
      <c r="J118" s="1508">
        <v>1437</v>
      </c>
      <c r="K118" s="562">
        <v>865</v>
      </c>
      <c r="L118" s="1509"/>
      <c r="M118" s="328">
        <v>237</v>
      </c>
      <c r="N118" s="328">
        <v>2041</v>
      </c>
      <c r="O118" s="328">
        <v>24</v>
      </c>
      <c r="P118" s="328">
        <v>0</v>
      </c>
      <c r="Q118" s="1531">
        <v>59</v>
      </c>
    </row>
    <row r="119" spans="1:17" s="329" customFormat="1" x14ac:dyDescent="0.3">
      <c r="A119" s="331" t="s">
        <v>191</v>
      </c>
      <c r="B119" s="327" t="s">
        <v>192</v>
      </c>
      <c r="C119" s="326" t="s">
        <v>255</v>
      </c>
      <c r="D119" s="1532">
        <v>127</v>
      </c>
      <c r="E119" s="1508">
        <v>96</v>
      </c>
      <c r="F119" s="562">
        <v>20</v>
      </c>
      <c r="G119" s="562">
        <v>11</v>
      </c>
      <c r="H119" s="562">
        <v>0</v>
      </c>
      <c r="I119" s="562">
        <v>0</v>
      </c>
      <c r="J119" s="1508">
        <v>76</v>
      </c>
      <c r="K119" s="562">
        <v>51</v>
      </c>
      <c r="L119" s="1509"/>
      <c r="M119" s="328">
        <v>101</v>
      </c>
      <c r="N119" s="328">
        <v>24</v>
      </c>
      <c r="O119" s="328">
        <v>2</v>
      </c>
      <c r="P119" s="328">
        <v>0</v>
      </c>
      <c r="Q119" s="1531">
        <v>2</v>
      </c>
    </row>
    <row r="120" spans="1:17" s="329" customFormat="1" x14ac:dyDescent="0.3">
      <c r="A120" s="331" t="s">
        <v>195</v>
      </c>
      <c r="B120" s="327" t="s">
        <v>196</v>
      </c>
      <c r="C120" s="326" t="s">
        <v>253</v>
      </c>
      <c r="D120" s="1532">
        <v>4104</v>
      </c>
      <c r="E120" s="1508">
        <v>2961</v>
      </c>
      <c r="F120" s="562">
        <v>911</v>
      </c>
      <c r="G120" s="562">
        <v>229</v>
      </c>
      <c r="H120" s="562">
        <v>3</v>
      </c>
      <c r="I120" s="562">
        <v>0</v>
      </c>
      <c r="J120" s="1508">
        <v>2554</v>
      </c>
      <c r="K120" s="562">
        <v>1550</v>
      </c>
      <c r="L120" s="1509"/>
      <c r="M120" s="328">
        <v>307</v>
      </c>
      <c r="N120" s="328">
        <v>3734</v>
      </c>
      <c r="O120" s="328">
        <v>62</v>
      </c>
      <c r="P120" s="328">
        <v>1</v>
      </c>
      <c r="Q120" s="1531">
        <v>167</v>
      </c>
    </row>
    <row r="121" spans="1:17" s="329" customFormat="1" x14ac:dyDescent="0.3">
      <c r="A121" s="331" t="s">
        <v>199</v>
      </c>
      <c r="B121" s="327" t="s">
        <v>200</v>
      </c>
      <c r="C121" s="326" t="s">
        <v>252</v>
      </c>
      <c r="D121" s="1532">
        <v>2098</v>
      </c>
      <c r="E121" s="1508">
        <v>1538</v>
      </c>
      <c r="F121" s="562">
        <v>407</v>
      </c>
      <c r="G121" s="562">
        <v>152</v>
      </c>
      <c r="H121" s="562">
        <v>1</v>
      </c>
      <c r="I121" s="562">
        <v>0</v>
      </c>
      <c r="J121" s="1508">
        <v>1249</v>
      </c>
      <c r="K121" s="562">
        <v>849</v>
      </c>
      <c r="L121" s="1509"/>
      <c r="M121" s="328">
        <v>831</v>
      </c>
      <c r="N121" s="328">
        <v>1195</v>
      </c>
      <c r="O121" s="328">
        <v>72</v>
      </c>
      <c r="P121" s="328">
        <v>0</v>
      </c>
      <c r="Q121" s="1531">
        <v>88</v>
      </c>
    </row>
    <row r="122" spans="1:17" s="329" customFormat="1" x14ac:dyDescent="0.3">
      <c r="A122" s="331" t="s">
        <v>221</v>
      </c>
      <c r="B122" s="327" t="s">
        <v>222</v>
      </c>
      <c r="C122" s="326" t="s">
        <v>251</v>
      </c>
      <c r="D122" s="1532">
        <v>976</v>
      </c>
      <c r="E122" s="1508">
        <v>698</v>
      </c>
      <c r="F122" s="562">
        <v>218</v>
      </c>
      <c r="G122" s="562">
        <v>60</v>
      </c>
      <c r="H122" s="562">
        <v>0</v>
      </c>
      <c r="I122" s="562">
        <v>0</v>
      </c>
      <c r="J122" s="1508">
        <v>608</v>
      </c>
      <c r="K122" s="562">
        <v>368</v>
      </c>
      <c r="L122" s="1509"/>
      <c r="M122" s="328">
        <v>165</v>
      </c>
      <c r="N122" s="328">
        <v>798</v>
      </c>
      <c r="O122" s="328">
        <v>13</v>
      </c>
      <c r="P122" s="328">
        <v>0</v>
      </c>
      <c r="Q122" s="1531">
        <v>30</v>
      </c>
    </row>
    <row r="123" spans="1:17" s="329" customFormat="1" x14ac:dyDescent="0.3">
      <c r="A123" s="331" t="s">
        <v>229</v>
      </c>
      <c r="B123" s="327" t="s">
        <v>230</v>
      </c>
      <c r="C123" s="326" t="s">
        <v>251</v>
      </c>
      <c r="D123" s="1532">
        <v>1681</v>
      </c>
      <c r="E123" s="1508">
        <v>1225</v>
      </c>
      <c r="F123" s="562">
        <v>301</v>
      </c>
      <c r="G123" s="562">
        <v>155</v>
      </c>
      <c r="H123" s="562">
        <v>0</v>
      </c>
      <c r="I123" s="562">
        <v>0</v>
      </c>
      <c r="J123" s="1508">
        <v>1034</v>
      </c>
      <c r="K123" s="562">
        <v>647</v>
      </c>
      <c r="L123" s="1509"/>
      <c r="M123" s="328">
        <v>492</v>
      </c>
      <c r="N123" s="328">
        <v>1127</v>
      </c>
      <c r="O123" s="328">
        <v>62</v>
      </c>
      <c r="P123" s="328">
        <v>0</v>
      </c>
      <c r="Q123" s="1531">
        <v>141</v>
      </c>
    </row>
    <row r="124" spans="1:17" s="329" customFormat="1" x14ac:dyDescent="0.3">
      <c r="A124" s="331" t="s">
        <v>237</v>
      </c>
      <c r="B124" s="327" t="s">
        <v>238</v>
      </c>
      <c r="C124" s="326" t="s">
        <v>251</v>
      </c>
      <c r="D124" s="1532">
        <v>103</v>
      </c>
      <c r="E124" s="1508">
        <v>70</v>
      </c>
      <c r="F124" s="562">
        <v>19</v>
      </c>
      <c r="G124" s="562">
        <v>14</v>
      </c>
      <c r="H124" s="562">
        <v>0</v>
      </c>
      <c r="I124" s="562">
        <v>0</v>
      </c>
      <c r="J124" s="1508">
        <v>59</v>
      </c>
      <c r="K124" s="562">
        <v>44</v>
      </c>
      <c r="L124" s="1509"/>
      <c r="M124" s="328">
        <v>27</v>
      </c>
      <c r="N124" s="328">
        <v>74</v>
      </c>
      <c r="O124" s="328">
        <v>2</v>
      </c>
      <c r="P124" s="328">
        <v>0</v>
      </c>
      <c r="Q124" s="1531">
        <v>12</v>
      </c>
    </row>
    <row r="125" spans="1:17" s="329" customFormat="1" x14ac:dyDescent="0.3">
      <c r="A125" s="331" t="s">
        <v>239</v>
      </c>
      <c r="B125" s="327" t="s">
        <v>240</v>
      </c>
      <c r="C125" s="326" t="s">
        <v>254</v>
      </c>
      <c r="D125" s="1532">
        <v>307</v>
      </c>
      <c r="E125" s="1508">
        <v>205</v>
      </c>
      <c r="F125" s="562">
        <v>55</v>
      </c>
      <c r="G125" s="562">
        <v>47</v>
      </c>
      <c r="H125" s="562">
        <v>0</v>
      </c>
      <c r="I125" s="562">
        <v>0</v>
      </c>
      <c r="J125" s="1508">
        <v>177</v>
      </c>
      <c r="K125" s="562">
        <v>130</v>
      </c>
      <c r="L125" s="1509"/>
      <c r="M125" s="328">
        <v>200</v>
      </c>
      <c r="N125" s="328">
        <v>104</v>
      </c>
      <c r="O125" s="328">
        <v>3</v>
      </c>
      <c r="P125" s="328">
        <v>0</v>
      </c>
      <c r="Q125" s="1531">
        <v>14</v>
      </c>
    </row>
    <row r="126" spans="1:17" x14ac:dyDescent="0.3">
      <c r="B126" s="252"/>
      <c r="C126" s="252"/>
      <c r="D126" s="252"/>
      <c r="E126" s="252"/>
      <c r="F126" s="252"/>
      <c r="G126" s="252"/>
      <c r="H126" s="252"/>
      <c r="I126" s="252"/>
      <c r="J126" s="252"/>
      <c r="K126" s="252"/>
      <c r="L126" s="252"/>
    </row>
    <row r="128" spans="1:17" ht="45" customHeight="1" x14ac:dyDescent="0.3">
      <c r="A128" s="2551" t="s">
        <v>927</v>
      </c>
      <c r="B128" s="2551"/>
      <c r="C128" s="2551"/>
      <c r="D128" s="2551"/>
      <c r="E128" s="2551"/>
      <c r="F128" s="2551"/>
      <c r="G128" s="2551"/>
      <c r="H128" s="2551"/>
      <c r="I128" s="2551"/>
      <c r="J128" s="653"/>
      <c r="K128" s="653"/>
      <c r="L128" s="1510"/>
    </row>
    <row r="129" spans="1:12" x14ac:dyDescent="0.3">
      <c r="A129" s="2551"/>
      <c r="B129" s="2551"/>
      <c r="C129" s="2551"/>
      <c r="D129" s="2551"/>
      <c r="E129" s="2551"/>
      <c r="F129" s="2551"/>
      <c r="G129" s="2551"/>
      <c r="H129" s="2551"/>
      <c r="I129" s="2551"/>
    </row>
    <row r="130" spans="1:12" s="193" customFormat="1" x14ac:dyDescent="0.3">
      <c r="A130" s="193" t="s">
        <v>247</v>
      </c>
    </row>
    <row r="131" spans="1:12" s="193" customFormat="1" x14ac:dyDescent="0.3">
      <c r="A131" s="194" t="s">
        <v>248</v>
      </c>
      <c r="B131" s="195" t="s">
        <v>249</v>
      </c>
      <c r="C131" s="195"/>
      <c r="D131" s="195"/>
      <c r="E131" s="195"/>
      <c r="F131" s="195"/>
      <c r="G131" s="195"/>
      <c r="H131" s="195"/>
      <c r="I131" s="195"/>
      <c r="J131" s="195"/>
      <c r="K131" s="195"/>
      <c r="L131" s="195"/>
    </row>
  </sheetData>
  <autoFilter ref="A4:C4"/>
  <sortState ref="A6:Q125">
    <sortCondition ref="A6:A125"/>
  </sortState>
  <mergeCells count="5">
    <mergeCell ref="Q3:Q4"/>
    <mergeCell ref="A128:I129"/>
    <mergeCell ref="M3:P3"/>
    <mergeCell ref="E3:I3"/>
    <mergeCell ref="J3:L3"/>
  </mergeCells>
  <hyperlinks>
    <hyperlink ref="B131"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H120" activePane="bottomRight" state="frozen"/>
      <selection pane="topRight" activeCell="D1" sqref="D1"/>
      <selection pane="bottomLeft" activeCell="A6" sqref="A6"/>
      <selection pane="bottomRight"/>
    </sheetView>
  </sheetViews>
  <sheetFormatPr defaultColWidth="14.296875" defaultRowHeight="15.6" x14ac:dyDescent="0.3"/>
  <cols>
    <col min="1" max="1" width="14.296875" style="247"/>
    <col min="2" max="2" width="32.19921875" style="247" customWidth="1"/>
    <col min="3" max="3" width="14.5" style="247" customWidth="1"/>
    <col min="4" max="4" width="12.19921875" style="247" customWidth="1"/>
    <col min="5" max="5" width="11.796875" style="247" customWidth="1"/>
    <col min="6" max="7" width="11.09765625" style="247" customWidth="1"/>
    <col min="8" max="8" width="14.5" style="247" customWidth="1"/>
    <col min="9" max="9" width="9.59765625" style="247" bestFit="1" customWidth="1"/>
    <col min="10" max="12" width="10.09765625" style="247" customWidth="1"/>
    <col min="13" max="16" width="12.19921875" style="247" customWidth="1"/>
    <col min="17" max="17" width="15.296875" style="247" customWidth="1"/>
    <col min="18" max="16384" width="14.296875" style="247"/>
  </cols>
  <sheetData>
    <row r="1" spans="1:17" x14ac:dyDescent="0.3">
      <c r="A1" s="94" t="s">
        <v>857</v>
      </c>
    </row>
    <row r="2" spans="1:17" x14ac:dyDescent="0.3">
      <c r="B2" s="248"/>
      <c r="C2" s="248"/>
      <c r="E2" s="248"/>
      <c r="F2" s="248"/>
      <c r="G2" s="248"/>
      <c r="H2" s="248"/>
      <c r="I2" s="248"/>
      <c r="J2" s="248"/>
      <c r="K2" s="248"/>
      <c r="L2" s="248"/>
    </row>
    <row r="3" spans="1:17" ht="23.25" customHeight="1" x14ac:dyDescent="0.3">
      <c r="A3" s="249"/>
      <c r="B3" s="250"/>
      <c r="C3" s="330"/>
      <c r="D3" s="652"/>
      <c r="E3" s="2552" t="s">
        <v>544</v>
      </c>
      <c r="F3" s="2553"/>
      <c r="G3" s="2553"/>
      <c r="H3" s="2553"/>
      <c r="I3" s="2554"/>
      <c r="J3" s="2552" t="s">
        <v>539</v>
      </c>
      <c r="K3" s="2553"/>
      <c r="L3" s="2554"/>
      <c r="M3" s="2553" t="s">
        <v>503</v>
      </c>
      <c r="N3" s="2553"/>
      <c r="O3" s="2553"/>
      <c r="P3" s="2553"/>
      <c r="Q3" s="2557" t="s">
        <v>414</v>
      </c>
    </row>
    <row r="4" spans="1:17" ht="35.25" customHeight="1" x14ac:dyDescent="0.3">
      <c r="A4" s="251" t="s">
        <v>4</v>
      </c>
      <c r="B4" s="250" t="s">
        <v>5</v>
      </c>
      <c r="C4" s="330" t="s">
        <v>250</v>
      </c>
      <c r="D4" s="652" t="s">
        <v>262</v>
      </c>
      <c r="E4" s="1500" t="s">
        <v>412</v>
      </c>
      <c r="F4" s="1483" t="s">
        <v>773</v>
      </c>
      <c r="G4" s="1512" t="s">
        <v>774</v>
      </c>
      <c r="H4" s="1483" t="s">
        <v>505</v>
      </c>
      <c r="I4" s="1501" t="s">
        <v>765</v>
      </c>
      <c r="J4" s="1500" t="s">
        <v>381</v>
      </c>
      <c r="K4" s="1483" t="s">
        <v>380</v>
      </c>
      <c r="L4" s="1501" t="s">
        <v>765</v>
      </c>
      <c r="M4" s="330" t="s">
        <v>2</v>
      </c>
      <c r="N4" s="330" t="s">
        <v>298</v>
      </c>
      <c r="O4" s="330" t="s">
        <v>519</v>
      </c>
      <c r="P4" s="330" t="s">
        <v>765</v>
      </c>
      <c r="Q4" s="2558"/>
    </row>
    <row r="5" spans="1:17" x14ac:dyDescent="0.3">
      <c r="A5" s="670" t="s">
        <v>7</v>
      </c>
      <c r="B5" s="671" t="s">
        <v>8</v>
      </c>
      <c r="C5" s="672"/>
      <c r="D5" s="673">
        <v>1800133</v>
      </c>
      <c r="E5" s="1507">
        <v>750597</v>
      </c>
      <c r="F5" s="1499">
        <v>418612</v>
      </c>
      <c r="G5" s="1499">
        <v>485300</v>
      </c>
      <c r="H5" s="1499">
        <v>145503</v>
      </c>
      <c r="I5" s="1514">
        <v>121</v>
      </c>
      <c r="J5" s="1507">
        <v>1007934</v>
      </c>
      <c r="K5" s="1499">
        <v>792199</v>
      </c>
      <c r="L5" s="1514">
        <v>0</v>
      </c>
      <c r="M5" s="673">
        <v>996493</v>
      </c>
      <c r="N5" s="673">
        <v>649876</v>
      </c>
      <c r="O5" s="673">
        <v>100420</v>
      </c>
      <c r="P5" s="673">
        <v>53344</v>
      </c>
      <c r="Q5" s="1529">
        <v>104232</v>
      </c>
    </row>
    <row r="6" spans="1:17" s="329" customFormat="1" x14ac:dyDescent="0.3">
      <c r="A6" s="331" t="s">
        <v>9</v>
      </c>
      <c r="B6" s="327" t="s">
        <v>10</v>
      </c>
      <c r="C6" s="326" t="s">
        <v>251</v>
      </c>
      <c r="D6" s="328">
        <v>11409</v>
      </c>
      <c r="E6" s="1508">
        <v>4971</v>
      </c>
      <c r="F6" s="562">
        <v>2276</v>
      </c>
      <c r="G6" s="562">
        <v>2979</v>
      </c>
      <c r="H6" s="562">
        <v>1183</v>
      </c>
      <c r="I6" s="1509">
        <v>0</v>
      </c>
      <c r="J6" s="1508">
        <v>6426</v>
      </c>
      <c r="K6" s="562">
        <v>4983</v>
      </c>
      <c r="L6" s="1509"/>
      <c r="M6" s="328">
        <v>6091</v>
      </c>
      <c r="N6" s="328">
        <v>4993</v>
      </c>
      <c r="O6" s="328">
        <v>143</v>
      </c>
      <c r="P6" s="328">
        <v>182</v>
      </c>
      <c r="Q6" s="1530">
        <v>726</v>
      </c>
    </row>
    <row r="7" spans="1:17" s="329" customFormat="1" x14ac:dyDescent="0.3">
      <c r="A7" s="331" t="s">
        <v>11</v>
      </c>
      <c r="B7" s="327" t="s">
        <v>12</v>
      </c>
      <c r="C7" s="326" t="s">
        <v>252</v>
      </c>
      <c r="D7" s="328">
        <v>15400</v>
      </c>
      <c r="E7" s="1508">
        <v>6637</v>
      </c>
      <c r="F7" s="562">
        <v>3669</v>
      </c>
      <c r="G7" s="562">
        <v>3956</v>
      </c>
      <c r="H7" s="562">
        <v>1137</v>
      </c>
      <c r="I7" s="1509">
        <v>1</v>
      </c>
      <c r="J7" s="1508">
        <v>8616</v>
      </c>
      <c r="K7" s="562">
        <v>6784</v>
      </c>
      <c r="L7" s="1509"/>
      <c r="M7" s="328">
        <v>9957</v>
      </c>
      <c r="N7" s="328">
        <v>3797</v>
      </c>
      <c r="O7" s="328">
        <v>770</v>
      </c>
      <c r="P7" s="328">
        <v>876</v>
      </c>
      <c r="Q7" s="1530">
        <v>694</v>
      </c>
    </row>
    <row r="8" spans="1:17" s="329" customFormat="1" x14ac:dyDescent="0.3">
      <c r="A8" s="331" t="s">
        <v>15</v>
      </c>
      <c r="B8" s="327" t="s">
        <v>273</v>
      </c>
      <c r="C8" s="326" t="s">
        <v>252</v>
      </c>
      <c r="D8" s="328">
        <v>7033</v>
      </c>
      <c r="E8" s="1508">
        <v>2576</v>
      </c>
      <c r="F8" s="562">
        <v>1570</v>
      </c>
      <c r="G8" s="562">
        <v>2147</v>
      </c>
      <c r="H8" s="562">
        <v>740</v>
      </c>
      <c r="I8" s="1509">
        <v>0</v>
      </c>
      <c r="J8" s="1508">
        <v>4005</v>
      </c>
      <c r="K8" s="562">
        <v>3028</v>
      </c>
      <c r="L8" s="1509"/>
      <c r="M8" s="328">
        <v>6067</v>
      </c>
      <c r="N8" s="328">
        <v>795</v>
      </c>
      <c r="O8" s="328">
        <v>75</v>
      </c>
      <c r="P8" s="328">
        <v>96</v>
      </c>
      <c r="Q8" s="1530">
        <v>86</v>
      </c>
    </row>
    <row r="9" spans="1:17" s="329" customFormat="1" x14ac:dyDescent="0.3">
      <c r="A9" s="331" t="s">
        <v>17</v>
      </c>
      <c r="B9" s="327" t="s">
        <v>18</v>
      </c>
      <c r="C9" s="326" t="s">
        <v>253</v>
      </c>
      <c r="D9" s="328">
        <v>3410</v>
      </c>
      <c r="E9" s="1508">
        <v>1318</v>
      </c>
      <c r="F9" s="562">
        <v>720</v>
      </c>
      <c r="G9" s="562">
        <v>1001</v>
      </c>
      <c r="H9" s="562">
        <v>371</v>
      </c>
      <c r="I9" s="1509">
        <v>0</v>
      </c>
      <c r="J9" s="1508">
        <v>1876</v>
      </c>
      <c r="K9" s="562">
        <v>1534</v>
      </c>
      <c r="L9" s="1509"/>
      <c r="M9" s="328">
        <v>2157</v>
      </c>
      <c r="N9" s="328">
        <v>1127</v>
      </c>
      <c r="O9" s="328">
        <v>54</v>
      </c>
      <c r="P9" s="328">
        <v>72</v>
      </c>
      <c r="Q9" s="1530">
        <v>99</v>
      </c>
    </row>
    <row r="10" spans="1:17" s="329" customFormat="1" x14ac:dyDescent="0.3">
      <c r="A10" s="331" t="s">
        <v>19</v>
      </c>
      <c r="B10" s="327" t="s">
        <v>20</v>
      </c>
      <c r="C10" s="326" t="s">
        <v>252</v>
      </c>
      <c r="D10" s="328">
        <v>8565</v>
      </c>
      <c r="E10" s="1508">
        <v>3221</v>
      </c>
      <c r="F10" s="562">
        <v>1980</v>
      </c>
      <c r="G10" s="562">
        <v>2593</v>
      </c>
      <c r="H10" s="562">
        <v>771</v>
      </c>
      <c r="I10" s="1509">
        <v>0</v>
      </c>
      <c r="J10" s="1508">
        <v>4760</v>
      </c>
      <c r="K10" s="562">
        <v>3805</v>
      </c>
      <c r="L10" s="1509"/>
      <c r="M10" s="328">
        <v>5963</v>
      </c>
      <c r="N10" s="328">
        <v>2236</v>
      </c>
      <c r="O10" s="328">
        <v>174</v>
      </c>
      <c r="P10" s="328">
        <v>192</v>
      </c>
      <c r="Q10" s="1530">
        <v>148</v>
      </c>
    </row>
    <row r="11" spans="1:17" s="329" customFormat="1" x14ac:dyDescent="0.3">
      <c r="A11" s="331" t="s">
        <v>21</v>
      </c>
      <c r="B11" s="327" t="s">
        <v>22</v>
      </c>
      <c r="C11" s="326" t="s">
        <v>252</v>
      </c>
      <c r="D11" s="328">
        <v>4687</v>
      </c>
      <c r="E11" s="1508">
        <v>1824</v>
      </c>
      <c r="F11" s="562">
        <v>1044</v>
      </c>
      <c r="G11" s="562">
        <v>1373</v>
      </c>
      <c r="H11" s="562">
        <v>446</v>
      </c>
      <c r="I11" s="1509">
        <v>0</v>
      </c>
      <c r="J11" s="1508">
        <v>2696</v>
      </c>
      <c r="K11" s="562">
        <v>1991</v>
      </c>
      <c r="L11" s="1509"/>
      <c r="M11" s="328">
        <v>3034</v>
      </c>
      <c r="N11" s="328">
        <v>1514</v>
      </c>
      <c r="O11" s="328">
        <v>62</v>
      </c>
      <c r="P11" s="328">
        <v>77</v>
      </c>
      <c r="Q11" s="1530">
        <v>46</v>
      </c>
    </row>
    <row r="12" spans="1:17" s="329" customFormat="1" x14ac:dyDescent="0.3">
      <c r="A12" s="331" t="s">
        <v>23</v>
      </c>
      <c r="B12" s="327" t="s">
        <v>24</v>
      </c>
      <c r="C12" s="326" t="s">
        <v>254</v>
      </c>
      <c r="D12" s="328">
        <v>23733</v>
      </c>
      <c r="E12" s="1508">
        <v>10868</v>
      </c>
      <c r="F12" s="562">
        <v>4579</v>
      </c>
      <c r="G12" s="562">
        <v>5639</v>
      </c>
      <c r="H12" s="562">
        <v>2647</v>
      </c>
      <c r="I12" s="1509">
        <v>0</v>
      </c>
      <c r="J12" s="1508">
        <v>12711</v>
      </c>
      <c r="K12" s="562">
        <v>11022</v>
      </c>
      <c r="L12" s="1509"/>
      <c r="M12" s="328">
        <v>13120</v>
      </c>
      <c r="N12" s="328">
        <v>5970</v>
      </c>
      <c r="O12" s="328">
        <v>2976</v>
      </c>
      <c r="P12" s="328">
        <v>1667</v>
      </c>
      <c r="Q12" s="1530">
        <v>3306</v>
      </c>
    </row>
    <row r="13" spans="1:17" s="329" customFormat="1" x14ac:dyDescent="0.3">
      <c r="A13" s="331" t="s">
        <v>25</v>
      </c>
      <c r="B13" s="327" t="s">
        <v>444</v>
      </c>
      <c r="C13" s="326" t="s">
        <v>252</v>
      </c>
      <c r="D13" s="328">
        <v>32059</v>
      </c>
      <c r="E13" s="1508">
        <v>12487</v>
      </c>
      <c r="F13" s="562">
        <v>7792</v>
      </c>
      <c r="G13" s="562">
        <v>9366</v>
      </c>
      <c r="H13" s="562">
        <v>2412</v>
      </c>
      <c r="I13" s="1509">
        <v>2</v>
      </c>
      <c r="J13" s="1508">
        <v>17875</v>
      </c>
      <c r="K13" s="562">
        <v>14184</v>
      </c>
      <c r="L13" s="1509"/>
      <c r="M13" s="328">
        <v>26539</v>
      </c>
      <c r="N13" s="328">
        <v>4390</v>
      </c>
      <c r="O13" s="328">
        <v>505</v>
      </c>
      <c r="P13" s="328">
        <v>625</v>
      </c>
      <c r="Q13" s="1530">
        <v>878</v>
      </c>
    </row>
    <row r="14" spans="1:17" s="329" customFormat="1" x14ac:dyDescent="0.3">
      <c r="A14" s="331" t="s">
        <v>26</v>
      </c>
      <c r="B14" s="327" t="s">
        <v>27</v>
      </c>
      <c r="C14" s="326" t="s">
        <v>252</v>
      </c>
      <c r="D14" s="328">
        <v>1092</v>
      </c>
      <c r="E14" s="1508">
        <v>435</v>
      </c>
      <c r="F14" s="562">
        <v>241</v>
      </c>
      <c r="G14" s="562">
        <v>317</v>
      </c>
      <c r="H14" s="562">
        <v>99</v>
      </c>
      <c r="I14" s="1509">
        <v>0</v>
      </c>
      <c r="J14" s="1508">
        <v>632</v>
      </c>
      <c r="K14" s="562">
        <v>460</v>
      </c>
      <c r="L14" s="1509"/>
      <c r="M14" s="328">
        <v>993</v>
      </c>
      <c r="N14" s="328">
        <v>43</v>
      </c>
      <c r="O14" s="328">
        <v>12</v>
      </c>
      <c r="P14" s="328">
        <v>44</v>
      </c>
      <c r="Q14" s="1530">
        <v>18</v>
      </c>
    </row>
    <row r="15" spans="1:17" s="329" customFormat="1" x14ac:dyDescent="0.3">
      <c r="A15" s="331" t="s">
        <v>28</v>
      </c>
      <c r="B15" s="327" t="s">
        <v>568</v>
      </c>
      <c r="C15" s="326" t="s">
        <v>252</v>
      </c>
      <c r="D15" s="328">
        <v>15123</v>
      </c>
      <c r="E15" s="1508">
        <v>5929</v>
      </c>
      <c r="F15" s="562">
        <v>3591</v>
      </c>
      <c r="G15" s="562">
        <v>4457</v>
      </c>
      <c r="H15" s="562">
        <v>1146</v>
      </c>
      <c r="I15" s="1509">
        <v>0</v>
      </c>
      <c r="J15" s="1508">
        <v>8478</v>
      </c>
      <c r="K15" s="562">
        <v>6645</v>
      </c>
      <c r="L15" s="1509"/>
      <c r="M15" s="328">
        <v>12248</v>
      </c>
      <c r="N15" s="328">
        <v>2114</v>
      </c>
      <c r="O15" s="328">
        <v>293</v>
      </c>
      <c r="P15" s="328">
        <v>468</v>
      </c>
      <c r="Q15" s="1530">
        <v>264</v>
      </c>
    </row>
    <row r="16" spans="1:17" s="329" customFormat="1" x14ac:dyDescent="0.3">
      <c r="A16" s="331" t="s">
        <v>29</v>
      </c>
      <c r="B16" s="327" t="s">
        <v>30</v>
      </c>
      <c r="C16" s="326" t="s">
        <v>255</v>
      </c>
      <c r="D16" s="328">
        <v>1719</v>
      </c>
      <c r="E16" s="1508">
        <v>476</v>
      </c>
      <c r="F16" s="562">
        <v>398</v>
      </c>
      <c r="G16" s="562">
        <v>691</v>
      </c>
      <c r="H16" s="562">
        <v>153</v>
      </c>
      <c r="I16" s="1509">
        <v>1</v>
      </c>
      <c r="J16" s="1508">
        <v>786</v>
      </c>
      <c r="K16" s="562">
        <v>933</v>
      </c>
      <c r="L16" s="1509"/>
      <c r="M16" s="328">
        <v>1619</v>
      </c>
      <c r="N16" s="328">
        <v>57</v>
      </c>
      <c r="O16" s="328">
        <v>15</v>
      </c>
      <c r="P16" s="328">
        <v>28</v>
      </c>
      <c r="Q16" s="1530">
        <v>8</v>
      </c>
    </row>
    <row r="17" spans="1:17" s="329" customFormat="1" x14ac:dyDescent="0.3">
      <c r="A17" s="331" t="s">
        <v>31</v>
      </c>
      <c r="B17" s="327" t="s">
        <v>32</v>
      </c>
      <c r="C17" s="326" t="s">
        <v>252</v>
      </c>
      <c r="D17" s="328">
        <v>5090</v>
      </c>
      <c r="E17" s="1508">
        <v>2021</v>
      </c>
      <c r="F17" s="562">
        <v>1167</v>
      </c>
      <c r="G17" s="562">
        <v>1471</v>
      </c>
      <c r="H17" s="562">
        <v>431</v>
      </c>
      <c r="I17" s="1509">
        <v>0</v>
      </c>
      <c r="J17" s="1508">
        <v>2813</v>
      </c>
      <c r="K17" s="562">
        <v>2277</v>
      </c>
      <c r="L17" s="1509"/>
      <c r="M17" s="328">
        <v>4521</v>
      </c>
      <c r="N17" s="328">
        <v>260</v>
      </c>
      <c r="O17" s="328">
        <v>115</v>
      </c>
      <c r="P17" s="328">
        <v>194</v>
      </c>
      <c r="Q17" s="1530">
        <v>128</v>
      </c>
    </row>
    <row r="18" spans="1:17" s="329" customFormat="1" x14ac:dyDescent="0.3">
      <c r="A18" s="331" t="s">
        <v>35</v>
      </c>
      <c r="B18" s="327" t="s">
        <v>36</v>
      </c>
      <c r="C18" s="326" t="s">
        <v>251</v>
      </c>
      <c r="D18" s="328">
        <v>6756</v>
      </c>
      <c r="E18" s="1508">
        <v>1973</v>
      </c>
      <c r="F18" s="562">
        <v>1689</v>
      </c>
      <c r="G18" s="562">
        <v>2208</v>
      </c>
      <c r="H18" s="562">
        <v>885</v>
      </c>
      <c r="I18" s="1509">
        <v>1</v>
      </c>
      <c r="J18" s="1508">
        <v>3364</v>
      </c>
      <c r="K18" s="562">
        <v>3392</v>
      </c>
      <c r="L18" s="1509"/>
      <c r="M18" s="328">
        <v>2330</v>
      </c>
      <c r="N18" s="328">
        <v>4270</v>
      </c>
      <c r="O18" s="328">
        <v>64</v>
      </c>
      <c r="P18" s="328">
        <v>92</v>
      </c>
      <c r="Q18" s="1530">
        <v>67</v>
      </c>
    </row>
    <row r="19" spans="1:17" s="329" customFormat="1" x14ac:dyDescent="0.3">
      <c r="A19" s="331" t="s">
        <v>37</v>
      </c>
      <c r="B19" s="327" t="s">
        <v>38</v>
      </c>
      <c r="C19" s="326" t="s">
        <v>255</v>
      </c>
      <c r="D19" s="328">
        <v>9256</v>
      </c>
      <c r="E19" s="1508">
        <v>2684</v>
      </c>
      <c r="F19" s="562">
        <v>2129</v>
      </c>
      <c r="G19" s="562">
        <v>3625</v>
      </c>
      <c r="H19" s="562">
        <v>818</v>
      </c>
      <c r="I19" s="1509">
        <v>0</v>
      </c>
      <c r="J19" s="1508">
        <v>4795</v>
      </c>
      <c r="K19" s="562">
        <v>4461</v>
      </c>
      <c r="L19" s="1509"/>
      <c r="M19" s="328">
        <v>9007</v>
      </c>
      <c r="N19" s="328">
        <v>153</v>
      </c>
      <c r="O19" s="328">
        <v>43</v>
      </c>
      <c r="P19" s="328">
        <v>53</v>
      </c>
      <c r="Q19" s="1530">
        <v>36</v>
      </c>
    </row>
    <row r="20" spans="1:17" s="329" customFormat="1" x14ac:dyDescent="0.3">
      <c r="A20" s="331" t="s">
        <v>39</v>
      </c>
      <c r="B20" s="327" t="s">
        <v>40</v>
      </c>
      <c r="C20" s="326" t="s">
        <v>253</v>
      </c>
      <c r="D20" s="328">
        <v>6223</v>
      </c>
      <c r="E20" s="1508">
        <v>1933</v>
      </c>
      <c r="F20" s="562">
        <v>1421</v>
      </c>
      <c r="G20" s="562">
        <v>2192</v>
      </c>
      <c r="H20" s="562">
        <v>677</v>
      </c>
      <c r="I20" s="1509">
        <v>0</v>
      </c>
      <c r="J20" s="1508">
        <v>2916</v>
      </c>
      <c r="K20" s="562">
        <v>3307</v>
      </c>
      <c r="L20" s="1509"/>
      <c r="M20" s="328">
        <v>3451</v>
      </c>
      <c r="N20" s="328">
        <v>2592</v>
      </c>
      <c r="O20" s="328">
        <v>69</v>
      </c>
      <c r="P20" s="328">
        <v>111</v>
      </c>
      <c r="Q20" s="1530">
        <v>110</v>
      </c>
    </row>
    <row r="21" spans="1:17" s="329" customFormat="1" x14ac:dyDescent="0.3">
      <c r="A21" s="331" t="s">
        <v>41</v>
      </c>
      <c r="B21" s="327" t="s">
        <v>42</v>
      </c>
      <c r="C21" s="326" t="s">
        <v>252</v>
      </c>
      <c r="D21" s="328">
        <v>15310</v>
      </c>
      <c r="E21" s="1508">
        <v>6009</v>
      </c>
      <c r="F21" s="562">
        <v>3665</v>
      </c>
      <c r="G21" s="562">
        <v>4273</v>
      </c>
      <c r="H21" s="562">
        <v>1357</v>
      </c>
      <c r="I21" s="1509">
        <v>6</v>
      </c>
      <c r="J21" s="1508">
        <v>8783</v>
      </c>
      <c r="K21" s="562">
        <v>6527</v>
      </c>
      <c r="L21" s="1509"/>
      <c r="M21" s="328">
        <v>10976</v>
      </c>
      <c r="N21" s="328">
        <v>3633</v>
      </c>
      <c r="O21" s="328">
        <v>352</v>
      </c>
      <c r="P21" s="328">
        <v>349</v>
      </c>
      <c r="Q21" s="1530">
        <v>333</v>
      </c>
    </row>
    <row r="22" spans="1:17" s="329" customFormat="1" x14ac:dyDescent="0.3">
      <c r="A22" s="331" t="s">
        <v>43</v>
      </c>
      <c r="B22" s="327" t="s">
        <v>44</v>
      </c>
      <c r="C22" s="326" t="s">
        <v>253</v>
      </c>
      <c r="D22" s="328">
        <v>8383</v>
      </c>
      <c r="E22" s="1508">
        <v>3456</v>
      </c>
      <c r="F22" s="562">
        <v>1929</v>
      </c>
      <c r="G22" s="562">
        <v>2369</v>
      </c>
      <c r="H22" s="562">
        <v>629</v>
      </c>
      <c r="I22" s="1509">
        <v>0</v>
      </c>
      <c r="J22" s="1508">
        <v>4735</v>
      </c>
      <c r="K22" s="562">
        <v>3648</v>
      </c>
      <c r="L22" s="1509"/>
      <c r="M22" s="328">
        <v>4934</v>
      </c>
      <c r="N22" s="328">
        <v>3067</v>
      </c>
      <c r="O22" s="328">
        <v>211</v>
      </c>
      <c r="P22" s="328">
        <v>171</v>
      </c>
      <c r="Q22" s="1530">
        <v>245</v>
      </c>
    </row>
    <row r="23" spans="1:17" s="329" customFormat="1" x14ac:dyDescent="0.3">
      <c r="A23" s="331" t="s">
        <v>45</v>
      </c>
      <c r="B23" s="327" t="s">
        <v>46</v>
      </c>
      <c r="C23" s="326" t="s">
        <v>255</v>
      </c>
      <c r="D23" s="328">
        <v>9823</v>
      </c>
      <c r="E23" s="1508">
        <v>3428</v>
      </c>
      <c r="F23" s="562">
        <v>2139</v>
      </c>
      <c r="G23" s="562">
        <v>3004</v>
      </c>
      <c r="H23" s="562">
        <v>1252</v>
      </c>
      <c r="I23" s="1509">
        <v>0</v>
      </c>
      <c r="J23" s="1508">
        <v>5423</v>
      </c>
      <c r="K23" s="562">
        <v>4400</v>
      </c>
      <c r="L23" s="1509"/>
      <c r="M23" s="328">
        <v>9407</v>
      </c>
      <c r="N23" s="328">
        <v>154</v>
      </c>
      <c r="O23" s="328">
        <v>84</v>
      </c>
      <c r="P23" s="328">
        <v>178</v>
      </c>
      <c r="Q23" s="1530">
        <v>270</v>
      </c>
    </row>
    <row r="24" spans="1:17" s="329" customFormat="1" x14ac:dyDescent="0.3">
      <c r="A24" s="331" t="s">
        <v>47</v>
      </c>
      <c r="B24" s="327" t="s">
        <v>256</v>
      </c>
      <c r="C24" s="326" t="s">
        <v>253</v>
      </c>
      <c r="D24" s="328">
        <v>1840</v>
      </c>
      <c r="E24" s="1508">
        <v>665</v>
      </c>
      <c r="F24" s="562">
        <v>368</v>
      </c>
      <c r="G24" s="562">
        <v>583</v>
      </c>
      <c r="H24" s="562">
        <v>224</v>
      </c>
      <c r="I24" s="1509">
        <v>0</v>
      </c>
      <c r="J24" s="1508">
        <v>1065</v>
      </c>
      <c r="K24" s="562">
        <v>775</v>
      </c>
      <c r="L24" s="1509"/>
      <c r="M24" s="328">
        <v>704</v>
      </c>
      <c r="N24" s="328">
        <v>1029</v>
      </c>
      <c r="O24" s="328">
        <v>71</v>
      </c>
      <c r="P24" s="328">
        <v>36</v>
      </c>
      <c r="Q24" s="1530">
        <v>8</v>
      </c>
    </row>
    <row r="25" spans="1:17" s="329" customFormat="1" x14ac:dyDescent="0.3">
      <c r="A25" s="331" t="s">
        <v>49</v>
      </c>
      <c r="B25" s="327" t="s">
        <v>50</v>
      </c>
      <c r="C25" s="326" t="s">
        <v>252</v>
      </c>
      <c r="D25" s="328">
        <v>4126</v>
      </c>
      <c r="E25" s="1508">
        <v>1511</v>
      </c>
      <c r="F25" s="562">
        <v>928</v>
      </c>
      <c r="G25" s="562">
        <v>1156</v>
      </c>
      <c r="H25" s="562">
        <v>531</v>
      </c>
      <c r="I25" s="1509">
        <v>0</v>
      </c>
      <c r="J25" s="1508">
        <v>2353</v>
      </c>
      <c r="K25" s="562">
        <v>1773</v>
      </c>
      <c r="L25" s="1509"/>
      <c r="M25" s="328">
        <v>2218</v>
      </c>
      <c r="N25" s="328">
        <v>1796</v>
      </c>
      <c r="O25" s="328">
        <v>45</v>
      </c>
      <c r="P25" s="328">
        <v>67</v>
      </c>
      <c r="Q25" s="1530">
        <v>54</v>
      </c>
    </row>
    <row r="26" spans="1:17" s="329" customFormat="1" x14ac:dyDescent="0.3">
      <c r="A26" s="331" t="s">
        <v>55</v>
      </c>
      <c r="B26" s="327" t="s">
        <v>271</v>
      </c>
      <c r="C26" s="326" t="s">
        <v>253</v>
      </c>
      <c r="D26" s="328">
        <v>79328</v>
      </c>
      <c r="E26" s="1508">
        <v>36361</v>
      </c>
      <c r="F26" s="562">
        <v>19935</v>
      </c>
      <c r="G26" s="562">
        <v>18884</v>
      </c>
      <c r="H26" s="562">
        <v>4141</v>
      </c>
      <c r="I26" s="1509">
        <v>7</v>
      </c>
      <c r="J26" s="1508">
        <v>45256</v>
      </c>
      <c r="K26" s="562">
        <v>34072</v>
      </c>
      <c r="L26" s="1509"/>
      <c r="M26" s="328">
        <v>43461</v>
      </c>
      <c r="N26" s="328">
        <v>29448</v>
      </c>
      <c r="O26" s="328">
        <v>3827</v>
      </c>
      <c r="P26" s="328">
        <v>2592</v>
      </c>
      <c r="Q26" s="1530">
        <v>5567</v>
      </c>
    </row>
    <row r="27" spans="1:17" s="329" customFormat="1" x14ac:dyDescent="0.3">
      <c r="A27" s="331" t="s">
        <v>57</v>
      </c>
      <c r="B27" s="327" t="s">
        <v>58</v>
      </c>
      <c r="C27" s="326" t="s">
        <v>254</v>
      </c>
      <c r="D27" s="328">
        <v>1880</v>
      </c>
      <c r="E27" s="1508">
        <v>718</v>
      </c>
      <c r="F27" s="562">
        <v>436</v>
      </c>
      <c r="G27" s="562">
        <v>508</v>
      </c>
      <c r="H27" s="562">
        <v>218</v>
      </c>
      <c r="I27" s="1509">
        <v>0</v>
      </c>
      <c r="J27" s="1508">
        <v>1029</v>
      </c>
      <c r="K27" s="562">
        <v>851</v>
      </c>
      <c r="L27" s="1509"/>
      <c r="M27" s="328">
        <v>1521</v>
      </c>
      <c r="N27" s="328">
        <v>200</v>
      </c>
      <c r="O27" s="328">
        <v>39</v>
      </c>
      <c r="P27" s="328">
        <v>120</v>
      </c>
      <c r="Q27" s="1530">
        <v>134</v>
      </c>
    </row>
    <row r="28" spans="1:17" s="329" customFormat="1" x14ac:dyDescent="0.3">
      <c r="A28" s="331" t="s">
        <v>59</v>
      </c>
      <c r="B28" s="327" t="s">
        <v>60</v>
      </c>
      <c r="C28" s="326" t="s">
        <v>252</v>
      </c>
      <c r="D28" s="328">
        <v>1262</v>
      </c>
      <c r="E28" s="1508">
        <v>480</v>
      </c>
      <c r="F28" s="562">
        <v>285</v>
      </c>
      <c r="G28" s="562">
        <v>366</v>
      </c>
      <c r="H28" s="562">
        <v>131</v>
      </c>
      <c r="I28" s="1509">
        <v>0</v>
      </c>
      <c r="J28" s="1508">
        <v>703</v>
      </c>
      <c r="K28" s="562">
        <v>559</v>
      </c>
      <c r="L28" s="1509"/>
      <c r="M28" s="328">
        <v>1230</v>
      </c>
      <c r="N28" s="328">
        <v>7</v>
      </c>
      <c r="O28" s="328">
        <v>5</v>
      </c>
      <c r="P28" s="328">
        <v>20</v>
      </c>
      <c r="Q28" s="1530">
        <v>6</v>
      </c>
    </row>
    <row r="29" spans="1:17" s="329" customFormat="1" x14ac:dyDescent="0.3">
      <c r="A29" s="331" t="s">
        <v>61</v>
      </c>
      <c r="B29" s="327" t="s">
        <v>62</v>
      </c>
      <c r="C29" s="326" t="s">
        <v>254</v>
      </c>
      <c r="D29" s="328">
        <v>12713</v>
      </c>
      <c r="E29" s="1508">
        <v>5681</v>
      </c>
      <c r="F29" s="562">
        <v>2743</v>
      </c>
      <c r="G29" s="562">
        <v>3378</v>
      </c>
      <c r="H29" s="562">
        <v>911</v>
      </c>
      <c r="I29" s="1509">
        <v>0</v>
      </c>
      <c r="J29" s="1508">
        <v>6729</v>
      </c>
      <c r="K29" s="562">
        <v>5984</v>
      </c>
      <c r="L29" s="1509"/>
      <c r="M29" s="328">
        <v>8872</v>
      </c>
      <c r="N29" s="328">
        <v>3136</v>
      </c>
      <c r="O29" s="328">
        <v>419</v>
      </c>
      <c r="P29" s="328">
        <v>286</v>
      </c>
      <c r="Q29" s="1530">
        <v>1009</v>
      </c>
    </row>
    <row r="30" spans="1:17" s="329" customFormat="1" x14ac:dyDescent="0.3">
      <c r="A30" s="331" t="s">
        <v>63</v>
      </c>
      <c r="B30" s="327" t="s">
        <v>64</v>
      </c>
      <c r="C30" s="326" t="s">
        <v>253</v>
      </c>
      <c r="D30" s="328">
        <v>3687</v>
      </c>
      <c r="E30" s="1508">
        <v>1406</v>
      </c>
      <c r="F30" s="562">
        <v>883</v>
      </c>
      <c r="G30" s="562">
        <v>1025</v>
      </c>
      <c r="H30" s="562">
        <v>373</v>
      </c>
      <c r="I30" s="1509">
        <v>0</v>
      </c>
      <c r="J30" s="1508">
        <v>2093</v>
      </c>
      <c r="K30" s="562">
        <v>1594</v>
      </c>
      <c r="L30" s="1509"/>
      <c r="M30" s="328">
        <v>2022</v>
      </c>
      <c r="N30" s="328">
        <v>1571</v>
      </c>
      <c r="O30" s="328">
        <v>41</v>
      </c>
      <c r="P30" s="328">
        <v>53</v>
      </c>
      <c r="Q30" s="1530">
        <v>73</v>
      </c>
    </row>
    <row r="31" spans="1:17" s="329" customFormat="1" x14ac:dyDescent="0.3">
      <c r="A31" s="331" t="s">
        <v>67</v>
      </c>
      <c r="B31" s="327" t="s">
        <v>68</v>
      </c>
      <c r="C31" s="326" t="s">
        <v>255</v>
      </c>
      <c r="D31" s="328">
        <v>6040</v>
      </c>
      <c r="E31" s="1508">
        <v>1950</v>
      </c>
      <c r="F31" s="562">
        <v>1309</v>
      </c>
      <c r="G31" s="562">
        <v>2155</v>
      </c>
      <c r="H31" s="562">
        <v>626</v>
      </c>
      <c r="I31" s="1509">
        <v>0</v>
      </c>
      <c r="J31" s="1508">
        <v>3260</v>
      </c>
      <c r="K31" s="562">
        <v>2780</v>
      </c>
      <c r="L31" s="1509"/>
      <c r="M31" s="328">
        <v>5929</v>
      </c>
      <c r="N31" s="328">
        <v>56</v>
      </c>
      <c r="O31" s="328">
        <v>23</v>
      </c>
      <c r="P31" s="328">
        <v>32</v>
      </c>
      <c r="Q31" s="1530">
        <v>17</v>
      </c>
    </row>
    <row r="32" spans="1:17" s="329" customFormat="1" x14ac:dyDescent="0.3">
      <c r="A32" s="331" t="s">
        <v>69</v>
      </c>
      <c r="B32" s="327" t="s">
        <v>70</v>
      </c>
      <c r="C32" s="326" t="s">
        <v>251</v>
      </c>
      <c r="D32" s="328">
        <v>8253</v>
      </c>
      <c r="E32" s="1508">
        <v>3312</v>
      </c>
      <c r="F32" s="562">
        <v>2033</v>
      </c>
      <c r="G32" s="562">
        <v>2321</v>
      </c>
      <c r="H32" s="562">
        <v>587</v>
      </c>
      <c r="I32" s="1509">
        <v>0</v>
      </c>
      <c r="J32" s="1508">
        <v>4736</v>
      </c>
      <c r="K32" s="562">
        <v>3517</v>
      </c>
      <c r="L32" s="1509"/>
      <c r="M32" s="328">
        <v>4716</v>
      </c>
      <c r="N32" s="328">
        <v>3236</v>
      </c>
      <c r="O32" s="328">
        <v>134</v>
      </c>
      <c r="P32" s="328">
        <v>167</v>
      </c>
      <c r="Q32" s="1530">
        <v>300</v>
      </c>
    </row>
    <row r="33" spans="1:17" s="329" customFormat="1" x14ac:dyDescent="0.3">
      <c r="A33" s="331" t="s">
        <v>71</v>
      </c>
      <c r="B33" s="327" t="s">
        <v>72</v>
      </c>
      <c r="C33" s="326" t="s">
        <v>253</v>
      </c>
      <c r="D33" s="328">
        <v>3864</v>
      </c>
      <c r="E33" s="1508">
        <v>1485</v>
      </c>
      <c r="F33" s="562">
        <v>911</v>
      </c>
      <c r="G33" s="562">
        <v>1149</v>
      </c>
      <c r="H33" s="562">
        <v>319</v>
      </c>
      <c r="I33" s="1509">
        <v>0</v>
      </c>
      <c r="J33" s="1508">
        <v>2246</v>
      </c>
      <c r="K33" s="562">
        <v>1618</v>
      </c>
      <c r="L33" s="1509"/>
      <c r="M33" s="328">
        <v>1491</v>
      </c>
      <c r="N33" s="328">
        <v>2208</v>
      </c>
      <c r="O33" s="328">
        <v>95</v>
      </c>
      <c r="P33" s="328">
        <v>70</v>
      </c>
      <c r="Q33" s="1530">
        <v>74</v>
      </c>
    </row>
    <row r="34" spans="1:17" s="329" customFormat="1" x14ac:dyDescent="0.3">
      <c r="A34" s="331" t="s">
        <v>73</v>
      </c>
      <c r="B34" s="327" t="s">
        <v>272</v>
      </c>
      <c r="C34" s="326" t="s">
        <v>254</v>
      </c>
      <c r="D34" s="328">
        <v>153949</v>
      </c>
      <c r="E34" s="1508">
        <v>75308</v>
      </c>
      <c r="F34" s="562">
        <v>30915</v>
      </c>
      <c r="G34" s="562">
        <v>33020</v>
      </c>
      <c r="H34" s="562">
        <v>14694</v>
      </c>
      <c r="I34" s="1509">
        <v>12</v>
      </c>
      <c r="J34" s="1508">
        <v>83773</v>
      </c>
      <c r="K34" s="562">
        <v>70176</v>
      </c>
      <c r="L34" s="1509"/>
      <c r="M34" s="328">
        <v>89175</v>
      </c>
      <c r="N34" s="328">
        <v>27364</v>
      </c>
      <c r="O34" s="328">
        <v>29046</v>
      </c>
      <c r="P34" s="328">
        <v>8364</v>
      </c>
      <c r="Q34" s="1530">
        <v>20314</v>
      </c>
    </row>
    <row r="35" spans="1:17" s="329" customFormat="1" x14ac:dyDescent="0.3">
      <c r="A35" s="331" t="s">
        <v>75</v>
      </c>
      <c r="B35" s="327" t="s">
        <v>76</v>
      </c>
      <c r="C35" s="326" t="s">
        <v>254</v>
      </c>
      <c r="D35" s="328">
        <v>10194</v>
      </c>
      <c r="E35" s="1508">
        <v>4536</v>
      </c>
      <c r="F35" s="562">
        <v>2308</v>
      </c>
      <c r="G35" s="562">
        <v>2646</v>
      </c>
      <c r="H35" s="562">
        <v>704</v>
      </c>
      <c r="I35" s="1509">
        <v>0</v>
      </c>
      <c r="J35" s="1508">
        <v>5646</v>
      </c>
      <c r="K35" s="562">
        <v>4548</v>
      </c>
      <c r="L35" s="1509"/>
      <c r="M35" s="328">
        <v>7571</v>
      </c>
      <c r="N35" s="328">
        <v>1965</v>
      </c>
      <c r="O35" s="328">
        <v>250</v>
      </c>
      <c r="P35" s="328">
        <v>408</v>
      </c>
      <c r="Q35" s="1530">
        <v>568</v>
      </c>
    </row>
    <row r="36" spans="1:17" s="329" customFormat="1" x14ac:dyDescent="0.3">
      <c r="A36" s="331" t="s">
        <v>77</v>
      </c>
      <c r="B36" s="327" t="s">
        <v>78</v>
      </c>
      <c r="C36" s="326" t="s">
        <v>255</v>
      </c>
      <c r="D36" s="328">
        <v>4216</v>
      </c>
      <c r="E36" s="1508">
        <v>1602</v>
      </c>
      <c r="F36" s="562">
        <v>912</v>
      </c>
      <c r="G36" s="562">
        <v>1300</v>
      </c>
      <c r="H36" s="562">
        <v>402</v>
      </c>
      <c r="I36" s="1509">
        <v>0</v>
      </c>
      <c r="J36" s="1508">
        <v>2265</v>
      </c>
      <c r="K36" s="562">
        <v>1951</v>
      </c>
      <c r="L36" s="1509"/>
      <c r="M36" s="328">
        <v>3908</v>
      </c>
      <c r="N36" s="328">
        <v>145</v>
      </c>
      <c r="O36" s="328">
        <v>46</v>
      </c>
      <c r="P36" s="328">
        <v>117</v>
      </c>
      <c r="Q36" s="1530">
        <v>120</v>
      </c>
    </row>
    <row r="37" spans="1:17" s="329" customFormat="1" x14ac:dyDescent="0.3">
      <c r="A37" s="331" t="s">
        <v>79</v>
      </c>
      <c r="B37" s="327" t="s">
        <v>80</v>
      </c>
      <c r="C37" s="326" t="s">
        <v>253</v>
      </c>
      <c r="D37" s="328">
        <v>4957</v>
      </c>
      <c r="E37" s="1508">
        <v>1912</v>
      </c>
      <c r="F37" s="562">
        <v>1166</v>
      </c>
      <c r="G37" s="562">
        <v>1463</v>
      </c>
      <c r="H37" s="562">
        <v>415</v>
      </c>
      <c r="I37" s="1509">
        <v>1</v>
      </c>
      <c r="J37" s="1508">
        <v>2923</v>
      </c>
      <c r="K37" s="562">
        <v>2034</v>
      </c>
      <c r="L37" s="1509"/>
      <c r="M37" s="328">
        <v>3367</v>
      </c>
      <c r="N37" s="328">
        <v>1365</v>
      </c>
      <c r="O37" s="328">
        <v>79</v>
      </c>
      <c r="P37" s="328">
        <v>146</v>
      </c>
      <c r="Q37" s="1530">
        <v>113</v>
      </c>
    </row>
    <row r="38" spans="1:17" s="329" customFormat="1" x14ac:dyDescent="0.3">
      <c r="A38" s="331" t="s">
        <v>83</v>
      </c>
      <c r="B38" s="327" t="s">
        <v>84</v>
      </c>
      <c r="C38" s="326" t="s">
        <v>252</v>
      </c>
      <c r="D38" s="328">
        <v>14104</v>
      </c>
      <c r="E38" s="1508">
        <v>5586</v>
      </c>
      <c r="F38" s="562">
        <v>3171</v>
      </c>
      <c r="G38" s="562">
        <v>4104</v>
      </c>
      <c r="H38" s="562">
        <v>1243</v>
      </c>
      <c r="I38" s="1509">
        <v>0</v>
      </c>
      <c r="J38" s="1508">
        <v>7876</v>
      </c>
      <c r="K38" s="562">
        <v>6228</v>
      </c>
      <c r="L38" s="1509"/>
      <c r="M38" s="328">
        <v>11905</v>
      </c>
      <c r="N38" s="328">
        <v>1712</v>
      </c>
      <c r="O38" s="328">
        <v>237</v>
      </c>
      <c r="P38" s="328">
        <v>250</v>
      </c>
      <c r="Q38" s="1530">
        <v>454</v>
      </c>
    </row>
    <row r="39" spans="1:17" s="329" customFormat="1" x14ac:dyDescent="0.3">
      <c r="A39" s="331" t="s">
        <v>85</v>
      </c>
      <c r="B39" s="327" t="s">
        <v>86</v>
      </c>
      <c r="C39" s="326" t="s">
        <v>254</v>
      </c>
      <c r="D39" s="328">
        <v>15926</v>
      </c>
      <c r="E39" s="1508">
        <v>7543</v>
      </c>
      <c r="F39" s="562">
        <v>3707</v>
      </c>
      <c r="G39" s="562">
        <v>3689</v>
      </c>
      <c r="H39" s="562">
        <v>987</v>
      </c>
      <c r="I39" s="1509">
        <v>0</v>
      </c>
      <c r="J39" s="1508">
        <v>8946</v>
      </c>
      <c r="K39" s="562">
        <v>6980</v>
      </c>
      <c r="L39" s="1509"/>
      <c r="M39" s="328">
        <v>13701</v>
      </c>
      <c r="N39" s="328">
        <v>1354</v>
      </c>
      <c r="O39" s="328">
        <v>426</v>
      </c>
      <c r="P39" s="328">
        <v>445</v>
      </c>
      <c r="Q39" s="1530">
        <v>1947</v>
      </c>
    </row>
    <row r="40" spans="1:17" s="329" customFormat="1" x14ac:dyDescent="0.3">
      <c r="A40" s="331" t="s">
        <v>91</v>
      </c>
      <c r="B40" s="327" t="s">
        <v>92</v>
      </c>
      <c r="C40" s="326" t="s">
        <v>255</v>
      </c>
      <c r="D40" s="328">
        <v>4848</v>
      </c>
      <c r="E40" s="1508">
        <v>1737</v>
      </c>
      <c r="F40" s="562">
        <v>1095</v>
      </c>
      <c r="G40" s="562">
        <v>1496</v>
      </c>
      <c r="H40" s="562">
        <v>519</v>
      </c>
      <c r="I40" s="1509">
        <v>1</v>
      </c>
      <c r="J40" s="1508">
        <v>2700</v>
      </c>
      <c r="K40" s="562">
        <v>2148</v>
      </c>
      <c r="L40" s="1509"/>
      <c r="M40" s="328">
        <v>4595</v>
      </c>
      <c r="N40" s="328">
        <v>130</v>
      </c>
      <c r="O40" s="328">
        <v>32</v>
      </c>
      <c r="P40" s="328">
        <v>91</v>
      </c>
      <c r="Q40" s="1530">
        <v>50</v>
      </c>
    </row>
    <row r="41" spans="1:17" s="329" customFormat="1" x14ac:dyDescent="0.3">
      <c r="A41" s="331" t="s">
        <v>93</v>
      </c>
      <c r="B41" s="327" t="s">
        <v>94</v>
      </c>
      <c r="C41" s="326" t="s">
        <v>251</v>
      </c>
      <c r="D41" s="328">
        <v>8313</v>
      </c>
      <c r="E41" s="1508">
        <v>3073</v>
      </c>
      <c r="F41" s="562">
        <v>2021</v>
      </c>
      <c r="G41" s="562">
        <v>2569</v>
      </c>
      <c r="H41" s="562">
        <v>650</v>
      </c>
      <c r="I41" s="1509">
        <v>0</v>
      </c>
      <c r="J41" s="1508">
        <v>4706</v>
      </c>
      <c r="K41" s="562">
        <v>3607</v>
      </c>
      <c r="L41" s="1509"/>
      <c r="M41" s="328">
        <v>6784</v>
      </c>
      <c r="N41" s="328">
        <v>1217</v>
      </c>
      <c r="O41" s="328">
        <v>140</v>
      </c>
      <c r="P41" s="328">
        <v>172</v>
      </c>
      <c r="Q41" s="1530">
        <v>184</v>
      </c>
    </row>
    <row r="42" spans="1:17" s="329" customFormat="1" x14ac:dyDescent="0.3">
      <c r="A42" s="331" t="s">
        <v>95</v>
      </c>
      <c r="B42" s="327" t="s">
        <v>96</v>
      </c>
      <c r="C42" s="326" t="s">
        <v>253</v>
      </c>
      <c r="D42" s="328">
        <v>3496</v>
      </c>
      <c r="E42" s="1508">
        <v>1154</v>
      </c>
      <c r="F42" s="562">
        <v>817</v>
      </c>
      <c r="G42" s="562">
        <v>1253</v>
      </c>
      <c r="H42" s="562">
        <v>272</v>
      </c>
      <c r="I42" s="1509">
        <v>0</v>
      </c>
      <c r="J42" s="1508">
        <v>2024</v>
      </c>
      <c r="K42" s="562">
        <v>1472</v>
      </c>
      <c r="L42" s="1509"/>
      <c r="M42" s="328">
        <v>2130</v>
      </c>
      <c r="N42" s="328">
        <v>1102</v>
      </c>
      <c r="O42" s="328">
        <v>83</v>
      </c>
      <c r="P42" s="328">
        <v>181</v>
      </c>
      <c r="Q42" s="1530">
        <v>162</v>
      </c>
    </row>
    <row r="43" spans="1:17" s="329" customFormat="1" x14ac:dyDescent="0.3">
      <c r="A43" s="331" t="s">
        <v>97</v>
      </c>
      <c r="B43" s="327" t="s">
        <v>98</v>
      </c>
      <c r="C43" s="326" t="s">
        <v>255</v>
      </c>
      <c r="D43" s="328">
        <v>5475</v>
      </c>
      <c r="E43" s="1508">
        <v>1702</v>
      </c>
      <c r="F43" s="562">
        <v>1246</v>
      </c>
      <c r="G43" s="562">
        <v>1852</v>
      </c>
      <c r="H43" s="562">
        <v>674</v>
      </c>
      <c r="I43" s="1509">
        <v>1</v>
      </c>
      <c r="J43" s="1508">
        <v>2792</v>
      </c>
      <c r="K43" s="562">
        <v>2683</v>
      </c>
      <c r="L43" s="1509"/>
      <c r="M43" s="328">
        <v>5036</v>
      </c>
      <c r="N43" s="328">
        <v>309</v>
      </c>
      <c r="O43" s="328">
        <v>42</v>
      </c>
      <c r="P43" s="328">
        <v>88</v>
      </c>
      <c r="Q43" s="1530">
        <v>132</v>
      </c>
    </row>
    <row r="44" spans="1:17" s="329" customFormat="1" x14ac:dyDescent="0.3">
      <c r="A44" s="331" t="s">
        <v>99</v>
      </c>
      <c r="B44" s="327" t="s">
        <v>100</v>
      </c>
      <c r="C44" s="326" t="s">
        <v>254</v>
      </c>
      <c r="D44" s="328">
        <v>4455</v>
      </c>
      <c r="E44" s="1508">
        <v>1976</v>
      </c>
      <c r="F44" s="562">
        <v>972</v>
      </c>
      <c r="G44" s="562">
        <v>1196</v>
      </c>
      <c r="H44" s="562">
        <v>311</v>
      </c>
      <c r="I44" s="1509">
        <v>0</v>
      </c>
      <c r="J44" s="1508">
        <v>2474</v>
      </c>
      <c r="K44" s="562">
        <v>1981</v>
      </c>
      <c r="L44" s="1509"/>
      <c r="M44" s="328">
        <v>3602</v>
      </c>
      <c r="N44" s="328">
        <v>638</v>
      </c>
      <c r="O44" s="328">
        <v>116</v>
      </c>
      <c r="P44" s="328">
        <v>99</v>
      </c>
      <c r="Q44" s="1530">
        <v>111</v>
      </c>
    </row>
    <row r="45" spans="1:17" s="329" customFormat="1" x14ac:dyDescent="0.3">
      <c r="A45" s="331" t="s">
        <v>101</v>
      </c>
      <c r="B45" s="327" t="s">
        <v>263</v>
      </c>
      <c r="C45" s="326" t="s">
        <v>251</v>
      </c>
      <c r="D45" s="328">
        <v>9004</v>
      </c>
      <c r="E45" s="1508">
        <v>2834</v>
      </c>
      <c r="F45" s="562">
        <v>2448</v>
      </c>
      <c r="G45" s="562">
        <v>2984</v>
      </c>
      <c r="H45" s="562">
        <v>737</v>
      </c>
      <c r="I45" s="1509">
        <v>1</v>
      </c>
      <c r="J45" s="1508">
        <v>4072</v>
      </c>
      <c r="K45" s="562">
        <v>4932</v>
      </c>
      <c r="L45" s="1509"/>
      <c r="M45" s="328">
        <v>2365</v>
      </c>
      <c r="N45" s="328">
        <v>6438</v>
      </c>
      <c r="O45" s="328">
        <v>157</v>
      </c>
      <c r="P45" s="328">
        <v>44</v>
      </c>
      <c r="Q45" s="1530">
        <v>205</v>
      </c>
    </row>
    <row r="46" spans="1:17" s="329" customFormat="1" x14ac:dyDescent="0.3">
      <c r="A46" s="331" t="s">
        <v>103</v>
      </c>
      <c r="B46" s="327" t="s">
        <v>104</v>
      </c>
      <c r="C46" s="326" t="s">
        <v>252</v>
      </c>
      <c r="D46" s="328">
        <v>12563</v>
      </c>
      <c r="E46" s="1508">
        <v>4489</v>
      </c>
      <c r="F46" s="562">
        <v>2896</v>
      </c>
      <c r="G46" s="562">
        <v>3577</v>
      </c>
      <c r="H46" s="562">
        <v>1600</v>
      </c>
      <c r="I46" s="1509">
        <v>1</v>
      </c>
      <c r="J46" s="1508">
        <v>7083</v>
      </c>
      <c r="K46" s="562">
        <v>5480</v>
      </c>
      <c r="L46" s="1509"/>
      <c r="M46" s="328">
        <v>5704</v>
      </c>
      <c r="N46" s="328">
        <v>6562</v>
      </c>
      <c r="O46" s="328">
        <v>170</v>
      </c>
      <c r="P46" s="328">
        <v>127</v>
      </c>
      <c r="Q46" s="1530">
        <v>218</v>
      </c>
    </row>
    <row r="47" spans="1:17" s="329" customFormat="1" x14ac:dyDescent="0.3">
      <c r="A47" s="331" t="s">
        <v>107</v>
      </c>
      <c r="B47" s="327" t="s">
        <v>108</v>
      </c>
      <c r="C47" s="326" t="s">
        <v>253</v>
      </c>
      <c r="D47" s="328">
        <v>13987</v>
      </c>
      <c r="E47" s="1508">
        <v>5780</v>
      </c>
      <c r="F47" s="562">
        <v>3365</v>
      </c>
      <c r="G47" s="562">
        <v>3896</v>
      </c>
      <c r="H47" s="562">
        <v>946</v>
      </c>
      <c r="I47" s="1509">
        <v>0</v>
      </c>
      <c r="J47" s="1508">
        <v>7886</v>
      </c>
      <c r="K47" s="562">
        <v>6101</v>
      </c>
      <c r="L47" s="1509"/>
      <c r="M47" s="328">
        <v>9828</v>
      </c>
      <c r="N47" s="328">
        <v>2947</v>
      </c>
      <c r="O47" s="328">
        <v>554</v>
      </c>
      <c r="P47" s="328">
        <v>658</v>
      </c>
      <c r="Q47" s="1530">
        <v>503</v>
      </c>
    </row>
    <row r="48" spans="1:17" s="329" customFormat="1" x14ac:dyDescent="0.3">
      <c r="A48" s="331" t="s">
        <v>109</v>
      </c>
      <c r="B48" s="327" t="s">
        <v>110</v>
      </c>
      <c r="C48" s="326" t="s">
        <v>253</v>
      </c>
      <c r="D48" s="328">
        <v>75215</v>
      </c>
      <c r="E48" s="1508">
        <v>32579</v>
      </c>
      <c r="F48" s="562">
        <v>18741</v>
      </c>
      <c r="G48" s="562">
        <v>19238</v>
      </c>
      <c r="H48" s="562">
        <v>4653</v>
      </c>
      <c r="I48" s="1509">
        <v>4</v>
      </c>
      <c r="J48" s="1508">
        <v>43047</v>
      </c>
      <c r="K48" s="562">
        <v>32168</v>
      </c>
      <c r="L48" s="1509"/>
      <c r="M48" s="328">
        <v>28068</v>
      </c>
      <c r="N48" s="328">
        <v>38769</v>
      </c>
      <c r="O48" s="328">
        <v>5875</v>
      </c>
      <c r="P48" s="328">
        <v>2503</v>
      </c>
      <c r="Q48" s="1530">
        <v>3342</v>
      </c>
    </row>
    <row r="49" spans="1:17" s="329" customFormat="1" x14ac:dyDescent="0.3">
      <c r="A49" s="331" t="s">
        <v>111</v>
      </c>
      <c r="B49" s="327" t="s">
        <v>275</v>
      </c>
      <c r="C49" s="326" t="s">
        <v>252</v>
      </c>
      <c r="D49" s="328">
        <v>26686</v>
      </c>
      <c r="E49" s="1508">
        <v>9783</v>
      </c>
      <c r="F49" s="562">
        <v>6001</v>
      </c>
      <c r="G49" s="562">
        <v>8202</v>
      </c>
      <c r="H49" s="562">
        <v>2694</v>
      </c>
      <c r="I49" s="1509">
        <v>6</v>
      </c>
      <c r="J49" s="1508">
        <v>15139</v>
      </c>
      <c r="K49" s="562">
        <v>11547</v>
      </c>
      <c r="L49" s="1509"/>
      <c r="M49" s="328">
        <v>16642</v>
      </c>
      <c r="N49" s="328">
        <v>9510</v>
      </c>
      <c r="O49" s="328">
        <v>285</v>
      </c>
      <c r="P49" s="328">
        <v>249</v>
      </c>
      <c r="Q49" s="1530">
        <v>1743</v>
      </c>
    </row>
    <row r="50" spans="1:17" s="329" customFormat="1" x14ac:dyDescent="0.3">
      <c r="A50" s="331" t="s">
        <v>113</v>
      </c>
      <c r="B50" s="327" t="s">
        <v>114</v>
      </c>
      <c r="C50" s="326" t="s">
        <v>252</v>
      </c>
      <c r="D50" s="328">
        <v>474</v>
      </c>
      <c r="E50" s="1508">
        <v>144</v>
      </c>
      <c r="F50" s="562">
        <v>106</v>
      </c>
      <c r="G50" s="562">
        <v>182</v>
      </c>
      <c r="H50" s="562">
        <v>42</v>
      </c>
      <c r="I50" s="1509">
        <v>0</v>
      </c>
      <c r="J50" s="1508">
        <v>264</v>
      </c>
      <c r="K50" s="562">
        <v>210</v>
      </c>
      <c r="L50" s="1509"/>
      <c r="M50" s="328">
        <v>445</v>
      </c>
      <c r="N50" s="328">
        <v>8</v>
      </c>
      <c r="O50" s="328">
        <v>0</v>
      </c>
      <c r="P50" s="328">
        <v>21</v>
      </c>
      <c r="Q50" s="1530">
        <v>5</v>
      </c>
    </row>
    <row r="51" spans="1:17" s="329" customFormat="1" x14ac:dyDescent="0.3">
      <c r="A51" s="331" t="s">
        <v>117</v>
      </c>
      <c r="B51" s="327" t="s">
        <v>257</v>
      </c>
      <c r="C51" s="326" t="s">
        <v>251</v>
      </c>
      <c r="D51" s="328">
        <v>7332</v>
      </c>
      <c r="E51" s="1508">
        <v>2757</v>
      </c>
      <c r="F51" s="562">
        <v>1651</v>
      </c>
      <c r="G51" s="562">
        <v>2167</v>
      </c>
      <c r="H51" s="562">
        <v>757</v>
      </c>
      <c r="I51" s="1509">
        <v>0</v>
      </c>
      <c r="J51" s="1508">
        <v>4210</v>
      </c>
      <c r="K51" s="562">
        <v>3122</v>
      </c>
      <c r="L51" s="1509"/>
      <c r="M51" s="328">
        <v>3642</v>
      </c>
      <c r="N51" s="328">
        <v>3361</v>
      </c>
      <c r="O51" s="328">
        <v>174</v>
      </c>
      <c r="P51" s="328">
        <v>155</v>
      </c>
      <c r="Q51" s="1530">
        <v>137</v>
      </c>
    </row>
    <row r="52" spans="1:17" s="329" customFormat="1" x14ac:dyDescent="0.3">
      <c r="A52" s="331" t="s">
        <v>119</v>
      </c>
      <c r="B52" s="327" t="s">
        <v>120</v>
      </c>
      <c r="C52" s="326" t="s">
        <v>251</v>
      </c>
      <c r="D52" s="328">
        <v>10879</v>
      </c>
      <c r="E52" s="1508">
        <v>4813</v>
      </c>
      <c r="F52" s="562">
        <v>2593</v>
      </c>
      <c r="G52" s="562">
        <v>2888</v>
      </c>
      <c r="H52" s="562">
        <v>585</v>
      </c>
      <c r="I52" s="1509">
        <v>0</v>
      </c>
      <c r="J52" s="1508">
        <v>6248</v>
      </c>
      <c r="K52" s="562">
        <v>4631</v>
      </c>
      <c r="L52" s="1509"/>
      <c r="M52" s="328">
        <v>5859</v>
      </c>
      <c r="N52" s="328">
        <v>3955</v>
      </c>
      <c r="O52" s="328">
        <v>601</v>
      </c>
      <c r="P52" s="328">
        <v>464</v>
      </c>
      <c r="Q52" s="1530">
        <v>783</v>
      </c>
    </row>
    <row r="53" spans="1:17" s="329" customFormat="1" x14ac:dyDescent="0.3">
      <c r="A53" s="331" t="s">
        <v>121</v>
      </c>
      <c r="B53" s="327" t="s">
        <v>268</v>
      </c>
      <c r="C53" s="326" t="s">
        <v>253</v>
      </c>
      <c r="D53" s="328">
        <v>2008</v>
      </c>
      <c r="E53" s="1508">
        <v>718</v>
      </c>
      <c r="F53" s="562">
        <v>462</v>
      </c>
      <c r="G53" s="562">
        <v>605</v>
      </c>
      <c r="H53" s="562">
        <v>223</v>
      </c>
      <c r="I53" s="1509">
        <v>0</v>
      </c>
      <c r="J53" s="1508">
        <v>1197</v>
      </c>
      <c r="K53" s="562">
        <v>811</v>
      </c>
      <c r="L53" s="1509"/>
      <c r="M53" s="328">
        <v>1160</v>
      </c>
      <c r="N53" s="328">
        <v>757</v>
      </c>
      <c r="O53" s="328">
        <v>46</v>
      </c>
      <c r="P53" s="328">
        <v>45</v>
      </c>
      <c r="Q53" s="1530">
        <v>29</v>
      </c>
    </row>
    <row r="54" spans="1:17" s="329" customFormat="1" x14ac:dyDescent="0.3">
      <c r="A54" s="331" t="s">
        <v>123</v>
      </c>
      <c r="B54" s="327" t="s">
        <v>124</v>
      </c>
      <c r="C54" s="326" t="s">
        <v>254</v>
      </c>
      <c r="D54" s="328">
        <v>4729</v>
      </c>
      <c r="E54" s="1508">
        <v>2018</v>
      </c>
      <c r="F54" s="562">
        <v>1212</v>
      </c>
      <c r="G54" s="562">
        <v>1189</v>
      </c>
      <c r="H54" s="562">
        <v>310</v>
      </c>
      <c r="I54" s="1509">
        <v>0</v>
      </c>
      <c r="J54" s="1508">
        <v>2744</v>
      </c>
      <c r="K54" s="562">
        <v>1985</v>
      </c>
      <c r="L54" s="1509"/>
      <c r="M54" s="328">
        <v>2956</v>
      </c>
      <c r="N54" s="328">
        <v>1572</v>
      </c>
      <c r="O54" s="328">
        <v>90</v>
      </c>
      <c r="P54" s="328">
        <v>111</v>
      </c>
      <c r="Q54" s="1530">
        <v>138</v>
      </c>
    </row>
    <row r="55" spans="1:17" s="329" customFormat="1" x14ac:dyDescent="0.3">
      <c r="A55" s="331" t="s">
        <v>125</v>
      </c>
      <c r="B55" s="327" t="s">
        <v>126</v>
      </c>
      <c r="C55" s="326" t="s">
        <v>253</v>
      </c>
      <c r="D55" s="328">
        <v>3638</v>
      </c>
      <c r="E55" s="1508">
        <v>1515</v>
      </c>
      <c r="F55" s="562">
        <v>834</v>
      </c>
      <c r="G55" s="562">
        <v>997</v>
      </c>
      <c r="H55" s="562">
        <v>291</v>
      </c>
      <c r="I55" s="1509">
        <v>1</v>
      </c>
      <c r="J55" s="1508">
        <v>2105</v>
      </c>
      <c r="K55" s="562">
        <v>1533</v>
      </c>
      <c r="L55" s="1509"/>
      <c r="M55" s="328">
        <v>2243</v>
      </c>
      <c r="N55" s="328">
        <v>1138</v>
      </c>
      <c r="O55" s="328">
        <v>156</v>
      </c>
      <c r="P55" s="328">
        <v>101</v>
      </c>
      <c r="Q55" s="1530">
        <v>77</v>
      </c>
    </row>
    <row r="56" spans="1:17" s="329" customFormat="1" x14ac:dyDescent="0.3">
      <c r="A56" s="331" t="s">
        <v>127</v>
      </c>
      <c r="B56" s="327" t="s">
        <v>128</v>
      </c>
      <c r="C56" s="326" t="s">
        <v>253</v>
      </c>
      <c r="D56" s="328">
        <v>2958</v>
      </c>
      <c r="E56" s="1508">
        <v>1099</v>
      </c>
      <c r="F56" s="562">
        <v>638</v>
      </c>
      <c r="G56" s="562">
        <v>818</v>
      </c>
      <c r="H56" s="562">
        <v>403</v>
      </c>
      <c r="I56" s="1509">
        <v>0</v>
      </c>
      <c r="J56" s="1508">
        <v>1777</v>
      </c>
      <c r="K56" s="562">
        <v>1181</v>
      </c>
      <c r="L56" s="1509"/>
      <c r="M56" s="328">
        <v>1103</v>
      </c>
      <c r="N56" s="328">
        <v>1764</v>
      </c>
      <c r="O56" s="328">
        <v>44</v>
      </c>
      <c r="P56" s="328">
        <v>47</v>
      </c>
      <c r="Q56" s="1530">
        <v>10</v>
      </c>
    </row>
    <row r="57" spans="1:17" s="329" customFormat="1" x14ac:dyDescent="0.3">
      <c r="A57" s="331" t="s">
        <v>129</v>
      </c>
      <c r="B57" s="327" t="s">
        <v>130</v>
      </c>
      <c r="C57" s="326" t="s">
        <v>255</v>
      </c>
      <c r="D57" s="328">
        <v>10516</v>
      </c>
      <c r="E57" s="1508">
        <v>3357</v>
      </c>
      <c r="F57" s="562">
        <v>2228</v>
      </c>
      <c r="G57" s="562">
        <v>3664</v>
      </c>
      <c r="H57" s="562">
        <v>1267</v>
      </c>
      <c r="I57" s="1509">
        <v>0</v>
      </c>
      <c r="J57" s="1508">
        <v>5662</v>
      </c>
      <c r="K57" s="562">
        <v>4854</v>
      </c>
      <c r="L57" s="1509"/>
      <c r="M57" s="328">
        <v>10313</v>
      </c>
      <c r="N57" s="328">
        <v>80</v>
      </c>
      <c r="O57" s="328">
        <v>58</v>
      </c>
      <c r="P57" s="328">
        <v>65</v>
      </c>
      <c r="Q57" s="1530">
        <v>49</v>
      </c>
    </row>
    <row r="58" spans="1:17" s="329" customFormat="1" x14ac:dyDescent="0.3">
      <c r="A58" s="331" t="s">
        <v>131</v>
      </c>
      <c r="B58" s="327" t="s">
        <v>132</v>
      </c>
      <c r="C58" s="326" t="s">
        <v>254</v>
      </c>
      <c r="D58" s="328">
        <v>40547</v>
      </c>
      <c r="E58" s="1508">
        <v>20319</v>
      </c>
      <c r="F58" s="562">
        <v>8015</v>
      </c>
      <c r="G58" s="562">
        <v>8584</v>
      </c>
      <c r="H58" s="562">
        <v>3627</v>
      </c>
      <c r="I58" s="1509">
        <v>2</v>
      </c>
      <c r="J58" s="1508">
        <v>22348</v>
      </c>
      <c r="K58" s="562">
        <v>18199</v>
      </c>
      <c r="L58" s="1509"/>
      <c r="M58" s="328">
        <v>25910</v>
      </c>
      <c r="N58" s="328">
        <v>4917</v>
      </c>
      <c r="O58" s="328">
        <v>6985</v>
      </c>
      <c r="P58" s="328">
        <v>2735</v>
      </c>
      <c r="Q58" s="1530">
        <v>3280</v>
      </c>
    </row>
    <row r="59" spans="1:17" s="329" customFormat="1" x14ac:dyDescent="0.3">
      <c r="A59" s="331" t="s">
        <v>133</v>
      </c>
      <c r="B59" s="327" t="s">
        <v>134</v>
      </c>
      <c r="C59" s="326" t="s">
        <v>254</v>
      </c>
      <c r="D59" s="328">
        <v>8940</v>
      </c>
      <c r="E59" s="1508">
        <v>3557</v>
      </c>
      <c r="F59" s="562">
        <v>2039</v>
      </c>
      <c r="G59" s="562">
        <v>2561</v>
      </c>
      <c r="H59" s="562">
        <v>783</v>
      </c>
      <c r="I59" s="1509">
        <v>0</v>
      </c>
      <c r="J59" s="1508">
        <v>5071</v>
      </c>
      <c r="K59" s="562">
        <v>3869</v>
      </c>
      <c r="L59" s="1509"/>
      <c r="M59" s="328">
        <v>6391</v>
      </c>
      <c r="N59" s="328">
        <v>2162</v>
      </c>
      <c r="O59" s="328">
        <v>150</v>
      </c>
      <c r="P59" s="328">
        <v>237</v>
      </c>
      <c r="Q59" s="1530">
        <v>197</v>
      </c>
    </row>
    <row r="60" spans="1:17" s="329" customFormat="1" x14ac:dyDescent="0.3">
      <c r="A60" s="331" t="s">
        <v>135</v>
      </c>
      <c r="B60" s="327" t="s">
        <v>136</v>
      </c>
      <c r="C60" s="326" t="s">
        <v>253</v>
      </c>
      <c r="D60" s="328">
        <v>5116</v>
      </c>
      <c r="E60" s="1508">
        <v>1685</v>
      </c>
      <c r="F60" s="562">
        <v>1142</v>
      </c>
      <c r="G60" s="562">
        <v>1670</v>
      </c>
      <c r="H60" s="562">
        <v>619</v>
      </c>
      <c r="I60" s="1509">
        <v>0</v>
      </c>
      <c r="J60" s="1508">
        <v>2487</v>
      </c>
      <c r="K60" s="562">
        <v>2629</v>
      </c>
      <c r="L60" s="1509"/>
      <c r="M60" s="328">
        <v>2635</v>
      </c>
      <c r="N60" s="328">
        <v>2272</v>
      </c>
      <c r="O60" s="328">
        <v>160</v>
      </c>
      <c r="P60" s="328">
        <v>49</v>
      </c>
      <c r="Q60" s="1530">
        <v>191</v>
      </c>
    </row>
    <row r="61" spans="1:17" s="329" customFormat="1" x14ac:dyDescent="0.3">
      <c r="A61" s="331" t="s">
        <v>139</v>
      </c>
      <c r="B61" s="327" t="s">
        <v>140</v>
      </c>
      <c r="C61" s="326" t="s">
        <v>254</v>
      </c>
      <c r="D61" s="328">
        <v>3240</v>
      </c>
      <c r="E61" s="1508">
        <v>1337</v>
      </c>
      <c r="F61" s="562">
        <v>703</v>
      </c>
      <c r="G61" s="562">
        <v>891</v>
      </c>
      <c r="H61" s="562">
        <v>309</v>
      </c>
      <c r="I61" s="1509">
        <v>0</v>
      </c>
      <c r="J61" s="1508">
        <v>1805</v>
      </c>
      <c r="K61" s="562">
        <v>1435</v>
      </c>
      <c r="L61" s="1509"/>
      <c r="M61" s="328">
        <v>2631</v>
      </c>
      <c r="N61" s="328">
        <v>506</v>
      </c>
      <c r="O61" s="328">
        <v>25</v>
      </c>
      <c r="P61" s="328">
        <v>78</v>
      </c>
      <c r="Q61" s="1530">
        <v>60</v>
      </c>
    </row>
    <row r="62" spans="1:17" s="329" customFormat="1" x14ac:dyDescent="0.3">
      <c r="A62" s="331" t="s">
        <v>145</v>
      </c>
      <c r="B62" s="327" t="s">
        <v>146</v>
      </c>
      <c r="C62" s="326" t="s">
        <v>251</v>
      </c>
      <c r="D62" s="328">
        <v>1926</v>
      </c>
      <c r="E62" s="1508">
        <v>663</v>
      </c>
      <c r="F62" s="562">
        <v>429</v>
      </c>
      <c r="G62" s="562">
        <v>620</v>
      </c>
      <c r="H62" s="562">
        <v>214</v>
      </c>
      <c r="I62" s="1509">
        <v>0</v>
      </c>
      <c r="J62" s="1508">
        <v>1070</v>
      </c>
      <c r="K62" s="562">
        <v>856</v>
      </c>
      <c r="L62" s="1509"/>
      <c r="M62" s="328">
        <v>1456</v>
      </c>
      <c r="N62" s="328">
        <v>372</v>
      </c>
      <c r="O62" s="328">
        <v>35</v>
      </c>
      <c r="P62" s="328">
        <v>63</v>
      </c>
      <c r="Q62" s="1530">
        <v>29</v>
      </c>
    </row>
    <row r="63" spans="1:17" s="329" customFormat="1" x14ac:dyDescent="0.3">
      <c r="A63" s="331" t="s">
        <v>147</v>
      </c>
      <c r="B63" s="327" t="s">
        <v>148</v>
      </c>
      <c r="C63" s="326" t="s">
        <v>252</v>
      </c>
      <c r="D63" s="328">
        <v>9898</v>
      </c>
      <c r="E63" s="1508">
        <v>3651</v>
      </c>
      <c r="F63" s="562">
        <v>2111</v>
      </c>
      <c r="G63" s="562">
        <v>2948</v>
      </c>
      <c r="H63" s="562">
        <v>1186</v>
      </c>
      <c r="I63" s="1509">
        <v>2</v>
      </c>
      <c r="J63" s="1508">
        <v>5499</v>
      </c>
      <c r="K63" s="562">
        <v>4399</v>
      </c>
      <c r="L63" s="1509"/>
      <c r="M63" s="328">
        <v>4370</v>
      </c>
      <c r="N63" s="328">
        <v>5282</v>
      </c>
      <c r="O63" s="328">
        <v>95</v>
      </c>
      <c r="P63" s="328">
        <v>151</v>
      </c>
      <c r="Q63" s="1530">
        <v>170</v>
      </c>
    </row>
    <row r="64" spans="1:17" s="329" customFormat="1" x14ac:dyDescent="0.3">
      <c r="A64" s="331" t="s">
        <v>149</v>
      </c>
      <c r="B64" s="327" t="s">
        <v>150</v>
      </c>
      <c r="C64" s="326" t="s">
        <v>253</v>
      </c>
      <c r="D64" s="328">
        <v>3083</v>
      </c>
      <c r="E64" s="1508">
        <v>1113</v>
      </c>
      <c r="F64" s="562">
        <v>676</v>
      </c>
      <c r="G64" s="562">
        <v>952</v>
      </c>
      <c r="H64" s="562">
        <v>342</v>
      </c>
      <c r="I64" s="1509">
        <v>0</v>
      </c>
      <c r="J64" s="1508">
        <v>1757</v>
      </c>
      <c r="K64" s="562">
        <v>1326</v>
      </c>
      <c r="L64" s="1509"/>
      <c r="M64" s="328">
        <v>2169</v>
      </c>
      <c r="N64" s="328">
        <v>804</v>
      </c>
      <c r="O64" s="328">
        <v>48</v>
      </c>
      <c r="P64" s="328">
        <v>62</v>
      </c>
      <c r="Q64" s="1530">
        <v>53</v>
      </c>
    </row>
    <row r="65" spans="1:17" s="329" customFormat="1" x14ac:dyDescent="0.3">
      <c r="A65" s="331" t="s">
        <v>151</v>
      </c>
      <c r="B65" s="327" t="s">
        <v>152</v>
      </c>
      <c r="C65" s="326" t="s">
        <v>255</v>
      </c>
      <c r="D65" s="328">
        <v>14756</v>
      </c>
      <c r="E65" s="1508">
        <v>5762</v>
      </c>
      <c r="F65" s="562">
        <v>3919</v>
      </c>
      <c r="G65" s="562">
        <v>4001</v>
      </c>
      <c r="H65" s="562">
        <v>1068</v>
      </c>
      <c r="I65" s="1509">
        <v>6</v>
      </c>
      <c r="J65" s="1508">
        <v>8310</v>
      </c>
      <c r="K65" s="562">
        <v>6446</v>
      </c>
      <c r="L65" s="1509"/>
      <c r="M65" s="328">
        <v>12475</v>
      </c>
      <c r="N65" s="328">
        <v>1342</v>
      </c>
      <c r="O65" s="328">
        <v>371</v>
      </c>
      <c r="P65" s="328">
        <v>568</v>
      </c>
      <c r="Q65" s="1530">
        <v>456</v>
      </c>
    </row>
    <row r="66" spans="1:17" s="329" customFormat="1" x14ac:dyDescent="0.3">
      <c r="A66" s="331" t="s">
        <v>153</v>
      </c>
      <c r="B66" s="327" t="s">
        <v>154</v>
      </c>
      <c r="C66" s="326" t="s">
        <v>252</v>
      </c>
      <c r="D66" s="328">
        <v>3982</v>
      </c>
      <c r="E66" s="1508">
        <v>1449</v>
      </c>
      <c r="F66" s="562">
        <v>878</v>
      </c>
      <c r="G66" s="562">
        <v>1158</v>
      </c>
      <c r="H66" s="562">
        <v>497</v>
      </c>
      <c r="I66" s="1509">
        <v>0</v>
      </c>
      <c r="J66" s="1508">
        <v>2204</v>
      </c>
      <c r="K66" s="562">
        <v>1778</v>
      </c>
      <c r="L66" s="1509"/>
      <c r="M66" s="328">
        <v>2987</v>
      </c>
      <c r="N66" s="328">
        <v>764</v>
      </c>
      <c r="O66" s="328">
        <v>113</v>
      </c>
      <c r="P66" s="328">
        <v>118</v>
      </c>
      <c r="Q66" s="1530">
        <v>142</v>
      </c>
    </row>
    <row r="67" spans="1:17" s="329" customFormat="1" x14ac:dyDescent="0.3">
      <c r="A67" s="331" t="s">
        <v>155</v>
      </c>
      <c r="B67" s="327" t="s">
        <v>156</v>
      </c>
      <c r="C67" s="326" t="s">
        <v>253</v>
      </c>
      <c r="D67" s="328">
        <v>3002</v>
      </c>
      <c r="E67" s="1508">
        <v>1252</v>
      </c>
      <c r="F67" s="562">
        <v>712</v>
      </c>
      <c r="G67" s="562">
        <v>837</v>
      </c>
      <c r="H67" s="562">
        <v>201</v>
      </c>
      <c r="I67" s="1509">
        <v>0</v>
      </c>
      <c r="J67" s="1508">
        <v>1738</v>
      </c>
      <c r="K67" s="562">
        <v>1264</v>
      </c>
      <c r="L67" s="1509"/>
      <c r="M67" s="328">
        <v>2198</v>
      </c>
      <c r="N67" s="328">
        <v>612</v>
      </c>
      <c r="O67" s="328">
        <v>107</v>
      </c>
      <c r="P67" s="328">
        <v>85</v>
      </c>
      <c r="Q67" s="1530">
        <v>95</v>
      </c>
    </row>
    <row r="68" spans="1:17" s="329" customFormat="1" x14ac:dyDescent="0.3">
      <c r="A68" s="331" t="s">
        <v>161</v>
      </c>
      <c r="B68" s="327" t="s">
        <v>162</v>
      </c>
      <c r="C68" s="326" t="s">
        <v>251</v>
      </c>
      <c r="D68" s="328">
        <v>4826</v>
      </c>
      <c r="E68" s="1508">
        <v>1795</v>
      </c>
      <c r="F68" s="562">
        <v>944</v>
      </c>
      <c r="G68" s="562">
        <v>1345</v>
      </c>
      <c r="H68" s="562">
        <v>742</v>
      </c>
      <c r="I68" s="1509">
        <v>0</v>
      </c>
      <c r="J68" s="1508">
        <v>2697</v>
      </c>
      <c r="K68" s="562">
        <v>2129</v>
      </c>
      <c r="L68" s="1509"/>
      <c r="M68" s="328">
        <v>2072</v>
      </c>
      <c r="N68" s="328">
        <v>2625</v>
      </c>
      <c r="O68" s="328">
        <v>40</v>
      </c>
      <c r="P68" s="328">
        <v>89</v>
      </c>
      <c r="Q68" s="1530">
        <v>279</v>
      </c>
    </row>
    <row r="69" spans="1:17" s="329" customFormat="1" x14ac:dyDescent="0.3">
      <c r="A69" s="331" t="s">
        <v>163</v>
      </c>
      <c r="B69" s="327" t="s">
        <v>164</v>
      </c>
      <c r="C69" s="326" t="s">
        <v>253</v>
      </c>
      <c r="D69" s="328">
        <v>3184</v>
      </c>
      <c r="E69" s="1508">
        <v>1176</v>
      </c>
      <c r="F69" s="562">
        <v>679</v>
      </c>
      <c r="G69" s="562">
        <v>979</v>
      </c>
      <c r="H69" s="562">
        <v>350</v>
      </c>
      <c r="I69" s="1509">
        <v>0</v>
      </c>
      <c r="J69" s="1508">
        <v>1789</v>
      </c>
      <c r="K69" s="562">
        <v>1395</v>
      </c>
      <c r="L69" s="1509"/>
      <c r="M69" s="328">
        <v>1445</v>
      </c>
      <c r="N69" s="328">
        <v>1607</v>
      </c>
      <c r="O69" s="328">
        <v>61</v>
      </c>
      <c r="P69" s="328">
        <v>71</v>
      </c>
      <c r="Q69" s="1530">
        <v>57</v>
      </c>
    </row>
    <row r="70" spans="1:17" s="329" customFormat="1" x14ac:dyDescent="0.3">
      <c r="A70" s="331" t="s">
        <v>167</v>
      </c>
      <c r="B70" s="327" t="s">
        <v>168</v>
      </c>
      <c r="C70" s="326" t="s">
        <v>253</v>
      </c>
      <c r="D70" s="328">
        <v>5863</v>
      </c>
      <c r="E70" s="1508">
        <v>2070</v>
      </c>
      <c r="F70" s="562">
        <v>1290</v>
      </c>
      <c r="G70" s="562">
        <v>1832</v>
      </c>
      <c r="H70" s="562">
        <v>671</v>
      </c>
      <c r="I70" s="1509">
        <v>0</v>
      </c>
      <c r="J70" s="1508">
        <v>3058</v>
      </c>
      <c r="K70" s="562">
        <v>2805</v>
      </c>
      <c r="L70" s="1509"/>
      <c r="M70" s="328">
        <v>2762</v>
      </c>
      <c r="N70" s="328">
        <v>2942</v>
      </c>
      <c r="O70" s="328">
        <v>85</v>
      </c>
      <c r="P70" s="328">
        <v>74</v>
      </c>
      <c r="Q70" s="1530">
        <v>200</v>
      </c>
    </row>
    <row r="71" spans="1:17" s="329" customFormat="1" x14ac:dyDescent="0.3">
      <c r="A71" s="331" t="s">
        <v>169</v>
      </c>
      <c r="B71" s="327" t="s">
        <v>170</v>
      </c>
      <c r="C71" s="326" t="s">
        <v>254</v>
      </c>
      <c r="D71" s="328">
        <v>8588</v>
      </c>
      <c r="E71" s="1508">
        <v>3521</v>
      </c>
      <c r="F71" s="562">
        <v>1933</v>
      </c>
      <c r="G71" s="562">
        <v>2307</v>
      </c>
      <c r="H71" s="562">
        <v>826</v>
      </c>
      <c r="I71" s="1509">
        <v>1</v>
      </c>
      <c r="J71" s="1508">
        <v>4911</v>
      </c>
      <c r="K71" s="562">
        <v>3677</v>
      </c>
      <c r="L71" s="1509"/>
      <c r="M71" s="328">
        <v>6235</v>
      </c>
      <c r="N71" s="328">
        <v>1931</v>
      </c>
      <c r="O71" s="328">
        <v>195</v>
      </c>
      <c r="P71" s="328">
        <v>227</v>
      </c>
      <c r="Q71" s="1530">
        <v>308</v>
      </c>
    </row>
    <row r="72" spans="1:17" s="329" customFormat="1" x14ac:dyDescent="0.3">
      <c r="A72" s="331" t="s">
        <v>171</v>
      </c>
      <c r="B72" s="327" t="s">
        <v>172</v>
      </c>
      <c r="C72" s="326" t="s">
        <v>254</v>
      </c>
      <c r="D72" s="328">
        <v>7144</v>
      </c>
      <c r="E72" s="1508">
        <v>2594</v>
      </c>
      <c r="F72" s="562">
        <v>1553</v>
      </c>
      <c r="G72" s="562">
        <v>2238</v>
      </c>
      <c r="H72" s="562">
        <v>759</v>
      </c>
      <c r="I72" s="1509">
        <v>0</v>
      </c>
      <c r="J72" s="1508">
        <v>3945</v>
      </c>
      <c r="K72" s="562">
        <v>3199</v>
      </c>
      <c r="L72" s="1509"/>
      <c r="M72" s="328">
        <v>6717</v>
      </c>
      <c r="N72" s="328">
        <v>225</v>
      </c>
      <c r="O72" s="328">
        <v>72</v>
      </c>
      <c r="P72" s="328">
        <v>130</v>
      </c>
      <c r="Q72" s="1530">
        <v>89</v>
      </c>
    </row>
    <row r="73" spans="1:17" s="329" customFormat="1" x14ac:dyDescent="0.3">
      <c r="A73" s="331" t="s">
        <v>173</v>
      </c>
      <c r="B73" s="327" t="s">
        <v>174</v>
      </c>
      <c r="C73" s="326" t="s">
        <v>255</v>
      </c>
      <c r="D73" s="328">
        <v>5553</v>
      </c>
      <c r="E73" s="1508">
        <v>1918</v>
      </c>
      <c r="F73" s="562">
        <v>1181</v>
      </c>
      <c r="G73" s="562">
        <v>1747</v>
      </c>
      <c r="H73" s="562">
        <v>707</v>
      </c>
      <c r="I73" s="1509">
        <v>0</v>
      </c>
      <c r="J73" s="1508">
        <v>3096</v>
      </c>
      <c r="K73" s="562">
        <v>2457</v>
      </c>
      <c r="L73" s="1509"/>
      <c r="M73" s="328">
        <v>5033</v>
      </c>
      <c r="N73" s="328">
        <v>411</v>
      </c>
      <c r="O73" s="328">
        <v>47</v>
      </c>
      <c r="P73" s="328">
        <v>62</v>
      </c>
      <c r="Q73" s="1530">
        <v>122</v>
      </c>
    </row>
    <row r="74" spans="1:17" s="329" customFormat="1" x14ac:dyDescent="0.3">
      <c r="A74" s="331" t="s">
        <v>177</v>
      </c>
      <c r="B74" s="327" t="s">
        <v>178</v>
      </c>
      <c r="C74" s="326" t="s">
        <v>252</v>
      </c>
      <c r="D74" s="328">
        <v>19418</v>
      </c>
      <c r="E74" s="1508">
        <v>6767</v>
      </c>
      <c r="F74" s="562">
        <v>4286</v>
      </c>
      <c r="G74" s="562">
        <v>6170</v>
      </c>
      <c r="H74" s="562">
        <v>2195</v>
      </c>
      <c r="I74" s="1509">
        <v>0</v>
      </c>
      <c r="J74" s="1508">
        <v>10849</v>
      </c>
      <c r="K74" s="562">
        <v>8569</v>
      </c>
      <c r="L74" s="1509"/>
      <c r="M74" s="328">
        <v>12796</v>
      </c>
      <c r="N74" s="328">
        <v>5989</v>
      </c>
      <c r="O74" s="328">
        <v>284</v>
      </c>
      <c r="P74" s="328">
        <v>349</v>
      </c>
      <c r="Q74" s="1530">
        <v>493</v>
      </c>
    </row>
    <row r="75" spans="1:17" s="329" customFormat="1" x14ac:dyDescent="0.3">
      <c r="A75" s="331" t="s">
        <v>181</v>
      </c>
      <c r="B75" s="327" t="s">
        <v>182</v>
      </c>
      <c r="C75" s="326" t="s">
        <v>253</v>
      </c>
      <c r="D75" s="328">
        <v>4302</v>
      </c>
      <c r="E75" s="1508">
        <v>1460</v>
      </c>
      <c r="F75" s="562">
        <v>1070</v>
      </c>
      <c r="G75" s="562">
        <v>1489</v>
      </c>
      <c r="H75" s="562">
        <v>283</v>
      </c>
      <c r="I75" s="1509">
        <v>0</v>
      </c>
      <c r="J75" s="1508">
        <v>2061</v>
      </c>
      <c r="K75" s="562">
        <v>2241</v>
      </c>
      <c r="L75" s="1509"/>
      <c r="M75" s="328">
        <v>3179</v>
      </c>
      <c r="N75" s="328">
        <v>889</v>
      </c>
      <c r="O75" s="328">
        <v>75</v>
      </c>
      <c r="P75" s="328">
        <v>159</v>
      </c>
      <c r="Q75" s="1530">
        <v>73</v>
      </c>
    </row>
    <row r="76" spans="1:17" s="329" customFormat="1" x14ac:dyDescent="0.3">
      <c r="A76" s="331" t="s">
        <v>183</v>
      </c>
      <c r="B76" s="327" t="s">
        <v>184</v>
      </c>
      <c r="C76" s="326" t="s">
        <v>253</v>
      </c>
      <c r="D76" s="328">
        <v>6222</v>
      </c>
      <c r="E76" s="1508">
        <v>2374</v>
      </c>
      <c r="F76" s="562">
        <v>1441</v>
      </c>
      <c r="G76" s="562">
        <v>1781</v>
      </c>
      <c r="H76" s="562">
        <v>626</v>
      </c>
      <c r="I76" s="1509">
        <v>0</v>
      </c>
      <c r="J76" s="1508">
        <v>3552</v>
      </c>
      <c r="K76" s="562">
        <v>2670</v>
      </c>
      <c r="L76" s="1509"/>
      <c r="M76" s="328">
        <v>2492</v>
      </c>
      <c r="N76" s="328">
        <v>3511</v>
      </c>
      <c r="O76" s="328">
        <v>99</v>
      </c>
      <c r="P76" s="328">
        <v>120</v>
      </c>
      <c r="Q76" s="1530">
        <v>127</v>
      </c>
    </row>
    <row r="77" spans="1:17" s="329" customFormat="1" x14ac:dyDescent="0.3">
      <c r="A77" s="331" t="s">
        <v>185</v>
      </c>
      <c r="B77" s="327" t="s">
        <v>186</v>
      </c>
      <c r="C77" s="326" t="s">
        <v>251</v>
      </c>
      <c r="D77" s="328">
        <v>7673</v>
      </c>
      <c r="E77" s="1508">
        <v>3256</v>
      </c>
      <c r="F77" s="562">
        <v>2080</v>
      </c>
      <c r="G77" s="562">
        <v>1976</v>
      </c>
      <c r="H77" s="562">
        <v>361</v>
      </c>
      <c r="I77" s="1509">
        <v>0</v>
      </c>
      <c r="J77" s="1508">
        <v>4390</v>
      </c>
      <c r="K77" s="562">
        <v>3283</v>
      </c>
      <c r="L77" s="1509"/>
      <c r="M77" s="328">
        <v>3857</v>
      </c>
      <c r="N77" s="328">
        <v>3414</v>
      </c>
      <c r="O77" s="328">
        <v>217</v>
      </c>
      <c r="P77" s="328">
        <v>185</v>
      </c>
      <c r="Q77" s="1530">
        <v>366</v>
      </c>
    </row>
    <row r="78" spans="1:17" s="329" customFormat="1" x14ac:dyDescent="0.3">
      <c r="A78" s="331" t="s">
        <v>187</v>
      </c>
      <c r="B78" s="327" t="s">
        <v>188</v>
      </c>
      <c r="C78" s="326" t="s">
        <v>254</v>
      </c>
      <c r="D78" s="328">
        <v>88226</v>
      </c>
      <c r="E78" s="1508">
        <v>46420</v>
      </c>
      <c r="F78" s="562">
        <v>19465</v>
      </c>
      <c r="G78" s="562">
        <v>17657</v>
      </c>
      <c r="H78" s="562">
        <v>4677</v>
      </c>
      <c r="I78" s="1509">
        <v>7</v>
      </c>
      <c r="J78" s="1508">
        <v>49069</v>
      </c>
      <c r="K78" s="562">
        <v>39157</v>
      </c>
      <c r="L78" s="1509"/>
      <c r="M78" s="328">
        <v>50130</v>
      </c>
      <c r="N78" s="328">
        <v>23642</v>
      </c>
      <c r="O78" s="328">
        <v>11801</v>
      </c>
      <c r="P78" s="328">
        <v>2653</v>
      </c>
      <c r="Q78" s="1530">
        <v>10767</v>
      </c>
    </row>
    <row r="79" spans="1:17" s="329" customFormat="1" x14ac:dyDescent="0.3">
      <c r="A79" s="331" t="s">
        <v>189</v>
      </c>
      <c r="B79" s="327" t="s">
        <v>190</v>
      </c>
      <c r="C79" s="326" t="s">
        <v>255</v>
      </c>
      <c r="D79" s="328">
        <v>10068</v>
      </c>
      <c r="E79" s="1508">
        <v>3354</v>
      </c>
      <c r="F79" s="562">
        <v>2385</v>
      </c>
      <c r="G79" s="562">
        <v>3323</v>
      </c>
      <c r="H79" s="562">
        <v>1006</v>
      </c>
      <c r="I79" s="1509">
        <v>0</v>
      </c>
      <c r="J79" s="1508">
        <v>5576</v>
      </c>
      <c r="K79" s="562">
        <v>4492</v>
      </c>
      <c r="L79" s="1509"/>
      <c r="M79" s="328">
        <v>8875</v>
      </c>
      <c r="N79" s="328">
        <v>958</v>
      </c>
      <c r="O79" s="328">
        <v>113</v>
      </c>
      <c r="P79" s="328">
        <v>122</v>
      </c>
      <c r="Q79" s="1530">
        <v>131</v>
      </c>
    </row>
    <row r="80" spans="1:17" s="329" customFormat="1" x14ac:dyDescent="0.3">
      <c r="A80" s="331" t="s">
        <v>193</v>
      </c>
      <c r="B80" s="327" t="s">
        <v>194</v>
      </c>
      <c r="C80" s="326" t="s">
        <v>254</v>
      </c>
      <c r="D80" s="328">
        <v>1377</v>
      </c>
      <c r="E80" s="1508">
        <v>536</v>
      </c>
      <c r="F80" s="562">
        <v>321</v>
      </c>
      <c r="G80" s="562">
        <v>386</v>
      </c>
      <c r="H80" s="562">
        <v>134</v>
      </c>
      <c r="I80" s="1509">
        <v>0</v>
      </c>
      <c r="J80" s="1508">
        <v>727</v>
      </c>
      <c r="K80" s="562">
        <v>650</v>
      </c>
      <c r="L80" s="1509"/>
      <c r="M80" s="328">
        <v>1165</v>
      </c>
      <c r="N80" s="328">
        <v>113</v>
      </c>
      <c r="O80" s="328">
        <v>21</v>
      </c>
      <c r="P80" s="328">
        <v>78</v>
      </c>
      <c r="Q80" s="1530">
        <v>43</v>
      </c>
    </row>
    <row r="81" spans="1:17" s="329" customFormat="1" x14ac:dyDescent="0.3">
      <c r="A81" s="331" t="s">
        <v>197</v>
      </c>
      <c r="B81" s="327" t="s">
        <v>259</v>
      </c>
      <c r="C81" s="326" t="s">
        <v>253</v>
      </c>
      <c r="D81" s="328">
        <v>2933</v>
      </c>
      <c r="E81" s="1508">
        <v>990</v>
      </c>
      <c r="F81" s="562">
        <v>704</v>
      </c>
      <c r="G81" s="562">
        <v>988</v>
      </c>
      <c r="H81" s="562">
        <v>251</v>
      </c>
      <c r="I81" s="1509">
        <v>0</v>
      </c>
      <c r="J81" s="1508">
        <v>1473</v>
      </c>
      <c r="K81" s="562">
        <v>1460</v>
      </c>
      <c r="L81" s="1509"/>
      <c r="M81" s="328">
        <v>1680</v>
      </c>
      <c r="N81" s="328">
        <v>1184</v>
      </c>
      <c r="O81" s="328">
        <v>26</v>
      </c>
      <c r="P81" s="328">
        <v>43</v>
      </c>
      <c r="Q81" s="1530">
        <v>137</v>
      </c>
    </row>
    <row r="82" spans="1:17" s="329" customFormat="1" x14ac:dyDescent="0.3">
      <c r="A82" s="331" t="s">
        <v>201</v>
      </c>
      <c r="B82" s="327" t="s">
        <v>276</v>
      </c>
      <c r="C82" s="326" t="s">
        <v>252</v>
      </c>
      <c r="D82" s="328">
        <v>20756</v>
      </c>
      <c r="E82" s="1508">
        <v>8616</v>
      </c>
      <c r="F82" s="562">
        <v>4854</v>
      </c>
      <c r="G82" s="562">
        <v>5568</v>
      </c>
      <c r="H82" s="562">
        <v>1718</v>
      </c>
      <c r="I82" s="1509">
        <v>0</v>
      </c>
      <c r="J82" s="1508">
        <v>11700</v>
      </c>
      <c r="K82" s="562">
        <v>9056</v>
      </c>
      <c r="L82" s="1509"/>
      <c r="M82" s="328">
        <v>16204</v>
      </c>
      <c r="N82" s="328">
        <v>3021</v>
      </c>
      <c r="O82" s="328">
        <v>839</v>
      </c>
      <c r="P82" s="328">
        <v>692</v>
      </c>
      <c r="Q82" s="1530">
        <v>613</v>
      </c>
    </row>
    <row r="83" spans="1:17" s="329" customFormat="1" x14ac:dyDescent="0.3">
      <c r="A83" s="331" t="s">
        <v>203</v>
      </c>
      <c r="B83" s="327" t="s">
        <v>269</v>
      </c>
      <c r="C83" s="326" t="s">
        <v>252</v>
      </c>
      <c r="D83" s="328">
        <v>8983</v>
      </c>
      <c r="E83" s="1508">
        <v>3388</v>
      </c>
      <c r="F83" s="562">
        <v>2067</v>
      </c>
      <c r="G83" s="562">
        <v>2605</v>
      </c>
      <c r="H83" s="562">
        <v>921</v>
      </c>
      <c r="I83" s="1509">
        <v>2</v>
      </c>
      <c r="J83" s="1508">
        <v>5136</v>
      </c>
      <c r="K83" s="562">
        <v>3847</v>
      </c>
      <c r="L83" s="1509"/>
      <c r="M83" s="328">
        <v>7871</v>
      </c>
      <c r="N83" s="328">
        <v>676</v>
      </c>
      <c r="O83" s="328">
        <v>172</v>
      </c>
      <c r="P83" s="328">
        <v>264</v>
      </c>
      <c r="Q83" s="1530">
        <v>173</v>
      </c>
    </row>
    <row r="84" spans="1:17" s="329" customFormat="1" x14ac:dyDescent="0.3">
      <c r="A84" s="331" t="s">
        <v>205</v>
      </c>
      <c r="B84" s="327" t="s">
        <v>270</v>
      </c>
      <c r="C84" s="326" t="s">
        <v>254</v>
      </c>
      <c r="D84" s="328">
        <v>27791</v>
      </c>
      <c r="E84" s="1508">
        <v>12926</v>
      </c>
      <c r="F84" s="562">
        <v>6375</v>
      </c>
      <c r="G84" s="562">
        <v>6594</v>
      </c>
      <c r="H84" s="562">
        <v>1895</v>
      </c>
      <c r="I84" s="1509">
        <v>1</v>
      </c>
      <c r="J84" s="1508">
        <v>15471</v>
      </c>
      <c r="K84" s="562">
        <v>12320</v>
      </c>
      <c r="L84" s="1509"/>
      <c r="M84" s="328">
        <v>23735</v>
      </c>
      <c r="N84" s="328">
        <v>2600</v>
      </c>
      <c r="O84" s="328">
        <v>749</v>
      </c>
      <c r="P84" s="328">
        <v>707</v>
      </c>
      <c r="Q84" s="1530">
        <v>3267</v>
      </c>
    </row>
    <row r="85" spans="1:17" s="329" customFormat="1" x14ac:dyDescent="0.3">
      <c r="A85" s="331" t="s">
        <v>207</v>
      </c>
      <c r="B85" s="327" t="s">
        <v>208</v>
      </c>
      <c r="C85" s="326" t="s">
        <v>255</v>
      </c>
      <c r="D85" s="328">
        <v>10147</v>
      </c>
      <c r="E85" s="1508">
        <v>3387</v>
      </c>
      <c r="F85" s="562">
        <v>2269</v>
      </c>
      <c r="G85" s="562">
        <v>3517</v>
      </c>
      <c r="H85" s="562">
        <v>972</v>
      </c>
      <c r="I85" s="1509">
        <v>2</v>
      </c>
      <c r="J85" s="1508">
        <v>5654</v>
      </c>
      <c r="K85" s="562">
        <v>4493</v>
      </c>
      <c r="L85" s="1509"/>
      <c r="M85" s="328">
        <v>9861</v>
      </c>
      <c r="N85" s="328">
        <v>131</v>
      </c>
      <c r="O85" s="328">
        <v>52</v>
      </c>
      <c r="P85" s="328">
        <v>103</v>
      </c>
      <c r="Q85" s="1530">
        <v>52</v>
      </c>
    </row>
    <row r="86" spans="1:17" s="329" customFormat="1" x14ac:dyDescent="0.3">
      <c r="A86" s="331" t="s">
        <v>209</v>
      </c>
      <c r="B86" s="327" t="s">
        <v>210</v>
      </c>
      <c r="C86" s="326" t="s">
        <v>255</v>
      </c>
      <c r="D86" s="328">
        <v>7262</v>
      </c>
      <c r="E86" s="1508">
        <v>2386</v>
      </c>
      <c r="F86" s="562">
        <v>1450</v>
      </c>
      <c r="G86" s="562">
        <v>2489</v>
      </c>
      <c r="H86" s="562">
        <v>937</v>
      </c>
      <c r="I86" s="1509">
        <v>0</v>
      </c>
      <c r="J86" s="1508">
        <v>3935</v>
      </c>
      <c r="K86" s="562">
        <v>3327</v>
      </c>
      <c r="L86" s="1509"/>
      <c r="M86" s="328">
        <v>7063</v>
      </c>
      <c r="N86" s="328">
        <v>83</v>
      </c>
      <c r="O86" s="328">
        <v>46</v>
      </c>
      <c r="P86" s="328">
        <v>70</v>
      </c>
      <c r="Q86" s="1530">
        <v>60</v>
      </c>
    </row>
    <row r="87" spans="1:17" s="329" customFormat="1" x14ac:dyDescent="0.3">
      <c r="A87" s="331" t="s">
        <v>211</v>
      </c>
      <c r="B87" s="327" t="s">
        <v>212</v>
      </c>
      <c r="C87" s="326" t="s">
        <v>254</v>
      </c>
      <c r="D87" s="328">
        <v>11098</v>
      </c>
      <c r="E87" s="1508">
        <v>4793</v>
      </c>
      <c r="F87" s="562">
        <v>2520</v>
      </c>
      <c r="G87" s="562">
        <v>2872</v>
      </c>
      <c r="H87" s="562">
        <v>913</v>
      </c>
      <c r="I87" s="1509">
        <v>0</v>
      </c>
      <c r="J87" s="1508">
        <v>6334</v>
      </c>
      <c r="K87" s="562">
        <v>4764</v>
      </c>
      <c r="L87" s="1509"/>
      <c r="M87" s="328">
        <v>9912</v>
      </c>
      <c r="N87" s="328">
        <v>600</v>
      </c>
      <c r="O87" s="328">
        <v>357</v>
      </c>
      <c r="P87" s="328">
        <v>229</v>
      </c>
      <c r="Q87" s="1530">
        <v>992</v>
      </c>
    </row>
    <row r="88" spans="1:17" s="329" customFormat="1" x14ac:dyDescent="0.3">
      <c r="A88" s="331" t="s">
        <v>213</v>
      </c>
      <c r="B88" s="327" t="s">
        <v>214</v>
      </c>
      <c r="C88" s="326" t="s">
        <v>255</v>
      </c>
      <c r="D88" s="328">
        <v>11367</v>
      </c>
      <c r="E88" s="1508">
        <v>3730</v>
      </c>
      <c r="F88" s="562">
        <v>2668</v>
      </c>
      <c r="G88" s="562">
        <v>3761</v>
      </c>
      <c r="H88" s="562">
        <v>1208</v>
      </c>
      <c r="I88" s="1509">
        <v>0</v>
      </c>
      <c r="J88" s="1508">
        <v>6233</v>
      </c>
      <c r="K88" s="562">
        <v>5134</v>
      </c>
      <c r="L88" s="1509"/>
      <c r="M88" s="328">
        <v>10720</v>
      </c>
      <c r="N88" s="328">
        <v>373</v>
      </c>
      <c r="O88" s="328">
        <v>95</v>
      </c>
      <c r="P88" s="328">
        <v>179</v>
      </c>
      <c r="Q88" s="1530">
        <v>107</v>
      </c>
    </row>
    <row r="89" spans="1:17" s="329" customFormat="1" x14ac:dyDescent="0.3">
      <c r="A89" s="331" t="s">
        <v>215</v>
      </c>
      <c r="B89" s="327" t="s">
        <v>216</v>
      </c>
      <c r="C89" s="326" t="s">
        <v>251</v>
      </c>
      <c r="D89" s="328">
        <v>5835</v>
      </c>
      <c r="E89" s="1508">
        <v>2062</v>
      </c>
      <c r="F89" s="562">
        <v>1186</v>
      </c>
      <c r="G89" s="562">
        <v>1913</v>
      </c>
      <c r="H89" s="562">
        <v>673</v>
      </c>
      <c r="I89" s="1509">
        <v>1</v>
      </c>
      <c r="J89" s="1508">
        <v>3074</v>
      </c>
      <c r="K89" s="562">
        <v>2761</v>
      </c>
      <c r="L89" s="1509"/>
      <c r="M89" s="328">
        <v>2505</v>
      </c>
      <c r="N89" s="328">
        <v>3192</v>
      </c>
      <c r="O89" s="328">
        <v>66</v>
      </c>
      <c r="P89" s="328">
        <v>72</v>
      </c>
      <c r="Q89" s="1530">
        <v>79</v>
      </c>
    </row>
    <row r="90" spans="1:17" s="329" customFormat="1" x14ac:dyDescent="0.3">
      <c r="A90" s="331" t="s">
        <v>217</v>
      </c>
      <c r="B90" s="327" t="s">
        <v>218</v>
      </c>
      <c r="C90" s="326" t="s">
        <v>254</v>
      </c>
      <c r="D90" s="328">
        <v>30007</v>
      </c>
      <c r="E90" s="1508">
        <v>13905</v>
      </c>
      <c r="F90" s="562">
        <v>7471</v>
      </c>
      <c r="G90" s="562">
        <v>7141</v>
      </c>
      <c r="H90" s="562">
        <v>1490</v>
      </c>
      <c r="I90" s="1509">
        <v>0</v>
      </c>
      <c r="J90" s="1508">
        <v>16970</v>
      </c>
      <c r="K90" s="562">
        <v>13037</v>
      </c>
      <c r="L90" s="1509"/>
      <c r="M90" s="328">
        <v>19300</v>
      </c>
      <c r="N90" s="328">
        <v>8357</v>
      </c>
      <c r="O90" s="328">
        <v>1561</v>
      </c>
      <c r="P90" s="328">
        <v>789</v>
      </c>
      <c r="Q90" s="1530">
        <v>1583</v>
      </c>
    </row>
    <row r="91" spans="1:17" s="329" customFormat="1" x14ac:dyDescent="0.3">
      <c r="A91" s="331" t="s">
        <v>219</v>
      </c>
      <c r="B91" s="327" t="s">
        <v>220</v>
      </c>
      <c r="C91" s="326" t="s">
        <v>254</v>
      </c>
      <c r="D91" s="328">
        <v>26389</v>
      </c>
      <c r="E91" s="1508">
        <v>12781</v>
      </c>
      <c r="F91" s="562">
        <v>6725</v>
      </c>
      <c r="G91" s="562">
        <v>5654</v>
      </c>
      <c r="H91" s="562">
        <v>1229</v>
      </c>
      <c r="I91" s="1509">
        <v>0</v>
      </c>
      <c r="J91" s="1508">
        <v>14990</v>
      </c>
      <c r="K91" s="562">
        <v>11399</v>
      </c>
      <c r="L91" s="1509"/>
      <c r="M91" s="328">
        <v>15216</v>
      </c>
      <c r="N91" s="328">
        <v>8346</v>
      </c>
      <c r="O91" s="328">
        <v>1978</v>
      </c>
      <c r="P91" s="328">
        <v>849</v>
      </c>
      <c r="Q91" s="1530">
        <v>2385</v>
      </c>
    </row>
    <row r="92" spans="1:17" s="329" customFormat="1" x14ac:dyDescent="0.3">
      <c r="A92" s="331" t="s">
        <v>223</v>
      </c>
      <c r="B92" s="327" t="s">
        <v>224</v>
      </c>
      <c r="C92" s="326" t="s">
        <v>251</v>
      </c>
      <c r="D92" s="328">
        <v>1731</v>
      </c>
      <c r="E92" s="1508">
        <v>589</v>
      </c>
      <c r="F92" s="562">
        <v>391</v>
      </c>
      <c r="G92" s="562">
        <v>560</v>
      </c>
      <c r="H92" s="562">
        <v>190</v>
      </c>
      <c r="I92" s="1509">
        <v>1</v>
      </c>
      <c r="J92" s="1508">
        <v>978</v>
      </c>
      <c r="K92" s="562">
        <v>753</v>
      </c>
      <c r="L92" s="1509"/>
      <c r="M92" s="328">
        <v>708</v>
      </c>
      <c r="N92" s="328">
        <v>973</v>
      </c>
      <c r="O92" s="328">
        <v>25</v>
      </c>
      <c r="P92" s="328">
        <v>25</v>
      </c>
      <c r="Q92" s="1530">
        <v>15</v>
      </c>
    </row>
    <row r="93" spans="1:17" s="329" customFormat="1" x14ac:dyDescent="0.3">
      <c r="A93" s="331" t="s">
        <v>225</v>
      </c>
      <c r="B93" s="327" t="s">
        <v>226</v>
      </c>
      <c r="C93" s="326" t="s">
        <v>251</v>
      </c>
      <c r="D93" s="328">
        <v>4978</v>
      </c>
      <c r="E93" s="1508">
        <v>1230</v>
      </c>
      <c r="F93" s="562">
        <v>1463</v>
      </c>
      <c r="G93" s="562">
        <v>1902</v>
      </c>
      <c r="H93" s="562">
        <v>383</v>
      </c>
      <c r="I93" s="1509">
        <v>0</v>
      </c>
      <c r="J93" s="1508">
        <v>1892</v>
      </c>
      <c r="K93" s="562">
        <v>3086</v>
      </c>
      <c r="L93" s="1509"/>
      <c r="M93" s="328">
        <v>1958</v>
      </c>
      <c r="N93" s="328">
        <v>2927</v>
      </c>
      <c r="O93" s="328">
        <v>51</v>
      </c>
      <c r="P93" s="328">
        <v>42</v>
      </c>
      <c r="Q93" s="1530">
        <v>89</v>
      </c>
    </row>
    <row r="94" spans="1:17" s="329" customFormat="1" x14ac:dyDescent="0.3">
      <c r="A94" s="331" t="s">
        <v>227</v>
      </c>
      <c r="B94" s="327" t="s">
        <v>228</v>
      </c>
      <c r="C94" s="326" t="s">
        <v>255</v>
      </c>
      <c r="D94" s="328">
        <v>15623</v>
      </c>
      <c r="E94" s="1508">
        <v>5064</v>
      </c>
      <c r="F94" s="562">
        <v>3633</v>
      </c>
      <c r="G94" s="562">
        <v>5538</v>
      </c>
      <c r="H94" s="562">
        <v>1388</v>
      </c>
      <c r="I94" s="1509">
        <v>0</v>
      </c>
      <c r="J94" s="1508">
        <v>8445</v>
      </c>
      <c r="K94" s="562">
        <v>7178</v>
      </c>
      <c r="L94" s="1509"/>
      <c r="M94" s="328">
        <v>14705</v>
      </c>
      <c r="N94" s="328">
        <v>607</v>
      </c>
      <c r="O94" s="328">
        <v>98</v>
      </c>
      <c r="P94" s="328">
        <v>213</v>
      </c>
      <c r="Q94" s="1530">
        <v>78</v>
      </c>
    </row>
    <row r="95" spans="1:17" s="329" customFormat="1" x14ac:dyDescent="0.3">
      <c r="A95" s="331" t="s">
        <v>231</v>
      </c>
      <c r="B95" s="327" t="s">
        <v>232</v>
      </c>
      <c r="C95" s="326" t="s">
        <v>254</v>
      </c>
      <c r="D95" s="328">
        <v>9627</v>
      </c>
      <c r="E95" s="1508">
        <v>3934</v>
      </c>
      <c r="F95" s="562">
        <v>2283</v>
      </c>
      <c r="G95" s="562">
        <v>2731</v>
      </c>
      <c r="H95" s="562">
        <v>678</v>
      </c>
      <c r="I95" s="1509">
        <v>1</v>
      </c>
      <c r="J95" s="1508">
        <v>5309</v>
      </c>
      <c r="K95" s="562">
        <v>4318</v>
      </c>
      <c r="L95" s="1509"/>
      <c r="M95" s="328">
        <v>8165</v>
      </c>
      <c r="N95" s="328">
        <v>1011</v>
      </c>
      <c r="O95" s="328">
        <v>242</v>
      </c>
      <c r="P95" s="328">
        <v>209</v>
      </c>
      <c r="Q95" s="1530">
        <v>300</v>
      </c>
    </row>
    <row r="96" spans="1:17" s="329" customFormat="1" x14ac:dyDescent="0.3">
      <c r="A96" s="331" t="s">
        <v>233</v>
      </c>
      <c r="B96" s="327" t="s">
        <v>234</v>
      </c>
      <c r="C96" s="326" t="s">
        <v>255</v>
      </c>
      <c r="D96" s="328">
        <v>14884</v>
      </c>
      <c r="E96" s="1508">
        <v>5214</v>
      </c>
      <c r="F96" s="562">
        <v>3302</v>
      </c>
      <c r="G96" s="562">
        <v>4923</v>
      </c>
      <c r="H96" s="562">
        <v>1444</v>
      </c>
      <c r="I96" s="1509">
        <v>1</v>
      </c>
      <c r="J96" s="1508">
        <v>8369</v>
      </c>
      <c r="K96" s="562">
        <v>6515</v>
      </c>
      <c r="L96" s="1509"/>
      <c r="M96" s="328">
        <v>13991</v>
      </c>
      <c r="N96" s="328">
        <v>343</v>
      </c>
      <c r="O96" s="328">
        <v>183</v>
      </c>
      <c r="P96" s="328">
        <v>367</v>
      </c>
      <c r="Q96" s="1530">
        <v>233</v>
      </c>
    </row>
    <row r="97" spans="1:17" s="329" customFormat="1" x14ac:dyDescent="0.3">
      <c r="A97" s="331" t="s">
        <v>235</v>
      </c>
      <c r="B97" s="327" t="s">
        <v>236</v>
      </c>
      <c r="C97" s="326" t="s">
        <v>253</v>
      </c>
      <c r="D97" s="328">
        <v>5924</v>
      </c>
      <c r="E97" s="1508">
        <v>2305</v>
      </c>
      <c r="F97" s="562">
        <v>1270</v>
      </c>
      <c r="G97" s="562">
        <v>1705</v>
      </c>
      <c r="H97" s="562">
        <v>644</v>
      </c>
      <c r="I97" s="1509">
        <v>0</v>
      </c>
      <c r="J97" s="1508">
        <v>3343</v>
      </c>
      <c r="K97" s="562">
        <v>2581</v>
      </c>
      <c r="L97" s="1509"/>
      <c r="M97" s="328">
        <v>3261</v>
      </c>
      <c r="N97" s="328">
        <v>2369</v>
      </c>
      <c r="O97" s="328">
        <v>163</v>
      </c>
      <c r="P97" s="328">
        <v>131</v>
      </c>
      <c r="Q97" s="1530">
        <v>308</v>
      </c>
    </row>
    <row r="98" spans="1:17" s="329" customFormat="1" x14ac:dyDescent="0.3">
      <c r="A98" s="331" t="s">
        <v>241</v>
      </c>
      <c r="B98" s="327" t="s">
        <v>242</v>
      </c>
      <c r="C98" s="326" t="s">
        <v>255</v>
      </c>
      <c r="D98" s="328">
        <v>15537</v>
      </c>
      <c r="E98" s="1508">
        <v>5035</v>
      </c>
      <c r="F98" s="562">
        <v>3669</v>
      </c>
      <c r="G98" s="562">
        <v>5594</v>
      </c>
      <c r="H98" s="562">
        <v>1239</v>
      </c>
      <c r="I98" s="1509">
        <v>0</v>
      </c>
      <c r="J98" s="1508">
        <v>8366</v>
      </c>
      <c r="K98" s="562">
        <v>7171</v>
      </c>
      <c r="L98" s="1509"/>
      <c r="M98" s="328">
        <v>14792</v>
      </c>
      <c r="N98" s="328">
        <v>562</v>
      </c>
      <c r="O98" s="328">
        <v>78</v>
      </c>
      <c r="P98" s="328">
        <v>105</v>
      </c>
      <c r="Q98" s="1530">
        <v>69</v>
      </c>
    </row>
    <row r="99" spans="1:17" s="329" customFormat="1" x14ac:dyDescent="0.3">
      <c r="A99" s="331" t="s">
        <v>243</v>
      </c>
      <c r="B99" s="327" t="s">
        <v>244</v>
      </c>
      <c r="C99" s="326" t="s">
        <v>255</v>
      </c>
      <c r="D99" s="328">
        <v>9246</v>
      </c>
      <c r="E99" s="1508">
        <v>3158</v>
      </c>
      <c r="F99" s="562">
        <v>2165</v>
      </c>
      <c r="G99" s="562">
        <v>3008</v>
      </c>
      <c r="H99" s="562">
        <v>914</v>
      </c>
      <c r="I99" s="1509">
        <v>1</v>
      </c>
      <c r="J99" s="1508">
        <v>5222</v>
      </c>
      <c r="K99" s="562">
        <v>4024</v>
      </c>
      <c r="L99" s="1509"/>
      <c r="M99" s="328">
        <v>8609</v>
      </c>
      <c r="N99" s="328">
        <v>462</v>
      </c>
      <c r="O99" s="328">
        <v>62</v>
      </c>
      <c r="P99" s="328">
        <v>113</v>
      </c>
      <c r="Q99" s="1530">
        <v>70</v>
      </c>
    </row>
    <row r="100" spans="1:17" s="329" customFormat="1" x14ac:dyDescent="0.3">
      <c r="A100" s="331" t="s">
        <v>245</v>
      </c>
      <c r="B100" s="327" t="s">
        <v>246</v>
      </c>
      <c r="C100" s="326" t="s">
        <v>251</v>
      </c>
      <c r="D100" s="328">
        <v>9113</v>
      </c>
      <c r="E100" s="1508">
        <v>3900</v>
      </c>
      <c r="F100" s="562">
        <v>2349</v>
      </c>
      <c r="G100" s="562">
        <v>2300</v>
      </c>
      <c r="H100" s="562">
        <v>563</v>
      </c>
      <c r="I100" s="1509">
        <v>1</v>
      </c>
      <c r="J100" s="1508">
        <v>5249</v>
      </c>
      <c r="K100" s="562">
        <v>3864</v>
      </c>
      <c r="L100" s="1509"/>
      <c r="M100" s="328">
        <v>5665</v>
      </c>
      <c r="N100" s="328">
        <v>2420</v>
      </c>
      <c r="O100" s="328">
        <v>608</v>
      </c>
      <c r="P100" s="328">
        <v>420</v>
      </c>
      <c r="Q100" s="1530">
        <v>380</v>
      </c>
    </row>
    <row r="101" spans="1:17" s="329" customFormat="1" x14ac:dyDescent="0.3">
      <c r="A101" s="331" t="s">
        <v>13</v>
      </c>
      <c r="B101" s="327" t="s">
        <v>14</v>
      </c>
      <c r="C101" s="326" t="s">
        <v>254</v>
      </c>
      <c r="D101" s="328">
        <v>27061</v>
      </c>
      <c r="E101" s="1508">
        <v>13388</v>
      </c>
      <c r="F101" s="562">
        <v>5416</v>
      </c>
      <c r="G101" s="562">
        <v>6182</v>
      </c>
      <c r="H101" s="562">
        <v>2075</v>
      </c>
      <c r="I101" s="1509">
        <v>0</v>
      </c>
      <c r="J101" s="1508">
        <v>14776</v>
      </c>
      <c r="K101" s="562">
        <v>12285</v>
      </c>
      <c r="L101" s="1509"/>
      <c r="M101" s="328">
        <v>12636</v>
      </c>
      <c r="N101" s="328">
        <v>10415</v>
      </c>
      <c r="O101" s="328">
        <v>2706</v>
      </c>
      <c r="P101" s="328">
        <v>1304</v>
      </c>
      <c r="Q101" s="1530">
        <v>2780</v>
      </c>
    </row>
    <row r="102" spans="1:17" s="329" customFormat="1" x14ac:dyDescent="0.3">
      <c r="A102" s="331" t="s">
        <v>33</v>
      </c>
      <c r="B102" s="327" t="s">
        <v>34</v>
      </c>
      <c r="C102" s="326" t="s">
        <v>255</v>
      </c>
      <c r="D102" s="328">
        <v>7904</v>
      </c>
      <c r="E102" s="1508">
        <v>2843</v>
      </c>
      <c r="F102" s="562">
        <v>1791</v>
      </c>
      <c r="G102" s="562">
        <v>2539</v>
      </c>
      <c r="H102" s="562">
        <v>731</v>
      </c>
      <c r="I102" s="1509">
        <v>0</v>
      </c>
      <c r="J102" s="1508">
        <v>4549</v>
      </c>
      <c r="K102" s="562">
        <v>3355</v>
      </c>
      <c r="L102" s="1509"/>
      <c r="M102" s="328">
        <v>6670</v>
      </c>
      <c r="N102" s="328">
        <v>981</v>
      </c>
      <c r="O102" s="328">
        <v>133</v>
      </c>
      <c r="P102" s="328">
        <v>120</v>
      </c>
      <c r="Q102" s="1530">
        <v>118</v>
      </c>
    </row>
    <row r="103" spans="1:17" s="329" customFormat="1" x14ac:dyDescent="0.3">
      <c r="A103" s="331" t="s">
        <v>51</v>
      </c>
      <c r="B103" s="327" t="s">
        <v>52</v>
      </c>
      <c r="C103" s="326" t="s">
        <v>252</v>
      </c>
      <c r="D103" s="328">
        <v>9669</v>
      </c>
      <c r="E103" s="1508">
        <v>3642</v>
      </c>
      <c r="F103" s="562">
        <v>2346</v>
      </c>
      <c r="G103" s="562">
        <v>2905</v>
      </c>
      <c r="H103" s="562">
        <v>776</v>
      </c>
      <c r="I103" s="1509">
        <v>0</v>
      </c>
      <c r="J103" s="1508">
        <v>5118</v>
      </c>
      <c r="K103" s="562">
        <v>4551</v>
      </c>
      <c r="L103" s="1509"/>
      <c r="M103" s="328">
        <v>4103</v>
      </c>
      <c r="N103" s="328">
        <v>4516</v>
      </c>
      <c r="O103" s="328">
        <v>658</v>
      </c>
      <c r="P103" s="328">
        <v>392</v>
      </c>
      <c r="Q103" s="1530">
        <v>419</v>
      </c>
    </row>
    <row r="104" spans="1:17" s="329" customFormat="1" x14ac:dyDescent="0.3">
      <c r="A104" s="331" t="s">
        <v>53</v>
      </c>
      <c r="B104" s="327" t="s">
        <v>54</v>
      </c>
      <c r="C104" s="326" t="s">
        <v>251</v>
      </c>
      <c r="D104" s="328">
        <v>51724</v>
      </c>
      <c r="E104" s="1508">
        <v>21640</v>
      </c>
      <c r="F104" s="562">
        <v>13367</v>
      </c>
      <c r="G104" s="562">
        <v>13642</v>
      </c>
      <c r="H104" s="562">
        <v>3072</v>
      </c>
      <c r="I104" s="1509">
        <v>3</v>
      </c>
      <c r="J104" s="1508">
        <v>29626</v>
      </c>
      <c r="K104" s="562">
        <v>22098</v>
      </c>
      <c r="L104" s="1509"/>
      <c r="M104" s="328">
        <v>20460</v>
      </c>
      <c r="N104" s="328">
        <v>27783</v>
      </c>
      <c r="O104" s="328">
        <v>2134</v>
      </c>
      <c r="P104" s="328">
        <v>1347</v>
      </c>
      <c r="Q104" s="1530">
        <v>2246</v>
      </c>
    </row>
    <row r="105" spans="1:17" s="329" customFormat="1" x14ac:dyDescent="0.3">
      <c r="A105" s="331" t="s">
        <v>65</v>
      </c>
      <c r="B105" s="327" t="s">
        <v>66</v>
      </c>
      <c r="C105" s="326" t="s">
        <v>252</v>
      </c>
      <c r="D105" s="328">
        <v>21828</v>
      </c>
      <c r="E105" s="1508">
        <v>7704</v>
      </c>
      <c r="F105" s="562">
        <v>5178</v>
      </c>
      <c r="G105" s="562">
        <v>6620</v>
      </c>
      <c r="H105" s="562">
        <v>2324</v>
      </c>
      <c r="I105" s="1509">
        <v>2</v>
      </c>
      <c r="J105" s="1508">
        <v>12569</v>
      </c>
      <c r="K105" s="562">
        <v>9259</v>
      </c>
      <c r="L105" s="1509"/>
      <c r="M105" s="328">
        <v>6858</v>
      </c>
      <c r="N105" s="328">
        <v>14273</v>
      </c>
      <c r="O105" s="328">
        <v>461</v>
      </c>
      <c r="P105" s="328">
        <v>236</v>
      </c>
      <c r="Q105" s="1530">
        <v>575</v>
      </c>
    </row>
    <row r="106" spans="1:17" s="329" customFormat="1" x14ac:dyDescent="0.3">
      <c r="A106" s="331" t="s">
        <v>81</v>
      </c>
      <c r="B106" s="327" t="s">
        <v>82</v>
      </c>
      <c r="C106" s="326" t="s">
        <v>251</v>
      </c>
      <c r="D106" s="328">
        <v>4042</v>
      </c>
      <c r="E106" s="1508">
        <v>1605</v>
      </c>
      <c r="F106" s="562">
        <v>909</v>
      </c>
      <c r="G106" s="562">
        <v>1152</v>
      </c>
      <c r="H106" s="562">
        <v>376</v>
      </c>
      <c r="I106" s="1509">
        <v>0</v>
      </c>
      <c r="J106" s="1508">
        <v>2383</v>
      </c>
      <c r="K106" s="562">
        <v>1659</v>
      </c>
      <c r="L106" s="1509"/>
      <c r="M106" s="328">
        <v>664</v>
      </c>
      <c r="N106" s="328">
        <v>3289</v>
      </c>
      <c r="O106" s="328">
        <v>52</v>
      </c>
      <c r="P106" s="328">
        <v>37</v>
      </c>
      <c r="Q106" s="1530">
        <v>68</v>
      </c>
    </row>
    <row r="107" spans="1:17" s="329" customFormat="1" x14ac:dyDescent="0.3">
      <c r="A107" s="331" t="s">
        <v>87</v>
      </c>
      <c r="B107" s="327" t="s">
        <v>88</v>
      </c>
      <c r="C107" s="326" t="s">
        <v>254</v>
      </c>
      <c r="D107" s="328">
        <v>9403</v>
      </c>
      <c r="E107" s="1508">
        <v>4062</v>
      </c>
      <c r="F107" s="562">
        <v>2361</v>
      </c>
      <c r="G107" s="562">
        <v>2438</v>
      </c>
      <c r="H107" s="562">
        <v>541</v>
      </c>
      <c r="I107" s="1509">
        <v>1</v>
      </c>
      <c r="J107" s="1508">
        <v>5268</v>
      </c>
      <c r="K107" s="562">
        <v>4135</v>
      </c>
      <c r="L107" s="1509"/>
      <c r="M107" s="328">
        <v>4373</v>
      </c>
      <c r="N107" s="328">
        <v>4072</v>
      </c>
      <c r="O107" s="328">
        <v>772</v>
      </c>
      <c r="P107" s="328">
        <v>186</v>
      </c>
      <c r="Q107" s="1530">
        <v>487</v>
      </c>
    </row>
    <row r="108" spans="1:17" s="329" customFormat="1" x14ac:dyDescent="0.3">
      <c r="A108" s="331" t="s">
        <v>89</v>
      </c>
      <c r="B108" s="327" t="s">
        <v>90</v>
      </c>
      <c r="C108" s="326" t="s">
        <v>255</v>
      </c>
      <c r="D108" s="328">
        <v>3182</v>
      </c>
      <c r="E108" s="1508">
        <v>1171</v>
      </c>
      <c r="F108" s="562">
        <v>718</v>
      </c>
      <c r="G108" s="562">
        <v>902</v>
      </c>
      <c r="H108" s="562">
        <v>391</v>
      </c>
      <c r="I108" s="1509">
        <v>0</v>
      </c>
      <c r="J108" s="1508">
        <v>1747</v>
      </c>
      <c r="K108" s="562">
        <v>1435</v>
      </c>
      <c r="L108" s="1509"/>
      <c r="M108" s="328">
        <v>2823</v>
      </c>
      <c r="N108" s="328">
        <v>290</v>
      </c>
      <c r="O108" s="328">
        <v>24</v>
      </c>
      <c r="P108" s="328">
        <v>45</v>
      </c>
      <c r="Q108" s="1530">
        <v>446</v>
      </c>
    </row>
    <row r="109" spans="1:17" s="329" customFormat="1" x14ac:dyDescent="0.3">
      <c r="A109" s="331" t="s">
        <v>105</v>
      </c>
      <c r="B109" s="327" t="s">
        <v>106</v>
      </c>
      <c r="C109" s="326" t="s">
        <v>251</v>
      </c>
      <c r="D109" s="328">
        <v>40780</v>
      </c>
      <c r="E109" s="1508">
        <v>16636</v>
      </c>
      <c r="F109" s="562">
        <v>10402</v>
      </c>
      <c r="G109" s="562">
        <v>11209</v>
      </c>
      <c r="H109" s="562">
        <v>2531</v>
      </c>
      <c r="I109" s="1509">
        <v>2</v>
      </c>
      <c r="J109" s="1508">
        <v>23926</v>
      </c>
      <c r="K109" s="562">
        <v>16854</v>
      </c>
      <c r="L109" s="1509"/>
      <c r="M109" s="328">
        <v>10631</v>
      </c>
      <c r="N109" s="328">
        <v>27988</v>
      </c>
      <c r="O109" s="328">
        <v>1448</v>
      </c>
      <c r="P109" s="328">
        <v>713</v>
      </c>
      <c r="Q109" s="1530">
        <v>1581</v>
      </c>
    </row>
    <row r="110" spans="1:17" s="329" customFormat="1" x14ac:dyDescent="0.3">
      <c r="A110" s="331" t="s">
        <v>115</v>
      </c>
      <c r="B110" s="327" t="s">
        <v>116</v>
      </c>
      <c r="C110" s="326" t="s">
        <v>253</v>
      </c>
      <c r="D110" s="328">
        <v>12049</v>
      </c>
      <c r="E110" s="1508">
        <v>5096</v>
      </c>
      <c r="F110" s="562">
        <v>3093</v>
      </c>
      <c r="G110" s="562">
        <v>3215</v>
      </c>
      <c r="H110" s="562">
        <v>645</v>
      </c>
      <c r="I110" s="1509">
        <v>0</v>
      </c>
      <c r="J110" s="1508">
        <v>6957</v>
      </c>
      <c r="K110" s="562">
        <v>5092</v>
      </c>
      <c r="L110" s="1509"/>
      <c r="M110" s="328">
        <v>4804</v>
      </c>
      <c r="N110" s="328">
        <v>6897</v>
      </c>
      <c r="O110" s="328">
        <v>236</v>
      </c>
      <c r="P110" s="328">
        <v>112</v>
      </c>
      <c r="Q110" s="1530">
        <v>637</v>
      </c>
    </row>
    <row r="111" spans="1:17" s="329" customFormat="1" x14ac:dyDescent="0.3">
      <c r="A111" s="331" t="s">
        <v>137</v>
      </c>
      <c r="B111" s="327" t="s">
        <v>138</v>
      </c>
      <c r="C111" s="326" t="s">
        <v>252</v>
      </c>
      <c r="D111" s="328">
        <v>23852</v>
      </c>
      <c r="E111" s="1508">
        <v>9415</v>
      </c>
      <c r="F111" s="562">
        <v>6106</v>
      </c>
      <c r="G111" s="562">
        <v>6502</v>
      </c>
      <c r="H111" s="562">
        <v>1828</v>
      </c>
      <c r="I111" s="1509">
        <v>1</v>
      </c>
      <c r="J111" s="1508">
        <v>13613</v>
      </c>
      <c r="K111" s="562">
        <v>10239</v>
      </c>
      <c r="L111" s="1509"/>
      <c r="M111" s="328">
        <v>9609</v>
      </c>
      <c r="N111" s="328">
        <v>13054</v>
      </c>
      <c r="O111" s="328">
        <v>499</v>
      </c>
      <c r="P111" s="328">
        <v>690</v>
      </c>
      <c r="Q111" s="1530">
        <v>512</v>
      </c>
    </row>
    <row r="112" spans="1:17" s="329" customFormat="1" x14ac:dyDescent="0.3">
      <c r="A112" s="331" t="s">
        <v>141</v>
      </c>
      <c r="B112" s="327" t="s">
        <v>142</v>
      </c>
      <c r="C112" s="326" t="s">
        <v>254</v>
      </c>
      <c r="D112" s="328">
        <v>10758</v>
      </c>
      <c r="E112" s="1508">
        <v>6530</v>
      </c>
      <c r="F112" s="562">
        <v>2142</v>
      </c>
      <c r="G112" s="562">
        <v>1717</v>
      </c>
      <c r="H112" s="562">
        <v>369</v>
      </c>
      <c r="I112" s="1509">
        <v>0</v>
      </c>
      <c r="J112" s="1508">
        <v>5821</v>
      </c>
      <c r="K112" s="562">
        <v>4937</v>
      </c>
      <c r="L112" s="1509"/>
      <c r="M112" s="328">
        <v>7838</v>
      </c>
      <c r="N112" s="328">
        <v>1943</v>
      </c>
      <c r="O112" s="328">
        <v>732</v>
      </c>
      <c r="P112" s="328">
        <v>245</v>
      </c>
      <c r="Q112" s="1530">
        <v>2614</v>
      </c>
    </row>
    <row r="113" spans="1:17" s="329" customFormat="1" x14ac:dyDescent="0.3">
      <c r="A113" s="331" t="s">
        <v>143</v>
      </c>
      <c r="B113" s="327" t="s">
        <v>144</v>
      </c>
      <c r="C113" s="326" t="s">
        <v>254</v>
      </c>
      <c r="D113" s="328">
        <v>4302</v>
      </c>
      <c r="E113" s="1508">
        <v>2581</v>
      </c>
      <c r="F113" s="562">
        <v>810</v>
      </c>
      <c r="G113" s="562">
        <v>702</v>
      </c>
      <c r="H113" s="562">
        <v>209</v>
      </c>
      <c r="I113" s="1509">
        <v>0</v>
      </c>
      <c r="J113" s="1508">
        <v>2390</v>
      </c>
      <c r="K113" s="562">
        <v>1912</v>
      </c>
      <c r="L113" s="1509"/>
      <c r="M113" s="328">
        <v>3302</v>
      </c>
      <c r="N113" s="328">
        <v>473</v>
      </c>
      <c r="O113" s="328">
        <v>415</v>
      </c>
      <c r="P113" s="328">
        <v>112</v>
      </c>
      <c r="Q113" s="1530">
        <v>1370</v>
      </c>
    </row>
    <row r="114" spans="1:17" s="329" customFormat="1" x14ac:dyDescent="0.3">
      <c r="A114" s="331" t="s">
        <v>157</v>
      </c>
      <c r="B114" s="327" t="s">
        <v>158</v>
      </c>
      <c r="C114" s="326" t="s">
        <v>251</v>
      </c>
      <c r="D114" s="328">
        <v>62857</v>
      </c>
      <c r="E114" s="1508">
        <v>27410</v>
      </c>
      <c r="F114" s="562">
        <v>15938</v>
      </c>
      <c r="G114" s="562">
        <v>15794</v>
      </c>
      <c r="H114" s="562">
        <v>3711</v>
      </c>
      <c r="I114" s="1509">
        <v>4</v>
      </c>
      <c r="J114" s="1508">
        <v>37101</v>
      </c>
      <c r="K114" s="562">
        <v>25756</v>
      </c>
      <c r="L114" s="1509"/>
      <c r="M114" s="328">
        <v>17106</v>
      </c>
      <c r="N114" s="328">
        <v>42369</v>
      </c>
      <c r="O114" s="328">
        <v>2413</v>
      </c>
      <c r="P114" s="328">
        <v>969</v>
      </c>
      <c r="Q114" s="1530">
        <v>3953</v>
      </c>
    </row>
    <row r="115" spans="1:17" s="329" customFormat="1" x14ac:dyDescent="0.3">
      <c r="A115" s="331" t="s">
        <v>159</v>
      </c>
      <c r="B115" s="327" t="s">
        <v>160</v>
      </c>
      <c r="C115" s="326" t="s">
        <v>251</v>
      </c>
      <c r="D115" s="328">
        <v>75819</v>
      </c>
      <c r="E115" s="1508">
        <v>30351</v>
      </c>
      <c r="F115" s="562">
        <v>19112</v>
      </c>
      <c r="G115" s="562">
        <v>21053</v>
      </c>
      <c r="H115" s="562">
        <v>5302</v>
      </c>
      <c r="I115" s="1509">
        <v>1</v>
      </c>
      <c r="J115" s="1508">
        <v>44090</v>
      </c>
      <c r="K115" s="562">
        <v>31729</v>
      </c>
      <c r="L115" s="1509"/>
      <c r="M115" s="328">
        <v>18354</v>
      </c>
      <c r="N115" s="328">
        <v>53593</v>
      </c>
      <c r="O115" s="328">
        <v>2470</v>
      </c>
      <c r="P115" s="328">
        <v>1402</v>
      </c>
      <c r="Q115" s="1530">
        <v>3273</v>
      </c>
    </row>
    <row r="116" spans="1:17" s="329" customFormat="1" x14ac:dyDescent="0.3">
      <c r="A116" s="331" t="s">
        <v>165</v>
      </c>
      <c r="B116" s="327" t="s">
        <v>166</v>
      </c>
      <c r="C116" s="326" t="s">
        <v>255</v>
      </c>
      <c r="D116" s="328">
        <v>1808</v>
      </c>
      <c r="E116" s="1508">
        <v>577</v>
      </c>
      <c r="F116" s="562">
        <v>437</v>
      </c>
      <c r="G116" s="562">
        <v>620</v>
      </c>
      <c r="H116" s="562">
        <v>174</v>
      </c>
      <c r="I116" s="1509">
        <v>0</v>
      </c>
      <c r="J116" s="1508">
        <v>1048</v>
      </c>
      <c r="K116" s="562">
        <v>760</v>
      </c>
      <c r="L116" s="1509"/>
      <c r="M116" s="328">
        <v>1619</v>
      </c>
      <c r="N116" s="328">
        <v>147</v>
      </c>
      <c r="O116" s="328">
        <v>19</v>
      </c>
      <c r="P116" s="328">
        <v>23</v>
      </c>
      <c r="Q116" s="1530">
        <v>29</v>
      </c>
    </row>
    <row r="117" spans="1:17" s="329" customFormat="1" x14ac:dyDescent="0.3">
      <c r="A117" s="331" t="s">
        <v>175</v>
      </c>
      <c r="B117" s="327" t="s">
        <v>176</v>
      </c>
      <c r="C117" s="326" t="s">
        <v>253</v>
      </c>
      <c r="D117" s="328">
        <v>18319</v>
      </c>
      <c r="E117" s="1508">
        <v>6354</v>
      </c>
      <c r="F117" s="562">
        <v>4830</v>
      </c>
      <c r="G117" s="562">
        <v>5496</v>
      </c>
      <c r="H117" s="562">
        <v>1638</v>
      </c>
      <c r="I117" s="1509">
        <v>1</v>
      </c>
      <c r="J117" s="1508">
        <v>10354</v>
      </c>
      <c r="K117" s="562">
        <v>7965</v>
      </c>
      <c r="L117" s="1509"/>
      <c r="M117" s="328">
        <v>2612</v>
      </c>
      <c r="N117" s="328">
        <v>15237</v>
      </c>
      <c r="O117" s="328">
        <v>279</v>
      </c>
      <c r="P117" s="328">
        <v>191</v>
      </c>
      <c r="Q117" s="1530">
        <v>538</v>
      </c>
    </row>
    <row r="118" spans="1:17" s="329" customFormat="1" x14ac:dyDescent="0.3">
      <c r="A118" s="331" t="s">
        <v>179</v>
      </c>
      <c r="B118" s="327" t="s">
        <v>180</v>
      </c>
      <c r="C118" s="326" t="s">
        <v>251</v>
      </c>
      <c r="D118" s="328">
        <v>40044</v>
      </c>
      <c r="E118" s="1508">
        <v>16169</v>
      </c>
      <c r="F118" s="562">
        <v>9844</v>
      </c>
      <c r="G118" s="562">
        <v>11407</v>
      </c>
      <c r="H118" s="562">
        <v>2611</v>
      </c>
      <c r="I118" s="1509">
        <v>13</v>
      </c>
      <c r="J118" s="1508">
        <v>23098</v>
      </c>
      <c r="K118" s="562">
        <v>16946</v>
      </c>
      <c r="L118" s="1509"/>
      <c r="M118" s="328">
        <v>8287</v>
      </c>
      <c r="N118" s="328">
        <v>30588</v>
      </c>
      <c r="O118" s="328">
        <v>715</v>
      </c>
      <c r="P118" s="328">
        <v>454</v>
      </c>
      <c r="Q118" s="1530">
        <v>813</v>
      </c>
    </row>
    <row r="119" spans="1:17" s="329" customFormat="1" x14ac:dyDescent="0.3">
      <c r="A119" s="331" t="s">
        <v>191</v>
      </c>
      <c r="B119" s="327" t="s">
        <v>192</v>
      </c>
      <c r="C119" s="326" t="s">
        <v>255</v>
      </c>
      <c r="D119" s="328">
        <v>3382</v>
      </c>
      <c r="E119" s="1508">
        <v>1243</v>
      </c>
      <c r="F119" s="562">
        <v>1067</v>
      </c>
      <c r="G119" s="562">
        <v>883</v>
      </c>
      <c r="H119" s="562">
        <v>189</v>
      </c>
      <c r="I119" s="1509">
        <v>0</v>
      </c>
      <c r="J119" s="1508">
        <v>1948</v>
      </c>
      <c r="K119" s="562">
        <v>1434</v>
      </c>
      <c r="L119" s="1509"/>
      <c r="M119" s="328">
        <v>2563</v>
      </c>
      <c r="N119" s="328">
        <v>682</v>
      </c>
      <c r="O119" s="328">
        <v>43</v>
      </c>
      <c r="P119" s="328">
        <v>94</v>
      </c>
      <c r="Q119" s="1530">
        <v>69</v>
      </c>
    </row>
    <row r="120" spans="1:17" s="329" customFormat="1" x14ac:dyDescent="0.3">
      <c r="A120" s="331" t="s">
        <v>195</v>
      </c>
      <c r="B120" s="327" t="s">
        <v>196</v>
      </c>
      <c r="C120" s="326" t="s">
        <v>253</v>
      </c>
      <c r="D120" s="328">
        <v>80020</v>
      </c>
      <c r="E120" s="1508">
        <v>29016</v>
      </c>
      <c r="F120" s="562">
        <v>21442</v>
      </c>
      <c r="G120" s="562">
        <v>23014</v>
      </c>
      <c r="H120" s="562">
        <v>6540</v>
      </c>
      <c r="I120" s="1509">
        <v>8</v>
      </c>
      <c r="J120" s="1508">
        <v>44163</v>
      </c>
      <c r="K120" s="562">
        <v>35857</v>
      </c>
      <c r="L120" s="1509"/>
      <c r="M120" s="328">
        <v>16910</v>
      </c>
      <c r="N120" s="328">
        <v>58577</v>
      </c>
      <c r="O120" s="328">
        <v>1806</v>
      </c>
      <c r="P120" s="328">
        <v>2727</v>
      </c>
      <c r="Q120" s="1530">
        <v>3586</v>
      </c>
    </row>
    <row r="121" spans="1:17" s="329" customFormat="1" x14ac:dyDescent="0.3">
      <c r="A121" s="331" t="s">
        <v>199</v>
      </c>
      <c r="B121" s="327" t="s">
        <v>200</v>
      </c>
      <c r="C121" s="326" t="s">
        <v>252</v>
      </c>
      <c r="D121" s="328">
        <v>41002</v>
      </c>
      <c r="E121" s="1508">
        <v>16906</v>
      </c>
      <c r="F121" s="562">
        <v>9379</v>
      </c>
      <c r="G121" s="562">
        <v>11728</v>
      </c>
      <c r="H121" s="562">
        <v>2981</v>
      </c>
      <c r="I121" s="1509">
        <v>8</v>
      </c>
      <c r="J121" s="1508">
        <v>22942</v>
      </c>
      <c r="K121" s="562">
        <v>18060</v>
      </c>
      <c r="L121" s="1509"/>
      <c r="M121" s="328">
        <v>21329</v>
      </c>
      <c r="N121" s="328">
        <v>17473</v>
      </c>
      <c r="O121" s="328">
        <v>1547</v>
      </c>
      <c r="P121" s="328">
        <v>653</v>
      </c>
      <c r="Q121" s="1530">
        <v>1625</v>
      </c>
    </row>
    <row r="122" spans="1:17" s="329" customFormat="1" x14ac:dyDescent="0.3">
      <c r="A122" s="331" t="s">
        <v>221</v>
      </c>
      <c r="B122" s="327" t="s">
        <v>222</v>
      </c>
      <c r="C122" s="326" t="s">
        <v>251</v>
      </c>
      <c r="D122" s="328">
        <v>22755</v>
      </c>
      <c r="E122" s="1508">
        <v>9258</v>
      </c>
      <c r="F122" s="562">
        <v>5467</v>
      </c>
      <c r="G122" s="562">
        <v>6270</v>
      </c>
      <c r="H122" s="562">
        <v>1758</v>
      </c>
      <c r="I122" s="1509">
        <v>2</v>
      </c>
      <c r="J122" s="1508">
        <v>13137</v>
      </c>
      <c r="K122" s="562">
        <v>9618</v>
      </c>
      <c r="L122" s="1509"/>
      <c r="M122" s="328">
        <v>6002</v>
      </c>
      <c r="N122" s="328">
        <v>15759</v>
      </c>
      <c r="O122" s="328">
        <v>551</v>
      </c>
      <c r="P122" s="328">
        <v>443</v>
      </c>
      <c r="Q122" s="1530">
        <v>528</v>
      </c>
    </row>
    <row r="123" spans="1:17" s="329" customFormat="1" x14ac:dyDescent="0.3">
      <c r="A123" s="331" t="s">
        <v>229</v>
      </c>
      <c r="B123" s="327" t="s">
        <v>230</v>
      </c>
      <c r="C123" s="326" t="s">
        <v>251</v>
      </c>
      <c r="D123" s="328">
        <v>81001</v>
      </c>
      <c r="E123" s="1508">
        <v>34211</v>
      </c>
      <c r="F123" s="562">
        <v>21068</v>
      </c>
      <c r="G123" s="562">
        <v>21039</v>
      </c>
      <c r="H123" s="562">
        <v>4679</v>
      </c>
      <c r="I123" s="1509">
        <v>4</v>
      </c>
      <c r="J123" s="1508">
        <v>46964</v>
      </c>
      <c r="K123" s="562">
        <v>34037</v>
      </c>
      <c r="L123" s="1509"/>
      <c r="M123" s="328">
        <v>38640</v>
      </c>
      <c r="N123" s="328">
        <v>33127</v>
      </c>
      <c r="O123" s="328">
        <v>5665</v>
      </c>
      <c r="P123" s="328">
        <v>3569</v>
      </c>
      <c r="Q123" s="1530">
        <v>4531</v>
      </c>
    </row>
    <row r="124" spans="1:17" s="329" customFormat="1" x14ac:dyDescent="0.3">
      <c r="A124" s="331" t="s">
        <v>237</v>
      </c>
      <c r="B124" s="327" t="s">
        <v>238</v>
      </c>
      <c r="C124" s="326" t="s">
        <v>251</v>
      </c>
      <c r="D124" s="328">
        <v>2708</v>
      </c>
      <c r="E124" s="1508">
        <v>1127</v>
      </c>
      <c r="F124" s="562">
        <v>633</v>
      </c>
      <c r="G124" s="562">
        <v>786</v>
      </c>
      <c r="H124" s="562">
        <v>162</v>
      </c>
      <c r="I124" s="1509">
        <v>0</v>
      </c>
      <c r="J124" s="1508">
        <v>1486</v>
      </c>
      <c r="K124" s="562">
        <v>1222</v>
      </c>
      <c r="L124" s="1509"/>
      <c r="M124" s="328">
        <v>1325</v>
      </c>
      <c r="N124" s="328">
        <v>1146</v>
      </c>
      <c r="O124" s="328">
        <v>142</v>
      </c>
      <c r="P124" s="328">
        <v>95</v>
      </c>
      <c r="Q124" s="1530">
        <v>184</v>
      </c>
    </row>
    <row r="125" spans="1:17" s="329" customFormat="1" x14ac:dyDescent="0.3">
      <c r="A125" s="331" t="s">
        <v>239</v>
      </c>
      <c r="B125" s="327" t="s">
        <v>240</v>
      </c>
      <c r="C125" s="326" t="s">
        <v>254</v>
      </c>
      <c r="D125" s="328">
        <v>8836</v>
      </c>
      <c r="E125" s="1508">
        <v>4152</v>
      </c>
      <c r="F125" s="562">
        <v>1939</v>
      </c>
      <c r="G125" s="562">
        <v>2175</v>
      </c>
      <c r="H125" s="562">
        <v>570</v>
      </c>
      <c r="I125" s="1509">
        <v>0</v>
      </c>
      <c r="J125" s="1508">
        <v>4740</v>
      </c>
      <c r="K125" s="562">
        <v>4096</v>
      </c>
      <c r="L125" s="1509"/>
      <c r="M125" s="328">
        <v>6839</v>
      </c>
      <c r="N125" s="328">
        <v>1638</v>
      </c>
      <c r="O125" s="328">
        <v>184</v>
      </c>
      <c r="P125" s="328">
        <v>175</v>
      </c>
      <c r="Q125" s="1530">
        <v>1301</v>
      </c>
    </row>
    <row r="126" spans="1:17" x14ac:dyDescent="0.3">
      <c r="B126" s="252"/>
      <c r="C126" s="252"/>
      <c r="E126" s="252"/>
      <c r="F126" s="252"/>
      <c r="G126" s="252"/>
      <c r="H126" s="252"/>
      <c r="I126" s="252"/>
      <c r="J126" s="252"/>
      <c r="K126" s="252"/>
      <c r="L126" s="252"/>
    </row>
    <row r="128" spans="1:17" ht="49.5" customHeight="1" x14ac:dyDescent="0.3">
      <c r="A128" s="2551" t="s">
        <v>929</v>
      </c>
      <c r="B128" s="2551"/>
      <c r="C128" s="2551"/>
      <c r="D128" s="2551"/>
      <c r="E128" s="2551"/>
      <c r="F128" s="2551"/>
      <c r="G128" s="2551"/>
      <c r="H128" s="2551"/>
      <c r="I128" s="2551"/>
      <c r="J128" s="653"/>
      <c r="K128" s="653"/>
      <c r="L128" s="1484"/>
    </row>
    <row r="130" spans="1:12" s="193" customFormat="1" x14ac:dyDescent="0.3">
      <c r="A130" s="193" t="s">
        <v>247</v>
      </c>
    </row>
    <row r="131" spans="1:12" s="193" customFormat="1" x14ac:dyDescent="0.3">
      <c r="A131" s="194" t="s">
        <v>248</v>
      </c>
      <c r="B131" s="195" t="s">
        <v>249</v>
      </c>
      <c r="C131" s="195"/>
      <c r="E131" s="195"/>
      <c r="F131" s="195"/>
      <c r="G131" s="195"/>
      <c r="H131" s="195"/>
      <c r="I131" s="195"/>
      <c r="J131" s="195"/>
      <c r="K131" s="195"/>
      <c r="L131" s="195"/>
    </row>
  </sheetData>
  <autoFilter ref="A4:C4"/>
  <sortState ref="A6:Q125">
    <sortCondition ref="A6:A125"/>
  </sortState>
  <mergeCells count="5">
    <mergeCell ref="Q3:Q4"/>
    <mergeCell ref="A128:I128"/>
    <mergeCell ref="M3:P3"/>
    <mergeCell ref="E3:I3"/>
    <mergeCell ref="J3:L3"/>
  </mergeCells>
  <hyperlinks>
    <hyperlink ref="B131" r:id="rId1"/>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E5" sqref="E5:I5"/>
    </sheetView>
  </sheetViews>
  <sheetFormatPr defaultColWidth="14.296875" defaultRowHeight="15.6" x14ac:dyDescent="0.3"/>
  <cols>
    <col min="1" max="1" width="14.296875" style="247"/>
    <col min="2" max="2" width="32.19921875" style="247" customWidth="1"/>
    <col min="3" max="3" width="14.5" style="247" customWidth="1"/>
    <col min="4" max="4" width="12.19921875" style="247" customWidth="1"/>
    <col min="5" max="8" width="9.09765625" style="247" customWidth="1"/>
    <col min="9" max="9" width="12" style="247" customWidth="1"/>
    <col min="10" max="12" width="10.09765625" style="247" customWidth="1"/>
    <col min="13" max="16" width="12.19921875" style="247" customWidth="1"/>
    <col min="17" max="17" width="15.296875" style="247" customWidth="1"/>
    <col min="18" max="16384" width="14.296875" style="247"/>
  </cols>
  <sheetData>
    <row r="1" spans="1:17" x14ac:dyDescent="0.3">
      <c r="A1" s="94" t="s">
        <v>863</v>
      </c>
    </row>
    <row r="2" spans="1:17" x14ac:dyDescent="0.3">
      <c r="B2" s="248"/>
      <c r="C2" s="248"/>
      <c r="E2" s="248"/>
      <c r="F2" s="248"/>
      <c r="G2" s="248"/>
      <c r="H2" s="248"/>
      <c r="I2" s="248"/>
      <c r="J2" s="248"/>
      <c r="K2" s="248"/>
      <c r="L2" s="248"/>
    </row>
    <row r="3" spans="1:17" ht="23.25" customHeight="1" x14ac:dyDescent="0.3">
      <c r="A3" s="249"/>
      <c r="B3" s="250"/>
      <c r="C3" s="330"/>
      <c r="D3" s="1483"/>
      <c r="E3" s="2552" t="s">
        <v>767</v>
      </c>
      <c r="F3" s="2553"/>
      <c r="G3" s="2553"/>
      <c r="H3" s="2553"/>
      <c r="I3" s="2554"/>
      <c r="J3" s="2552" t="s">
        <v>539</v>
      </c>
      <c r="K3" s="2553"/>
      <c r="L3" s="2554"/>
      <c r="M3" s="2553" t="s">
        <v>503</v>
      </c>
      <c r="N3" s="2553"/>
      <c r="O3" s="2553"/>
      <c r="P3" s="2553"/>
      <c r="Q3" s="2557" t="s">
        <v>414</v>
      </c>
    </row>
    <row r="4" spans="1:17" ht="35.25" customHeight="1" x14ac:dyDescent="0.3">
      <c r="A4" s="251" t="s">
        <v>4</v>
      </c>
      <c r="B4" s="250" t="s">
        <v>5</v>
      </c>
      <c r="C4" s="330" t="s">
        <v>250</v>
      </c>
      <c r="D4" s="1483" t="s">
        <v>262</v>
      </c>
      <c r="E4" s="1500" t="s">
        <v>768</v>
      </c>
      <c r="F4" s="1483" t="s">
        <v>769</v>
      </c>
      <c r="G4" s="1483" t="s">
        <v>770</v>
      </c>
      <c r="H4" s="1512" t="s">
        <v>763</v>
      </c>
      <c r="I4" s="1513" t="s">
        <v>775</v>
      </c>
      <c r="J4" s="1500" t="s">
        <v>381</v>
      </c>
      <c r="K4" s="1483" t="s">
        <v>380</v>
      </c>
      <c r="L4" s="1501" t="s">
        <v>765</v>
      </c>
      <c r="M4" s="330" t="s">
        <v>2</v>
      </c>
      <c r="N4" s="330" t="s">
        <v>298</v>
      </c>
      <c r="O4" s="330" t="s">
        <v>519</v>
      </c>
      <c r="P4" s="330" t="s">
        <v>765</v>
      </c>
      <c r="Q4" s="2558"/>
    </row>
    <row r="5" spans="1:17" x14ac:dyDescent="0.3">
      <c r="A5" s="670" t="s">
        <v>7</v>
      </c>
      <c r="B5" s="671" t="s">
        <v>8</v>
      </c>
      <c r="C5" s="672"/>
      <c r="D5" s="673">
        <v>30967</v>
      </c>
      <c r="E5" s="1507">
        <v>3162</v>
      </c>
      <c r="F5" s="1499">
        <v>7310</v>
      </c>
      <c r="G5" s="1499">
        <v>7436</v>
      </c>
      <c r="H5" s="1499">
        <v>13056</v>
      </c>
      <c r="I5" s="1514">
        <v>3</v>
      </c>
      <c r="J5" s="1507">
        <v>15285</v>
      </c>
      <c r="K5" s="1499">
        <v>15679</v>
      </c>
      <c r="L5" s="1514">
        <v>3</v>
      </c>
      <c r="M5" s="673">
        <v>10016</v>
      </c>
      <c r="N5" s="673">
        <v>20088</v>
      </c>
      <c r="O5" s="673">
        <v>858</v>
      </c>
      <c r="P5" s="673">
        <v>5</v>
      </c>
      <c r="Q5" s="1529">
        <v>2135</v>
      </c>
    </row>
    <row r="6" spans="1:17" s="329" customFormat="1" x14ac:dyDescent="0.3">
      <c r="A6" s="331" t="s">
        <v>9</v>
      </c>
      <c r="B6" s="327" t="s">
        <v>10</v>
      </c>
      <c r="C6" s="326" t="s">
        <v>251</v>
      </c>
      <c r="D6" s="328">
        <v>41</v>
      </c>
      <c r="E6" s="1508">
        <v>2</v>
      </c>
      <c r="F6" s="562">
        <v>8</v>
      </c>
      <c r="G6" s="562">
        <v>12</v>
      </c>
      <c r="H6" s="562">
        <v>19</v>
      </c>
      <c r="I6" s="1509">
        <v>0</v>
      </c>
      <c r="J6" s="1508">
        <v>20</v>
      </c>
      <c r="K6" s="562">
        <v>21</v>
      </c>
      <c r="L6" s="1509"/>
      <c r="M6" s="328">
        <v>8</v>
      </c>
      <c r="N6" s="328">
        <v>32</v>
      </c>
      <c r="O6" s="328">
        <v>1</v>
      </c>
      <c r="P6" s="328">
        <v>0</v>
      </c>
      <c r="Q6" s="1530"/>
    </row>
    <row r="7" spans="1:17" s="329" customFormat="1" x14ac:dyDescent="0.3">
      <c r="A7" s="331" t="s">
        <v>11</v>
      </c>
      <c r="B7" s="327" t="s">
        <v>12</v>
      </c>
      <c r="C7" s="326" t="s">
        <v>252</v>
      </c>
      <c r="D7" s="328">
        <v>219</v>
      </c>
      <c r="E7" s="1508">
        <v>20</v>
      </c>
      <c r="F7" s="562">
        <v>61</v>
      </c>
      <c r="G7" s="562">
        <v>71</v>
      </c>
      <c r="H7" s="562">
        <v>67</v>
      </c>
      <c r="I7" s="1509">
        <v>0</v>
      </c>
      <c r="J7" s="1508">
        <v>111</v>
      </c>
      <c r="K7" s="562">
        <v>108</v>
      </c>
      <c r="L7" s="1509"/>
      <c r="M7" s="328">
        <v>91</v>
      </c>
      <c r="N7" s="328">
        <v>122</v>
      </c>
      <c r="O7" s="328">
        <v>6</v>
      </c>
      <c r="P7" s="328">
        <v>0</v>
      </c>
      <c r="Q7" s="1530">
        <v>14</v>
      </c>
    </row>
    <row r="8" spans="1:17" s="329" customFormat="1" x14ac:dyDescent="0.3">
      <c r="A8" s="331" t="s">
        <v>15</v>
      </c>
      <c r="B8" s="327" t="s">
        <v>273</v>
      </c>
      <c r="C8" s="326" t="s">
        <v>252</v>
      </c>
      <c r="D8" s="328">
        <v>68</v>
      </c>
      <c r="E8" s="1508">
        <v>8</v>
      </c>
      <c r="F8" s="562">
        <v>17</v>
      </c>
      <c r="G8" s="562">
        <v>19</v>
      </c>
      <c r="H8" s="562">
        <v>24</v>
      </c>
      <c r="I8" s="1509">
        <v>0</v>
      </c>
      <c r="J8" s="1508">
        <v>35</v>
      </c>
      <c r="K8" s="562">
        <v>33</v>
      </c>
      <c r="L8" s="1509"/>
      <c r="M8" s="328">
        <v>43</v>
      </c>
      <c r="N8" s="328">
        <v>25</v>
      </c>
      <c r="O8" s="328">
        <v>0</v>
      </c>
      <c r="P8" s="328">
        <v>0</v>
      </c>
      <c r="Q8" s="1530">
        <v>1</v>
      </c>
    </row>
    <row r="9" spans="1:17" s="329" customFormat="1" x14ac:dyDescent="0.3">
      <c r="A9" s="331" t="s">
        <v>17</v>
      </c>
      <c r="B9" s="327" t="s">
        <v>18</v>
      </c>
      <c r="C9" s="326" t="s">
        <v>253</v>
      </c>
      <c r="D9" s="328">
        <v>12</v>
      </c>
      <c r="E9" s="1508">
        <v>3</v>
      </c>
      <c r="F9" s="562">
        <v>4</v>
      </c>
      <c r="G9" s="562">
        <v>1</v>
      </c>
      <c r="H9" s="562">
        <v>4</v>
      </c>
      <c r="I9" s="1509">
        <v>0</v>
      </c>
      <c r="J9" s="1508">
        <v>6</v>
      </c>
      <c r="K9" s="562">
        <v>6</v>
      </c>
      <c r="L9" s="1509"/>
      <c r="M9" s="328">
        <v>5</v>
      </c>
      <c r="N9" s="328">
        <v>7</v>
      </c>
      <c r="O9" s="328">
        <v>0</v>
      </c>
      <c r="P9" s="328">
        <v>0</v>
      </c>
      <c r="Q9" s="1530">
        <v>1</v>
      </c>
    </row>
    <row r="10" spans="1:17" s="329" customFormat="1" x14ac:dyDescent="0.3">
      <c r="A10" s="331" t="s">
        <v>19</v>
      </c>
      <c r="B10" s="327" t="s">
        <v>20</v>
      </c>
      <c r="C10" s="326" t="s">
        <v>252</v>
      </c>
      <c r="D10" s="328">
        <v>175</v>
      </c>
      <c r="E10" s="1508">
        <v>15</v>
      </c>
      <c r="F10" s="562">
        <v>37</v>
      </c>
      <c r="G10" s="562">
        <v>42</v>
      </c>
      <c r="H10" s="562">
        <v>81</v>
      </c>
      <c r="I10" s="1509">
        <v>0</v>
      </c>
      <c r="J10" s="1508">
        <v>80</v>
      </c>
      <c r="K10" s="562">
        <v>95</v>
      </c>
      <c r="L10" s="1509"/>
      <c r="M10" s="328">
        <v>109</v>
      </c>
      <c r="N10" s="328">
        <v>65</v>
      </c>
      <c r="O10" s="328">
        <v>1</v>
      </c>
      <c r="P10" s="328">
        <v>0</v>
      </c>
      <c r="Q10" s="1530">
        <v>9</v>
      </c>
    </row>
    <row r="11" spans="1:17" s="329" customFormat="1" x14ac:dyDescent="0.3">
      <c r="A11" s="331" t="s">
        <v>21</v>
      </c>
      <c r="B11" s="327" t="s">
        <v>22</v>
      </c>
      <c r="C11" s="326" t="s">
        <v>252</v>
      </c>
      <c r="D11" s="328">
        <v>51</v>
      </c>
      <c r="E11" s="1508">
        <v>7</v>
      </c>
      <c r="F11" s="562">
        <v>13</v>
      </c>
      <c r="G11" s="562">
        <v>12</v>
      </c>
      <c r="H11" s="562">
        <v>19</v>
      </c>
      <c r="I11" s="1509">
        <v>0</v>
      </c>
      <c r="J11" s="1508">
        <v>25</v>
      </c>
      <c r="K11" s="562">
        <v>26</v>
      </c>
      <c r="L11" s="1509"/>
      <c r="M11" s="328">
        <v>25</v>
      </c>
      <c r="N11" s="328">
        <v>26</v>
      </c>
      <c r="O11" s="328">
        <v>0</v>
      </c>
      <c r="P11" s="328">
        <v>0</v>
      </c>
      <c r="Q11" s="1530">
        <v>1</v>
      </c>
    </row>
    <row r="12" spans="1:17" s="329" customFormat="1" x14ac:dyDescent="0.3">
      <c r="A12" s="331" t="s">
        <v>23</v>
      </c>
      <c r="B12" s="327" t="s">
        <v>24</v>
      </c>
      <c r="C12" s="326" t="s">
        <v>254</v>
      </c>
      <c r="D12" s="328">
        <v>301</v>
      </c>
      <c r="E12" s="1508">
        <v>47</v>
      </c>
      <c r="F12" s="562">
        <v>90</v>
      </c>
      <c r="G12" s="562">
        <v>91</v>
      </c>
      <c r="H12" s="562">
        <v>73</v>
      </c>
      <c r="I12" s="1509">
        <v>0</v>
      </c>
      <c r="J12" s="1508">
        <v>162</v>
      </c>
      <c r="K12" s="562">
        <v>139</v>
      </c>
      <c r="L12" s="1509"/>
      <c r="M12" s="328">
        <v>114</v>
      </c>
      <c r="N12" s="328">
        <v>171</v>
      </c>
      <c r="O12" s="328">
        <v>16</v>
      </c>
      <c r="P12" s="328">
        <v>0</v>
      </c>
      <c r="Q12" s="1530">
        <v>42</v>
      </c>
    </row>
    <row r="13" spans="1:17" s="329" customFormat="1" x14ac:dyDescent="0.3">
      <c r="A13" s="331" t="s">
        <v>25</v>
      </c>
      <c r="B13" s="327" t="s">
        <v>444</v>
      </c>
      <c r="C13" s="326" t="s">
        <v>252</v>
      </c>
      <c r="D13" s="328">
        <v>412</v>
      </c>
      <c r="E13" s="1508">
        <v>38</v>
      </c>
      <c r="F13" s="562">
        <v>112</v>
      </c>
      <c r="G13" s="562">
        <v>92</v>
      </c>
      <c r="H13" s="562">
        <v>170</v>
      </c>
      <c r="I13" s="1509">
        <v>0</v>
      </c>
      <c r="J13" s="1508">
        <v>196</v>
      </c>
      <c r="K13" s="562">
        <v>216</v>
      </c>
      <c r="L13" s="1509"/>
      <c r="M13" s="328">
        <v>273</v>
      </c>
      <c r="N13" s="328">
        <v>135</v>
      </c>
      <c r="O13" s="328">
        <v>4</v>
      </c>
      <c r="P13" s="328">
        <v>0</v>
      </c>
      <c r="Q13" s="1530">
        <v>13</v>
      </c>
    </row>
    <row r="14" spans="1:17" s="329" customFormat="1" x14ac:dyDescent="0.3">
      <c r="A14" s="331" t="s">
        <v>26</v>
      </c>
      <c r="B14" s="327" t="s">
        <v>27</v>
      </c>
      <c r="C14" s="326" t="s">
        <v>252</v>
      </c>
      <c r="D14" s="328">
        <v>0</v>
      </c>
      <c r="E14" s="1508">
        <v>0</v>
      </c>
      <c r="F14" s="562">
        <v>0</v>
      </c>
      <c r="G14" s="562">
        <v>0</v>
      </c>
      <c r="H14" s="562">
        <v>0</v>
      </c>
      <c r="I14" s="1509">
        <v>0</v>
      </c>
      <c r="J14" s="1508">
        <v>0</v>
      </c>
      <c r="K14" s="562">
        <v>0</v>
      </c>
      <c r="L14" s="1509"/>
      <c r="M14" s="328">
        <v>0</v>
      </c>
      <c r="N14" s="328">
        <v>0</v>
      </c>
      <c r="O14" s="328">
        <v>0</v>
      </c>
      <c r="P14" s="328">
        <v>0</v>
      </c>
      <c r="Q14" s="1530">
        <v>0</v>
      </c>
    </row>
    <row r="15" spans="1:17" s="329" customFormat="1" x14ac:dyDescent="0.3">
      <c r="A15" s="331" t="s">
        <v>28</v>
      </c>
      <c r="B15" s="327" t="s">
        <v>568</v>
      </c>
      <c r="C15" s="326" t="s">
        <v>252</v>
      </c>
      <c r="D15" s="328">
        <v>155</v>
      </c>
      <c r="E15" s="1508">
        <v>24</v>
      </c>
      <c r="F15" s="562">
        <v>41</v>
      </c>
      <c r="G15" s="562">
        <v>27</v>
      </c>
      <c r="H15" s="562">
        <v>63</v>
      </c>
      <c r="I15" s="1509">
        <v>0</v>
      </c>
      <c r="J15" s="1508">
        <v>79</v>
      </c>
      <c r="K15" s="562">
        <v>76</v>
      </c>
      <c r="L15" s="1509"/>
      <c r="M15" s="328">
        <v>108</v>
      </c>
      <c r="N15" s="328">
        <v>40</v>
      </c>
      <c r="O15" s="328">
        <v>7</v>
      </c>
      <c r="P15" s="328">
        <v>0</v>
      </c>
      <c r="Q15" s="1530">
        <v>6</v>
      </c>
    </row>
    <row r="16" spans="1:17" s="329" customFormat="1" x14ac:dyDescent="0.3">
      <c r="A16" s="331" t="s">
        <v>29</v>
      </c>
      <c r="B16" s="327" t="s">
        <v>30</v>
      </c>
      <c r="C16" s="326" t="s">
        <v>255</v>
      </c>
      <c r="D16" s="328">
        <v>15</v>
      </c>
      <c r="E16" s="1508">
        <v>2</v>
      </c>
      <c r="F16" s="562">
        <v>6</v>
      </c>
      <c r="G16" s="562">
        <v>4</v>
      </c>
      <c r="H16" s="562">
        <v>3</v>
      </c>
      <c r="I16" s="1509">
        <v>0</v>
      </c>
      <c r="J16" s="1508">
        <v>5</v>
      </c>
      <c r="K16" s="562">
        <v>10</v>
      </c>
      <c r="L16" s="1509"/>
      <c r="M16" s="328">
        <v>15</v>
      </c>
      <c r="N16" s="328">
        <v>0</v>
      </c>
      <c r="O16" s="328">
        <v>0</v>
      </c>
      <c r="P16" s="328">
        <v>0</v>
      </c>
      <c r="Q16" s="1530">
        <v>1</v>
      </c>
    </row>
    <row r="17" spans="1:17" s="329" customFormat="1" x14ac:dyDescent="0.3">
      <c r="A17" s="331" t="s">
        <v>31</v>
      </c>
      <c r="B17" s="327" t="s">
        <v>32</v>
      </c>
      <c r="C17" s="326" t="s">
        <v>252</v>
      </c>
      <c r="D17" s="328">
        <v>62</v>
      </c>
      <c r="E17" s="1508">
        <v>6</v>
      </c>
      <c r="F17" s="562">
        <v>20</v>
      </c>
      <c r="G17" s="562">
        <v>11</v>
      </c>
      <c r="H17" s="562">
        <v>25</v>
      </c>
      <c r="I17" s="1509">
        <v>0</v>
      </c>
      <c r="J17" s="1508">
        <v>35</v>
      </c>
      <c r="K17" s="562">
        <v>27</v>
      </c>
      <c r="L17" s="1509"/>
      <c r="M17" s="328">
        <v>62</v>
      </c>
      <c r="N17" s="328">
        <v>0</v>
      </c>
      <c r="O17" s="328">
        <v>0</v>
      </c>
      <c r="P17" s="328">
        <v>0</v>
      </c>
      <c r="Q17" s="1530">
        <v>4</v>
      </c>
    </row>
    <row r="18" spans="1:17" s="329" customFormat="1" x14ac:dyDescent="0.3">
      <c r="A18" s="331" t="s">
        <v>35</v>
      </c>
      <c r="B18" s="327" t="s">
        <v>36</v>
      </c>
      <c r="C18" s="326" t="s">
        <v>251</v>
      </c>
      <c r="D18" s="328">
        <v>39</v>
      </c>
      <c r="E18" s="1508">
        <v>3</v>
      </c>
      <c r="F18" s="562">
        <v>10</v>
      </c>
      <c r="G18" s="562">
        <v>14</v>
      </c>
      <c r="H18" s="562">
        <v>12</v>
      </c>
      <c r="I18" s="1509">
        <v>0</v>
      </c>
      <c r="J18" s="1508">
        <v>17</v>
      </c>
      <c r="K18" s="562">
        <v>22</v>
      </c>
      <c r="L18" s="1509"/>
      <c r="M18" s="328">
        <v>4</v>
      </c>
      <c r="N18" s="328">
        <v>35</v>
      </c>
      <c r="O18" s="328">
        <v>0</v>
      </c>
      <c r="P18" s="328">
        <v>0</v>
      </c>
      <c r="Q18" s="1530">
        <v>1</v>
      </c>
    </row>
    <row r="19" spans="1:17" s="329" customFormat="1" x14ac:dyDescent="0.3">
      <c r="A19" s="331" t="s">
        <v>37</v>
      </c>
      <c r="B19" s="327" t="s">
        <v>38</v>
      </c>
      <c r="C19" s="326" t="s">
        <v>255</v>
      </c>
      <c r="D19" s="328">
        <v>10</v>
      </c>
      <c r="E19" s="1508">
        <v>1</v>
      </c>
      <c r="F19" s="562">
        <v>2</v>
      </c>
      <c r="G19" s="562">
        <v>1</v>
      </c>
      <c r="H19" s="562">
        <v>5</v>
      </c>
      <c r="I19" s="1509">
        <v>1</v>
      </c>
      <c r="J19" s="1508">
        <v>3</v>
      </c>
      <c r="K19" s="562">
        <v>7</v>
      </c>
      <c r="L19" s="1509"/>
      <c r="M19" s="328">
        <v>10</v>
      </c>
      <c r="N19" s="328">
        <v>0</v>
      </c>
      <c r="O19" s="328">
        <v>0</v>
      </c>
      <c r="P19" s="328">
        <v>0</v>
      </c>
      <c r="Q19" s="1530"/>
    </row>
    <row r="20" spans="1:17" s="329" customFormat="1" x14ac:dyDescent="0.3">
      <c r="A20" s="331" t="s">
        <v>39</v>
      </c>
      <c r="B20" s="327" t="s">
        <v>40</v>
      </c>
      <c r="C20" s="326" t="s">
        <v>253</v>
      </c>
      <c r="D20" s="328">
        <v>11</v>
      </c>
      <c r="E20" s="1508">
        <v>1</v>
      </c>
      <c r="F20" s="562">
        <v>5</v>
      </c>
      <c r="G20" s="562">
        <v>4</v>
      </c>
      <c r="H20" s="562">
        <v>1</v>
      </c>
      <c r="I20" s="1509">
        <v>0</v>
      </c>
      <c r="J20" s="1508">
        <v>4</v>
      </c>
      <c r="K20" s="562">
        <v>7</v>
      </c>
      <c r="L20" s="1509"/>
      <c r="M20" s="328">
        <v>4</v>
      </c>
      <c r="N20" s="328">
        <v>7</v>
      </c>
      <c r="O20" s="328">
        <v>0</v>
      </c>
      <c r="P20" s="328">
        <v>0</v>
      </c>
      <c r="Q20" s="1530"/>
    </row>
    <row r="21" spans="1:17" s="329" customFormat="1" x14ac:dyDescent="0.3">
      <c r="A21" s="331" t="s">
        <v>41</v>
      </c>
      <c r="B21" s="327" t="s">
        <v>42</v>
      </c>
      <c r="C21" s="326" t="s">
        <v>252</v>
      </c>
      <c r="D21" s="328">
        <v>262</v>
      </c>
      <c r="E21" s="1508">
        <v>19</v>
      </c>
      <c r="F21" s="562">
        <v>67</v>
      </c>
      <c r="G21" s="562">
        <v>53</v>
      </c>
      <c r="H21" s="562">
        <v>123</v>
      </c>
      <c r="I21" s="1509">
        <v>0</v>
      </c>
      <c r="J21" s="1508">
        <v>142</v>
      </c>
      <c r="K21" s="562">
        <v>120</v>
      </c>
      <c r="L21" s="1509"/>
      <c r="M21" s="328">
        <v>153</v>
      </c>
      <c r="N21" s="328">
        <v>109</v>
      </c>
      <c r="O21" s="328">
        <v>0</v>
      </c>
      <c r="P21" s="328">
        <v>0</v>
      </c>
      <c r="Q21" s="1530">
        <v>11</v>
      </c>
    </row>
    <row r="22" spans="1:17" s="329" customFormat="1" x14ac:dyDescent="0.3">
      <c r="A22" s="331" t="s">
        <v>43</v>
      </c>
      <c r="B22" s="327" t="s">
        <v>44</v>
      </c>
      <c r="C22" s="326" t="s">
        <v>253</v>
      </c>
      <c r="D22" s="328">
        <v>149</v>
      </c>
      <c r="E22" s="1508">
        <v>15</v>
      </c>
      <c r="F22" s="562">
        <v>27</v>
      </c>
      <c r="G22" s="562">
        <v>36</v>
      </c>
      <c r="H22" s="562">
        <v>71</v>
      </c>
      <c r="I22" s="1509">
        <v>0</v>
      </c>
      <c r="J22" s="1508">
        <v>84</v>
      </c>
      <c r="K22" s="562">
        <v>65</v>
      </c>
      <c r="L22" s="1509"/>
      <c r="M22" s="328">
        <v>73</v>
      </c>
      <c r="N22" s="328">
        <v>75</v>
      </c>
      <c r="O22" s="328">
        <v>1</v>
      </c>
      <c r="P22" s="328">
        <v>0</v>
      </c>
      <c r="Q22" s="1530">
        <v>4</v>
      </c>
    </row>
    <row r="23" spans="1:17" s="329" customFormat="1" x14ac:dyDescent="0.3">
      <c r="A23" s="331" t="s">
        <v>45</v>
      </c>
      <c r="B23" s="327" t="s">
        <v>46</v>
      </c>
      <c r="C23" s="326" t="s">
        <v>255</v>
      </c>
      <c r="D23" s="328">
        <v>156</v>
      </c>
      <c r="E23" s="1508">
        <v>9</v>
      </c>
      <c r="F23" s="562">
        <v>24</v>
      </c>
      <c r="G23" s="562">
        <v>46</v>
      </c>
      <c r="H23" s="562">
        <v>77</v>
      </c>
      <c r="I23" s="1509">
        <v>0</v>
      </c>
      <c r="J23" s="1508">
        <v>77</v>
      </c>
      <c r="K23" s="562">
        <v>79</v>
      </c>
      <c r="L23" s="1509"/>
      <c r="M23" s="328">
        <v>155</v>
      </c>
      <c r="N23" s="328">
        <v>1</v>
      </c>
      <c r="O23" s="328">
        <v>0</v>
      </c>
      <c r="P23" s="328">
        <v>0</v>
      </c>
      <c r="Q23" s="1530">
        <v>8</v>
      </c>
    </row>
    <row r="24" spans="1:17" s="329" customFormat="1" x14ac:dyDescent="0.3">
      <c r="A24" s="331" t="s">
        <v>47</v>
      </c>
      <c r="B24" s="327" t="s">
        <v>256</v>
      </c>
      <c r="C24" s="326" t="s">
        <v>253</v>
      </c>
      <c r="D24" s="328">
        <v>34</v>
      </c>
      <c r="E24" s="1508">
        <v>6</v>
      </c>
      <c r="F24" s="562">
        <v>5</v>
      </c>
      <c r="G24" s="562">
        <v>8</v>
      </c>
      <c r="H24" s="562">
        <v>15</v>
      </c>
      <c r="I24" s="1509">
        <v>0</v>
      </c>
      <c r="J24" s="1508">
        <v>24</v>
      </c>
      <c r="K24" s="562">
        <v>10</v>
      </c>
      <c r="L24" s="1509"/>
      <c r="M24" s="328">
        <v>7</v>
      </c>
      <c r="N24" s="328">
        <v>27</v>
      </c>
      <c r="O24" s="328">
        <v>0</v>
      </c>
      <c r="P24" s="328">
        <v>0</v>
      </c>
      <c r="Q24" s="1530"/>
    </row>
    <row r="25" spans="1:17" s="329" customFormat="1" x14ac:dyDescent="0.3">
      <c r="A25" s="331" t="s">
        <v>49</v>
      </c>
      <c r="B25" s="327" t="s">
        <v>50</v>
      </c>
      <c r="C25" s="326" t="s">
        <v>252</v>
      </c>
      <c r="D25" s="328">
        <v>15</v>
      </c>
      <c r="E25" s="1508">
        <v>0</v>
      </c>
      <c r="F25" s="562">
        <v>2</v>
      </c>
      <c r="G25" s="562">
        <v>4</v>
      </c>
      <c r="H25" s="562">
        <v>9</v>
      </c>
      <c r="I25" s="1509">
        <v>0</v>
      </c>
      <c r="J25" s="1508">
        <v>7</v>
      </c>
      <c r="K25" s="562">
        <v>8</v>
      </c>
      <c r="L25" s="1509"/>
      <c r="M25" s="328">
        <v>5</v>
      </c>
      <c r="N25" s="328">
        <v>10</v>
      </c>
      <c r="O25" s="328">
        <v>0</v>
      </c>
      <c r="P25" s="328">
        <v>0</v>
      </c>
      <c r="Q25" s="1530"/>
    </row>
    <row r="26" spans="1:17" s="329" customFormat="1" x14ac:dyDescent="0.3">
      <c r="A26" s="331" t="s">
        <v>55</v>
      </c>
      <c r="B26" s="327" t="s">
        <v>271</v>
      </c>
      <c r="C26" s="326" t="s">
        <v>253</v>
      </c>
      <c r="D26" s="328">
        <v>955</v>
      </c>
      <c r="E26" s="1508">
        <v>76</v>
      </c>
      <c r="F26" s="562">
        <v>222</v>
      </c>
      <c r="G26" s="562">
        <v>201</v>
      </c>
      <c r="H26" s="562">
        <v>456</v>
      </c>
      <c r="I26" s="1509">
        <v>0</v>
      </c>
      <c r="J26" s="1508">
        <v>446</v>
      </c>
      <c r="K26" s="562">
        <v>509</v>
      </c>
      <c r="L26" s="1509"/>
      <c r="M26" s="328">
        <v>222</v>
      </c>
      <c r="N26" s="328">
        <v>727</v>
      </c>
      <c r="O26" s="328">
        <v>6</v>
      </c>
      <c r="P26" s="328">
        <v>0</v>
      </c>
      <c r="Q26" s="1530">
        <v>52</v>
      </c>
    </row>
    <row r="27" spans="1:17" s="329" customFormat="1" x14ac:dyDescent="0.3">
      <c r="A27" s="331" t="s">
        <v>57</v>
      </c>
      <c r="B27" s="327" t="s">
        <v>58</v>
      </c>
      <c r="C27" s="326" t="s">
        <v>254</v>
      </c>
      <c r="D27" s="328">
        <v>27</v>
      </c>
      <c r="E27" s="1508">
        <v>3</v>
      </c>
      <c r="F27" s="562">
        <v>5</v>
      </c>
      <c r="G27" s="562">
        <v>5</v>
      </c>
      <c r="H27" s="562">
        <v>14</v>
      </c>
      <c r="I27" s="1509">
        <v>0</v>
      </c>
      <c r="J27" s="1508">
        <v>13</v>
      </c>
      <c r="K27" s="562">
        <v>14</v>
      </c>
      <c r="L27" s="1509"/>
      <c r="M27" s="328">
        <v>16</v>
      </c>
      <c r="N27" s="328">
        <v>11</v>
      </c>
      <c r="O27" s="328">
        <v>0</v>
      </c>
      <c r="P27" s="328">
        <v>0</v>
      </c>
      <c r="Q27" s="1530">
        <v>1</v>
      </c>
    </row>
    <row r="28" spans="1:17" s="329" customFormat="1" x14ac:dyDescent="0.3">
      <c r="A28" s="331" t="s">
        <v>59</v>
      </c>
      <c r="B28" s="327" t="s">
        <v>60</v>
      </c>
      <c r="C28" s="326" t="s">
        <v>252</v>
      </c>
      <c r="D28" s="328">
        <v>42</v>
      </c>
      <c r="E28" s="1508">
        <v>6</v>
      </c>
      <c r="F28" s="562">
        <v>7</v>
      </c>
      <c r="G28" s="562">
        <v>11</v>
      </c>
      <c r="H28" s="562">
        <v>18</v>
      </c>
      <c r="I28" s="1509">
        <v>0</v>
      </c>
      <c r="J28" s="1508">
        <v>21</v>
      </c>
      <c r="K28" s="562">
        <v>21</v>
      </c>
      <c r="L28" s="1509"/>
      <c r="M28" s="328">
        <v>42</v>
      </c>
      <c r="N28" s="328">
        <v>0</v>
      </c>
      <c r="O28" s="328">
        <v>0</v>
      </c>
      <c r="P28" s="328">
        <v>0</v>
      </c>
      <c r="Q28" s="1530"/>
    </row>
    <row r="29" spans="1:17" s="329" customFormat="1" x14ac:dyDescent="0.3">
      <c r="A29" s="331" t="s">
        <v>61</v>
      </c>
      <c r="B29" s="327" t="s">
        <v>62</v>
      </c>
      <c r="C29" s="326" t="s">
        <v>254</v>
      </c>
      <c r="D29" s="328">
        <v>566</v>
      </c>
      <c r="E29" s="1508">
        <v>55</v>
      </c>
      <c r="F29" s="562">
        <v>111</v>
      </c>
      <c r="G29" s="562">
        <v>125</v>
      </c>
      <c r="H29" s="562">
        <v>275</v>
      </c>
      <c r="I29" s="1509">
        <v>0</v>
      </c>
      <c r="J29" s="1508">
        <v>292</v>
      </c>
      <c r="K29" s="562">
        <v>274</v>
      </c>
      <c r="L29" s="1509"/>
      <c r="M29" s="328">
        <v>310</v>
      </c>
      <c r="N29" s="328">
        <v>250</v>
      </c>
      <c r="O29" s="328">
        <v>6</v>
      </c>
      <c r="P29" s="328">
        <v>0</v>
      </c>
      <c r="Q29" s="1530">
        <v>45</v>
      </c>
    </row>
    <row r="30" spans="1:17" s="329" customFormat="1" x14ac:dyDescent="0.3">
      <c r="A30" s="331" t="s">
        <v>63</v>
      </c>
      <c r="B30" s="327" t="s">
        <v>64</v>
      </c>
      <c r="C30" s="326" t="s">
        <v>253</v>
      </c>
      <c r="D30" s="328">
        <v>28</v>
      </c>
      <c r="E30" s="1508">
        <v>2</v>
      </c>
      <c r="F30" s="562">
        <v>5</v>
      </c>
      <c r="G30" s="562">
        <v>3</v>
      </c>
      <c r="H30" s="562">
        <v>18</v>
      </c>
      <c r="I30" s="1509">
        <v>0</v>
      </c>
      <c r="J30" s="1508">
        <v>13</v>
      </c>
      <c r="K30" s="562">
        <v>15</v>
      </c>
      <c r="L30" s="1509"/>
      <c r="M30" s="328">
        <v>10</v>
      </c>
      <c r="N30" s="328">
        <v>18</v>
      </c>
      <c r="O30" s="328">
        <v>0</v>
      </c>
      <c r="P30" s="328">
        <v>0</v>
      </c>
      <c r="Q30" s="1530">
        <v>3</v>
      </c>
    </row>
    <row r="31" spans="1:17" s="329" customFormat="1" x14ac:dyDescent="0.3">
      <c r="A31" s="331" t="s">
        <v>67</v>
      </c>
      <c r="B31" s="327" t="s">
        <v>68</v>
      </c>
      <c r="C31" s="326" t="s">
        <v>255</v>
      </c>
      <c r="D31" s="328">
        <v>18</v>
      </c>
      <c r="E31" s="1508">
        <v>1</v>
      </c>
      <c r="F31" s="562">
        <v>3</v>
      </c>
      <c r="G31" s="562">
        <v>4</v>
      </c>
      <c r="H31" s="562">
        <v>10</v>
      </c>
      <c r="I31" s="1509">
        <v>0</v>
      </c>
      <c r="J31" s="1508">
        <v>8</v>
      </c>
      <c r="K31" s="562">
        <v>10</v>
      </c>
      <c r="L31" s="1509"/>
      <c r="M31" s="328">
        <v>17</v>
      </c>
      <c r="N31" s="328">
        <v>1</v>
      </c>
      <c r="O31" s="328">
        <v>0</v>
      </c>
      <c r="P31" s="328">
        <v>0</v>
      </c>
      <c r="Q31" s="1530"/>
    </row>
    <row r="32" spans="1:17" s="329" customFormat="1" x14ac:dyDescent="0.3">
      <c r="A32" s="331" t="s">
        <v>69</v>
      </c>
      <c r="B32" s="327" t="s">
        <v>70</v>
      </c>
      <c r="C32" s="326" t="s">
        <v>251</v>
      </c>
      <c r="D32" s="328">
        <v>69</v>
      </c>
      <c r="E32" s="1508">
        <v>5</v>
      </c>
      <c r="F32" s="562">
        <v>15</v>
      </c>
      <c r="G32" s="562">
        <v>18</v>
      </c>
      <c r="H32" s="562">
        <v>31</v>
      </c>
      <c r="I32" s="1509">
        <v>0</v>
      </c>
      <c r="J32" s="1508">
        <v>35</v>
      </c>
      <c r="K32" s="562">
        <v>34</v>
      </c>
      <c r="L32" s="1509"/>
      <c r="M32" s="328">
        <v>27</v>
      </c>
      <c r="N32" s="328">
        <v>41</v>
      </c>
      <c r="O32" s="328">
        <v>1</v>
      </c>
      <c r="P32" s="328">
        <v>0</v>
      </c>
      <c r="Q32" s="1530">
        <v>7</v>
      </c>
    </row>
    <row r="33" spans="1:17" s="329" customFormat="1" x14ac:dyDescent="0.3">
      <c r="A33" s="331" t="s">
        <v>71</v>
      </c>
      <c r="B33" s="327" t="s">
        <v>72</v>
      </c>
      <c r="C33" s="326" t="s">
        <v>253</v>
      </c>
      <c r="D33" s="328">
        <v>87</v>
      </c>
      <c r="E33" s="1508">
        <v>14</v>
      </c>
      <c r="F33" s="562">
        <v>17</v>
      </c>
      <c r="G33" s="562">
        <v>17</v>
      </c>
      <c r="H33" s="562">
        <v>39</v>
      </c>
      <c r="I33" s="1509">
        <v>0</v>
      </c>
      <c r="J33" s="1508">
        <v>42</v>
      </c>
      <c r="K33" s="562">
        <v>45</v>
      </c>
      <c r="L33" s="1509"/>
      <c r="M33" s="328">
        <v>15</v>
      </c>
      <c r="N33" s="328">
        <v>72</v>
      </c>
      <c r="O33" s="328">
        <v>0</v>
      </c>
      <c r="P33" s="328">
        <v>0</v>
      </c>
      <c r="Q33" s="1530"/>
    </row>
    <row r="34" spans="1:17" s="329" customFormat="1" x14ac:dyDescent="0.3">
      <c r="A34" s="331" t="s">
        <v>73</v>
      </c>
      <c r="B34" s="327" t="s">
        <v>272</v>
      </c>
      <c r="C34" s="326" t="s">
        <v>254</v>
      </c>
      <c r="D34" s="328">
        <v>3029</v>
      </c>
      <c r="E34" s="1508">
        <v>346</v>
      </c>
      <c r="F34" s="562">
        <v>753</v>
      </c>
      <c r="G34" s="562">
        <v>757</v>
      </c>
      <c r="H34" s="562">
        <v>1173</v>
      </c>
      <c r="I34" s="1509">
        <v>0</v>
      </c>
      <c r="J34" s="1508">
        <v>1494</v>
      </c>
      <c r="K34" s="562">
        <v>1535</v>
      </c>
      <c r="L34" s="1509"/>
      <c r="M34" s="328">
        <v>1581</v>
      </c>
      <c r="N34" s="328">
        <v>1234</v>
      </c>
      <c r="O34" s="328">
        <v>214</v>
      </c>
      <c r="P34" s="328">
        <v>0</v>
      </c>
      <c r="Q34" s="1530">
        <v>655</v>
      </c>
    </row>
    <row r="35" spans="1:17" s="329" customFormat="1" x14ac:dyDescent="0.3">
      <c r="A35" s="331" t="s">
        <v>75</v>
      </c>
      <c r="B35" s="327" t="s">
        <v>76</v>
      </c>
      <c r="C35" s="326" t="s">
        <v>254</v>
      </c>
      <c r="D35" s="328">
        <v>159</v>
      </c>
      <c r="E35" s="1508">
        <v>25</v>
      </c>
      <c r="F35" s="562">
        <v>33</v>
      </c>
      <c r="G35" s="562">
        <v>32</v>
      </c>
      <c r="H35" s="562">
        <v>69</v>
      </c>
      <c r="I35" s="1509">
        <v>0</v>
      </c>
      <c r="J35" s="1508">
        <v>77</v>
      </c>
      <c r="K35" s="562">
        <v>82</v>
      </c>
      <c r="L35" s="1509"/>
      <c r="M35" s="328">
        <v>89</v>
      </c>
      <c r="N35" s="328">
        <v>65</v>
      </c>
      <c r="O35" s="328">
        <v>5</v>
      </c>
      <c r="P35" s="328">
        <v>0</v>
      </c>
      <c r="Q35" s="1530">
        <v>5</v>
      </c>
    </row>
    <row r="36" spans="1:17" s="329" customFormat="1" x14ac:dyDescent="0.3">
      <c r="A36" s="331" t="s">
        <v>77</v>
      </c>
      <c r="B36" s="327" t="s">
        <v>78</v>
      </c>
      <c r="C36" s="326" t="s">
        <v>255</v>
      </c>
      <c r="D36" s="328">
        <v>29</v>
      </c>
      <c r="E36" s="1508">
        <v>4</v>
      </c>
      <c r="F36" s="562">
        <v>9</v>
      </c>
      <c r="G36" s="562">
        <v>6</v>
      </c>
      <c r="H36" s="562">
        <v>10</v>
      </c>
      <c r="I36" s="1509">
        <v>0</v>
      </c>
      <c r="J36" s="1508">
        <v>14</v>
      </c>
      <c r="K36" s="562">
        <v>15</v>
      </c>
      <c r="L36" s="1509"/>
      <c r="M36" s="328">
        <v>27</v>
      </c>
      <c r="N36" s="328">
        <v>2</v>
      </c>
      <c r="O36" s="328">
        <v>0</v>
      </c>
      <c r="P36" s="328">
        <v>0</v>
      </c>
      <c r="Q36" s="1530"/>
    </row>
    <row r="37" spans="1:17" s="329" customFormat="1" x14ac:dyDescent="0.3">
      <c r="A37" s="331" t="s">
        <v>79</v>
      </c>
      <c r="B37" s="327" t="s">
        <v>80</v>
      </c>
      <c r="C37" s="326" t="s">
        <v>253</v>
      </c>
      <c r="D37" s="328">
        <v>46</v>
      </c>
      <c r="E37" s="1508">
        <v>4</v>
      </c>
      <c r="F37" s="562">
        <v>13</v>
      </c>
      <c r="G37" s="562">
        <v>12</v>
      </c>
      <c r="H37" s="562">
        <v>17</v>
      </c>
      <c r="I37" s="1509">
        <v>0</v>
      </c>
      <c r="J37" s="1508">
        <v>22</v>
      </c>
      <c r="K37" s="562">
        <v>24</v>
      </c>
      <c r="L37" s="1509"/>
      <c r="M37" s="328">
        <v>25</v>
      </c>
      <c r="N37" s="328">
        <v>19</v>
      </c>
      <c r="O37" s="328">
        <v>2</v>
      </c>
      <c r="P37" s="328">
        <v>0</v>
      </c>
      <c r="Q37" s="1530">
        <v>4</v>
      </c>
    </row>
    <row r="38" spans="1:17" s="329" customFormat="1" x14ac:dyDescent="0.3">
      <c r="A38" s="331" t="s">
        <v>83</v>
      </c>
      <c r="B38" s="327" t="s">
        <v>84</v>
      </c>
      <c r="C38" s="326" t="s">
        <v>252</v>
      </c>
      <c r="D38" s="328">
        <v>192</v>
      </c>
      <c r="E38" s="1508">
        <v>23</v>
      </c>
      <c r="F38" s="562">
        <v>43</v>
      </c>
      <c r="G38" s="562">
        <v>39</v>
      </c>
      <c r="H38" s="562">
        <v>87</v>
      </c>
      <c r="I38" s="1509">
        <v>0</v>
      </c>
      <c r="J38" s="1508">
        <v>82</v>
      </c>
      <c r="K38" s="562">
        <v>110</v>
      </c>
      <c r="L38" s="1509"/>
      <c r="M38" s="328">
        <v>137</v>
      </c>
      <c r="N38" s="328">
        <v>54</v>
      </c>
      <c r="O38" s="328">
        <v>1</v>
      </c>
      <c r="P38" s="328">
        <v>0</v>
      </c>
      <c r="Q38" s="1530">
        <v>3</v>
      </c>
    </row>
    <row r="39" spans="1:17" s="329" customFormat="1" x14ac:dyDescent="0.3">
      <c r="A39" s="331" t="s">
        <v>85</v>
      </c>
      <c r="B39" s="327" t="s">
        <v>86</v>
      </c>
      <c r="C39" s="326" t="s">
        <v>254</v>
      </c>
      <c r="D39" s="328">
        <v>201</v>
      </c>
      <c r="E39" s="1508">
        <v>21</v>
      </c>
      <c r="F39" s="562">
        <v>65</v>
      </c>
      <c r="G39" s="562">
        <v>48</v>
      </c>
      <c r="H39" s="562">
        <v>67</v>
      </c>
      <c r="I39" s="1509">
        <v>0</v>
      </c>
      <c r="J39" s="1508">
        <v>98</v>
      </c>
      <c r="K39" s="562">
        <v>103</v>
      </c>
      <c r="L39" s="1509"/>
      <c r="M39" s="328">
        <v>146</v>
      </c>
      <c r="N39" s="328">
        <v>54</v>
      </c>
      <c r="O39" s="328">
        <v>1</v>
      </c>
      <c r="P39" s="328">
        <v>0</v>
      </c>
      <c r="Q39" s="1530">
        <v>13</v>
      </c>
    </row>
    <row r="40" spans="1:17" s="329" customFormat="1" x14ac:dyDescent="0.3">
      <c r="A40" s="331" t="s">
        <v>91</v>
      </c>
      <c r="B40" s="327" t="s">
        <v>92</v>
      </c>
      <c r="C40" s="326" t="s">
        <v>255</v>
      </c>
      <c r="D40" s="328">
        <v>64</v>
      </c>
      <c r="E40" s="1508">
        <v>6</v>
      </c>
      <c r="F40" s="562">
        <v>21</v>
      </c>
      <c r="G40" s="562">
        <v>17</v>
      </c>
      <c r="H40" s="562">
        <v>20</v>
      </c>
      <c r="I40" s="1509">
        <v>0</v>
      </c>
      <c r="J40" s="1508">
        <v>34</v>
      </c>
      <c r="K40" s="562">
        <v>30</v>
      </c>
      <c r="L40" s="1509"/>
      <c r="M40" s="328">
        <v>59</v>
      </c>
      <c r="N40" s="328">
        <v>5</v>
      </c>
      <c r="O40" s="328">
        <v>0</v>
      </c>
      <c r="P40" s="328">
        <v>0</v>
      </c>
      <c r="Q40" s="1530">
        <v>1</v>
      </c>
    </row>
    <row r="41" spans="1:17" s="329" customFormat="1" x14ac:dyDescent="0.3">
      <c r="A41" s="331" t="s">
        <v>93</v>
      </c>
      <c r="B41" s="327" t="s">
        <v>94</v>
      </c>
      <c r="C41" s="326" t="s">
        <v>251</v>
      </c>
      <c r="D41" s="328">
        <v>110</v>
      </c>
      <c r="E41" s="1508">
        <v>8</v>
      </c>
      <c r="F41" s="562">
        <v>31</v>
      </c>
      <c r="G41" s="562">
        <v>31</v>
      </c>
      <c r="H41" s="562">
        <v>40</v>
      </c>
      <c r="I41" s="1509">
        <v>0</v>
      </c>
      <c r="J41" s="1508">
        <v>50</v>
      </c>
      <c r="K41" s="562">
        <v>60</v>
      </c>
      <c r="L41" s="1509"/>
      <c r="M41" s="328">
        <v>74</v>
      </c>
      <c r="N41" s="328">
        <v>35</v>
      </c>
      <c r="O41" s="328">
        <v>1</v>
      </c>
      <c r="P41" s="328">
        <v>0</v>
      </c>
      <c r="Q41" s="1530">
        <v>3</v>
      </c>
    </row>
    <row r="42" spans="1:17" s="329" customFormat="1" x14ac:dyDescent="0.3">
      <c r="A42" s="331" t="s">
        <v>95</v>
      </c>
      <c r="B42" s="327" t="s">
        <v>96</v>
      </c>
      <c r="C42" s="326" t="s">
        <v>253</v>
      </c>
      <c r="D42" s="328">
        <v>31</v>
      </c>
      <c r="E42" s="1508">
        <v>3</v>
      </c>
      <c r="F42" s="562">
        <v>6</v>
      </c>
      <c r="G42" s="562">
        <v>8</v>
      </c>
      <c r="H42" s="562">
        <v>14</v>
      </c>
      <c r="I42" s="1509">
        <v>0</v>
      </c>
      <c r="J42" s="1508">
        <v>14</v>
      </c>
      <c r="K42" s="562">
        <v>17</v>
      </c>
      <c r="L42" s="1509"/>
      <c r="M42" s="328">
        <v>16</v>
      </c>
      <c r="N42" s="328">
        <v>15</v>
      </c>
      <c r="O42" s="328">
        <v>0</v>
      </c>
      <c r="P42" s="328">
        <v>0</v>
      </c>
      <c r="Q42" s="1530">
        <v>1</v>
      </c>
    </row>
    <row r="43" spans="1:17" s="329" customFormat="1" x14ac:dyDescent="0.3">
      <c r="A43" s="331" t="s">
        <v>97</v>
      </c>
      <c r="B43" s="327" t="s">
        <v>98</v>
      </c>
      <c r="C43" s="326" t="s">
        <v>255</v>
      </c>
      <c r="D43" s="328">
        <v>16</v>
      </c>
      <c r="E43" s="1508">
        <v>1</v>
      </c>
      <c r="F43" s="562">
        <v>5</v>
      </c>
      <c r="G43" s="562">
        <v>4</v>
      </c>
      <c r="H43" s="562">
        <v>6</v>
      </c>
      <c r="I43" s="1509">
        <v>0</v>
      </c>
      <c r="J43" s="1508">
        <v>11</v>
      </c>
      <c r="K43" s="562">
        <v>5</v>
      </c>
      <c r="L43" s="1509"/>
      <c r="M43" s="328">
        <v>16</v>
      </c>
      <c r="N43" s="328">
        <v>0</v>
      </c>
      <c r="O43" s="328">
        <v>0</v>
      </c>
      <c r="P43" s="328">
        <v>0</v>
      </c>
      <c r="Q43" s="1530">
        <v>1</v>
      </c>
    </row>
    <row r="44" spans="1:17" s="329" customFormat="1" x14ac:dyDescent="0.3">
      <c r="A44" s="331" t="s">
        <v>99</v>
      </c>
      <c r="B44" s="327" t="s">
        <v>100</v>
      </c>
      <c r="C44" s="326" t="s">
        <v>254</v>
      </c>
      <c r="D44" s="328">
        <v>29</v>
      </c>
      <c r="E44" s="1508">
        <v>3</v>
      </c>
      <c r="F44" s="562">
        <v>4</v>
      </c>
      <c r="G44" s="562">
        <v>12</v>
      </c>
      <c r="H44" s="562">
        <v>10</v>
      </c>
      <c r="I44" s="1509">
        <v>0</v>
      </c>
      <c r="J44" s="1508">
        <v>11</v>
      </c>
      <c r="K44" s="562">
        <v>18</v>
      </c>
      <c r="L44" s="1509"/>
      <c r="M44" s="328">
        <v>19</v>
      </c>
      <c r="N44" s="328">
        <v>10</v>
      </c>
      <c r="O44" s="328">
        <v>0</v>
      </c>
      <c r="P44" s="328">
        <v>0</v>
      </c>
      <c r="Q44" s="1530">
        <v>1</v>
      </c>
    </row>
    <row r="45" spans="1:17" s="329" customFormat="1" x14ac:dyDescent="0.3">
      <c r="A45" s="331" t="s">
        <v>101</v>
      </c>
      <c r="B45" s="327" t="s">
        <v>263</v>
      </c>
      <c r="C45" s="326" t="s">
        <v>251</v>
      </c>
      <c r="D45" s="328">
        <v>158</v>
      </c>
      <c r="E45" s="1508">
        <v>10</v>
      </c>
      <c r="F45" s="562">
        <v>34</v>
      </c>
      <c r="G45" s="562">
        <v>41</v>
      </c>
      <c r="H45" s="562">
        <v>73</v>
      </c>
      <c r="I45" s="1509">
        <v>0</v>
      </c>
      <c r="J45" s="1508">
        <v>69</v>
      </c>
      <c r="K45" s="562">
        <v>89</v>
      </c>
      <c r="L45" s="1509"/>
      <c r="M45" s="328">
        <v>10</v>
      </c>
      <c r="N45" s="328">
        <v>148</v>
      </c>
      <c r="O45" s="328">
        <v>0</v>
      </c>
      <c r="P45" s="328">
        <v>0</v>
      </c>
      <c r="Q45" s="1530">
        <v>11</v>
      </c>
    </row>
    <row r="46" spans="1:17" s="329" customFormat="1" x14ac:dyDescent="0.3">
      <c r="A46" s="331" t="s">
        <v>103</v>
      </c>
      <c r="B46" s="327" t="s">
        <v>104</v>
      </c>
      <c r="C46" s="326" t="s">
        <v>252</v>
      </c>
      <c r="D46" s="328">
        <v>62</v>
      </c>
      <c r="E46" s="1508">
        <v>9</v>
      </c>
      <c r="F46" s="562">
        <v>19</v>
      </c>
      <c r="G46" s="562">
        <v>16</v>
      </c>
      <c r="H46" s="562">
        <v>18</v>
      </c>
      <c r="I46" s="1509">
        <v>0</v>
      </c>
      <c r="J46" s="1508">
        <v>28</v>
      </c>
      <c r="K46" s="562">
        <v>34</v>
      </c>
      <c r="L46" s="1509"/>
      <c r="M46" s="328">
        <v>4</v>
      </c>
      <c r="N46" s="328">
        <v>58</v>
      </c>
      <c r="O46" s="328">
        <v>0</v>
      </c>
      <c r="P46" s="328">
        <v>0</v>
      </c>
      <c r="Q46" s="1530">
        <v>2</v>
      </c>
    </row>
    <row r="47" spans="1:17" s="329" customFormat="1" x14ac:dyDescent="0.3">
      <c r="A47" s="331" t="s">
        <v>107</v>
      </c>
      <c r="B47" s="327" t="s">
        <v>108</v>
      </c>
      <c r="C47" s="326" t="s">
        <v>253</v>
      </c>
      <c r="D47" s="328">
        <v>313</v>
      </c>
      <c r="E47" s="1508">
        <v>39</v>
      </c>
      <c r="F47" s="562">
        <v>64</v>
      </c>
      <c r="G47" s="562">
        <v>55</v>
      </c>
      <c r="H47" s="562">
        <v>155</v>
      </c>
      <c r="I47" s="1509">
        <v>0</v>
      </c>
      <c r="J47" s="1508">
        <v>165</v>
      </c>
      <c r="K47" s="562">
        <v>148</v>
      </c>
      <c r="L47" s="1509"/>
      <c r="M47" s="328">
        <v>162</v>
      </c>
      <c r="N47" s="328">
        <v>144</v>
      </c>
      <c r="O47" s="328">
        <v>7</v>
      </c>
      <c r="P47" s="328">
        <v>0</v>
      </c>
      <c r="Q47" s="1530">
        <v>17</v>
      </c>
    </row>
    <row r="48" spans="1:17" s="329" customFormat="1" x14ac:dyDescent="0.3">
      <c r="A48" s="331" t="s">
        <v>109</v>
      </c>
      <c r="B48" s="327" t="s">
        <v>110</v>
      </c>
      <c r="C48" s="326" t="s">
        <v>253</v>
      </c>
      <c r="D48" s="328">
        <v>1778</v>
      </c>
      <c r="E48" s="1508">
        <v>181</v>
      </c>
      <c r="F48" s="562">
        <v>364</v>
      </c>
      <c r="G48" s="562">
        <v>401</v>
      </c>
      <c r="H48" s="562">
        <v>832</v>
      </c>
      <c r="I48" s="1509">
        <v>0</v>
      </c>
      <c r="J48" s="1508">
        <v>896</v>
      </c>
      <c r="K48" s="562">
        <v>882</v>
      </c>
      <c r="L48" s="1509"/>
      <c r="M48" s="328">
        <v>252</v>
      </c>
      <c r="N48" s="328">
        <v>1428</v>
      </c>
      <c r="O48" s="328">
        <v>97</v>
      </c>
      <c r="P48" s="328">
        <v>1</v>
      </c>
      <c r="Q48" s="1530">
        <v>53</v>
      </c>
    </row>
    <row r="49" spans="1:17" s="329" customFormat="1" x14ac:dyDescent="0.3">
      <c r="A49" s="331" t="s">
        <v>111</v>
      </c>
      <c r="B49" s="327" t="s">
        <v>275</v>
      </c>
      <c r="C49" s="326" t="s">
        <v>252</v>
      </c>
      <c r="D49" s="328">
        <v>269</v>
      </c>
      <c r="E49" s="1508">
        <v>24</v>
      </c>
      <c r="F49" s="562">
        <v>65</v>
      </c>
      <c r="G49" s="562">
        <v>62</v>
      </c>
      <c r="H49" s="562">
        <v>118</v>
      </c>
      <c r="I49" s="1509">
        <v>0</v>
      </c>
      <c r="J49" s="1508">
        <v>124</v>
      </c>
      <c r="K49" s="562">
        <v>145</v>
      </c>
      <c r="L49" s="1509"/>
      <c r="M49" s="328">
        <v>87</v>
      </c>
      <c r="N49" s="328">
        <v>181</v>
      </c>
      <c r="O49" s="328">
        <v>1</v>
      </c>
      <c r="P49" s="328">
        <v>0</v>
      </c>
      <c r="Q49" s="1530">
        <v>8</v>
      </c>
    </row>
    <row r="50" spans="1:17" s="329" customFormat="1" x14ac:dyDescent="0.3">
      <c r="A50" s="331" t="s">
        <v>113</v>
      </c>
      <c r="B50" s="327" t="s">
        <v>114</v>
      </c>
      <c r="C50" s="326" t="s">
        <v>252</v>
      </c>
      <c r="D50" s="328">
        <v>2</v>
      </c>
      <c r="E50" s="1750">
        <v>0</v>
      </c>
      <c r="F50" s="329">
        <v>1</v>
      </c>
      <c r="G50" s="329">
        <v>1</v>
      </c>
      <c r="H50" s="329">
        <v>0</v>
      </c>
      <c r="I50" s="1751">
        <v>0</v>
      </c>
      <c r="J50" s="1750">
        <v>2</v>
      </c>
      <c r="L50" s="1751"/>
      <c r="M50" s="328">
        <v>2</v>
      </c>
      <c r="N50" s="328">
        <v>0</v>
      </c>
      <c r="O50" s="328">
        <v>0</v>
      </c>
      <c r="P50" s="328">
        <v>0</v>
      </c>
      <c r="Q50" s="1530"/>
    </row>
    <row r="51" spans="1:17" s="329" customFormat="1" x14ac:dyDescent="0.3">
      <c r="A51" s="331" t="s">
        <v>117</v>
      </c>
      <c r="B51" s="327" t="s">
        <v>257</v>
      </c>
      <c r="C51" s="326" t="s">
        <v>251</v>
      </c>
      <c r="D51" s="328">
        <v>46</v>
      </c>
      <c r="E51" s="1508">
        <v>3</v>
      </c>
      <c r="F51" s="562">
        <v>14</v>
      </c>
      <c r="G51" s="562">
        <v>14</v>
      </c>
      <c r="H51" s="562">
        <v>15</v>
      </c>
      <c r="I51" s="1509">
        <v>0</v>
      </c>
      <c r="J51" s="1508">
        <v>22</v>
      </c>
      <c r="K51" s="562">
        <v>24</v>
      </c>
      <c r="L51" s="1509"/>
      <c r="M51" s="328">
        <v>12</v>
      </c>
      <c r="N51" s="328">
        <v>34</v>
      </c>
      <c r="O51" s="328">
        <v>0</v>
      </c>
      <c r="P51" s="328">
        <v>0</v>
      </c>
      <c r="Q51" s="1530">
        <v>1</v>
      </c>
    </row>
    <row r="52" spans="1:17" s="329" customFormat="1" x14ac:dyDescent="0.3">
      <c r="A52" s="331" t="s">
        <v>119</v>
      </c>
      <c r="B52" s="327" t="s">
        <v>120</v>
      </c>
      <c r="C52" s="326" t="s">
        <v>251</v>
      </c>
      <c r="D52" s="328">
        <v>190</v>
      </c>
      <c r="E52" s="1508">
        <v>25</v>
      </c>
      <c r="F52" s="562">
        <v>42</v>
      </c>
      <c r="G52" s="562">
        <v>51</v>
      </c>
      <c r="H52" s="562">
        <v>72</v>
      </c>
      <c r="I52" s="1509">
        <v>0</v>
      </c>
      <c r="J52" s="1508">
        <v>85</v>
      </c>
      <c r="K52" s="562">
        <v>105</v>
      </c>
      <c r="L52" s="1509"/>
      <c r="M52" s="328">
        <v>53</v>
      </c>
      <c r="N52" s="328">
        <v>134</v>
      </c>
      <c r="O52" s="328">
        <v>3</v>
      </c>
      <c r="P52" s="328">
        <v>0</v>
      </c>
      <c r="Q52" s="1530">
        <v>17</v>
      </c>
    </row>
    <row r="53" spans="1:17" s="329" customFormat="1" x14ac:dyDescent="0.3">
      <c r="A53" s="331" t="s">
        <v>121</v>
      </c>
      <c r="B53" s="327" t="s">
        <v>268</v>
      </c>
      <c r="C53" s="326" t="s">
        <v>253</v>
      </c>
      <c r="D53" s="328">
        <v>37</v>
      </c>
      <c r="E53" s="1508">
        <v>5</v>
      </c>
      <c r="F53" s="562">
        <v>8</v>
      </c>
      <c r="G53" s="562">
        <v>10</v>
      </c>
      <c r="H53" s="562">
        <v>14</v>
      </c>
      <c r="I53" s="1509">
        <v>0</v>
      </c>
      <c r="J53" s="1508">
        <v>19</v>
      </c>
      <c r="K53" s="562">
        <v>18</v>
      </c>
      <c r="L53" s="1509"/>
      <c r="M53" s="328">
        <v>19</v>
      </c>
      <c r="N53" s="328">
        <v>18</v>
      </c>
      <c r="O53" s="328">
        <v>0</v>
      </c>
      <c r="P53" s="328">
        <v>0</v>
      </c>
      <c r="Q53" s="1530"/>
    </row>
    <row r="54" spans="1:17" s="329" customFormat="1" x14ac:dyDescent="0.3">
      <c r="A54" s="331" t="s">
        <v>123</v>
      </c>
      <c r="B54" s="327" t="s">
        <v>124</v>
      </c>
      <c r="C54" s="326" t="s">
        <v>254</v>
      </c>
      <c r="D54" s="328">
        <v>122</v>
      </c>
      <c r="E54" s="1508">
        <v>14</v>
      </c>
      <c r="F54" s="562">
        <v>20</v>
      </c>
      <c r="G54" s="562">
        <v>30</v>
      </c>
      <c r="H54" s="562">
        <v>58</v>
      </c>
      <c r="I54" s="1509">
        <v>0</v>
      </c>
      <c r="J54" s="1508">
        <v>66</v>
      </c>
      <c r="K54" s="562">
        <v>56</v>
      </c>
      <c r="L54" s="1509"/>
      <c r="M54" s="328">
        <v>50</v>
      </c>
      <c r="N54" s="328">
        <v>72</v>
      </c>
      <c r="O54" s="328">
        <v>0</v>
      </c>
      <c r="P54" s="328">
        <v>0</v>
      </c>
      <c r="Q54" s="1530">
        <v>5</v>
      </c>
    </row>
    <row r="55" spans="1:17" s="329" customFormat="1" x14ac:dyDescent="0.3">
      <c r="A55" s="331" t="s">
        <v>125</v>
      </c>
      <c r="B55" s="327" t="s">
        <v>126</v>
      </c>
      <c r="C55" s="326" t="s">
        <v>253</v>
      </c>
      <c r="D55" s="328">
        <v>51</v>
      </c>
      <c r="E55" s="1508">
        <v>3</v>
      </c>
      <c r="F55" s="562">
        <v>14</v>
      </c>
      <c r="G55" s="562">
        <v>17</v>
      </c>
      <c r="H55" s="562">
        <v>17</v>
      </c>
      <c r="I55" s="1509">
        <v>0</v>
      </c>
      <c r="J55" s="1508">
        <v>30</v>
      </c>
      <c r="K55" s="562">
        <v>21</v>
      </c>
      <c r="L55" s="1509"/>
      <c r="M55" s="328">
        <v>23</v>
      </c>
      <c r="N55" s="328">
        <v>27</v>
      </c>
      <c r="O55" s="328">
        <v>1</v>
      </c>
      <c r="P55" s="328">
        <v>0</v>
      </c>
      <c r="Q55" s="1530">
        <v>3</v>
      </c>
    </row>
    <row r="56" spans="1:17" s="329" customFormat="1" x14ac:dyDescent="0.3">
      <c r="A56" s="331" t="s">
        <v>127</v>
      </c>
      <c r="B56" s="327" t="s">
        <v>128</v>
      </c>
      <c r="C56" s="326" t="s">
        <v>253</v>
      </c>
      <c r="D56" s="328">
        <v>20</v>
      </c>
      <c r="E56" s="1508">
        <v>1</v>
      </c>
      <c r="F56" s="562">
        <v>8</v>
      </c>
      <c r="G56" s="562">
        <v>4</v>
      </c>
      <c r="H56" s="562">
        <v>7</v>
      </c>
      <c r="I56" s="1509">
        <v>0</v>
      </c>
      <c r="J56" s="1508">
        <v>11</v>
      </c>
      <c r="K56" s="562">
        <v>9</v>
      </c>
      <c r="L56" s="1509"/>
      <c r="M56" s="328">
        <v>4</v>
      </c>
      <c r="N56" s="328">
        <v>16</v>
      </c>
      <c r="O56" s="328">
        <v>0</v>
      </c>
      <c r="P56" s="328">
        <v>0</v>
      </c>
      <c r="Q56" s="1530"/>
    </row>
    <row r="57" spans="1:17" s="329" customFormat="1" x14ac:dyDescent="0.3">
      <c r="A57" s="331" t="s">
        <v>129</v>
      </c>
      <c r="B57" s="327" t="s">
        <v>130</v>
      </c>
      <c r="C57" s="326" t="s">
        <v>255</v>
      </c>
      <c r="D57" s="328">
        <v>20</v>
      </c>
      <c r="E57" s="1508">
        <v>3</v>
      </c>
      <c r="F57" s="562">
        <v>7</v>
      </c>
      <c r="G57" s="562">
        <v>5</v>
      </c>
      <c r="H57" s="562">
        <v>5</v>
      </c>
      <c r="I57" s="1509">
        <v>0</v>
      </c>
      <c r="J57" s="1508">
        <v>12</v>
      </c>
      <c r="K57" s="562">
        <v>8</v>
      </c>
      <c r="L57" s="1509"/>
      <c r="M57" s="328">
        <v>19</v>
      </c>
      <c r="N57" s="328">
        <v>1</v>
      </c>
      <c r="O57" s="328">
        <v>0</v>
      </c>
      <c r="P57" s="328">
        <v>0</v>
      </c>
      <c r="Q57" s="1530"/>
    </row>
    <row r="58" spans="1:17" s="329" customFormat="1" x14ac:dyDescent="0.3">
      <c r="A58" s="331" t="s">
        <v>131</v>
      </c>
      <c r="B58" s="327" t="s">
        <v>132</v>
      </c>
      <c r="C58" s="326" t="s">
        <v>254</v>
      </c>
      <c r="D58" s="328">
        <v>576</v>
      </c>
      <c r="E58" s="1508">
        <v>54</v>
      </c>
      <c r="F58" s="562">
        <v>115</v>
      </c>
      <c r="G58" s="562">
        <v>150</v>
      </c>
      <c r="H58" s="562">
        <v>257</v>
      </c>
      <c r="I58" s="1509">
        <v>0</v>
      </c>
      <c r="J58" s="1508">
        <v>300</v>
      </c>
      <c r="K58" s="562">
        <v>276</v>
      </c>
      <c r="L58" s="1509"/>
      <c r="M58" s="328">
        <v>323</v>
      </c>
      <c r="N58" s="328">
        <v>219</v>
      </c>
      <c r="O58" s="328">
        <v>34</v>
      </c>
      <c r="P58" s="328">
        <v>0</v>
      </c>
      <c r="Q58" s="1530">
        <v>57</v>
      </c>
    </row>
    <row r="59" spans="1:17" s="329" customFormat="1" x14ac:dyDescent="0.3">
      <c r="A59" s="331" t="s">
        <v>133</v>
      </c>
      <c r="B59" s="327" t="s">
        <v>134</v>
      </c>
      <c r="C59" s="326" t="s">
        <v>254</v>
      </c>
      <c r="D59" s="328">
        <v>51</v>
      </c>
      <c r="E59" s="1508">
        <v>4</v>
      </c>
      <c r="F59" s="562">
        <v>13</v>
      </c>
      <c r="G59" s="562">
        <v>15</v>
      </c>
      <c r="H59" s="562">
        <v>19</v>
      </c>
      <c r="I59" s="1509">
        <v>0</v>
      </c>
      <c r="J59" s="562">
        <v>32</v>
      </c>
      <c r="K59" s="562">
        <v>19</v>
      </c>
      <c r="L59" s="1509"/>
      <c r="M59" s="328">
        <v>26</v>
      </c>
      <c r="N59" s="328">
        <v>24</v>
      </c>
      <c r="O59" s="328">
        <v>0</v>
      </c>
      <c r="P59" s="328">
        <v>1</v>
      </c>
      <c r="Q59" s="1530">
        <v>1</v>
      </c>
    </row>
    <row r="60" spans="1:17" s="329" customFormat="1" x14ac:dyDescent="0.3">
      <c r="A60" s="331" t="s">
        <v>135</v>
      </c>
      <c r="B60" s="327" t="s">
        <v>136</v>
      </c>
      <c r="C60" s="326" t="s">
        <v>253</v>
      </c>
      <c r="D60" s="328">
        <v>9</v>
      </c>
      <c r="E60" s="1508">
        <v>0</v>
      </c>
      <c r="F60" s="562">
        <v>3</v>
      </c>
      <c r="G60" s="562">
        <v>4</v>
      </c>
      <c r="H60" s="562">
        <v>2</v>
      </c>
      <c r="I60" s="1509">
        <v>0</v>
      </c>
      <c r="J60" s="1508">
        <v>5</v>
      </c>
      <c r="K60" s="562">
        <v>4</v>
      </c>
      <c r="L60" s="1509"/>
      <c r="M60" s="328">
        <v>5</v>
      </c>
      <c r="N60" s="328">
        <v>4</v>
      </c>
      <c r="O60" s="328">
        <v>0</v>
      </c>
      <c r="P60" s="328">
        <v>0</v>
      </c>
      <c r="Q60" s="1530"/>
    </row>
    <row r="61" spans="1:17" s="329" customFormat="1" x14ac:dyDescent="0.3">
      <c r="A61" s="331" t="s">
        <v>139</v>
      </c>
      <c r="B61" s="327" t="s">
        <v>140</v>
      </c>
      <c r="C61" s="326" t="s">
        <v>254</v>
      </c>
      <c r="D61" s="328">
        <v>21</v>
      </c>
      <c r="E61" s="1508">
        <v>5</v>
      </c>
      <c r="F61" s="562">
        <v>4</v>
      </c>
      <c r="G61" s="562">
        <v>4</v>
      </c>
      <c r="H61" s="562">
        <v>8</v>
      </c>
      <c r="I61" s="1509">
        <v>0</v>
      </c>
      <c r="J61" s="1508">
        <v>13</v>
      </c>
      <c r="K61" s="562">
        <v>8</v>
      </c>
      <c r="L61" s="1509"/>
      <c r="M61" s="328">
        <v>14</v>
      </c>
      <c r="N61" s="328">
        <v>7</v>
      </c>
      <c r="O61" s="328">
        <v>0</v>
      </c>
      <c r="P61" s="328">
        <v>0</v>
      </c>
      <c r="Q61" s="1530"/>
    </row>
    <row r="62" spans="1:17" s="329" customFormat="1" x14ac:dyDescent="0.3">
      <c r="A62" s="331" t="s">
        <v>145</v>
      </c>
      <c r="B62" s="327" t="s">
        <v>146</v>
      </c>
      <c r="C62" s="326" t="s">
        <v>251</v>
      </c>
      <c r="D62" s="328">
        <v>10</v>
      </c>
      <c r="E62" s="1508">
        <v>2</v>
      </c>
      <c r="F62" s="562">
        <v>3</v>
      </c>
      <c r="G62" s="562">
        <v>4</v>
      </c>
      <c r="H62" s="562">
        <v>1</v>
      </c>
      <c r="I62" s="1509">
        <v>0</v>
      </c>
      <c r="J62" s="1508">
        <v>4</v>
      </c>
      <c r="K62" s="562">
        <v>6</v>
      </c>
      <c r="L62" s="1509"/>
      <c r="M62" s="328">
        <v>7</v>
      </c>
      <c r="N62" s="328">
        <v>3</v>
      </c>
      <c r="O62" s="328">
        <v>0</v>
      </c>
      <c r="P62" s="328">
        <v>0</v>
      </c>
      <c r="Q62" s="1530"/>
    </row>
    <row r="63" spans="1:17" s="329" customFormat="1" x14ac:dyDescent="0.3">
      <c r="A63" s="331" t="s">
        <v>147</v>
      </c>
      <c r="B63" s="327" t="s">
        <v>148</v>
      </c>
      <c r="C63" s="326" t="s">
        <v>252</v>
      </c>
      <c r="D63" s="328">
        <v>48</v>
      </c>
      <c r="E63" s="1508">
        <v>5</v>
      </c>
      <c r="F63" s="562">
        <v>17</v>
      </c>
      <c r="G63" s="562">
        <v>13</v>
      </c>
      <c r="H63" s="562">
        <v>13</v>
      </c>
      <c r="I63" s="1509">
        <v>0</v>
      </c>
      <c r="J63" s="1508">
        <v>24</v>
      </c>
      <c r="K63" s="562">
        <v>24</v>
      </c>
      <c r="L63" s="1509"/>
      <c r="M63" s="328">
        <v>4</v>
      </c>
      <c r="N63" s="328">
        <v>44</v>
      </c>
      <c r="O63" s="328">
        <v>0</v>
      </c>
      <c r="P63" s="328">
        <v>0</v>
      </c>
      <c r="Q63" s="1530">
        <v>4</v>
      </c>
    </row>
    <row r="64" spans="1:17" s="329" customFormat="1" x14ac:dyDescent="0.3">
      <c r="A64" s="331" t="s">
        <v>149</v>
      </c>
      <c r="B64" s="327" t="s">
        <v>150</v>
      </c>
      <c r="C64" s="326" t="s">
        <v>253</v>
      </c>
      <c r="D64" s="328">
        <v>70</v>
      </c>
      <c r="E64" s="1508">
        <v>5</v>
      </c>
      <c r="F64" s="562">
        <v>15</v>
      </c>
      <c r="G64" s="562">
        <v>22</v>
      </c>
      <c r="H64" s="562">
        <v>28</v>
      </c>
      <c r="I64" s="1509">
        <v>0</v>
      </c>
      <c r="J64" s="1508">
        <v>36</v>
      </c>
      <c r="K64" s="562">
        <v>34</v>
      </c>
      <c r="L64" s="1509"/>
      <c r="M64" s="328">
        <v>41</v>
      </c>
      <c r="N64" s="328">
        <v>28</v>
      </c>
      <c r="O64" s="328">
        <v>1</v>
      </c>
      <c r="P64" s="328">
        <v>0</v>
      </c>
      <c r="Q64" s="1530">
        <v>1</v>
      </c>
    </row>
    <row r="65" spans="1:17" s="329" customFormat="1" x14ac:dyDescent="0.3">
      <c r="A65" s="331" t="s">
        <v>151</v>
      </c>
      <c r="B65" s="327" t="s">
        <v>152</v>
      </c>
      <c r="C65" s="326" t="s">
        <v>255</v>
      </c>
      <c r="D65" s="328">
        <v>375</v>
      </c>
      <c r="E65" s="1508">
        <v>36</v>
      </c>
      <c r="F65" s="562">
        <v>103</v>
      </c>
      <c r="G65" s="562">
        <v>80</v>
      </c>
      <c r="H65" s="562">
        <v>156</v>
      </c>
      <c r="I65" s="1509">
        <v>0</v>
      </c>
      <c r="J65" s="1508">
        <v>190</v>
      </c>
      <c r="K65" s="562">
        <v>184</v>
      </c>
      <c r="L65" s="1509">
        <v>1</v>
      </c>
      <c r="M65" s="328">
        <v>307</v>
      </c>
      <c r="N65" s="328">
        <v>63</v>
      </c>
      <c r="O65" s="328">
        <v>5</v>
      </c>
      <c r="P65" s="328">
        <v>0</v>
      </c>
      <c r="Q65" s="1530">
        <v>15</v>
      </c>
    </row>
    <row r="66" spans="1:17" s="329" customFormat="1" x14ac:dyDescent="0.3">
      <c r="A66" s="331" t="s">
        <v>153</v>
      </c>
      <c r="B66" s="327" t="s">
        <v>154</v>
      </c>
      <c r="C66" s="326" t="s">
        <v>252</v>
      </c>
      <c r="D66" s="328">
        <v>19</v>
      </c>
      <c r="E66" s="1508">
        <v>0</v>
      </c>
      <c r="F66" s="562">
        <v>5</v>
      </c>
      <c r="G66" s="562">
        <v>2</v>
      </c>
      <c r="H66" s="562">
        <v>12</v>
      </c>
      <c r="I66" s="1509">
        <v>0</v>
      </c>
      <c r="J66" s="1508">
        <v>11</v>
      </c>
      <c r="K66" s="562">
        <v>8</v>
      </c>
      <c r="L66" s="1509"/>
      <c r="M66" s="328">
        <v>12</v>
      </c>
      <c r="N66" s="328">
        <v>7</v>
      </c>
      <c r="O66" s="328">
        <v>0</v>
      </c>
      <c r="P66" s="328">
        <v>0</v>
      </c>
      <c r="Q66" s="1530">
        <v>4</v>
      </c>
    </row>
    <row r="67" spans="1:17" s="329" customFormat="1" x14ac:dyDescent="0.3">
      <c r="A67" s="331" t="s">
        <v>155</v>
      </c>
      <c r="B67" s="327" t="s">
        <v>156</v>
      </c>
      <c r="C67" s="326" t="s">
        <v>253</v>
      </c>
      <c r="D67" s="328">
        <v>58</v>
      </c>
      <c r="E67" s="1508">
        <v>7</v>
      </c>
      <c r="F67" s="562">
        <v>9</v>
      </c>
      <c r="G67" s="562">
        <v>16</v>
      </c>
      <c r="H67" s="562">
        <v>26</v>
      </c>
      <c r="I67" s="1509">
        <v>0</v>
      </c>
      <c r="J67" s="1508">
        <v>34</v>
      </c>
      <c r="K67" s="562">
        <v>24</v>
      </c>
      <c r="L67" s="1509"/>
      <c r="M67" s="328">
        <v>40</v>
      </c>
      <c r="N67" s="328">
        <v>16</v>
      </c>
      <c r="O67" s="328">
        <v>2</v>
      </c>
      <c r="P67" s="328">
        <v>0</v>
      </c>
      <c r="Q67" s="1530">
        <v>3</v>
      </c>
    </row>
    <row r="68" spans="1:17" s="329" customFormat="1" x14ac:dyDescent="0.3">
      <c r="A68" s="331" t="s">
        <v>161</v>
      </c>
      <c r="B68" s="327" t="s">
        <v>162</v>
      </c>
      <c r="C68" s="326" t="s">
        <v>251</v>
      </c>
      <c r="D68" s="328">
        <v>67</v>
      </c>
      <c r="E68" s="1508">
        <v>6</v>
      </c>
      <c r="F68" s="562">
        <v>16</v>
      </c>
      <c r="G68" s="562">
        <v>6</v>
      </c>
      <c r="H68" s="562">
        <v>39</v>
      </c>
      <c r="I68" s="1509">
        <v>0</v>
      </c>
      <c r="J68" s="1508">
        <v>36</v>
      </c>
      <c r="K68" s="562">
        <v>31</v>
      </c>
      <c r="L68" s="1509"/>
      <c r="M68" s="328">
        <v>10</v>
      </c>
      <c r="N68" s="328">
        <v>57</v>
      </c>
      <c r="O68" s="328">
        <v>0</v>
      </c>
      <c r="P68" s="328">
        <v>0</v>
      </c>
      <c r="Q68" s="1530">
        <v>3</v>
      </c>
    </row>
    <row r="69" spans="1:17" s="329" customFormat="1" x14ac:dyDescent="0.3">
      <c r="A69" s="331" t="s">
        <v>163</v>
      </c>
      <c r="B69" s="327" t="s">
        <v>164</v>
      </c>
      <c r="C69" s="326" t="s">
        <v>253</v>
      </c>
      <c r="D69" s="328">
        <v>21</v>
      </c>
      <c r="E69" s="1508">
        <v>1</v>
      </c>
      <c r="F69" s="562">
        <v>7</v>
      </c>
      <c r="G69" s="562">
        <v>6</v>
      </c>
      <c r="H69" s="562">
        <v>7</v>
      </c>
      <c r="I69" s="1509">
        <v>0</v>
      </c>
      <c r="J69" s="1508">
        <v>8</v>
      </c>
      <c r="K69" s="562">
        <v>13</v>
      </c>
      <c r="L69" s="1509"/>
      <c r="M69" s="328">
        <v>6</v>
      </c>
      <c r="N69" s="328">
        <v>15</v>
      </c>
      <c r="O69" s="328">
        <v>0</v>
      </c>
      <c r="P69" s="328">
        <v>0</v>
      </c>
      <c r="Q69" s="1530"/>
    </row>
    <row r="70" spans="1:17" s="329" customFormat="1" x14ac:dyDescent="0.3">
      <c r="A70" s="331" t="s">
        <v>167</v>
      </c>
      <c r="B70" s="327" t="s">
        <v>168</v>
      </c>
      <c r="C70" s="326" t="s">
        <v>253</v>
      </c>
      <c r="D70" s="328">
        <v>37</v>
      </c>
      <c r="E70" s="1508">
        <v>6</v>
      </c>
      <c r="F70" s="562">
        <v>9</v>
      </c>
      <c r="G70" s="562">
        <v>8</v>
      </c>
      <c r="H70" s="562">
        <v>14</v>
      </c>
      <c r="I70" s="1509">
        <v>0</v>
      </c>
      <c r="J70" s="1508">
        <v>19</v>
      </c>
      <c r="K70" s="562">
        <v>18</v>
      </c>
      <c r="L70" s="1509"/>
      <c r="M70" s="328">
        <v>12</v>
      </c>
      <c r="N70" s="328">
        <v>22</v>
      </c>
      <c r="O70" s="328">
        <v>3</v>
      </c>
      <c r="P70" s="328">
        <v>0</v>
      </c>
      <c r="Q70" s="1530"/>
    </row>
    <row r="71" spans="1:17" s="329" customFormat="1" x14ac:dyDescent="0.3">
      <c r="A71" s="331" t="s">
        <v>169</v>
      </c>
      <c r="B71" s="327" t="s">
        <v>170</v>
      </c>
      <c r="C71" s="326" t="s">
        <v>254</v>
      </c>
      <c r="D71" s="328">
        <v>118</v>
      </c>
      <c r="E71" s="1508">
        <v>14</v>
      </c>
      <c r="F71" s="562">
        <v>28</v>
      </c>
      <c r="G71" s="562">
        <v>26</v>
      </c>
      <c r="H71" s="562">
        <v>50</v>
      </c>
      <c r="I71" s="1509">
        <v>0</v>
      </c>
      <c r="J71" s="1508">
        <v>59</v>
      </c>
      <c r="K71" s="562">
        <v>59</v>
      </c>
      <c r="L71" s="1509"/>
      <c r="M71" s="328">
        <v>71</v>
      </c>
      <c r="N71" s="328">
        <v>47</v>
      </c>
      <c r="O71" s="328">
        <v>0</v>
      </c>
      <c r="P71" s="328">
        <v>0</v>
      </c>
      <c r="Q71" s="1530">
        <v>3</v>
      </c>
    </row>
    <row r="72" spans="1:17" s="329" customFormat="1" x14ac:dyDescent="0.3">
      <c r="A72" s="331" t="s">
        <v>171</v>
      </c>
      <c r="B72" s="327" t="s">
        <v>172</v>
      </c>
      <c r="C72" s="326" t="s">
        <v>254</v>
      </c>
      <c r="D72" s="328">
        <v>14</v>
      </c>
      <c r="E72" s="1508">
        <v>4</v>
      </c>
      <c r="F72" s="562">
        <v>4</v>
      </c>
      <c r="G72" s="562">
        <v>1</v>
      </c>
      <c r="H72" s="562">
        <v>5</v>
      </c>
      <c r="I72" s="1509">
        <v>0</v>
      </c>
      <c r="J72" s="1508">
        <v>7</v>
      </c>
      <c r="K72" s="562">
        <v>7</v>
      </c>
      <c r="L72" s="1509"/>
      <c r="M72" s="328">
        <v>9</v>
      </c>
      <c r="N72" s="328">
        <v>5</v>
      </c>
      <c r="O72" s="328">
        <v>0</v>
      </c>
      <c r="P72" s="328">
        <v>0</v>
      </c>
      <c r="Q72" s="1530"/>
    </row>
    <row r="73" spans="1:17" s="329" customFormat="1" x14ac:dyDescent="0.3">
      <c r="A73" s="331" t="s">
        <v>173</v>
      </c>
      <c r="B73" s="327" t="s">
        <v>174</v>
      </c>
      <c r="C73" s="326" t="s">
        <v>255</v>
      </c>
      <c r="D73" s="328">
        <v>2</v>
      </c>
      <c r="E73" s="1508">
        <v>0</v>
      </c>
      <c r="F73" s="562">
        <v>1</v>
      </c>
      <c r="G73" s="562">
        <v>0</v>
      </c>
      <c r="H73" s="562">
        <v>1</v>
      </c>
      <c r="I73" s="1509">
        <v>0</v>
      </c>
      <c r="J73" s="1508">
        <v>2</v>
      </c>
      <c r="K73" s="562"/>
      <c r="L73" s="1509"/>
      <c r="M73" s="328">
        <v>2</v>
      </c>
      <c r="N73" s="328">
        <v>0</v>
      </c>
      <c r="O73" s="328">
        <v>0</v>
      </c>
      <c r="P73" s="328">
        <v>0</v>
      </c>
      <c r="Q73" s="1530"/>
    </row>
    <row r="74" spans="1:17" s="329" customFormat="1" x14ac:dyDescent="0.3">
      <c r="A74" s="331" t="s">
        <v>177</v>
      </c>
      <c r="B74" s="327" t="s">
        <v>178</v>
      </c>
      <c r="C74" s="326" t="s">
        <v>252</v>
      </c>
      <c r="D74" s="328">
        <v>138</v>
      </c>
      <c r="E74" s="1508">
        <v>11</v>
      </c>
      <c r="F74" s="562">
        <v>32</v>
      </c>
      <c r="G74" s="562">
        <v>33</v>
      </c>
      <c r="H74" s="562">
        <v>62</v>
      </c>
      <c r="I74" s="1509">
        <v>0</v>
      </c>
      <c r="J74" s="1508">
        <v>66</v>
      </c>
      <c r="K74" s="562">
        <v>72</v>
      </c>
      <c r="L74" s="1509"/>
      <c r="M74" s="328">
        <v>88</v>
      </c>
      <c r="N74" s="328">
        <v>48</v>
      </c>
      <c r="O74" s="328">
        <v>2</v>
      </c>
      <c r="P74" s="328">
        <v>0</v>
      </c>
      <c r="Q74" s="1530">
        <v>2</v>
      </c>
    </row>
    <row r="75" spans="1:17" s="329" customFormat="1" x14ac:dyDescent="0.3">
      <c r="A75" s="331" t="s">
        <v>181</v>
      </c>
      <c r="B75" s="327" t="s">
        <v>182</v>
      </c>
      <c r="C75" s="326" t="s">
        <v>253</v>
      </c>
      <c r="D75" s="328">
        <v>43</v>
      </c>
      <c r="E75" s="1508">
        <v>5</v>
      </c>
      <c r="F75" s="562">
        <v>6</v>
      </c>
      <c r="G75" s="562">
        <v>8</v>
      </c>
      <c r="H75" s="562">
        <v>24</v>
      </c>
      <c r="I75" s="1509">
        <v>0</v>
      </c>
      <c r="J75" s="1508">
        <v>22</v>
      </c>
      <c r="K75" s="562">
        <v>21</v>
      </c>
      <c r="L75" s="1509"/>
      <c r="M75" s="328">
        <v>31</v>
      </c>
      <c r="N75" s="328">
        <v>12</v>
      </c>
      <c r="O75" s="328">
        <v>0</v>
      </c>
      <c r="P75" s="328">
        <v>0</v>
      </c>
      <c r="Q75" s="1530">
        <v>2</v>
      </c>
    </row>
    <row r="76" spans="1:17" s="329" customFormat="1" x14ac:dyDescent="0.3">
      <c r="A76" s="331" t="s">
        <v>183</v>
      </c>
      <c r="B76" s="327" t="s">
        <v>184</v>
      </c>
      <c r="C76" s="326" t="s">
        <v>253</v>
      </c>
      <c r="D76" s="328">
        <v>26</v>
      </c>
      <c r="E76" s="1508">
        <v>3</v>
      </c>
      <c r="F76" s="562">
        <v>11</v>
      </c>
      <c r="G76" s="562">
        <v>7</v>
      </c>
      <c r="H76" s="562">
        <v>5</v>
      </c>
      <c r="I76" s="1509">
        <v>0</v>
      </c>
      <c r="J76" s="1508">
        <v>12</v>
      </c>
      <c r="K76" s="562">
        <v>14</v>
      </c>
      <c r="L76" s="1509"/>
      <c r="M76" s="328">
        <v>10</v>
      </c>
      <c r="N76" s="328">
        <v>14</v>
      </c>
      <c r="O76" s="328">
        <v>2</v>
      </c>
      <c r="P76" s="328">
        <v>0</v>
      </c>
      <c r="Q76" s="1530"/>
    </row>
    <row r="77" spans="1:17" s="329" customFormat="1" x14ac:dyDescent="0.3">
      <c r="A77" s="331" t="s">
        <v>185</v>
      </c>
      <c r="B77" s="327" t="s">
        <v>186</v>
      </c>
      <c r="C77" s="326" t="s">
        <v>251</v>
      </c>
      <c r="D77" s="328">
        <v>73</v>
      </c>
      <c r="E77" s="1508">
        <v>7</v>
      </c>
      <c r="F77" s="562">
        <v>10</v>
      </c>
      <c r="G77" s="562">
        <v>22</v>
      </c>
      <c r="H77" s="562">
        <v>34</v>
      </c>
      <c r="I77" s="1509">
        <v>0</v>
      </c>
      <c r="J77" s="1508">
        <v>36</v>
      </c>
      <c r="K77" s="562">
        <v>37</v>
      </c>
      <c r="L77" s="1509"/>
      <c r="M77" s="328">
        <v>15</v>
      </c>
      <c r="N77" s="328">
        <v>58</v>
      </c>
      <c r="O77" s="328">
        <v>0</v>
      </c>
      <c r="P77" s="328">
        <v>0</v>
      </c>
      <c r="Q77" s="1530">
        <v>1</v>
      </c>
    </row>
    <row r="78" spans="1:17" s="329" customFormat="1" x14ac:dyDescent="0.3">
      <c r="A78" s="331" t="s">
        <v>187</v>
      </c>
      <c r="B78" s="327" t="s">
        <v>188</v>
      </c>
      <c r="C78" s="326" t="s">
        <v>254</v>
      </c>
      <c r="D78" s="328">
        <v>1329</v>
      </c>
      <c r="E78" s="1508">
        <v>137</v>
      </c>
      <c r="F78" s="562">
        <v>335</v>
      </c>
      <c r="G78" s="562">
        <v>336</v>
      </c>
      <c r="H78" s="562">
        <v>521</v>
      </c>
      <c r="I78" s="1509">
        <v>0</v>
      </c>
      <c r="J78" s="1508">
        <v>666</v>
      </c>
      <c r="K78" s="562">
        <v>663</v>
      </c>
      <c r="L78" s="1509"/>
      <c r="M78" s="328">
        <v>408</v>
      </c>
      <c r="N78" s="328">
        <v>868</v>
      </c>
      <c r="O78" s="328">
        <v>53</v>
      </c>
      <c r="P78" s="328">
        <v>0</v>
      </c>
      <c r="Q78" s="1530">
        <v>166</v>
      </c>
    </row>
    <row r="79" spans="1:17" s="329" customFormat="1" x14ac:dyDescent="0.3">
      <c r="A79" s="331" t="s">
        <v>189</v>
      </c>
      <c r="B79" s="327" t="s">
        <v>190</v>
      </c>
      <c r="C79" s="326" t="s">
        <v>255</v>
      </c>
      <c r="D79" s="328">
        <v>43</v>
      </c>
      <c r="E79" s="1508">
        <v>3</v>
      </c>
      <c r="F79" s="562">
        <v>13</v>
      </c>
      <c r="G79" s="562">
        <v>9</v>
      </c>
      <c r="H79" s="562">
        <v>18</v>
      </c>
      <c r="I79" s="1509">
        <v>0</v>
      </c>
      <c r="J79" s="1508">
        <v>27</v>
      </c>
      <c r="K79" s="562">
        <v>16</v>
      </c>
      <c r="L79" s="1509"/>
      <c r="M79" s="328">
        <v>31</v>
      </c>
      <c r="N79" s="328">
        <v>12</v>
      </c>
      <c r="O79" s="328">
        <v>0</v>
      </c>
      <c r="P79" s="328">
        <v>0</v>
      </c>
      <c r="Q79" s="1530">
        <v>2</v>
      </c>
    </row>
    <row r="80" spans="1:17" s="329" customFormat="1" x14ac:dyDescent="0.3">
      <c r="A80" s="331" t="s">
        <v>193</v>
      </c>
      <c r="B80" s="327" t="s">
        <v>194</v>
      </c>
      <c r="C80" s="326" t="s">
        <v>254</v>
      </c>
      <c r="D80" s="328">
        <v>39</v>
      </c>
      <c r="E80" s="1508">
        <v>2</v>
      </c>
      <c r="F80" s="562">
        <v>6</v>
      </c>
      <c r="G80" s="562">
        <v>13</v>
      </c>
      <c r="H80" s="562">
        <v>18</v>
      </c>
      <c r="I80" s="1509">
        <v>0</v>
      </c>
      <c r="J80" s="1508">
        <v>15</v>
      </c>
      <c r="K80" s="562">
        <v>24</v>
      </c>
      <c r="L80" s="1509"/>
      <c r="M80" s="328">
        <v>38</v>
      </c>
      <c r="N80" s="328">
        <v>1</v>
      </c>
      <c r="O80" s="328">
        <v>0</v>
      </c>
      <c r="P80" s="328">
        <v>0</v>
      </c>
      <c r="Q80" s="1530"/>
    </row>
    <row r="81" spans="1:17" s="329" customFormat="1" x14ac:dyDescent="0.3">
      <c r="A81" s="331" t="s">
        <v>197</v>
      </c>
      <c r="B81" s="327" t="s">
        <v>259</v>
      </c>
      <c r="C81" s="326" t="s">
        <v>253</v>
      </c>
      <c r="D81" s="328">
        <v>27</v>
      </c>
      <c r="E81" s="1508">
        <v>4</v>
      </c>
      <c r="F81" s="562">
        <v>8</v>
      </c>
      <c r="G81" s="562">
        <v>8</v>
      </c>
      <c r="H81" s="562">
        <v>7</v>
      </c>
      <c r="I81" s="1509">
        <v>0</v>
      </c>
      <c r="J81" s="1508">
        <v>16</v>
      </c>
      <c r="K81" s="562">
        <v>11</v>
      </c>
      <c r="L81" s="1509"/>
      <c r="M81" s="328">
        <v>7</v>
      </c>
      <c r="N81" s="328">
        <v>20</v>
      </c>
      <c r="O81" s="328">
        <v>0</v>
      </c>
      <c r="P81" s="328">
        <v>0</v>
      </c>
      <c r="Q81" s="1530">
        <v>2</v>
      </c>
    </row>
    <row r="82" spans="1:17" s="329" customFormat="1" x14ac:dyDescent="0.3">
      <c r="A82" s="331" t="s">
        <v>201</v>
      </c>
      <c r="B82" s="327" t="s">
        <v>276</v>
      </c>
      <c r="C82" s="326" t="s">
        <v>252</v>
      </c>
      <c r="D82" s="328">
        <v>476</v>
      </c>
      <c r="E82" s="1508">
        <v>37</v>
      </c>
      <c r="F82" s="562">
        <v>109</v>
      </c>
      <c r="G82" s="562">
        <v>96</v>
      </c>
      <c r="H82" s="562">
        <v>234</v>
      </c>
      <c r="I82" s="1509">
        <v>0</v>
      </c>
      <c r="J82" s="1508">
        <v>235</v>
      </c>
      <c r="K82" s="562">
        <v>241</v>
      </c>
      <c r="L82" s="1509"/>
      <c r="M82" s="328">
        <v>310</v>
      </c>
      <c r="N82" s="328">
        <v>152</v>
      </c>
      <c r="O82" s="328">
        <v>14</v>
      </c>
      <c r="P82" s="328">
        <v>0</v>
      </c>
      <c r="Q82" s="1530">
        <v>24</v>
      </c>
    </row>
    <row r="83" spans="1:17" s="329" customFormat="1" x14ac:dyDescent="0.3">
      <c r="A83" s="331" t="s">
        <v>203</v>
      </c>
      <c r="B83" s="327" t="s">
        <v>269</v>
      </c>
      <c r="C83" s="326" t="s">
        <v>252</v>
      </c>
      <c r="D83" s="328">
        <v>62</v>
      </c>
      <c r="E83" s="1508">
        <v>7</v>
      </c>
      <c r="F83" s="562">
        <v>23</v>
      </c>
      <c r="G83" s="562">
        <v>17</v>
      </c>
      <c r="H83" s="562">
        <v>15</v>
      </c>
      <c r="I83" s="1509">
        <v>0</v>
      </c>
      <c r="J83" s="1508">
        <v>32</v>
      </c>
      <c r="K83" s="562">
        <v>30</v>
      </c>
      <c r="L83" s="1509"/>
      <c r="M83" s="328">
        <v>45</v>
      </c>
      <c r="N83" s="328">
        <v>12</v>
      </c>
      <c r="O83" s="328">
        <v>5</v>
      </c>
      <c r="P83" s="328">
        <v>0</v>
      </c>
      <c r="Q83" s="1530">
        <v>2</v>
      </c>
    </row>
    <row r="84" spans="1:17" s="329" customFormat="1" x14ac:dyDescent="0.3">
      <c r="A84" s="331" t="s">
        <v>205</v>
      </c>
      <c r="B84" s="327" t="s">
        <v>270</v>
      </c>
      <c r="C84" s="326" t="s">
        <v>254</v>
      </c>
      <c r="D84" s="328">
        <v>427</v>
      </c>
      <c r="E84" s="1508">
        <v>49</v>
      </c>
      <c r="F84" s="562">
        <v>109</v>
      </c>
      <c r="G84" s="562">
        <v>110</v>
      </c>
      <c r="H84" s="562">
        <v>159</v>
      </c>
      <c r="I84" s="1509">
        <v>0</v>
      </c>
      <c r="J84" s="1508">
        <v>211</v>
      </c>
      <c r="K84" s="562">
        <v>216</v>
      </c>
      <c r="L84" s="1509"/>
      <c r="M84" s="328">
        <v>285</v>
      </c>
      <c r="N84" s="328">
        <v>136</v>
      </c>
      <c r="O84" s="328">
        <v>6</v>
      </c>
      <c r="P84" s="328">
        <v>0</v>
      </c>
      <c r="Q84" s="1530">
        <v>60</v>
      </c>
    </row>
    <row r="85" spans="1:17" s="329" customFormat="1" x14ac:dyDescent="0.3">
      <c r="A85" s="331" t="s">
        <v>207</v>
      </c>
      <c r="B85" s="327" t="s">
        <v>208</v>
      </c>
      <c r="C85" s="326" t="s">
        <v>255</v>
      </c>
      <c r="D85" s="328">
        <v>38</v>
      </c>
      <c r="E85" s="1508">
        <v>7</v>
      </c>
      <c r="F85" s="562">
        <v>12</v>
      </c>
      <c r="G85" s="562">
        <v>9</v>
      </c>
      <c r="H85" s="562">
        <v>10</v>
      </c>
      <c r="I85" s="1509">
        <v>0</v>
      </c>
      <c r="J85" s="1508">
        <v>22</v>
      </c>
      <c r="K85" s="562">
        <v>16</v>
      </c>
      <c r="L85" s="1509"/>
      <c r="M85" s="328">
        <v>36</v>
      </c>
      <c r="N85" s="328">
        <v>2</v>
      </c>
      <c r="O85" s="328">
        <v>0</v>
      </c>
      <c r="P85" s="328">
        <v>0</v>
      </c>
      <c r="Q85" s="1530"/>
    </row>
    <row r="86" spans="1:17" s="329" customFormat="1" x14ac:dyDescent="0.3">
      <c r="A86" s="331" t="s">
        <v>209</v>
      </c>
      <c r="B86" s="327" t="s">
        <v>210</v>
      </c>
      <c r="C86" s="326" t="s">
        <v>255</v>
      </c>
      <c r="D86" s="328">
        <v>5</v>
      </c>
      <c r="E86" s="1508">
        <v>0</v>
      </c>
      <c r="F86" s="562">
        <v>0</v>
      </c>
      <c r="G86" s="562">
        <v>0</v>
      </c>
      <c r="H86" s="562">
        <v>5</v>
      </c>
      <c r="I86" s="1509">
        <v>0</v>
      </c>
      <c r="J86" s="1508">
        <v>1</v>
      </c>
      <c r="K86" s="562">
        <v>4</v>
      </c>
      <c r="L86" s="1509"/>
      <c r="M86" s="328">
        <v>5</v>
      </c>
      <c r="N86" s="328">
        <v>0</v>
      </c>
      <c r="O86" s="328">
        <v>0</v>
      </c>
      <c r="P86" s="328">
        <v>0</v>
      </c>
      <c r="Q86" s="1530"/>
    </row>
    <row r="87" spans="1:17" s="329" customFormat="1" x14ac:dyDescent="0.3">
      <c r="A87" s="331" t="s">
        <v>211</v>
      </c>
      <c r="B87" s="327" t="s">
        <v>212</v>
      </c>
      <c r="C87" s="326" t="s">
        <v>254</v>
      </c>
      <c r="D87" s="328">
        <v>115</v>
      </c>
      <c r="E87" s="1508">
        <v>13</v>
      </c>
      <c r="F87" s="562">
        <v>25</v>
      </c>
      <c r="G87" s="562">
        <v>34</v>
      </c>
      <c r="H87" s="562">
        <v>43</v>
      </c>
      <c r="I87" s="1509">
        <v>0</v>
      </c>
      <c r="J87" s="1508">
        <v>57</v>
      </c>
      <c r="K87" s="562">
        <v>58</v>
      </c>
      <c r="L87" s="1509"/>
      <c r="M87" s="328">
        <v>91</v>
      </c>
      <c r="N87" s="328">
        <v>21</v>
      </c>
      <c r="O87" s="328">
        <v>3</v>
      </c>
      <c r="P87" s="328">
        <v>0</v>
      </c>
      <c r="Q87" s="1530">
        <v>9</v>
      </c>
    </row>
    <row r="88" spans="1:17" s="329" customFormat="1" x14ac:dyDescent="0.3">
      <c r="A88" s="331" t="s">
        <v>213</v>
      </c>
      <c r="B88" s="327" t="s">
        <v>214</v>
      </c>
      <c r="C88" s="326" t="s">
        <v>255</v>
      </c>
      <c r="D88" s="328">
        <v>107</v>
      </c>
      <c r="E88" s="1508">
        <v>15</v>
      </c>
      <c r="F88" s="562">
        <v>35</v>
      </c>
      <c r="G88" s="562">
        <v>22</v>
      </c>
      <c r="H88" s="562">
        <v>35</v>
      </c>
      <c r="I88" s="1509">
        <v>0</v>
      </c>
      <c r="J88" s="1508">
        <v>57</v>
      </c>
      <c r="K88" s="562">
        <v>50</v>
      </c>
      <c r="L88" s="1509"/>
      <c r="M88" s="328">
        <v>96</v>
      </c>
      <c r="N88" s="328">
        <v>9</v>
      </c>
      <c r="O88" s="328">
        <v>2</v>
      </c>
      <c r="P88" s="328">
        <v>0</v>
      </c>
      <c r="Q88" s="1530">
        <v>7</v>
      </c>
    </row>
    <row r="89" spans="1:17" s="329" customFormat="1" x14ac:dyDescent="0.3">
      <c r="A89" s="331" t="s">
        <v>215</v>
      </c>
      <c r="B89" s="327" t="s">
        <v>216</v>
      </c>
      <c r="C89" s="326" t="s">
        <v>251</v>
      </c>
      <c r="D89" s="328">
        <v>27</v>
      </c>
      <c r="E89" s="1508">
        <v>3</v>
      </c>
      <c r="F89" s="562">
        <v>7</v>
      </c>
      <c r="G89" s="562">
        <v>10</v>
      </c>
      <c r="H89" s="562">
        <v>7</v>
      </c>
      <c r="I89" s="1509">
        <v>0</v>
      </c>
      <c r="J89" s="1508">
        <v>16</v>
      </c>
      <c r="K89" s="562">
        <v>11</v>
      </c>
      <c r="L89" s="1509"/>
      <c r="M89" s="328">
        <v>12</v>
      </c>
      <c r="N89" s="328">
        <v>15</v>
      </c>
      <c r="O89" s="328">
        <v>0</v>
      </c>
      <c r="P89" s="328">
        <v>0</v>
      </c>
      <c r="Q89" s="1530"/>
    </row>
    <row r="90" spans="1:17" s="329" customFormat="1" x14ac:dyDescent="0.3">
      <c r="A90" s="331" t="s">
        <v>217</v>
      </c>
      <c r="B90" s="327" t="s">
        <v>218</v>
      </c>
      <c r="C90" s="326" t="s">
        <v>254</v>
      </c>
      <c r="D90" s="328">
        <v>414</v>
      </c>
      <c r="E90" s="1508">
        <v>47</v>
      </c>
      <c r="F90" s="562">
        <v>87</v>
      </c>
      <c r="G90" s="562">
        <v>98</v>
      </c>
      <c r="H90" s="562">
        <v>182</v>
      </c>
      <c r="I90" s="1509">
        <v>0</v>
      </c>
      <c r="J90" s="1508">
        <v>189</v>
      </c>
      <c r="K90" s="562">
        <v>225</v>
      </c>
      <c r="L90" s="1509"/>
      <c r="M90" s="328">
        <v>160</v>
      </c>
      <c r="N90" s="328">
        <v>240</v>
      </c>
      <c r="O90" s="328">
        <v>14</v>
      </c>
      <c r="P90" s="328">
        <v>0</v>
      </c>
      <c r="Q90" s="1530">
        <v>21</v>
      </c>
    </row>
    <row r="91" spans="1:17" s="329" customFormat="1" x14ac:dyDescent="0.3">
      <c r="A91" s="331" t="s">
        <v>219</v>
      </c>
      <c r="B91" s="327" t="s">
        <v>220</v>
      </c>
      <c r="C91" s="326" t="s">
        <v>254</v>
      </c>
      <c r="D91" s="328">
        <v>560</v>
      </c>
      <c r="E91" s="1508">
        <v>62</v>
      </c>
      <c r="F91" s="562">
        <v>129</v>
      </c>
      <c r="G91" s="562">
        <v>138</v>
      </c>
      <c r="H91" s="562">
        <v>231</v>
      </c>
      <c r="I91" s="1509">
        <v>0</v>
      </c>
      <c r="J91" s="1508">
        <v>248</v>
      </c>
      <c r="K91" s="562">
        <v>312</v>
      </c>
      <c r="L91" s="1509"/>
      <c r="M91" s="328">
        <v>183</v>
      </c>
      <c r="N91" s="328">
        <v>353</v>
      </c>
      <c r="O91" s="328">
        <v>24</v>
      </c>
      <c r="P91" s="328">
        <v>0</v>
      </c>
      <c r="Q91" s="1530">
        <v>47</v>
      </c>
    </row>
    <row r="92" spans="1:17" s="329" customFormat="1" x14ac:dyDescent="0.3">
      <c r="A92" s="331" t="s">
        <v>223</v>
      </c>
      <c r="B92" s="327" t="s">
        <v>224</v>
      </c>
      <c r="C92" s="326" t="s">
        <v>251</v>
      </c>
      <c r="D92" s="328">
        <v>11</v>
      </c>
      <c r="E92" s="1508">
        <v>1</v>
      </c>
      <c r="F92" s="562">
        <v>1</v>
      </c>
      <c r="G92" s="562">
        <v>6</v>
      </c>
      <c r="H92" s="562">
        <v>3</v>
      </c>
      <c r="I92" s="1509">
        <v>0</v>
      </c>
      <c r="J92" s="1508">
        <v>4</v>
      </c>
      <c r="K92" s="562">
        <v>7</v>
      </c>
      <c r="L92" s="1509"/>
      <c r="M92" s="328">
        <v>2</v>
      </c>
      <c r="N92" s="328">
        <v>9</v>
      </c>
      <c r="O92" s="328">
        <v>0</v>
      </c>
      <c r="P92" s="328">
        <v>0</v>
      </c>
      <c r="Q92" s="1530"/>
    </row>
    <row r="93" spans="1:17" s="329" customFormat="1" x14ac:dyDescent="0.3">
      <c r="A93" s="331" t="s">
        <v>225</v>
      </c>
      <c r="B93" s="327" t="s">
        <v>226</v>
      </c>
      <c r="C93" s="326" t="s">
        <v>251</v>
      </c>
      <c r="D93" s="328">
        <v>24</v>
      </c>
      <c r="E93" s="1508">
        <v>1</v>
      </c>
      <c r="F93" s="562">
        <v>4</v>
      </c>
      <c r="G93" s="562">
        <v>10</v>
      </c>
      <c r="H93" s="562">
        <v>9</v>
      </c>
      <c r="I93" s="1509">
        <v>0</v>
      </c>
      <c r="J93" s="1508">
        <v>15</v>
      </c>
      <c r="K93" s="562">
        <v>9</v>
      </c>
      <c r="L93" s="1509"/>
      <c r="M93" s="328">
        <v>4</v>
      </c>
      <c r="N93" s="328">
        <v>20</v>
      </c>
      <c r="O93" s="328">
        <v>0</v>
      </c>
      <c r="P93" s="328">
        <v>0</v>
      </c>
      <c r="Q93" s="1530">
        <v>2</v>
      </c>
    </row>
    <row r="94" spans="1:17" s="329" customFormat="1" x14ac:dyDescent="0.3">
      <c r="A94" s="331" t="s">
        <v>227</v>
      </c>
      <c r="B94" s="327" t="s">
        <v>228</v>
      </c>
      <c r="C94" s="326" t="s">
        <v>255</v>
      </c>
      <c r="D94" s="328">
        <v>92</v>
      </c>
      <c r="E94" s="1508">
        <v>7</v>
      </c>
      <c r="F94" s="562">
        <v>20</v>
      </c>
      <c r="G94" s="562">
        <v>15</v>
      </c>
      <c r="H94" s="562">
        <v>50</v>
      </c>
      <c r="I94" s="1509">
        <v>0</v>
      </c>
      <c r="J94" s="1508">
        <v>43</v>
      </c>
      <c r="K94" s="562">
        <v>49</v>
      </c>
      <c r="L94" s="1509"/>
      <c r="M94" s="328">
        <v>79</v>
      </c>
      <c r="N94" s="328">
        <v>11</v>
      </c>
      <c r="O94" s="328">
        <v>2</v>
      </c>
      <c r="P94" s="328">
        <v>0</v>
      </c>
      <c r="Q94" s="1530"/>
    </row>
    <row r="95" spans="1:17" s="329" customFormat="1" x14ac:dyDescent="0.3">
      <c r="A95" s="331" t="s">
        <v>231</v>
      </c>
      <c r="B95" s="327" t="s">
        <v>232</v>
      </c>
      <c r="C95" s="326" t="s">
        <v>254</v>
      </c>
      <c r="D95" s="328">
        <v>194</v>
      </c>
      <c r="E95" s="1508">
        <v>19</v>
      </c>
      <c r="F95" s="562">
        <v>42</v>
      </c>
      <c r="G95" s="562">
        <v>47</v>
      </c>
      <c r="H95" s="562">
        <v>86</v>
      </c>
      <c r="I95" s="1509">
        <v>0</v>
      </c>
      <c r="J95" s="1508">
        <v>74</v>
      </c>
      <c r="K95" s="562">
        <v>120</v>
      </c>
      <c r="L95" s="1509"/>
      <c r="M95" s="328">
        <v>147</v>
      </c>
      <c r="N95" s="328">
        <v>45</v>
      </c>
      <c r="O95" s="328">
        <v>2</v>
      </c>
      <c r="P95" s="328">
        <v>0</v>
      </c>
      <c r="Q95" s="1530">
        <v>5</v>
      </c>
    </row>
    <row r="96" spans="1:17" s="329" customFormat="1" x14ac:dyDescent="0.3">
      <c r="A96" s="331" t="s">
        <v>233</v>
      </c>
      <c r="B96" s="327" t="s">
        <v>234</v>
      </c>
      <c r="C96" s="326" t="s">
        <v>255</v>
      </c>
      <c r="D96" s="328">
        <v>64</v>
      </c>
      <c r="E96" s="1508">
        <v>7</v>
      </c>
      <c r="F96" s="562">
        <v>17</v>
      </c>
      <c r="G96" s="562">
        <v>13</v>
      </c>
      <c r="H96" s="562">
        <v>27</v>
      </c>
      <c r="I96" s="1509">
        <v>0</v>
      </c>
      <c r="J96" s="1508">
        <v>31</v>
      </c>
      <c r="K96" s="562">
        <v>33</v>
      </c>
      <c r="L96" s="1509"/>
      <c r="M96" s="328">
        <v>60</v>
      </c>
      <c r="N96" s="328">
        <v>2</v>
      </c>
      <c r="O96" s="328">
        <v>2</v>
      </c>
      <c r="P96" s="328">
        <v>0</v>
      </c>
      <c r="Q96" s="1530"/>
    </row>
    <row r="97" spans="1:17" s="329" customFormat="1" x14ac:dyDescent="0.3">
      <c r="A97" s="331" t="s">
        <v>235</v>
      </c>
      <c r="B97" s="327" t="s">
        <v>236</v>
      </c>
      <c r="C97" s="326" t="s">
        <v>253</v>
      </c>
      <c r="D97" s="328">
        <v>94</v>
      </c>
      <c r="E97" s="1508">
        <v>15</v>
      </c>
      <c r="F97" s="562">
        <v>29</v>
      </c>
      <c r="G97" s="562">
        <v>20</v>
      </c>
      <c r="H97" s="562">
        <v>30</v>
      </c>
      <c r="I97" s="1509">
        <v>0</v>
      </c>
      <c r="J97" s="1508">
        <v>44</v>
      </c>
      <c r="K97" s="562">
        <v>50</v>
      </c>
      <c r="L97" s="1509"/>
      <c r="M97" s="328">
        <v>29</v>
      </c>
      <c r="N97" s="328">
        <v>65</v>
      </c>
      <c r="O97" s="328">
        <v>0</v>
      </c>
      <c r="P97" s="328">
        <v>0</v>
      </c>
      <c r="Q97" s="1530"/>
    </row>
    <row r="98" spans="1:17" s="329" customFormat="1" x14ac:dyDescent="0.3">
      <c r="A98" s="331" t="s">
        <v>241</v>
      </c>
      <c r="B98" s="327" t="s">
        <v>242</v>
      </c>
      <c r="C98" s="326" t="s">
        <v>255</v>
      </c>
      <c r="D98" s="328">
        <v>59</v>
      </c>
      <c r="E98" s="1508">
        <v>6</v>
      </c>
      <c r="F98" s="562">
        <v>16</v>
      </c>
      <c r="G98" s="562">
        <v>15</v>
      </c>
      <c r="H98" s="562">
        <v>22</v>
      </c>
      <c r="I98" s="1509">
        <v>0</v>
      </c>
      <c r="J98" s="1508">
        <v>31</v>
      </c>
      <c r="K98" s="562">
        <v>28</v>
      </c>
      <c r="L98" s="1509"/>
      <c r="M98" s="328">
        <v>52</v>
      </c>
      <c r="N98" s="328">
        <v>7</v>
      </c>
      <c r="O98" s="328">
        <v>0</v>
      </c>
      <c r="P98" s="328">
        <v>0</v>
      </c>
      <c r="Q98" s="1530">
        <v>2</v>
      </c>
    </row>
    <row r="99" spans="1:17" s="329" customFormat="1" x14ac:dyDescent="0.3">
      <c r="A99" s="331" t="s">
        <v>243</v>
      </c>
      <c r="B99" s="327" t="s">
        <v>244</v>
      </c>
      <c r="C99" s="326" t="s">
        <v>255</v>
      </c>
      <c r="D99" s="328">
        <v>94</v>
      </c>
      <c r="E99" s="1508">
        <v>8</v>
      </c>
      <c r="F99" s="562">
        <v>33</v>
      </c>
      <c r="G99" s="562">
        <v>23</v>
      </c>
      <c r="H99" s="562">
        <v>30</v>
      </c>
      <c r="I99" s="1509">
        <v>0</v>
      </c>
      <c r="J99" s="1508">
        <v>48</v>
      </c>
      <c r="K99" s="562">
        <v>46</v>
      </c>
      <c r="L99" s="1509"/>
      <c r="M99" s="328">
        <v>80</v>
      </c>
      <c r="N99" s="328">
        <v>13</v>
      </c>
      <c r="O99" s="328">
        <v>1</v>
      </c>
      <c r="P99" s="328">
        <v>0</v>
      </c>
      <c r="Q99" s="1530"/>
    </row>
    <row r="100" spans="1:17" s="329" customFormat="1" x14ac:dyDescent="0.3">
      <c r="A100" s="331" t="s">
        <v>245</v>
      </c>
      <c r="B100" s="327" t="s">
        <v>246</v>
      </c>
      <c r="C100" s="326" t="s">
        <v>251</v>
      </c>
      <c r="D100" s="328">
        <v>120</v>
      </c>
      <c r="E100" s="1508">
        <v>12</v>
      </c>
      <c r="F100" s="562">
        <v>25</v>
      </c>
      <c r="G100" s="562">
        <v>29</v>
      </c>
      <c r="H100" s="562">
        <v>54</v>
      </c>
      <c r="I100" s="1509">
        <v>0</v>
      </c>
      <c r="J100" s="1508">
        <v>60</v>
      </c>
      <c r="K100" s="562">
        <v>60</v>
      </c>
      <c r="L100" s="1509"/>
      <c r="M100" s="328">
        <v>38</v>
      </c>
      <c r="N100" s="328">
        <v>78</v>
      </c>
      <c r="O100" s="328">
        <v>4</v>
      </c>
      <c r="P100" s="328">
        <v>0</v>
      </c>
      <c r="Q100" s="1530">
        <v>12</v>
      </c>
    </row>
    <row r="101" spans="1:17" s="329" customFormat="1" x14ac:dyDescent="0.3">
      <c r="A101" s="331" t="s">
        <v>13</v>
      </c>
      <c r="B101" s="327" t="s">
        <v>14</v>
      </c>
      <c r="C101" s="326" t="s">
        <v>254</v>
      </c>
      <c r="D101" s="328">
        <v>755</v>
      </c>
      <c r="E101" s="1508">
        <v>74</v>
      </c>
      <c r="F101" s="562">
        <v>220</v>
      </c>
      <c r="G101" s="562">
        <v>215</v>
      </c>
      <c r="H101" s="562">
        <v>246</v>
      </c>
      <c r="I101" s="1509">
        <v>0</v>
      </c>
      <c r="J101" s="1508">
        <v>353</v>
      </c>
      <c r="K101" s="562">
        <v>402</v>
      </c>
      <c r="L101" s="1509"/>
      <c r="M101" s="328">
        <v>259</v>
      </c>
      <c r="N101" s="328">
        <v>406</v>
      </c>
      <c r="O101" s="328">
        <v>90</v>
      </c>
      <c r="P101" s="328">
        <v>0</v>
      </c>
      <c r="Q101" s="1530">
        <v>62</v>
      </c>
    </row>
    <row r="102" spans="1:17" s="329" customFormat="1" x14ac:dyDescent="0.3">
      <c r="A102" s="331" t="s">
        <v>33</v>
      </c>
      <c r="B102" s="327" t="s">
        <v>34</v>
      </c>
      <c r="C102" s="326" t="s">
        <v>255</v>
      </c>
      <c r="D102" s="328">
        <v>179</v>
      </c>
      <c r="E102" s="1508">
        <v>12</v>
      </c>
      <c r="F102" s="562">
        <v>40</v>
      </c>
      <c r="G102" s="562">
        <v>52</v>
      </c>
      <c r="H102" s="562">
        <v>75</v>
      </c>
      <c r="I102" s="1509">
        <v>0</v>
      </c>
      <c r="J102" s="1508">
        <v>99</v>
      </c>
      <c r="K102" s="562">
        <v>80</v>
      </c>
      <c r="L102" s="1509"/>
      <c r="M102" s="328">
        <v>109</v>
      </c>
      <c r="N102" s="328">
        <v>65</v>
      </c>
      <c r="O102" s="328">
        <v>5</v>
      </c>
      <c r="P102" s="328">
        <v>0</v>
      </c>
      <c r="Q102" s="1530">
        <v>4</v>
      </c>
    </row>
    <row r="103" spans="1:17" s="329" customFormat="1" x14ac:dyDescent="0.3">
      <c r="A103" s="331" t="s">
        <v>51</v>
      </c>
      <c r="B103" s="327" t="s">
        <v>52</v>
      </c>
      <c r="C103" s="326" t="s">
        <v>252</v>
      </c>
      <c r="D103" s="328">
        <v>193</v>
      </c>
      <c r="E103" s="1508">
        <v>28</v>
      </c>
      <c r="F103" s="562">
        <v>64</v>
      </c>
      <c r="G103" s="562">
        <v>58</v>
      </c>
      <c r="H103" s="562">
        <v>43</v>
      </c>
      <c r="I103" s="1509">
        <v>0</v>
      </c>
      <c r="J103" s="1508">
        <v>107</v>
      </c>
      <c r="K103" s="562">
        <v>86</v>
      </c>
      <c r="L103" s="1509"/>
      <c r="M103" s="328">
        <v>46</v>
      </c>
      <c r="N103" s="328">
        <v>132</v>
      </c>
      <c r="O103" s="328">
        <v>15</v>
      </c>
      <c r="P103" s="328">
        <v>0</v>
      </c>
      <c r="Q103" s="1530">
        <v>9</v>
      </c>
    </row>
    <row r="104" spans="1:17" s="329" customFormat="1" x14ac:dyDescent="0.3">
      <c r="A104" s="331" t="s">
        <v>53</v>
      </c>
      <c r="B104" s="327" t="s">
        <v>54</v>
      </c>
      <c r="C104" s="326" t="s">
        <v>251</v>
      </c>
      <c r="D104" s="328">
        <v>1389</v>
      </c>
      <c r="E104" s="1508">
        <v>149</v>
      </c>
      <c r="F104" s="562">
        <v>320</v>
      </c>
      <c r="G104" s="562">
        <v>329</v>
      </c>
      <c r="H104" s="562">
        <v>591</v>
      </c>
      <c r="I104" s="1509">
        <v>0</v>
      </c>
      <c r="J104" s="1508">
        <v>673</v>
      </c>
      <c r="K104" s="562">
        <v>714</v>
      </c>
      <c r="L104" s="1509">
        <v>2</v>
      </c>
      <c r="M104" s="328">
        <v>223</v>
      </c>
      <c r="N104" s="328">
        <v>1142</v>
      </c>
      <c r="O104" s="328">
        <v>22</v>
      </c>
      <c r="P104" s="328">
        <v>2</v>
      </c>
      <c r="Q104" s="1530">
        <v>62</v>
      </c>
    </row>
    <row r="105" spans="1:17" s="329" customFormat="1" x14ac:dyDescent="0.3">
      <c r="A105" s="331" t="s">
        <v>65</v>
      </c>
      <c r="B105" s="327" t="s">
        <v>66</v>
      </c>
      <c r="C105" s="326" t="s">
        <v>252</v>
      </c>
      <c r="D105" s="328">
        <v>342</v>
      </c>
      <c r="E105" s="1508">
        <v>29</v>
      </c>
      <c r="F105" s="562">
        <v>78</v>
      </c>
      <c r="G105" s="562">
        <v>79</v>
      </c>
      <c r="H105" s="562">
        <v>156</v>
      </c>
      <c r="I105" s="1509">
        <v>0</v>
      </c>
      <c r="J105" s="1508">
        <v>177</v>
      </c>
      <c r="K105" s="562">
        <v>165</v>
      </c>
      <c r="L105" s="1509"/>
      <c r="M105" s="328">
        <v>37</v>
      </c>
      <c r="N105" s="328">
        <v>304</v>
      </c>
      <c r="O105" s="328">
        <v>1</v>
      </c>
      <c r="P105" s="328">
        <v>0</v>
      </c>
      <c r="Q105" s="1530">
        <v>6</v>
      </c>
    </row>
    <row r="106" spans="1:17" s="329" customFormat="1" x14ac:dyDescent="0.3">
      <c r="A106" s="331" t="s">
        <v>81</v>
      </c>
      <c r="B106" s="327" t="s">
        <v>82</v>
      </c>
      <c r="C106" s="326" t="s">
        <v>251</v>
      </c>
      <c r="D106" s="328">
        <v>96</v>
      </c>
      <c r="E106" s="1508">
        <v>8</v>
      </c>
      <c r="F106" s="562">
        <v>24</v>
      </c>
      <c r="G106" s="562">
        <v>22</v>
      </c>
      <c r="H106" s="562">
        <v>42</v>
      </c>
      <c r="I106" s="1509">
        <v>0</v>
      </c>
      <c r="J106" s="1508">
        <v>47</v>
      </c>
      <c r="K106" s="562">
        <v>49</v>
      </c>
      <c r="L106" s="1509"/>
      <c r="M106" s="328">
        <v>4</v>
      </c>
      <c r="N106" s="328">
        <v>92</v>
      </c>
      <c r="O106" s="328">
        <v>0</v>
      </c>
      <c r="P106" s="328">
        <v>0</v>
      </c>
      <c r="Q106" s="1530">
        <v>5</v>
      </c>
    </row>
    <row r="107" spans="1:17" s="329" customFormat="1" x14ac:dyDescent="0.3">
      <c r="A107" s="331" t="s">
        <v>87</v>
      </c>
      <c r="B107" s="327" t="s">
        <v>88</v>
      </c>
      <c r="C107" s="326" t="s">
        <v>254</v>
      </c>
      <c r="D107" s="328">
        <v>278</v>
      </c>
      <c r="E107" s="1508">
        <v>44</v>
      </c>
      <c r="F107" s="562">
        <v>66</v>
      </c>
      <c r="G107" s="562">
        <v>72</v>
      </c>
      <c r="H107" s="562">
        <v>96</v>
      </c>
      <c r="I107" s="1509">
        <v>0</v>
      </c>
      <c r="J107" s="1508">
        <v>136</v>
      </c>
      <c r="K107" s="562">
        <v>142</v>
      </c>
      <c r="L107" s="1509"/>
      <c r="M107" s="328">
        <v>73</v>
      </c>
      <c r="N107" s="328">
        <v>192</v>
      </c>
      <c r="O107" s="328">
        <v>13</v>
      </c>
      <c r="P107" s="328">
        <v>0</v>
      </c>
      <c r="Q107" s="1530">
        <v>20</v>
      </c>
    </row>
    <row r="108" spans="1:17" s="329" customFormat="1" x14ac:dyDescent="0.3">
      <c r="A108" s="331" t="s">
        <v>89</v>
      </c>
      <c r="B108" s="327" t="s">
        <v>90</v>
      </c>
      <c r="C108" s="326" t="s">
        <v>255</v>
      </c>
      <c r="D108" s="328">
        <v>11</v>
      </c>
      <c r="E108" s="1508">
        <v>4</v>
      </c>
      <c r="F108" s="562">
        <v>3</v>
      </c>
      <c r="G108" s="562">
        <v>2</v>
      </c>
      <c r="H108" s="562">
        <v>2</v>
      </c>
      <c r="I108" s="1509">
        <v>0</v>
      </c>
      <c r="J108" s="1508">
        <v>4</v>
      </c>
      <c r="K108" s="562">
        <v>7</v>
      </c>
      <c r="L108" s="1509"/>
      <c r="M108" s="328">
        <v>10</v>
      </c>
      <c r="N108" s="328">
        <v>1</v>
      </c>
      <c r="O108" s="328">
        <v>0</v>
      </c>
      <c r="P108" s="328">
        <v>0</v>
      </c>
      <c r="Q108" s="1530"/>
    </row>
    <row r="109" spans="1:17" s="329" customFormat="1" x14ac:dyDescent="0.3">
      <c r="A109" s="331" t="s">
        <v>105</v>
      </c>
      <c r="B109" s="327" t="s">
        <v>106</v>
      </c>
      <c r="C109" s="326" t="s">
        <v>251</v>
      </c>
      <c r="D109" s="328">
        <v>1107</v>
      </c>
      <c r="E109" s="1508">
        <v>120</v>
      </c>
      <c r="F109" s="562">
        <v>286</v>
      </c>
      <c r="G109" s="562">
        <v>251</v>
      </c>
      <c r="H109" s="562">
        <v>449</v>
      </c>
      <c r="I109" s="1509">
        <v>1</v>
      </c>
      <c r="J109" s="1508">
        <v>548</v>
      </c>
      <c r="K109" s="562">
        <v>559</v>
      </c>
      <c r="L109" s="1509"/>
      <c r="M109" s="328">
        <v>113</v>
      </c>
      <c r="N109" s="328">
        <v>976</v>
      </c>
      <c r="O109" s="328">
        <v>18</v>
      </c>
      <c r="P109" s="328">
        <v>0</v>
      </c>
      <c r="Q109" s="1530">
        <v>44</v>
      </c>
    </row>
    <row r="110" spans="1:17" s="329" customFormat="1" x14ac:dyDescent="0.3">
      <c r="A110" s="331" t="s">
        <v>115</v>
      </c>
      <c r="B110" s="327" t="s">
        <v>116</v>
      </c>
      <c r="C110" s="326" t="s">
        <v>253</v>
      </c>
      <c r="D110" s="328">
        <v>233</v>
      </c>
      <c r="E110" s="1508">
        <v>21</v>
      </c>
      <c r="F110" s="562">
        <v>49</v>
      </c>
      <c r="G110" s="562">
        <v>42</v>
      </c>
      <c r="H110" s="562">
        <v>121</v>
      </c>
      <c r="I110" s="1509">
        <v>0</v>
      </c>
      <c r="J110" s="1508">
        <v>114</v>
      </c>
      <c r="K110" s="562">
        <v>119</v>
      </c>
      <c r="L110" s="1509"/>
      <c r="M110" s="328">
        <v>37</v>
      </c>
      <c r="N110" s="328">
        <v>193</v>
      </c>
      <c r="O110" s="328">
        <v>3</v>
      </c>
      <c r="P110" s="328">
        <v>0</v>
      </c>
      <c r="Q110" s="1530">
        <v>6</v>
      </c>
    </row>
    <row r="111" spans="1:17" s="329" customFormat="1" x14ac:dyDescent="0.3">
      <c r="A111" s="331" t="s">
        <v>137</v>
      </c>
      <c r="B111" s="327" t="s">
        <v>138</v>
      </c>
      <c r="C111" s="326" t="s">
        <v>252</v>
      </c>
      <c r="D111" s="328">
        <v>547</v>
      </c>
      <c r="E111" s="1508">
        <v>67</v>
      </c>
      <c r="F111" s="562">
        <v>153</v>
      </c>
      <c r="G111" s="562">
        <v>124</v>
      </c>
      <c r="H111" s="562">
        <v>203</v>
      </c>
      <c r="I111" s="1509">
        <v>0</v>
      </c>
      <c r="J111" s="1508">
        <v>277</v>
      </c>
      <c r="K111" s="562">
        <v>270</v>
      </c>
      <c r="L111" s="1509"/>
      <c r="M111" s="328">
        <v>138</v>
      </c>
      <c r="N111" s="328">
        <v>408</v>
      </c>
      <c r="O111" s="328">
        <v>1</v>
      </c>
      <c r="P111" s="328">
        <v>0</v>
      </c>
      <c r="Q111" s="1530">
        <v>15</v>
      </c>
    </row>
    <row r="112" spans="1:17" s="329" customFormat="1" x14ac:dyDescent="0.3">
      <c r="A112" s="331" t="s">
        <v>141</v>
      </c>
      <c r="B112" s="327" t="s">
        <v>142</v>
      </c>
      <c r="C112" s="326" t="s">
        <v>254</v>
      </c>
      <c r="D112" s="328">
        <v>223</v>
      </c>
      <c r="E112" s="1508">
        <v>18</v>
      </c>
      <c r="F112" s="562">
        <v>56</v>
      </c>
      <c r="G112" s="562">
        <v>46</v>
      </c>
      <c r="H112" s="562">
        <v>102</v>
      </c>
      <c r="I112" s="1509">
        <v>1</v>
      </c>
      <c r="J112" s="1508">
        <v>108</v>
      </c>
      <c r="K112" s="562">
        <v>115</v>
      </c>
      <c r="L112" s="1509"/>
      <c r="M112" s="328">
        <v>113</v>
      </c>
      <c r="N112" s="328">
        <v>99</v>
      </c>
      <c r="O112" s="328">
        <v>11</v>
      </c>
      <c r="P112" s="328">
        <v>0</v>
      </c>
      <c r="Q112" s="1530">
        <v>38</v>
      </c>
    </row>
    <row r="113" spans="1:17" s="329" customFormat="1" x14ac:dyDescent="0.3">
      <c r="A113" s="331" t="s">
        <v>143</v>
      </c>
      <c r="B113" s="327" t="s">
        <v>144</v>
      </c>
      <c r="C113" s="326" t="s">
        <v>254</v>
      </c>
      <c r="D113" s="328">
        <v>47</v>
      </c>
      <c r="E113" s="1508">
        <v>1</v>
      </c>
      <c r="F113" s="562">
        <v>13</v>
      </c>
      <c r="G113" s="562">
        <v>9</v>
      </c>
      <c r="H113" s="562">
        <v>24</v>
      </c>
      <c r="I113" s="1509">
        <v>0</v>
      </c>
      <c r="J113" s="1508">
        <v>22</v>
      </c>
      <c r="K113" s="562">
        <v>25</v>
      </c>
      <c r="L113" s="1509"/>
      <c r="M113" s="328">
        <v>26</v>
      </c>
      <c r="N113" s="328">
        <v>18</v>
      </c>
      <c r="O113" s="328">
        <v>3</v>
      </c>
      <c r="P113" s="328">
        <v>0</v>
      </c>
      <c r="Q113" s="1530">
        <v>9</v>
      </c>
    </row>
    <row r="114" spans="1:17" s="329" customFormat="1" x14ac:dyDescent="0.3">
      <c r="A114" s="331" t="s">
        <v>157</v>
      </c>
      <c r="B114" s="327" t="s">
        <v>158</v>
      </c>
      <c r="C114" s="326" t="s">
        <v>251</v>
      </c>
      <c r="D114" s="328">
        <v>2129</v>
      </c>
      <c r="E114" s="1508">
        <v>240</v>
      </c>
      <c r="F114" s="562">
        <v>489</v>
      </c>
      <c r="G114" s="562">
        <v>530</v>
      </c>
      <c r="H114" s="562">
        <v>870</v>
      </c>
      <c r="I114" s="1509">
        <v>0</v>
      </c>
      <c r="J114" s="1508">
        <v>1041</v>
      </c>
      <c r="K114" s="562">
        <v>1088</v>
      </c>
      <c r="L114" s="1509"/>
      <c r="M114" s="328">
        <v>191</v>
      </c>
      <c r="N114" s="328">
        <v>1914</v>
      </c>
      <c r="O114" s="328">
        <v>24</v>
      </c>
      <c r="P114" s="328">
        <v>0</v>
      </c>
      <c r="Q114" s="1530">
        <v>132</v>
      </c>
    </row>
    <row r="115" spans="1:17" s="329" customFormat="1" x14ac:dyDescent="0.3">
      <c r="A115" s="331" t="s">
        <v>159</v>
      </c>
      <c r="B115" s="327" t="s">
        <v>160</v>
      </c>
      <c r="C115" s="326" t="s">
        <v>251</v>
      </c>
      <c r="D115" s="328">
        <v>1942</v>
      </c>
      <c r="E115" s="1508">
        <v>217</v>
      </c>
      <c r="F115" s="562">
        <v>469</v>
      </c>
      <c r="G115" s="562">
        <v>477</v>
      </c>
      <c r="H115" s="562">
        <v>779</v>
      </c>
      <c r="I115" s="1509">
        <v>0</v>
      </c>
      <c r="J115" s="1508">
        <v>994</v>
      </c>
      <c r="K115" s="562">
        <v>948</v>
      </c>
      <c r="L115" s="1509"/>
      <c r="M115" s="328">
        <v>152</v>
      </c>
      <c r="N115" s="328">
        <v>1759</v>
      </c>
      <c r="O115" s="328">
        <v>31</v>
      </c>
      <c r="P115" s="328">
        <v>0</v>
      </c>
      <c r="Q115" s="1530">
        <v>85</v>
      </c>
    </row>
    <row r="116" spans="1:17" s="329" customFormat="1" x14ac:dyDescent="0.3">
      <c r="A116" s="331" t="s">
        <v>165</v>
      </c>
      <c r="B116" s="327" t="s">
        <v>166</v>
      </c>
      <c r="C116" s="326" t="s">
        <v>255</v>
      </c>
      <c r="D116" s="328">
        <v>3</v>
      </c>
      <c r="E116" s="1508">
        <v>0</v>
      </c>
      <c r="F116" s="562">
        <v>2</v>
      </c>
      <c r="G116" s="562">
        <v>1</v>
      </c>
      <c r="H116" s="562">
        <v>0</v>
      </c>
      <c r="I116" s="1509">
        <v>0</v>
      </c>
      <c r="J116" s="1508">
        <v>2</v>
      </c>
      <c r="K116" s="562">
        <v>1</v>
      </c>
      <c r="L116" s="1509"/>
      <c r="M116" s="328">
        <v>3</v>
      </c>
      <c r="N116" s="328">
        <v>0</v>
      </c>
      <c r="O116" s="328">
        <v>0</v>
      </c>
      <c r="P116" s="328">
        <v>0</v>
      </c>
      <c r="Q116" s="1530"/>
    </row>
    <row r="117" spans="1:17" s="329" customFormat="1" x14ac:dyDescent="0.3">
      <c r="A117" s="331" t="s">
        <v>175</v>
      </c>
      <c r="B117" s="327" t="s">
        <v>176</v>
      </c>
      <c r="C117" s="326" t="s">
        <v>253</v>
      </c>
      <c r="D117" s="328">
        <v>381</v>
      </c>
      <c r="E117" s="1508">
        <v>52</v>
      </c>
      <c r="F117" s="562">
        <v>91</v>
      </c>
      <c r="G117" s="562">
        <v>89</v>
      </c>
      <c r="H117" s="562">
        <v>149</v>
      </c>
      <c r="I117" s="1509">
        <v>0</v>
      </c>
      <c r="J117" s="1508">
        <v>177</v>
      </c>
      <c r="K117" s="562">
        <v>204</v>
      </c>
      <c r="L117" s="1509"/>
      <c r="M117" s="328">
        <v>15</v>
      </c>
      <c r="N117" s="328">
        <v>365</v>
      </c>
      <c r="O117" s="328">
        <v>1</v>
      </c>
      <c r="P117" s="328">
        <v>0</v>
      </c>
      <c r="Q117" s="1530">
        <v>9</v>
      </c>
    </row>
    <row r="118" spans="1:17" s="329" customFormat="1" x14ac:dyDescent="0.3">
      <c r="A118" s="331" t="s">
        <v>179</v>
      </c>
      <c r="B118" s="327" t="s">
        <v>180</v>
      </c>
      <c r="C118" s="326" t="s">
        <v>251</v>
      </c>
      <c r="D118" s="328">
        <v>843</v>
      </c>
      <c r="E118" s="1508">
        <v>99</v>
      </c>
      <c r="F118" s="562">
        <v>198</v>
      </c>
      <c r="G118" s="562">
        <v>189</v>
      </c>
      <c r="H118" s="562">
        <v>357</v>
      </c>
      <c r="I118" s="1509">
        <v>0</v>
      </c>
      <c r="J118" s="1508">
        <v>414</v>
      </c>
      <c r="K118" s="562">
        <v>429</v>
      </c>
      <c r="L118" s="1509"/>
      <c r="M118" s="328">
        <v>44</v>
      </c>
      <c r="N118" s="328">
        <v>794</v>
      </c>
      <c r="O118" s="328">
        <v>4</v>
      </c>
      <c r="P118" s="328">
        <v>1</v>
      </c>
      <c r="Q118" s="1530">
        <v>15</v>
      </c>
    </row>
    <row r="119" spans="1:17" s="329" customFormat="1" x14ac:dyDescent="0.3">
      <c r="A119" s="331" t="s">
        <v>191</v>
      </c>
      <c r="B119" s="327" t="s">
        <v>192</v>
      </c>
      <c r="C119" s="326" t="s">
        <v>255</v>
      </c>
      <c r="D119" s="328">
        <v>60</v>
      </c>
      <c r="E119" s="1508">
        <v>6</v>
      </c>
      <c r="F119" s="562">
        <v>17</v>
      </c>
      <c r="G119" s="562">
        <v>8</v>
      </c>
      <c r="H119" s="562">
        <v>29</v>
      </c>
      <c r="I119" s="1509">
        <v>0</v>
      </c>
      <c r="J119" s="1508">
        <v>25</v>
      </c>
      <c r="K119" s="562">
        <v>35</v>
      </c>
      <c r="L119" s="1509"/>
      <c r="M119" s="328">
        <v>36</v>
      </c>
      <c r="N119" s="328">
        <v>24</v>
      </c>
      <c r="O119" s="328">
        <v>0</v>
      </c>
      <c r="P119" s="328">
        <v>0</v>
      </c>
      <c r="Q119" s="1530"/>
    </row>
    <row r="120" spans="1:17" s="329" customFormat="1" x14ac:dyDescent="0.3">
      <c r="A120" s="331" t="s">
        <v>195</v>
      </c>
      <c r="B120" s="327" t="s">
        <v>196</v>
      </c>
      <c r="C120" s="326" t="s">
        <v>253</v>
      </c>
      <c r="D120" s="328">
        <v>1543</v>
      </c>
      <c r="E120" s="1508">
        <v>137</v>
      </c>
      <c r="F120" s="562">
        <v>382</v>
      </c>
      <c r="G120" s="562">
        <v>401</v>
      </c>
      <c r="H120" s="562">
        <v>623</v>
      </c>
      <c r="I120" s="1509">
        <v>0</v>
      </c>
      <c r="J120" s="1508">
        <v>728</v>
      </c>
      <c r="K120" s="562">
        <v>815</v>
      </c>
      <c r="L120" s="1509"/>
      <c r="M120" s="328">
        <v>54</v>
      </c>
      <c r="N120" s="328">
        <v>1479</v>
      </c>
      <c r="O120" s="328">
        <v>10</v>
      </c>
      <c r="P120" s="328">
        <v>0</v>
      </c>
      <c r="Q120" s="1530">
        <v>52</v>
      </c>
    </row>
    <row r="121" spans="1:17" s="329" customFormat="1" x14ac:dyDescent="0.3">
      <c r="A121" s="331" t="s">
        <v>199</v>
      </c>
      <c r="B121" s="327" t="s">
        <v>200</v>
      </c>
      <c r="C121" s="326" t="s">
        <v>252</v>
      </c>
      <c r="D121" s="328">
        <v>1118</v>
      </c>
      <c r="E121" s="1508">
        <v>123</v>
      </c>
      <c r="F121" s="562">
        <v>245</v>
      </c>
      <c r="G121" s="562">
        <v>247</v>
      </c>
      <c r="H121" s="562">
        <v>503</v>
      </c>
      <c r="I121" s="1509">
        <v>0</v>
      </c>
      <c r="J121" s="1508">
        <v>568</v>
      </c>
      <c r="K121" s="562">
        <v>550</v>
      </c>
      <c r="L121" s="1509"/>
      <c r="M121" s="328">
        <v>337</v>
      </c>
      <c r="N121" s="328">
        <v>753</v>
      </c>
      <c r="O121" s="328">
        <v>28</v>
      </c>
      <c r="P121" s="328">
        <v>0</v>
      </c>
      <c r="Q121" s="1530">
        <v>52</v>
      </c>
    </row>
    <row r="122" spans="1:17" s="329" customFormat="1" x14ac:dyDescent="0.3">
      <c r="A122" s="331" t="s">
        <v>221</v>
      </c>
      <c r="B122" s="327" t="s">
        <v>222</v>
      </c>
      <c r="C122" s="326" t="s">
        <v>251</v>
      </c>
      <c r="D122" s="328">
        <v>335</v>
      </c>
      <c r="E122" s="1508">
        <v>45</v>
      </c>
      <c r="F122" s="562">
        <v>79</v>
      </c>
      <c r="G122" s="562">
        <v>86</v>
      </c>
      <c r="H122" s="562">
        <v>125</v>
      </c>
      <c r="I122" s="1509">
        <v>0</v>
      </c>
      <c r="J122" s="1508">
        <v>167</v>
      </c>
      <c r="K122" s="562">
        <v>168</v>
      </c>
      <c r="L122" s="1509"/>
      <c r="M122" s="328">
        <v>40</v>
      </c>
      <c r="N122" s="328">
        <v>295</v>
      </c>
      <c r="O122" s="328">
        <v>0</v>
      </c>
      <c r="P122" s="328">
        <v>0</v>
      </c>
      <c r="Q122" s="1530">
        <v>8</v>
      </c>
    </row>
    <row r="123" spans="1:17" s="329" customFormat="1" x14ac:dyDescent="0.3">
      <c r="A123" s="331" t="s">
        <v>229</v>
      </c>
      <c r="B123" s="327" t="s">
        <v>230</v>
      </c>
      <c r="C123" s="326" t="s">
        <v>251</v>
      </c>
      <c r="D123" s="328">
        <v>1707</v>
      </c>
      <c r="E123" s="1508">
        <v>177</v>
      </c>
      <c r="F123" s="562">
        <v>408</v>
      </c>
      <c r="G123" s="562">
        <v>375</v>
      </c>
      <c r="H123" s="562">
        <v>747</v>
      </c>
      <c r="I123" s="1509">
        <v>0</v>
      </c>
      <c r="J123" s="1508">
        <v>849</v>
      </c>
      <c r="K123" s="562">
        <v>858</v>
      </c>
      <c r="L123" s="1509"/>
      <c r="M123" s="328">
        <v>426</v>
      </c>
      <c r="N123" s="328">
        <v>1227</v>
      </c>
      <c r="O123" s="328">
        <v>54</v>
      </c>
      <c r="P123" s="328">
        <v>0</v>
      </c>
      <c r="Q123" s="1530">
        <v>104</v>
      </c>
    </row>
    <row r="124" spans="1:17" s="329" customFormat="1" x14ac:dyDescent="0.3">
      <c r="A124" s="331" t="s">
        <v>237</v>
      </c>
      <c r="B124" s="327" t="s">
        <v>238</v>
      </c>
      <c r="C124" s="326" t="s">
        <v>251</v>
      </c>
      <c r="D124" s="328">
        <v>75</v>
      </c>
      <c r="E124" s="1508">
        <v>9</v>
      </c>
      <c r="F124" s="562">
        <v>26</v>
      </c>
      <c r="G124" s="562">
        <v>11</v>
      </c>
      <c r="H124" s="562">
        <v>29</v>
      </c>
      <c r="I124" s="1509">
        <v>0</v>
      </c>
      <c r="J124" s="1508">
        <v>34</v>
      </c>
      <c r="K124" s="562">
        <v>41</v>
      </c>
      <c r="L124" s="1509"/>
      <c r="M124" s="328">
        <v>22</v>
      </c>
      <c r="N124" s="328">
        <v>51</v>
      </c>
      <c r="O124" s="328">
        <v>2</v>
      </c>
      <c r="P124" s="328">
        <v>0</v>
      </c>
      <c r="Q124" s="1530">
        <v>4</v>
      </c>
    </row>
    <row r="125" spans="1:17" s="329" customFormat="1" x14ac:dyDescent="0.3">
      <c r="A125" s="331" t="s">
        <v>239</v>
      </c>
      <c r="B125" s="327" t="s">
        <v>240</v>
      </c>
      <c r="C125" s="326" t="s">
        <v>254</v>
      </c>
      <c r="D125" s="328">
        <v>137</v>
      </c>
      <c r="E125" s="1508">
        <v>10</v>
      </c>
      <c r="F125" s="562">
        <v>46</v>
      </c>
      <c r="G125" s="562">
        <v>37</v>
      </c>
      <c r="H125" s="562">
        <v>44</v>
      </c>
      <c r="I125" s="1509">
        <v>0</v>
      </c>
      <c r="J125" s="1508">
        <v>68</v>
      </c>
      <c r="K125" s="562">
        <v>69</v>
      </c>
      <c r="L125" s="1509"/>
      <c r="M125" s="328">
        <v>63</v>
      </c>
      <c r="N125" s="328">
        <v>68</v>
      </c>
      <c r="O125" s="328">
        <v>6</v>
      </c>
      <c r="P125" s="328">
        <v>0</v>
      </c>
      <c r="Q125" s="1530">
        <v>15</v>
      </c>
    </row>
    <row r="126" spans="1:17" x14ac:dyDescent="0.3">
      <c r="B126" s="252"/>
      <c r="C126" s="252"/>
      <c r="E126" s="252"/>
      <c r="F126" s="252"/>
      <c r="G126" s="252"/>
      <c r="H126" s="252"/>
      <c r="I126" s="252"/>
      <c r="J126" s="252"/>
      <c r="K126" s="252"/>
      <c r="L126" s="252"/>
    </row>
    <row r="128" spans="1:17" ht="49.5" customHeight="1" x14ac:dyDescent="0.3">
      <c r="A128" s="2551" t="s">
        <v>930</v>
      </c>
      <c r="B128" s="2551"/>
      <c r="C128" s="2551"/>
      <c r="D128" s="2551"/>
      <c r="E128" s="2551"/>
      <c r="F128" s="2551"/>
      <c r="G128" s="2551"/>
      <c r="H128" s="2551"/>
      <c r="I128" s="1510"/>
      <c r="J128" s="1484"/>
      <c r="K128" s="1484"/>
      <c r="L128" s="1484"/>
    </row>
    <row r="130" spans="1:12" s="193" customFormat="1" x14ac:dyDescent="0.3">
      <c r="A130" s="193" t="s">
        <v>247</v>
      </c>
    </row>
    <row r="131" spans="1:12" s="193" customFormat="1" x14ac:dyDescent="0.3">
      <c r="A131" s="194" t="s">
        <v>248</v>
      </c>
      <c r="B131" s="195" t="s">
        <v>249</v>
      </c>
      <c r="C131" s="195"/>
      <c r="E131" s="195"/>
      <c r="F131" s="195"/>
      <c r="G131" s="195"/>
      <c r="H131" s="195"/>
      <c r="I131" s="195"/>
      <c r="J131" s="195"/>
      <c r="K131" s="195"/>
      <c r="L131" s="195"/>
    </row>
  </sheetData>
  <sortState ref="A6:Q125">
    <sortCondition ref="A6:A125"/>
  </sortState>
  <mergeCells count="5">
    <mergeCell ref="J3:L3"/>
    <mergeCell ref="M3:P3"/>
    <mergeCell ref="Q3:Q4"/>
    <mergeCell ref="A128:H128"/>
    <mergeCell ref="E3:I3"/>
  </mergeCells>
  <hyperlinks>
    <hyperlink ref="B131" r:id="rId1"/>
  </hyperlink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124" activePane="bottomRight" state="frozen"/>
      <selection pane="topRight" activeCell="D1" sqref="D1"/>
      <selection pane="bottomLeft" activeCell="A6" sqref="A6"/>
      <selection pane="bottomRight" activeCell="K128" sqref="K128"/>
    </sheetView>
  </sheetViews>
  <sheetFormatPr defaultColWidth="14.296875" defaultRowHeight="15.6" x14ac:dyDescent="0.3"/>
  <cols>
    <col min="1" max="1" width="14.296875" style="247"/>
    <col min="2" max="2" width="32.19921875" style="247" customWidth="1"/>
    <col min="3" max="4" width="14.5" style="247" customWidth="1"/>
    <col min="5" max="6" width="11.796875" style="247" customWidth="1"/>
    <col min="7" max="7" width="11.09765625" style="247" customWidth="1"/>
    <col min="8" max="9" width="14.5" style="247" customWidth="1"/>
    <col min="10" max="12" width="9.69921875" style="247" customWidth="1"/>
    <col min="13" max="16" width="11.09765625" style="247" customWidth="1"/>
    <col min="17" max="16384" width="14.296875" style="247"/>
  </cols>
  <sheetData>
    <row r="1" spans="1:17" x14ac:dyDescent="0.3">
      <c r="A1" s="94" t="s">
        <v>862</v>
      </c>
    </row>
    <row r="2" spans="1:17" x14ac:dyDescent="0.3">
      <c r="B2" s="248"/>
      <c r="C2" s="248"/>
      <c r="D2" s="248"/>
      <c r="E2" s="248"/>
      <c r="F2" s="248"/>
      <c r="G2" s="248"/>
      <c r="H2" s="248"/>
      <c r="I2" s="248"/>
      <c r="J2" s="248"/>
      <c r="K2" s="248"/>
      <c r="L2" s="248"/>
    </row>
    <row r="3" spans="1:17" x14ac:dyDescent="0.3">
      <c r="A3" s="249"/>
      <c r="B3" s="250"/>
      <c r="C3" s="330"/>
      <c r="D3" s="330"/>
      <c r="E3" s="2552" t="s">
        <v>544</v>
      </c>
      <c r="F3" s="2553"/>
      <c r="G3" s="2553"/>
      <c r="H3" s="2553"/>
      <c r="I3" s="2554"/>
      <c r="J3" s="2552" t="s">
        <v>539</v>
      </c>
      <c r="K3" s="2553"/>
      <c r="L3" s="2554"/>
      <c r="M3" s="2552" t="s">
        <v>503</v>
      </c>
      <c r="N3" s="2553"/>
      <c r="O3" s="2553"/>
      <c r="P3" s="2554"/>
    </row>
    <row r="4" spans="1:17" ht="46.8" x14ac:dyDescent="0.3">
      <c r="A4" s="251" t="s">
        <v>4</v>
      </c>
      <c r="B4" s="250" t="s">
        <v>5</v>
      </c>
      <c r="C4" s="330" t="s">
        <v>250</v>
      </c>
      <c r="D4" s="330" t="s">
        <v>262</v>
      </c>
      <c r="E4" s="1542" t="s">
        <v>412</v>
      </c>
      <c r="F4" s="1543" t="s">
        <v>773</v>
      </c>
      <c r="G4" s="1543" t="s">
        <v>774</v>
      </c>
      <c r="H4" s="1543" t="s">
        <v>505</v>
      </c>
      <c r="I4" s="1544" t="s">
        <v>765</v>
      </c>
      <c r="J4" s="1542" t="s">
        <v>381</v>
      </c>
      <c r="K4" s="1543" t="s">
        <v>380</v>
      </c>
      <c r="L4" s="1544" t="s">
        <v>765</v>
      </c>
      <c r="M4" s="1546" t="s">
        <v>2</v>
      </c>
      <c r="N4" s="330" t="s">
        <v>298</v>
      </c>
      <c r="O4" s="330" t="s">
        <v>519</v>
      </c>
      <c r="P4" s="1544" t="s">
        <v>765</v>
      </c>
      <c r="Q4" s="1547" t="s">
        <v>766</v>
      </c>
    </row>
    <row r="5" spans="1:17" x14ac:dyDescent="0.3">
      <c r="A5" s="670" t="s">
        <v>7</v>
      </c>
      <c r="B5" s="671" t="s">
        <v>8</v>
      </c>
      <c r="C5" s="672"/>
      <c r="D5" s="1533">
        <v>1894268</v>
      </c>
      <c r="E5" s="1507">
        <v>770419</v>
      </c>
      <c r="F5" s="1499">
        <v>445899</v>
      </c>
      <c r="G5" s="1499">
        <v>522515</v>
      </c>
      <c r="H5" s="1499">
        <v>155266</v>
      </c>
      <c r="I5" s="1514">
        <v>169</v>
      </c>
      <c r="J5" s="1507">
        <v>1052982</v>
      </c>
      <c r="K5" s="1499">
        <v>841286</v>
      </c>
      <c r="L5" s="1514">
        <v>0</v>
      </c>
      <c r="M5" s="1502">
        <v>1042452</v>
      </c>
      <c r="N5" s="1503">
        <v>694146</v>
      </c>
      <c r="O5" s="1503">
        <v>104028</v>
      </c>
      <c r="P5" s="1504">
        <v>53642</v>
      </c>
      <c r="Q5" s="1504">
        <v>108067</v>
      </c>
    </row>
    <row r="6" spans="1:17" s="329" customFormat="1" x14ac:dyDescent="0.3">
      <c r="A6" s="331" t="s">
        <v>9</v>
      </c>
      <c r="B6" s="327" t="s">
        <v>10</v>
      </c>
      <c r="C6" s="326" t="s">
        <v>251</v>
      </c>
      <c r="D6" s="1532">
        <v>12091</v>
      </c>
      <c r="E6" s="1508">
        <v>5073</v>
      </c>
      <c r="F6" s="562">
        <v>2479</v>
      </c>
      <c r="G6" s="562">
        <v>3264</v>
      </c>
      <c r="H6" s="562">
        <v>1275</v>
      </c>
      <c r="I6" s="1509">
        <v>0</v>
      </c>
      <c r="J6" s="1508">
        <v>6734</v>
      </c>
      <c r="K6" s="562">
        <v>5357</v>
      </c>
      <c r="L6" s="1509"/>
      <c r="M6" s="1505">
        <v>6426</v>
      </c>
      <c r="N6" s="328">
        <v>5334</v>
      </c>
      <c r="O6" s="328">
        <v>149</v>
      </c>
      <c r="P6" s="1506">
        <v>182</v>
      </c>
      <c r="Q6" s="329">
        <v>753</v>
      </c>
    </row>
    <row r="7" spans="1:17" s="329" customFormat="1" x14ac:dyDescent="0.3">
      <c r="A7" s="331" t="s">
        <v>11</v>
      </c>
      <c r="B7" s="327" t="s">
        <v>12</v>
      </c>
      <c r="C7" s="326" t="s">
        <v>252</v>
      </c>
      <c r="D7" s="1532">
        <v>16132</v>
      </c>
      <c r="E7" s="1508">
        <v>6768</v>
      </c>
      <c r="F7" s="562">
        <v>3891</v>
      </c>
      <c r="G7" s="562">
        <v>4269</v>
      </c>
      <c r="H7" s="562">
        <v>1203</v>
      </c>
      <c r="I7" s="1509">
        <v>1</v>
      </c>
      <c r="J7" s="1508">
        <v>8995</v>
      </c>
      <c r="K7" s="562">
        <v>7137</v>
      </c>
      <c r="L7" s="1509"/>
      <c r="M7" s="1505">
        <v>10394</v>
      </c>
      <c r="N7" s="328">
        <v>4046</v>
      </c>
      <c r="O7" s="328">
        <v>812</v>
      </c>
      <c r="P7" s="1506">
        <v>880</v>
      </c>
      <c r="Q7" s="329">
        <v>716</v>
      </c>
    </row>
    <row r="8" spans="1:17" s="329" customFormat="1" x14ac:dyDescent="0.3">
      <c r="A8" s="331" t="s">
        <v>15</v>
      </c>
      <c r="B8" s="327" t="s">
        <v>273</v>
      </c>
      <c r="C8" s="326" t="s">
        <v>252</v>
      </c>
      <c r="D8" s="1532">
        <v>7469</v>
      </c>
      <c r="E8" s="1508">
        <v>2691</v>
      </c>
      <c r="F8" s="562">
        <v>1700</v>
      </c>
      <c r="G8" s="562">
        <v>2314</v>
      </c>
      <c r="H8" s="562">
        <v>763</v>
      </c>
      <c r="I8" s="1509">
        <v>1</v>
      </c>
      <c r="J8" s="1508">
        <v>4199</v>
      </c>
      <c r="K8" s="562">
        <v>3270</v>
      </c>
      <c r="L8" s="1509"/>
      <c r="M8" s="1505">
        <v>6444</v>
      </c>
      <c r="N8" s="328">
        <v>852</v>
      </c>
      <c r="O8" s="328">
        <v>77</v>
      </c>
      <c r="P8" s="1506">
        <v>96</v>
      </c>
      <c r="Q8" s="329">
        <v>89</v>
      </c>
    </row>
    <row r="9" spans="1:17" s="329" customFormat="1" x14ac:dyDescent="0.3">
      <c r="A9" s="331" t="s">
        <v>17</v>
      </c>
      <c r="B9" s="327" t="s">
        <v>18</v>
      </c>
      <c r="C9" s="326" t="s">
        <v>253</v>
      </c>
      <c r="D9" s="1532">
        <v>3618</v>
      </c>
      <c r="E9" s="1508">
        <v>1387</v>
      </c>
      <c r="F9" s="562">
        <v>769</v>
      </c>
      <c r="G9" s="562">
        <v>1069</v>
      </c>
      <c r="H9" s="562">
        <v>393</v>
      </c>
      <c r="I9" s="1509">
        <v>0</v>
      </c>
      <c r="J9" s="1508">
        <v>1970</v>
      </c>
      <c r="K9" s="562">
        <v>1648</v>
      </c>
      <c r="L9" s="1509"/>
      <c r="M9" s="1505">
        <v>2290</v>
      </c>
      <c r="N9" s="328">
        <v>1192</v>
      </c>
      <c r="O9" s="328">
        <v>64</v>
      </c>
      <c r="P9" s="1506">
        <v>72</v>
      </c>
      <c r="Q9" s="329">
        <v>104</v>
      </c>
    </row>
    <row r="10" spans="1:17" s="329" customFormat="1" x14ac:dyDescent="0.3">
      <c r="A10" s="331" t="s">
        <v>19</v>
      </c>
      <c r="B10" s="327" t="s">
        <v>20</v>
      </c>
      <c r="C10" s="326" t="s">
        <v>252</v>
      </c>
      <c r="D10" s="1532">
        <v>8986</v>
      </c>
      <c r="E10" s="1508">
        <v>3327</v>
      </c>
      <c r="F10" s="562">
        <v>2102</v>
      </c>
      <c r="G10" s="562">
        <v>2756</v>
      </c>
      <c r="H10" s="562">
        <v>801</v>
      </c>
      <c r="I10" s="1509">
        <v>0</v>
      </c>
      <c r="J10" s="1508">
        <v>4933</v>
      </c>
      <c r="K10" s="562">
        <v>4053</v>
      </c>
      <c r="L10" s="1509"/>
      <c r="M10" s="1505">
        <v>6254</v>
      </c>
      <c r="N10" s="328">
        <v>2363</v>
      </c>
      <c r="O10" s="328">
        <v>175</v>
      </c>
      <c r="P10" s="1506">
        <v>194</v>
      </c>
      <c r="Q10" s="329">
        <v>153</v>
      </c>
    </row>
    <row r="11" spans="1:17" s="329" customFormat="1" x14ac:dyDescent="0.3">
      <c r="A11" s="331" t="s">
        <v>21</v>
      </c>
      <c r="B11" s="327" t="s">
        <v>22</v>
      </c>
      <c r="C11" s="326" t="s">
        <v>252</v>
      </c>
      <c r="D11" s="1532">
        <v>4985</v>
      </c>
      <c r="E11" s="1508">
        <v>1900</v>
      </c>
      <c r="F11" s="562">
        <v>1143</v>
      </c>
      <c r="G11" s="562">
        <v>1474</v>
      </c>
      <c r="H11" s="562">
        <v>468</v>
      </c>
      <c r="I11" s="1509">
        <v>0</v>
      </c>
      <c r="J11" s="1508">
        <v>2823</v>
      </c>
      <c r="K11" s="562">
        <v>2162</v>
      </c>
      <c r="L11" s="1509"/>
      <c r="M11" s="1505">
        <v>3225</v>
      </c>
      <c r="N11" s="328">
        <v>1616</v>
      </c>
      <c r="O11" s="328">
        <v>67</v>
      </c>
      <c r="P11" s="1506">
        <v>77</v>
      </c>
      <c r="Q11" s="329">
        <v>50</v>
      </c>
    </row>
    <row r="12" spans="1:17" s="329" customFormat="1" x14ac:dyDescent="0.3">
      <c r="A12" s="331" t="s">
        <v>23</v>
      </c>
      <c r="B12" s="327" t="s">
        <v>24</v>
      </c>
      <c r="C12" s="326" t="s">
        <v>254</v>
      </c>
      <c r="D12" s="1532">
        <v>24430</v>
      </c>
      <c r="E12" s="1508">
        <v>10968</v>
      </c>
      <c r="F12" s="562">
        <v>4755</v>
      </c>
      <c r="G12" s="562">
        <v>5936</v>
      </c>
      <c r="H12" s="562">
        <v>2771</v>
      </c>
      <c r="I12" s="1509">
        <v>0</v>
      </c>
      <c r="J12" s="1508">
        <v>13118</v>
      </c>
      <c r="K12" s="562">
        <v>11312</v>
      </c>
      <c r="L12" s="1509"/>
      <c r="M12" s="1505">
        <v>13436</v>
      </c>
      <c r="N12" s="328">
        <v>6269</v>
      </c>
      <c r="O12" s="328">
        <v>3054</v>
      </c>
      <c r="P12" s="1506">
        <v>1671</v>
      </c>
      <c r="Q12" s="329">
        <v>3391</v>
      </c>
    </row>
    <row r="13" spans="1:17" s="329" customFormat="1" x14ac:dyDescent="0.3">
      <c r="A13" s="331" t="s">
        <v>25</v>
      </c>
      <c r="B13" s="327" t="s">
        <v>444</v>
      </c>
      <c r="C13" s="326" t="s">
        <v>252</v>
      </c>
      <c r="D13" s="1532">
        <v>33487</v>
      </c>
      <c r="E13" s="1508">
        <v>12833</v>
      </c>
      <c r="F13" s="562">
        <v>8251</v>
      </c>
      <c r="G13" s="562">
        <v>9882</v>
      </c>
      <c r="H13" s="562">
        <v>2519</v>
      </c>
      <c r="I13" s="1509">
        <v>2</v>
      </c>
      <c r="J13" s="1508">
        <v>18498</v>
      </c>
      <c r="K13" s="562">
        <v>14989</v>
      </c>
      <c r="L13" s="1509"/>
      <c r="M13" s="1505">
        <v>27682</v>
      </c>
      <c r="N13" s="328">
        <v>4647</v>
      </c>
      <c r="O13" s="328">
        <v>531</v>
      </c>
      <c r="P13" s="1506">
        <v>627</v>
      </c>
      <c r="Q13" s="329">
        <v>912</v>
      </c>
    </row>
    <row r="14" spans="1:17" s="329" customFormat="1" x14ac:dyDescent="0.3">
      <c r="A14" s="331" t="s">
        <v>26</v>
      </c>
      <c r="B14" s="327" t="s">
        <v>27</v>
      </c>
      <c r="C14" s="326" t="s">
        <v>252</v>
      </c>
      <c r="D14" s="1532">
        <v>1123</v>
      </c>
      <c r="E14" s="1508">
        <v>440</v>
      </c>
      <c r="F14" s="562">
        <v>253</v>
      </c>
      <c r="G14" s="562">
        <v>329</v>
      </c>
      <c r="H14" s="562">
        <v>101</v>
      </c>
      <c r="I14" s="1509">
        <v>0</v>
      </c>
      <c r="J14" s="1508">
        <v>640</v>
      </c>
      <c r="K14" s="562">
        <v>483</v>
      </c>
      <c r="L14" s="1509"/>
      <c r="M14" s="1505">
        <v>1023</v>
      </c>
      <c r="N14" s="328">
        <v>44</v>
      </c>
      <c r="O14" s="328">
        <v>12</v>
      </c>
      <c r="P14" s="1506">
        <v>44</v>
      </c>
      <c r="Q14" s="329">
        <v>18</v>
      </c>
    </row>
    <row r="15" spans="1:17" s="329" customFormat="1" x14ac:dyDescent="0.3">
      <c r="A15" s="331" t="s">
        <v>28</v>
      </c>
      <c r="B15" s="327" t="s">
        <v>568</v>
      </c>
      <c r="C15" s="326" t="s">
        <v>252</v>
      </c>
      <c r="D15" s="1532">
        <v>15895</v>
      </c>
      <c r="E15" s="1508">
        <v>6106</v>
      </c>
      <c r="F15" s="562">
        <v>3798</v>
      </c>
      <c r="G15" s="562">
        <v>4772</v>
      </c>
      <c r="H15" s="562">
        <v>1219</v>
      </c>
      <c r="I15" s="1509">
        <v>0</v>
      </c>
      <c r="J15" s="1508">
        <v>8825</v>
      </c>
      <c r="K15" s="562">
        <v>7070</v>
      </c>
      <c r="L15" s="1509"/>
      <c r="M15" s="1505">
        <v>12894</v>
      </c>
      <c r="N15" s="328">
        <v>2220</v>
      </c>
      <c r="O15" s="328">
        <v>312</v>
      </c>
      <c r="P15" s="1506">
        <v>469</v>
      </c>
      <c r="Q15" s="329">
        <v>282</v>
      </c>
    </row>
    <row r="16" spans="1:17" s="329" customFormat="1" x14ac:dyDescent="0.3">
      <c r="A16" s="331" t="s">
        <v>29</v>
      </c>
      <c r="B16" s="327" t="s">
        <v>30</v>
      </c>
      <c r="C16" s="326" t="s">
        <v>255</v>
      </c>
      <c r="D16" s="1532">
        <v>1815</v>
      </c>
      <c r="E16" s="1508">
        <v>496</v>
      </c>
      <c r="F16" s="562">
        <v>426</v>
      </c>
      <c r="G16" s="562">
        <v>729</v>
      </c>
      <c r="H16" s="562">
        <v>163</v>
      </c>
      <c r="I16" s="1509">
        <v>1</v>
      </c>
      <c r="J16" s="1508">
        <v>825</v>
      </c>
      <c r="K16" s="562">
        <v>990</v>
      </c>
      <c r="L16" s="1509"/>
      <c r="M16" s="1505">
        <v>1707</v>
      </c>
      <c r="N16" s="328">
        <v>65</v>
      </c>
      <c r="O16" s="328">
        <v>15</v>
      </c>
      <c r="P16" s="1506">
        <v>28</v>
      </c>
      <c r="Q16" s="329">
        <v>8</v>
      </c>
    </row>
    <row r="17" spans="1:17" s="329" customFormat="1" x14ac:dyDescent="0.3">
      <c r="A17" s="331" t="s">
        <v>31</v>
      </c>
      <c r="B17" s="327" t="s">
        <v>32</v>
      </c>
      <c r="C17" s="326" t="s">
        <v>252</v>
      </c>
      <c r="D17" s="1532">
        <v>5352</v>
      </c>
      <c r="E17" s="1508">
        <v>2094</v>
      </c>
      <c r="F17" s="562">
        <v>1226</v>
      </c>
      <c r="G17" s="562">
        <v>1579</v>
      </c>
      <c r="H17" s="562">
        <v>453</v>
      </c>
      <c r="I17" s="1509">
        <v>0</v>
      </c>
      <c r="J17" s="1508">
        <v>2944</v>
      </c>
      <c r="K17" s="562">
        <v>2408</v>
      </c>
      <c r="L17" s="1509"/>
      <c r="M17" s="1505">
        <v>4759</v>
      </c>
      <c r="N17" s="328">
        <v>278</v>
      </c>
      <c r="O17" s="328">
        <v>121</v>
      </c>
      <c r="P17" s="1506">
        <v>194</v>
      </c>
      <c r="Q17" s="329">
        <v>132</v>
      </c>
    </row>
    <row r="18" spans="1:17" s="329" customFormat="1" x14ac:dyDescent="0.3">
      <c r="A18" s="331" t="s">
        <v>35</v>
      </c>
      <c r="B18" s="327" t="s">
        <v>36</v>
      </c>
      <c r="C18" s="326" t="s">
        <v>251</v>
      </c>
      <c r="D18" s="1532">
        <v>7152</v>
      </c>
      <c r="E18" s="1508">
        <v>2055</v>
      </c>
      <c r="F18" s="562">
        <v>1830</v>
      </c>
      <c r="G18" s="562">
        <v>2359</v>
      </c>
      <c r="H18" s="562">
        <v>907</v>
      </c>
      <c r="I18" s="1509">
        <v>1</v>
      </c>
      <c r="J18" s="1508">
        <v>3529</v>
      </c>
      <c r="K18" s="562">
        <v>3623</v>
      </c>
      <c r="L18" s="1509"/>
      <c r="M18" s="1505">
        <v>2443</v>
      </c>
      <c r="N18" s="328">
        <v>4550</v>
      </c>
      <c r="O18" s="328">
        <v>67</v>
      </c>
      <c r="P18" s="1506">
        <v>92</v>
      </c>
      <c r="Q18" s="329">
        <v>74</v>
      </c>
    </row>
    <row r="19" spans="1:17" s="329" customFormat="1" x14ac:dyDescent="0.3">
      <c r="A19" s="331" t="s">
        <v>37</v>
      </c>
      <c r="B19" s="327" t="s">
        <v>38</v>
      </c>
      <c r="C19" s="326" t="s">
        <v>255</v>
      </c>
      <c r="D19" s="1532">
        <v>9556</v>
      </c>
      <c r="E19" s="1508">
        <v>2724</v>
      </c>
      <c r="F19" s="562">
        <v>2230</v>
      </c>
      <c r="G19" s="562">
        <v>3766</v>
      </c>
      <c r="H19" s="562">
        <v>836</v>
      </c>
      <c r="I19" s="1509">
        <v>0</v>
      </c>
      <c r="J19" s="1508">
        <v>4930</v>
      </c>
      <c r="K19" s="562">
        <v>4626</v>
      </c>
      <c r="L19" s="1509"/>
      <c r="M19" s="1505">
        <v>9304</v>
      </c>
      <c r="N19" s="328">
        <v>155</v>
      </c>
      <c r="O19" s="328">
        <v>44</v>
      </c>
      <c r="P19" s="1506">
        <v>53</v>
      </c>
      <c r="Q19" s="329">
        <v>37</v>
      </c>
    </row>
    <row r="20" spans="1:17" s="329" customFormat="1" x14ac:dyDescent="0.3">
      <c r="A20" s="331" t="s">
        <v>39</v>
      </c>
      <c r="B20" s="327" t="s">
        <v>40</v>
      </c>
      <c r="C20" s="326" t="s">
        <v>253</v>
      </c>
      <c r="D20" s="1532">
        <v>6661</v>
      </c>
      <c r="E20" s="1508">
        <v>1993</v>
      </c>
      <c r="F20" s="562">
        <v>1567</v>
      </c>
      <c r="G20" s="562">
        <v>2374</v>
      </c>
      <c r="H20" s="562">
        <v>727</v>
      </c>
      <c r="I20" s="1509">
        <v>0</v>
      </c>
      <c r="J20" s="1508">
        <v>3098</v>
      </c>
      <c r="K20" s="562">
        <v>3563</v>
      </c>
      <c r="L20" s="1509"/>
      <c r="M20" s="1505">
        <v>3667</v>
      </c>
      <c r="N20" s="328">
        <v>2809</v>
      </c>
      <c r="O20" s="328">
        <v>73</v>
      </c>
      <c r="P20" s="1506">
        <v>112</v>
      </c>
      <c r="Q20" s="329">
        <v>111</v>
      </c>
    </row>
    <row r="21" spans="1:17" s="329" customFormat="1" x14ac:dyDescent="0.3">
      <c r="A21" s="331" t="s">
        <v>41</v>
      </c>
      <c r="B21" s="327" t="s">
        <v>42</v>
      </c>
      <c r="C21" s="326" t="s">
        <v>252</v>
      </c>
      <c r="D21" s="1532">
        <v>16113</v>
      </c>
      <c r="E21" s="1508">
        <v>6188</v>
      </c>
      <c r="F21" s="562">
        <v>3918</v>
      </c>
      <c r="G21" s="562">
        <v>4582</v>
      </c>
      <c r="H21" s="562">
        <v>1418</v>
      </c>
      <c r="I21" s="1509">
        <v>7</v>
      </c>
      <c r="J21" s="1508">
        <v>9149</v>
      </c>
      <c r="K21" s="562">
        <v>6964</v>
      </c>
      <c r="L21" s="1509"/>
      <c r="M21" s="1505">
        <v>11548</v>
      </c>
      <c r="N21" s="328">
        <v>3850</v>
      </c>
      <c r="O21" s="328">
        <v>364</v>
      </c>
      <c r="P21" s="1506">
        <v>351</v>
      </c>
      <c r="Q21" s="329">
        <v>346</v>
      </c>
    </row>
    <row r="22" spans="1:17" s="329" customFormat="1" x14ac:dyDescent="0.3">
      <c r="A22" s="331" t="s">
        <v>43</v>
      </c>
      <c r="B22" s="327" t="s">
        <v>44</v>
      </c>
      <c r="C22" s="326" t="s">
        <v>253</v>
      </c>
      <c r="D22" s="1532">
        <v>8999</v>
      </c>
      <c r="E22" s="1508">
        <v>3599</v>
      </c>
      <c r="F22" s="562">
        <v>2097</v>
      </c>
      <c r="G22" s="562">
        <v>2598</v>
      </c>
      <c r="H22" s="562">
        <v>705</v>
      </c>
      <c r="I22" s="1509">
        <v>0</v>
      </c>
      <c r="J22" s="1508">
        <v>5052</v>
      </c>
      <c r="K22" s="562">
        <v>3947</v>
      </c>
      <c r="L22" s="1509"/>
      <c r="M22" s="1505">
        <v>5297</v>
      </c>
      <c r="N22" s="328">
        <v>3299</v>
      </c>
      <c r="O22" s="328">
        <v>231</v>
      </c>
      <c r="P22" s="1506">
        <v>172</v>
      </c>
      <c r="Q22" s="329">
        <v>260</v>
      </c>
    </row>
    <row r="23" spans="1:17" s="329" customFormat="1" x14ac:dyDescent="0.3">
      <c r="A23" s="331" t="s">
        <v>45</v>
      </c>
      <c r="B23" s="327" t="s">
        <v>46</v>
      </c>
      <c r="C23" s="326" t="s">
        <v>255</v>
      </c>
      <c r="D23" s="1532">
        <v>10412</v>
      </c>
      <c r="E23" s="1508">
        <v>3525</v>
      </c>
      <c r="F23" s="562">
        <v>2355</v>
      </c>
      <c r="G23" s="562">
        <v>3227</v>
      </c>
      <c r="H23" s="562">
        <v>1305</v>
      </c>
      <c r="I23" s="1509">
        <v>0</v>
      </c>
      <c r="J23" s="1508">
        <v>5639</v>
      </c>
      <c r="K23" s="562">
        <v>4773</v>
      </c>
      <c r="L23" s="1509"/>
      <c r="M23" s="1505">
        <v>9983</v>
      </c>
      <c r="N23" s="328">
        <v>163</v>
      </c>
      <c r="O23" s="328">
        <v>88</v>
      </c>
      <c r="P23" s="1506">
        <v>178</v>
      </c>
      <c r="Q23" s="329">
        <v>271</v>
      </c>
    </row>
    <row r="24" spans="1:17" s="329" customFormat="1" x14ac:dyDescent="0.3">
      <c r="A24" s="331" t="s">
        <v>47</v>
      </c>
      <c r="B24" s="327" t="s">
        <v>256</v>
      </c>
      <c r="C24" s="326" t="s">
        <v>253</v>
      </c>
      <c r="D24" s="1532">
        <v>2002</v>
      </c>
      <c r="E24" s="1508">
        <v>699</v>
      </c>
      <c r="F24" s="562">
        <v>406</v>
      </c>
      <c r="G24" s="562">
        <v>661</v>
      </c>
      <c r="H24" s="562">
        <v>236</v>
      </c>
      <c r="I24" s="1509">
        <v>0</v>
      </c>
      <c r="J24" s="1508">
        <v>1141</v>
      </c>
      <c r="K24" s="562">
        <v>861</v>
      </c>
      <c r="L24" s="1509"/>
      <c r="M24" s="1505">
        <v>758</v>
      </c>
      <c r="N24" s="328">
        <v>1131</v>
      </c>
      <c r="O24" s="328">
        <v>74</v>
      </c>
      <c r="P24" s="1506">
        <v>39</v>
      </c>
      <c r="Q24" s="329">
        <v>8</v>
      </c>
    </row>
    <row r="25" spans="1:17" s="329" customFormat="1" x14ac:dyDescent="0.3">
      <c r="A25" s="331" t="s">
        <v>49</v>
      </c>
      <c r="B25" s="327" t="s">
        <v>50</v>
      </c>
      <c r="C25" s="326" t="s">
        <v>252</v>
      </c>
      <c r="D25" s="1532">
        <v>4354</v>
      </c>
      <c r="E25" s="1508">
        <v>1549</v>
      </c>
      <c r="F25" s="562">
        <v>1004</v>
      </c>
      <c r="G25" s="562">
        <v>1246</v>
      </c>
      <c r="H25" s="562">
        <v>555</v>
      </c>
      <c r="I25" s="1509">
        <v>0</v>
      </c>
      <c r="J25" s="1508">
        <v>2451</v>
      </c>
      <c r="K25" s="562">
        <v>1903</v>
      </c>
      <c r="L25" s="1509"/>
      <c r="M25" s="1505">
        <v>2330</v>
      </c>
      <c r="N25" s="328">
        <v>1909</v>
      </c>
      <c r="O25" s="328">
        <v>47</v>
      </c>
      <c r="P25" s="1506">
        <v>68</v>
      </c>
      <c r="Q25" s="329">
        <v>54</v>
      </c>
    </row>
    <row r="26" spans="1:17" s="329" customFormat="1" x14ac:dyDescent="0.3">
      <c r="A26" s="331" t="s">
        <v>55</v>
      </c>
      <c r="B26" s="327" t="s">
        <v>271</v>
      </c>
      <c r="C26" s="326" t="s">
        <v>253</v>
      </c>
      <c r="D26" s="1532">
        <v>84106</v>
      </c>
      <c r="E26" s="1508">
        <v>37917</v>
      </c>
      <c r="F26" s="562">
        <v>21100</v>
      </c>
      <c r="G26" s="562">
        <v>20525</v>
      </c>
      <c r="H26" s="562">
        <v>4551</v>
      </c>
      <c r="I26" s="1509">
        <v>13</v>
      </c>
      <c r="J26" s="1508">
        <v>47776</v>
      </c>
      <c r="K26" s="562">
        <v>36330</v>
      </c>
      <c r="L26" s="1509"/>
      <c r="M26" s="1505">
        <v>45678</v>
      </c>
      <c r="N26" s="328">
        <v>31803</v>
      </c>
      <c r="O26" s="328">
        <v>4004</v>
      </c>
      <c r="P26" s="1506">
        <v>2621</v>
      </c>
      <c r="Q26" s="329">
        <v>5819</v>
      </c>
    </row>
    <row r="27" spans="1:17" s="329" customFormat="1" x14ac:dyDescent="0.3">
      <c r="A27" s="331" t="s">
        <v>57</v>
      </c>
      <c r="B27" s="327" t="s">
        <v>58</v>
      </c>
      <c r="C27" s="326" t="s">
        <v>254</v>
      </c>
      <c r="D27" s="1532">
        <v>1964</v>
      </c>
      <c r="E27" s="1508">
        <v>739</v>
      </c>
      <c r="F27" s="562">
        <v>455</v>
      </c>
      <c r="G27" s="562">
        <v>545</v>
      </c>
      <c r="H27" s="562">
        <v>225</v>
      </c>
      <c r="I27" s="1509">
        <v>0</v>
      </c>
      <c r="J27" s="1508">
        <v>1070</v>
      </c>
      <c r="K27" s="562">
        <v>894</v>
      </c>
      <c r="L27" s="1509"/>
      <c r="M27" s="1505">
        <v>1593</v>
      </c>
      <c r="N27" s="328">
        <v>211</v>
      </c>
      <c r="O27" s="328">
        <v>40</v>
      </c>
      <c r="P27" s="1506">
        <v>120</v>
      </c>
      <c r="Q27" s="329">
        <v>135</v>
      </c>
    </row>
    <row r="28" spans="1:17" s="329" customFormat="1" x14ac:dyDescent="0.3">
      <c r="A28" s="331" t="s">
        <v>59</v>
      </c>
      <c r="B28" s="327" t="s">
        <v>60</v>
      </c>
      <c r="C28" s="326" t="s">
        <v>252</v>
      </c>
      <c r="D28" s="1532">
        <v>1327</v>
      </c>
      <c r="E28" s="1508">
        <v>492</v>
      </c>
      <c r="F28" s="562">
        <v>299</v>
      </c>
      <c r="G28" s="562">
        <v>399</v>
      </c>
      <c r="H28" s="562">
        <v>137</v>
      </c>
      <c r="I28" s="1509">
        <v>0</v>
      </c>
      <c r="J28" s="1508">
        <v>735</v>
      </c>
      <c r="K28" s="562">
        <v>592</v>
      </c>
      <c r="L28" s="1509"/>
      <c r="M28" s="1505">
        <v>1291</v>
      </c>
      <c r="N28" s="328">
        <v>8</v>
      </c>
      <c r="O28" s="328">
        <v>8</v>
      </c>
      <c r="P28" s="1506">
        <v>20</v>
      </c>
      <c r="Q28" s="329">
        <v>8</v>
      </c>
    </row>
    <row r="29" spans="1:17" s="329" customFormat="1" x14ac:dyDescent="0.3">
      <c r="A29" s="331" t="s">
        <v>61</v>
      </c>
      <c r="B29" s="327" t="s">
        <v>62</v>
      </c>
      <c r="C29" s="326" t="s">
        <v>254</v>
      </c>
      <c r="D29" s="1532">
        <v>13301</v>
      </c>
      <c r="E29" s="1508">
        <v>5849</v>
      </c>
      <c r="F29" s="562">
        <v>2926</v>
      </c>
      <c r="G29" s="562">
        <v>3554</v>
      </c>
      <c r="H29" s="562">
        <v>972</v>
      </c>
      <c r="I29" s="1509">
        <v>0</v>
      </c>
      <c r="J29" s="1508">
        <v>7001</v>
      </c>
      <c r="K29" s="562">
        <v>6300</v>
      </c>
      <c r="L29" s="1509"/>
      <c r="M29" s="1505">
        <v>9272</v>
      </c>
      <c r="N29" s="328">
        <v>3309</v>
      </c>
      <c r="O29" s="328">
        <v>433</v>
      </c>
      <c r="P29" s="1506">
        <v>287</v>
      </c>
      <c r="Q29" s="329">
        <v>1033</v>
      </c>
    </row>
    <row r="30" spans="1:17" s="329" customFormat="1" x14ac:dyDescent="0.3">
      <c r="A30" s="331" t="s">
        <v>63</v>
      </c>
      <c r="B30" s="327" t="s">
        <v>64</v>
      </c>
      <c r="C30" s="326" t="s">
        <v>253</v>
      </c>
      <c r="D30" s="1532">
        <v>3914</v>
      </c>
      <c r="E30" s="1508">
        <v>1455</v>
      </c>
      <c r="F30" s="562">
        <v>951</v>
      </c>
      <c r="G30" s="562">
        <v>1110</v>
      </c>
      <c r="H30" s="562">
        <v>398</v>
      </c>
      <c r="I30" s="1509">
        <v>0</v>
      </c>
      <c r="J30" s="1508">
        <v>2204</v>
      </c>
      <c r="K30" s="562">
        <v>1710</v>
      </c>
      <c r="L30" s="1509"/>
      <c r="M30" s="1505">
        <v>2144</v>
      </c>
      <c r="N30" s="328">
        <v>1674</v>
      </c>
      <c r="O30" s="328">
        <v>43</v>
      </c>
      <c r="P30" s="1506">
        <v>53</v>
      </c>
      <c r="Q30" s="329">
        <v>76</v>
      </c>
    </row>
    <row r="31" spans="1:17" s="329" customFormat="1" x14ac:dyDescent="0.3">
      <c r="A31" s="331" t="s">
        <v>67</v>
      </c>
      <c r="B31" s="327" t="s">
        <v>68</v>
      </c>
      <c r="C31" s="326" t="s">
        <v>255</v>
      </c>
      <c r="D31" s="1532">
        <v>6317</v>
      </c>
      <c r="E31" s="1508">
        <v>2001</v>
      </c>
      <c r="F31" s="562">
        <v>1406</v>
      </c>
      <c r="G31" s="562">
        <v>2271</v>
      </c>
      <c r="H31" s="562">
        <v>639</v>
      </c>
      <c r="I31" s="1509">
        <v>0</v>
      </c>
      <c r="J31" s="1508">
        <v>3371</v>
      </c>
      <c r="K31" s="562">
        <v>2946</v>
      </c>
      <c r="L31" s="1509"/>
      <c r="M31" s="1505">
        <v>6202</v>
      </c>
      <c r="N31" s="328">
        <v>60</v>
      </c>
      <c r="O31" s="328">
        <v>23</v>
      </c>
      <c r="P31" s="1506">
        <v>32</v>
      </c>
      <c r="Q31" s="329">
        <v>17</v>
      </c>
    </row>
    <row r="32" spans="1:17" s="329" customFormat="1" x14ac:dyDescent="0.3">
      <c r="A32" s="331" t="s">
        <v>69</v>
      </c>
      <c r="B32" s="327" t="s">
        <v>70</v>
      </c>
      <c r="C32" s="326" t="s">
        <v>251</v>
      </c>
      <c r="D32" s="1532">
        <v>8888</v>
      </c>
      <c r="E32" s="1508">
        <v>3495</v>
      </c>
      <c r="F32" s="562">
        <v>2210</v>
      </c>
      <c r="G32" s="562">
        <v>2547</v>
      </c>
      <c r="H32" s="562">
        <v>636</v>
      </c>
      <c r="I32" s="1509">
        <v>0</v>
      </c>
      <c r="J32" s="1508">
        <v>5029</v>
      </c>
      <c r="K32" s="562">
        <v>3859</v>
      </c>
      <c r="L32" s="1509"/>
      <c r="M32" s="1505">
        <v>5078</v>
      </c>
      <c r="N32" s="328">
        <v>3496</v>
      </c>
      <c r="O32" s="328">
        <v>142</v>
      </c>
      <c r="P32" s="1506">
        <v>172</v>
      </c>
      <c r="Q32" s="329">
        <v>313</v>
      </c>
    </row>
    <row r="33" spans="1:17" s="329" customFormat="1" x14ac:dyDescent="0.3">
      <c r="A33" s="331" t="s">
        <v>71</v>
      </c>
      <c r="B33" s="327" t="s">
        <v>72</v>
      </c>
      <c r="C33" s="326" t="s">
        <v>253</v>
      </c>
      <c r="D33" s="1532">
        <v>4095</v>
      </c>
      <c r="E33" s="1508">
        <v>1559</v>
      </c>
      <c r="F33" s="562">
        <v>965</v>
      </c>
      <c r="G33" s="562">
        <v>1241</v>
      </c>
      <c r="H33" s="562">
        <v>330</v>
      </c>
      <c r="I33" s="1509">
        <v>0</v>
      </c>
      <c r="J33" s="1508">
        <v>2365</v>
      </c>
      <c r="K33" s="562">
        <v>1730</v>
      </c>
      <c r="L33" s="1509"/>
      <c r="M33" s="1505">
        <v>1557</v>
      </c>
      <c r="N33" s="328">
        <v>2360</v>
      </c>
      <c r="O33" s="328">
        <v>105</v>
      </c>
      <c r="P33" s="1506">
        <v>73</v>
      </c>
      <c r="Q33" s="329">
        <v>77</v>
      </c>
    </row>
    <row r="34" spans="1:17" s="329" customFormat="1" x14ac:dyDescent="0.3">
      <c r="A34" s="331" t="s">
        <v>73</v>
      </c>
      <c r="B34" s="327" t="s">
        <v>272</v>
      </c>
      <c r="C34" s="326" t="s">
        <v>254</v>
      </c>
      <c r="D34" s="1532">
        <v>159062</v>
      </c>
      <c r="E34" s="1508">
        <v>76300</v>
      </c>
      <c r="F34" s="562">
        <v>32069</v>
      </c>
      <c r="G34" s="562">
        <v>34944</v>
      </c>
      <c r="H34" s="562">
        <v>15737</v>
      </c>
      <c r="I34" s="1509">
        <v>12</v>
      </c>
      <c r="J34" s="1508">
        <v>86584</v>
      </c>
      <c r="K34" s="562">
        <v>72478</v>
      </c>
      <c r="L34" s="1509"/>
      <c r="M34" s="1505">
        <v>91697</v>
      </c>
      <c r="N34" s="328">
        <v>29118</v>
      </c>
      <c r="O34" s="328">
        <v>29879</v>
      </c>
      <c r="P34" s="1506">
        <v>8368</v>
      </c>
      <c r="Q34" s="329">
        <v>20812</v>
      </c>
    </row>
    <row r="35" spans="1:17" s="329" customFormat="1" x14ac:dyDescent="0.3">
      <c r="A35" s="331" t="s">
        <v>75</v>
      </c>
      <c r="B35" s="327" t="s">
        <v>76</v>
      </c>
      <c r="C35" s="326" t="s">
        <v>254</v>
      </c>
      <c r="D35" s="1532">
        <v>10661</v>
      </c>
      <c r="E35" s="1508">
        <v>4665</v>
      </c>
      <c r="F35" s="562">
        <v>2411</v>
      </c>
      <c r="G35" s="562">
        <v>2820</v>
      </c>
      <c r="H35" s="562">
        <v>765</v>
      </c>
      <c r="I35" s="1509">
        <v>0</v>
      </c>
      <c r="J35" s="1508">
        <v>5857</v>
      </c>
      <c r="K35" s="562">
        <v>4804</v>
      </c>
      <c r="L35" s="1509"/>
      <c r="M35" s="1505">
        <v>7904</v>
      </c>
      <c r="N35" s="328">
        <v>2085</v>
      </c>
      <c r="O35" s="328">
        <v>262</v>
      </c>
      <c r="P35" s="1506">
        <v>410</v>
      </c>
      <c r="Q35" s="329">
        <v>592</v>
      </c>
    </row>
    <row r="36" spans="1:17" s="329" customFormat="1" x14ac:dyDescent="0.3">
      <c r="A36" s="331" t="s">
        <v>77</v>
      </c>
      <c r="B36" s="327" t="s">
        <v>78</v>
      </c>
      <c r="C36" s="326" t="s">
        <v>255</v>
      </c>
      <c r="D36" s="1532">
        <v>4420</v>
      </c>
      <c r="E36" s="1508">
        <v>1640</v>
      </c>
      <c r="F36" s="562">
        <v>978</v>
      </c>
      <c r="G36" s="562">
        <v>1376</v>
      </c>
      <c r="H36" s="562">
        <v>426</v>
      </c>
      <c r="I36" s="1509">
        <v>0</v>
      </c>
      <c r="J36" s="1508">
        <v>2344</v>
      </c>
      <c r="K36" s="562">
        <v>2076</v>
      </c>
      <c r="L36" s="1509"/>
      <c r="M36" s="1505">
        <v>4101</v>
      </c>
      <c r="N36" s="328">
        <v>150</v>
      </c>
      <c r="O36" s="328">
        <v>52</v>
      </c>
      <c r="P36" s="1506">
        <v>117</v>
      </c>
      <c r="Q36" s="329">
        <v>123</v>
      </c>
    </row>
    <row r="37" spans="1:17" s="329" customFormat="1" x14ac:dyDescent="0.3">
      <c r="A37" s="331" t="s">
        <v>79</v>
      </c>
      <c r="B37" s="327" t="s">
        <v>80</v>
      </c>
      <c r="C37" s="326" t="s">
        <v>253</v>
      </c>
      <c r="D37" s="1532">
        <v>5200</v>
      </c>
      <c r="E37" s="1508">
        <v>1982</v>
      </c>
      <c r="F37" s="562">
        <v>1228</v>
      </c>
      <c r="G37" s="562">
        <v>1551</v>
      </c>
      <c r="H37" s="562">
        <v>438</v>
      </c>
      <c r="I37" s="1509">
        <v>1</v>
      </c>
      <c r="J37" s="1508">
        <v>3040</v>
      </c>
      <c r="K37" s="562">
        <v>2160</v>
      </c>
      <c r="L37" s="1509"/>
      <c r="M37" s="1505">
        <v>3508</v>
      </c>
      <c r="N37" s="328">
        <v>1461</v>
      </c>
      <c r="O37" s="328">
        <v>85</v>
      </c>
      <c r="P37" s="1506">
        <v>146</v>
      </c>
      <c r="Q37" s="329">
        <v>118</v>
      </c>
    </row>
    <row r="38" spans="1:17" s="329" customFormat="1" x14ac:dyDescent="0.3">
      <c r="A38" s="331" t="s">
        <v>83</v>
      </c>
      <c r="B38" s="327" t="s">
        <v>84</v>
      </c>
      <c r="C38" s="326" t="s">
        <v>252</v>
      </c>
      <c r="D38" s="1532">
        <v>14946</v>
      </c>
      <c r="E38" s="1508">
        <v>5773</v>
      </c>
      <c r="F38" s="562">
        <v>3399</v>
      </c>
      <c r="G38" s="562">
        <v>4457</v>
      </c>
      <c r="H38" s="562">
        <v>1317</v>
      </c>
      <c r="I38" s="1509">
        <v>0</v>
      </c>
      <c r="J38" s="1508">
        <v>8248</v>
      </c>
      <c r="K38" s="562">
        <v>6698</v>
      </c>
      <c r="L38" s="1509"/>
      <c r="M38" s="1505">
        <v>12585</v>
      </c>
      <c r="N38" s="328">
        <v>1864</v>
      </c>
      <c r="O38" s="328">
        <v>246</v>
      </c>
      <c r="P38" s="1506">
        <v>251</v>
      </c>
      <c r="Q38" s="329">
        <v>467</v>
      </c>
    </row>
    <row r="39" spans="1:17" s="329" customFormat="1" x14ac:dyDescent="0.3">
      <c r="A39" s="331" t="s">
        <v>85</v>
      </c>
      <c r="B39" s="327" t="s">
        <v>86</v>
      </c>
      <c r="C39" s="326" t="s">
        <v>254</v>
      </c>
      <c r="D39" s="1532">
        <v>16654</v>
      </c>
      <c r="E39" s="1508">
        <v>7751</v>
      </c>
      <c r="F39" s="562">
        <v>3898</v>
      </c>
      <c r="G39" s="562">
        <v>3940</v>
      </c>
      <c r="H39" s="562">
        <v>1065</v>
      </c>
      <c r="I39" s="1509">
        <v>0</v>
      </c>
      <c r="J39" s="1508">
        <v>9283</v>
      </c>
      <c r="K39" s="562">
        <v>7371</v>
      </c>
      <c r="L39" s="1509"/>
      <c r="M39" s="1505">
        <v>14312</v>
      </c>
      <c r="N39" s="328">
        <v>1447</v>
      </c>
      <c r="O39" s="328">
        <v>449</v>
      </c>
      <c r="P39" s="1506">
        <v>446</v>
      </c>
      <c r="Q39" s="329">
        <v>1989</v>
      </c>
    </row>
    <row r="40" spans="1:17" s="329" customFormat="1" x14ac:dyDescent="0.3">
      <c r="A40" s="331" t="s">
        <v>91</v>
      </c>
      <c r="B40" s="327" t="s">
        <v>92</v>
      </c>
      <c r="C40" s="326" t="s">
        <v>255</v>
      </c>
      <c r="D40" s="1532">
        <v>5066</v>
      </c>
      <c r="E40" s="1508">
        <v>1775</v>
      </c>
      <c r="F40" s="562">
        <v>1182</v>
      </c>
      <c r="G40" s="562">
        <v>1569</v>
      </c>
      <c r="H40" s="562">
        <v>539</v>
      </c>
      <c r="I40" s="1509">
        <v>1</v>
      </c>
      <c r="J40" s="1508">
        <v>2776</v>
      </c>
      <c r="K40" s="562">
        <v>2290</v>
      </c>
      <c r="L40" s="1509"/>
      <c r="M40" s="1505">
        <v>4806</v>
      </c>
      <c r="N40" s="328">
        <v>135</v>
      </c>
      <c r="O40" s="328">
        <v>33</v>
      </c>
      <c r="P40" s="1506">
        <v>92</v>
      </c>
      <c r="Q40" s="329">
        <v>55</v>
      </c>
    </row>
    <row r="41" spans="1:17" s="329" customFormat="1" x14ac:dyDescent="0.3">
      <c r="A41" s="331" t="s">
        <v>93</v>
      </c>
      <c r="B41" s="327" t="s">
        <v>94</v>
      </c>
      <c r="C41" s="326" t="s">
        <v>251</v>
      </c>
      <c r="D41" s="1532">
        <v>8828</v>
      </c>
      <c r="E41" s="1508">
        <v>3223</v>
      </c>
      <c r="F41" s="562">
        <v>2157</v>
      </c>
      <c r="G41" s="562">
        <v>2756</v>
      </c>
      <c r="H41" s="562">
        <v>692</v>
      </c>
      <c r="I41" s="1509">
        <v>0</v>
      </c>
      <c r="J41" s="1508">
        <v>4951</v>
      </c>
      <c r="K41" s="562">
        <v>3877</v>
      </c>
      <c r="L41" s="1509"/>
      <c r="M41" s="1505">
        <v>7219</v>
      </c>
      <c r="N41" s="328">
        <v>1286</v>
      </c>
      <c r="O41" s="328">
        <v>151</v>
      </c>
      <c r="P41" s="1506">
        <v>172</v>
      </c>
      <c r="Q41" s="329">
        <v>200</v>
      </c>
    </row>
    <row r="42" spans="1:17" s="329" customFormat="1" x14ac:dyDescent="0.3">
      <c r="A42" s="331" t="s">
        <v>95</v>
      </c>
      <c r="B42" s="327" t="s">
        <v>96</v>
      </c>
      <c r="C42" s="326" t="s">
        <v>253</v>
      </c>
      <c r="D42" s="1532">
        <v>3641</v>
      </c>
      <c r="E42" s="1508">
        <v>1185</v>
      </c>
      <c r="F42" s="562">
        <v>860</v>
      </c>
      <c r="G42" s="562">
        <v>1304</v>
      </c>
      <c r="H42" s="562">
        <v>292</v>
      </c>
      <c r="I42" s="1509">
        <v>0</v>
      </c>
      <c r="J42" s="1508">
        <v>2082</v>
      </c>
      <c r="K42" s="562">
        <v>1559</v>
      </c>
      <c r="L42" s="1509"/>
      <c r="M42" s="1505">
        <v>2219</v>
      </c>
      <c r="N42" s="328">
        <v>1153</v>
      </c>
      <c r="O42" s="328">
        <v>88</v>
      </c>
      <c r="P42" s="1506">
        <v>181</v>
      </c>
      <c r="Q42" s="329">
        <v>162</v>
      </c>
    </row>
    <row r="43" spans="1:17" s="329" customFormat="1" x14ac:dyDescent="0.3">
      <c r="A43" s="331" t="s">
        <v>97</v>
      </c>
      <c r="B43" s="327" t="s">
        <v>98</v>
      </c>
      <c r="C43" s="326" t="s">
        <v>255</v>
      </c>
      <c r="D43" s="1532">
        <v>5745</v>
      </c>
      <c r="E43" s="1508">
        <v>1742</v>
      </c>
      <c r="F43" s="562">
        <v>1348</v>
      </c>
      <c r="G43" s="562">
        <v>1952</v>
      </c>
      <c r="H43" s="562">
        <v>702</v>
      </c>
      <c r="I43" s="1509">
        <v>1</v>
      </c>
      <c r="J43" s="1508">
        <v>2894</v>
      </c>
      <c r="K43" s="562">
        <v>2851</v>
      </c>
      <c r="L43" s="1509"/>
      <c r="M43" s="1505">
        <v>5285</v>
      </c>
      <c r="N43" s="328">
        <v>326</v>
      </c>
      <c r="O43" s="328">
        <v>46</v>
      </c>
      <c r="P43" s="1506">
        <v>88</v>
      </c>
      <c r="Q43" s="329">
        <v>135</v>
      </c>
    </row>
    <row r="44" spans="1:17" s="329" customFormat="1" x14ac:dyDescent="0.3">
      <c r="A44" s="331" t="s">
        <v>99</v>
      </c>
      <c r="B44" s="327" t="s">
        <v>100</v>
      </c>
      <c r="C44" s="326" t="s">
        <v>254</v>
      </c>
      <c r="D44" s="1532">
        <v>4699</v>
      </c>
      <c r="E44" s="1508">
        <v>2030</v>
      </c>
      <c r="F44" s="562">
        <v>1044</v>
      </c>
      <c r="G44" s="562">
        <v>1291</v>
      </c>
      <c r="H44" s="562">
        <v>334</v>
      </c>
      <c r="I44" s="1509">
        <v>0</v>
      </c>
      <c r="J44" s="1508">
        <v>2576</v>
      </c>
      <c r="K44" s="562">
        <v>2123</v>
      </c>
      <c r="L44" s="1509"/>
      <c r="M44" s="1505">
        <v>3797</v>
      </c>
      <c r="N44" s="328">
        <v>686</v>
      </c>
      <c r="O44" s="328">
        <v>117</v>
      </c>
      <c r="P44" s="1506">
        <v>99</v>
      </c>
      <c r="Q44" s="329">
        <v>115</v>
      </c>
    </row>
    <row r="45" spans="1:17" s="329" customFormat="1" x14ac:dyDescent="0.3">
      <c r="A45" s="331" t="s">
        <v>101</v>
      </c>
      <c r="B45" s="327" t="s">
        <v>263</v>
      </c>
      <c r="C45" s="326" t="s">
        <v>251</v>
      </c>
      <c r="D45" s="1532">
        <v>9480</v>
      </c>
      <c r="E45" s="1508">
        <v>2923</v>
      </c>
      <c r="F45" s="562">
        <v>2610</v>
      </c>
      <c r="G45" s="562">
        <v>3160</v>
      </c>
      <c r="H45" s="562">
        <v>786</v>
      </c>
      <c r="I45" s="1509">
        <v>1</v>
      </c>
      <c r="J45" s="1508">
        <v>4276</v>
      </c>
      <c r="K45" s="562">
        <v>5204</v>
      </c>
      <c r="L45" s="1509"/>
      <c r="M45" s="1505">
        <v>2438</v>
      </c>
      <c r="N45" s="328">
        <v>6835</v>
      </c>
      <c r="O45" s="328">
        <v>163</v>
      </c>
      <c r="P45" s="1506">
        <v>44</v>
      </c>
      <c r="Q45" s="329">
        <v>221</v>
      </c>
    </row>
    <row r="46" spans="1:17" s="329" customFormat="1" x14ac:dyDescent="0.3">
      <c r="A46" s="331" t="s">
        <v>103</v>
      </c>
      <c r="B46" s="327" t="s">
        <v>104</v>
      </c>
      <c r="C46" s="326" t="s">
        <v>252</v>
      </c>
      <c r="D46" s="1532">
        <v>13249</v>
      </c>
      <c r="E46" s="1508">
        <v>4586</v>
      </c>
      <c r="F46" s="562">
        <v>3130</v>
      </c>
      <c r="G46" s="562">
        <v>3865</v>
      </c>
      <c r="H46" s="562">
        <v>1667</v>
      </c>
      <c r="I46" s="1509">
        <v>1</v>
      </c>
      <c r="J46" s="1508">
        <v>7377</v>
      </c>
      <c r="K46" s="562">
        <v>5872</v>
      </c>
      <c r="L46" s="1509"/>
      <c r="M46" s="1505">
        <v>6005</v>
      </c>
      <c r="N46" s="328">
        <v>6936</v>
      </c>
      <c r="O46" s="328">
        <v>181</v>
      </c>
      <c r="P46" s="1506">
        <v>127</v>
      </c>
      <c r="Q46" s="329">
        <v>235</v>
      </c>
    </row>
    <row r="47" spans="1:17" s="329" customFormat="1" x14ac:dyDescent="0.3">
      <c r="A47" s="331" t="s">
        <v>107</v>
      </c>
      <c r="B47" s="327" t="s">
        <v>108</v>
      </c>
      <c r="C47" s="326" t="s">
        <v>253</v>
      </c>
      <c r="D47" s="1532">
        <v>14664</v>
      </c>
      <c r="E47" s="1508">
        <v>5970</v>
      </c>
      <c r="F47" s="562">
        <v>3509</v>
      </c>
      <c r="G47" s="562">
        <v>4153</v>
      </c>
      <c r="H47" s="562">
        <v>1032</v>
      </c>
      <c r="I47" s="1509">
        <v>0</v>
      </c>
      <c r="J47" s="1508">
        <v>8217</v>
      </c>
      <c r="K47" s="562">
        <v>6447</v>
      </c>
      <c r="L47" s="1509"/>
      <c r="M47" s="1505">
        <v>10300</v>
      </c>
      <c r="N47" s="328">
        <v>3128</v>
      </c>
      <c r="O47" s="328">
        <v>577</v>
      </c>
      <c r="P47" s="1506">
        <v>659</v>
      </c>
      <c r="Q47" s="329">
        <v>515</v>
      </c>
    </row>
    <row r="48" spans="1:17" s="329" customFormat="1" x14ac:dyDescent="0.3">
      <c r="A48" s="331" t="s">
        <v>109</v>
      </c>
      <c r="B48" s="327" t="s">
        <v>110</v>
      </c>
      <c r="C48" s="326" t="s">
        <v>253</v>
      </c>
      <c r="D48" s="1532">
        <v>80277</v>
      </c>
      <c r="E48" s="1508">
        <v>33890</v>
      </c>
      <c r="F48" s="562">
        <v>20192</v>
      </c>
      <c r="G48" s="562">
        <v>21047</v>
      </c>
      <c r="H48" s="562">
        <v>5143</v>
      </c>
      <c r="I48" s="1509">
        <v>5</v>
      </c>
      <c r="J48" s="1508">
        <v>45733</v>
      </c>
      <c r="K48" s="562">
        <v>34544</v>
      </c>
      <c r="L48" s="1509"/>
      <c r="M48" s="1505">
        <v>29591</v>
      </c>
      <c r="N48" s="328">
        <v>42039</v>
      </c>
      <c r="O48" s="328">
        <v>6122</v>
      </c>
      <c r="P48" s="1506">
        <v>2525</v>
      </c>
      <c r="Q48" s="329">
        <v>3486</v>
      </c>
    </row>
    <row r="49" spans="1:17" s="329" customFormat="1" x14ac:dyDescent="0.3">
      <c r="A49" s="331" t="s">
        <v>111</v>
      </c>
      <c r="B49" s="327" t="s">
        <v>275</v>
      </c>
      <c r="C49" s="326" t="s">
        <v>252</v>
      </c>
      <c r="D49" s="1532">
        <v>28339</v>
      </c>
      <c r="E49" s="1508">
        <v>10100</v>
      </c>
      <c r="F49" s="562">
        <v>6547</v>
      </c>
      <c r="G49" s="562">
        <v>8870</v>
      </c>
      <c r="H49" s="562">
        <v>2816</v>
      </c>
      <c r="I49" s="1509">
        <v>6</v>
      </c>
      <c r="J49" s="1508">
        <v>15844</v>
      </c>
      <c r="K49" s="562">
        <v>12495</v>
      </c>
      <c r="L49" s="1509"/>
      <c r="M49" s="1505">
        <v>17572</v>
      </c>
      <c r="N49" s="328">
        <v>10219</v>
      </c>
      <c r="O49" s="328">
        <v>296</v>
      </c>
      <c r="P49" s="1506">
        <v>252</v>
      </c>
      <c r="Q49" s="329">
        <v>1783</v>
      </c>
    </row>
    <row r="50" spans="1:17" s="329" customFormat="1" x14ac:dyDescent="0.3">
      <c r="A50" s="331" t="s">
        <v>113</v>
      </c>
      <c r="B50" s="327" t="s">
        <v>114</v>
      </c>
      <c r="C50" s="326" t="s">
        <v>252</v>
      </c>
      <c r="D50" s="1532">
        <v>491</v>
      </c>
      <c r="E50" s="1508">
        <v>145</v>
      </c>
      <c r="F50" s="562">
        <v>111</v>
      </c>
      <c r="G50" s="562">
        <v>188</v>
      </c>
      <c r="H50" s="562">
        <v>47</v>
      </c>
      <c r="I50" s="1509">
        <v>0</v>
      </c>
      <c r="J50" s="1508">
        <v>272</v>
      </c>
      <c r="K50" s="562">
        <v>219</v>
      </c>
      <c r="L50" s="1509"/>
      <c r="M50" s="1505">
        <v>460</v>
      </c>
      <c r="N50" s="328">
        <v>8</v>
      </c>
      <c r="O50" s="328">
        <v>2</v>
      </c>
      <c r="P50" s="1506">
        <v>21</v>
      </c>
      <c r="Q50" s="329">
        <v>5</v>
      </c>
    </row>
    <row r="51" spans="1:17" s="329" customFormat="1" x14ac:dyDescent="0.3">
      <c r="A51" s="331" t="s">
        <v>117</v>
      </c>
      <c r="B51" s="327" t="s">
        <v>257</v>
      </c>
      <c r="C51" s="326" t="s">
        <v>251</v>
      </c>
      <c r="D51" s="1532">
        <v>7795</v>
      </c>
      <c r="E51" s="1508">
        <v>2885</v>
      </c>
      <c r="F51" s="562">
        <v>1796</v>
      </c>
      <c r="G51" s="562">
        <v>2319</v>
      </c>
      <c r="H51" s="562">
        <v>795</v>
      </c>
      <c r="I51" s="1509">
        <v>0</v>
      </c>
      <c r="J51" s="1508">
        <v>4421</v>
      </c>
      <c r="K51" s="562">
        <v>3374</v>
      </c>
      <c r="L51" s="1509"/>
      <c r="M51" s="1505">
        <v>3869</v>
      </c>
      <c r="N51" s="328">
        <v>3593</v>
      </c>
      <c r="O51" s="328">
        <v>177</v>
      </c>
      <c r="P51" s="1506">
        <v>156</v>
      </c>
      <c r="Q51" s="329">
        <v>149</v>
      </c>
    </row>
    <row r="52" spans="1:17" s="329" customFormat="1" x14ac:dyDescent="0.3">
      <c r="A52" s="331" t="s">
        <v>119</v>
      </c>
      <c r="B52" s="327" t="s">
        <v>120</v>
      </c>
      <c r="C52" s="326" t="s">
        <v>251</v>
      </c>
      <c r="D52" s="1532">
        <v>11493</v>
      </c>
      <c r="E52" s="1508">
        <v>4959</v>
      </c>
      <c r="F52" s="562">
        <v>2744</v>
      </c>
      <c r="G52" s="562">
        <v>3145</v>
      </c>
      <c r="H52" s="562">
        <v>645</v>
      </c>
      <c r="I52" s="1509">
        <v>0</v>
      </c>
      <c r="J52" s="1508">
        <v>6573</v>
      </c>
      <c r="K52" s="562">
        <v>4920</v>
      </c>
      <c r="L52" s="1509"/>
      <c r="M52" s="1505">
        <v>6170</v>
      </c>
      <c r="N52" s="328">
        <v>4224</v>
      </c>
      <c r="O52" s="328">
        <v>635</v>
      </c>
      <c r="P52" s="1506">
        <v>464</v>
      </c>
      <c r="Q52" s="329">
        <v>816</v>
      </c>
    </row>
    <row r="53" spans="1:17" s="329" customFormat="1" x14ac:dyDescent="0.3">
      <c r="A53" s="331" t="s">
        <v>121</v>
      </c>
      <c r="B53" s="327" t="s">
        <v>268</v>
      </c>
      <c r="C53" s="326" t="s">
        <v>253</v>
      </c>
      <c r="D53" s="1532">
        <v>2167</v>
      </c>
      <c r="E53" s="1508">
        <v>765</v>
      </c>
      <c r="F53" s="562">
        <v>509</v>
      </c>
      <c r="G53" s="562">
        <v>657</v>
      </c>
      <c r="H53" s="562">
        <v>236</v>
      </c>
      <c r="I53" s="1509">
        <v>0</v>
      </c>
      <c r="J53" s="1508">
        <v>1286</v>
      </c>
      <c r="K53" s="562">
        <v>881</v>
      </c>
      <c r="L53" s="1509"/>
      <c r="M53" s="1505">
        <v>1265</v>
      </c>
      <c r="N53" s="328">
        <v>811</v>
      </c>
      <c r="O53" s="328">
        <v>46</v>
      </c>
      <c r="P53" s="1506">
        <v>45</v>
      </c>
      <c r="Q53" s="329">
        <v>36</v>
      </c>
    </row>
    <row r="54" spans="1:17" s="329" customFormat="1" x14ac:dyDescent="0.3">
      <c r="A54" s="331" t="s">
        <v>123</v>
      </c>
      <c r="B54" s="327" t="s">
        <v>124</v>
      </c>
      <c r="C54" s="326" t="s">
        <v>254</v>
      </c>
      <c r="D54" s="1532">
        <v>5101</v>
      </c>
      <c r="E54" s="1508">
        <v>2137</v>
      </c>
      <c r="F54" s="562">
        <v>1314</v>
      </c>
      <c r="G54" s="562">
        <v>1323</v>
      </c>
      <c r="H54" s="562">
        <v>327</v>
      </c>
      <c r="I54" s="1509">
        <v>0</v>
      </c>
      <c r="J54" s="1508">
        <v>2925</v>
      </c>
      <c r="K54" s="562">
        <v>2176</v>
      </c>
      <c r="L54" s="1509"/>
      <c r="M54" s="1505">
        <v>3182</v>
      </c>
      <c r="N54" s="328">
        <v>1701</v>
      </c>
      <c r="O54" s="328">
        <v>107</v>
      </c>
      <c r="P54" s="1506">
        <v>111</v>
      </c>
      <c r="Q54" s="329">
        <v>150</v>
      </c>
    </row>
    <row r="55" spans="1:17" s="329" customFormat="1" x14ac:dyDescent="0.3">
      <c r="A55" s="331" t="s">
        <v>125</v>
      </c>
      <c r="B55" s="327" t="s">
        <v>126</v>
      </c>
      <c r="C55" s="326" t="s">
        <v>253</v>
      </c>
      <c r="D55" s="1532">
        <v>3832</v>
      </c>
      <c r="E55" s="1508">
        <v>1565</v>
      </c>
      <c r="F55" s="562">
        <v>884</v>
      </c>
      <c r="G55" s="562">
        <v>1073</v>
      </c>
      <c r="H55" s="562">
        <v>309</v>
      </c>
      <c r="I55" s="1509">
        <v>1</v>
      </c>
      <c r="J55" s="1508">
        <v>2209</v>
      </c>
      <c r="K55" s="562">
        <v>1623</v>
      </c>
      <c r="L55" s="1509"/>
      <c r="M55" s="1505">
        <v>2358</v>
      </c>
      <c r="N55" s="328">
        <v>1210</v>
      </c>
      <c r="O55" s="328">
        <v>162</v>
      </c>
      <c r="P55" s="1506">
        <v>102</v>
      </c>
      <c r="Q55" s="329">
        <v>79</v>
      </c>
    </row>
    <row r="56" spans="1:17" s="329" customFormat="1" x14ac:dyDescent="0.3">
      <c r="A56" s="331" t="s">
        <v>127</v>
      </c>
      <c r="B56" s="327" t="s">
        <v>128</v>
      </c>
      <c r="C56" s="326" t="s">
        <v>253</v>
      </c>
      <c r="D56" s="1532">
        <v>3122</v>
      </c>
      <c r="E56" s="1508">
        <v>1132</v>
      </c>
      <c r="F56" s="562">
        <v>688</v>
      </c>
      <c r="G56" s="562">
        <v>889</v>
      </c>
      <c r="H56" s="562">
        <v>413</v>
      </c>
      <c r="I56" s="1509">
        <v>0</v>
      </c>
      <c r="J56" s="1508">
        <v>1854</v>
      </c>
      <c r="K56" s="562">
        <v>1268</v>
      </c>
      <c r="L56" s="1509"/>
      <c r="M56" s="1505">
        <v>1171</v>
      </c>
      <c r="N56" s="328">
        <v>1859</v>
      </c>
      <c r="O56" s="328">
        <v>45</v>
      </c>
      <c r="P56" s="1506">
        <v>47</v>
      </c>
      <c r="Q56" s="329">
        <v>12</v>
      </c>
    </row>
    <row r="57" spans="1:17" s="329" customFormat="1" x14ac:dyDescent="0.3">
      <c r="A57" s="331" t="s">
        <v>129</v>
      </c>
      <c r="B57" s="327" t="s">
        <v>130</v>
      </c>
      <c r="C57" s="326" t="s">
        <v>255</v>
      </c>
      <c r="D57" s="1532">
        <v>10985</v>
      </c>
      <c r="E57" s="1508">
        <v>3438</v>
      </c>
      <c r="F57" s="562">
        <v>2391</v>
      </c>
      <c r="G57" s="562">
        <v>3867</v>
      </c>
      <c r="H57" s="562">
        <v>1289</v>
      </c>
      <c r="I57" s="1509">
        <v>0</v>
      </c>
      <c r="J57" s="1508">
        <v>5842</v>
      </c>
      <c r="K57" s="562">
        <v>5143</v>
      </c>
      <c r="L57" s="1509"/>
      <c r="M57" s="1505">
        <v>10777</v>
      </c>
      <c r="N57" s="328">
        <v>82</v>
      </c>
      <c r="O57" s="328">
        <v>61</v>
      </c>
      <c r="P57" s="1506">
        <v>65</v>
      </c>
      <c r="Q57" s="329">
        <v>53</v>
      </c>
    </row>
    <row r="58" spans="1:17" s="329" customFormat="1" x14ac:dyDescent="0.3">
      <c r="A58" s="331" t="s">
        <v>131</v>
      </c>
      <c r="B58" s="327" t="s">
        <v>132</v>
      </c>
      <c r="C58" s="326" t="s">
        <v>254</v>
      </c>
      <c r="D58" s="1532">
        <v>42098</v>
      </c>
      <c r="E58" s="1508">
        <v>20739</v>
      </c>
      <c r="F58" s="562">
        <v>8352</v>
      </c>
      <c r="G58" s="562">
        <v>9103</v>
      </c>
      <c r="H58" s="562">
        <v>3899</v>
      </c>
      <c r="I58" s="1509">
        <v>5</v>
      </c>
      <c r="J58" s="1508">
        <v>23209</v>
      </c>
      <c r="K58" s="562">
        <v>18889</v>
      </c>
      <c r="L58" s="1509"/>
      <c r="M58" s="1505">
        <v>26830</v>
      </c>
      <c r="N58" s="328">
        <v>5300</v>
      </c>
      <c r="O58" s="328">
        <v>7216</v>
      </c>
      <c r="P58" s="1506">
        <v>2752</v>
      </c>
      <c r="Q58" s="329">
        <v>3413</v>
      </c>
    </row>
    <row r="59" spans="1:17" s="329" customFormat="1" x14ac:dyDescent="0.3">
      <c r="A59" s="331" t="s">
        <v>133</v>
      </c>
      <c r="B59" s="327" t="s">
        <v>134</v>
      </c>
      <c r="C59" s="326" t="s">
        <v>254</v>
      </c>
      <c r="D59" s="1532">
        <v>9437</v>
      </c>
      <c r="E59" s="1508">
        <v>3653</v>
      </c>
      <c r="F59" s="562">
        <v>2162</v>
      </c>
      <c r="G59" s="562">
        <v>2780</v>
      </c>
      <c r="H59" s="562">
        <v>842</v>
      </c>
      <c r="I59" s="1509">
        <v>0</v>
      </c>
      <c r="J59" s="1508">
        <v>5312</v>
      </c>
      <c r="K59" s="562">
        <v>4125</v>
      </c>
      <c r="L59" s="1509"/>
      <c r="M59" s="1505">
        <v>6744</v>
      </c>
      <c r="N59" s="328">
        <v>2302</v>
      </c>
      <c r="O59" s="328">
        <v>153</v>
      </c>
      <c r="P59" s="1506">
        <v>238</v>
      </c>
      <c r="Q59" s="329">
        <v>205</v>
      </c>
    </row>
    <row r="60" spans="1:17" s="329" customFormat="1" x14ac:dyDescent="0.3">
      <c r="A60" s="331" t="s">
        <v>135</v>
      </c>
      <c r="B60" s="327" t="s">
        <v>136</v>
      </c>
      <c r="C60" s="326" t="s">
        <v>253</v>
      </c>
      <c r="D60" s="1532">
        <v>5413</v>
      </c>
      <c r="E60" s="1508">
        <v>1755</v>
      </c>
      <c r="F60" s="562">
        <v>1231</v>
      </c>
      <c r="G60" s="562">
        <v>1782</v>
      </c>
      <c r="H60" s="562">
        <v>645</v>
      </c>
      <c r="I60" s="1509">
        <v>0</v>
      </c>
      <c r="J60" s="1508">
        <v>2622</v>
      </c>
      <c r="K60" s="562">
        <v>2791</v>
      </c>
      <c r="L60" s="1509"/>
      <c r="M60" s="1505">
        <v>2816</v>
      </c>
      <c r="N60" s="328">
        <v>2383</v>
      </c>
      <c r="O60" s="328">
        <v>165</v>
      </c>
      <c r="P60" s="1506">
        <v>49</v>
      </c>
      <c r="Q60" s="329">
        <v>197</v>
      </c>
    </row>
    <row r="61" spans="1:17" s="329" customFormat="1" x14ac:dyDescent="0.3">
      <c r="A61" s="331" t="s">
        <v>139</v>
      </c>
      <c r="B61" s="327" t="s">
        <v>140</v>
      </c>
      <c r="C61" s="326" t="s">
        <v>254</v>
      </c>
      <c r="D61" s="1532">
        <v>3373</v>
      </c>
      <c r="E61" s="1508">
        <v>1368</v>
      </c>
      <c r="F61" s="562">
        <v>747</v>
      </c>
      <c r="G61" s="562">
        <v>936</v>
      </c>
      <c r="H61" s="562">
        <v>322</v>
      </c>
      <c r="I61" s="1509">
        <v>0</v>
      </c>
      <c r="J61" s="1508">
        <v>1848</v>
      </c>
      <c r="K61" s="562">
        <v>1525</v>
      </c>
      <c r="L61" s="1509"/>
      <c r="M61" s="1505">
        <v>2738</v>
      </c>
      <c r="N61" s="328">
        <v>530</v>
      </c>
      <c r="O61" s="328">
        <v>26</v>
      </c>
      <c r="P61" s="1506">
        <v>79</v>
      </c>
      <c r="Q61" s="329">
        <v>61</v>
      </c>
    </row>
    <row r="62" spans="1:17" s="329" customFormat="1" x14ac:dyDescent="0.3">
      <c r="A62" s="331" t="s">
        <v>145</v>
      </c>
      <c r="B62" s="327" t="s">
        <v>146</v>
      </c>
      <c r="C62" s="326" t="s">
        <v>251</v>
      </c>
      <c r="D62" s="1532">
        <v>2041</v>
      </c>
      <c r="E62" s="1508">
        <v>683</v>
      </c>
      <c r="F62" s="562">
        <v>471</v>
      </c>
      <c r="G62" s="562">
        <v>660</v>
      </c>
      <c r="H62" s="562">
        <v>227</v>
      </c>
      <c r="I62" s="1509">
        <v>0</v>
      </c>
      <c r="J62" s="1508">
        <v>1116</v>
      </c>
      <c r="K62" s="562">
        <v>925</v>
      </c>
      <c r="L62" s="1509"/>
      <c r="M62" s="1505">
        <v>1545</v>
      </c>
      <c r="N62" s="328">
        <v>397</v>
      </c>
      <c r="O62" s="328">
        <v>36</v>
      </c>
      <c r="P62" s="1506">
        <v>63</v>
      </c>
      <c r="Q62" s="329">
        <v>29</v>
      </c>
    </row>
    <row r="63" spans="1:17" s="329" customFormat="1" x14ac:dyDescent="0.3">
      <c r="A63" s="331" t="s">
        <v>147</v>
      </c>
      <c r="B63" s="327" t="s">
        <v>148</v>
      </c>
      <c r="C63" s="326" t="s">
        <v>252</v>
      </c>
      <c r="D63" s="1532">
        <v>10503</v>
      </c>
      <c r="E63" s="1508">
        <v>3752</v>
      </c>
      <c r="F63" s="562">
        <v>2322</v>
      </c>
      <c r="G63" s="562">
        <v>3167</v>
      </c>
      <c r="H63" s="562">
        <v>1260</v>
      </c>
      <c r="I63" s="1509">
        <v>2</v>
      </c>
      <c r="J63" s="1508">
        <v>5791</v>
      </c>
      <c r="K63" s="562">
        <v>4712</v>
      </c>
      <c r="L63" s="1509"/>
      <c r="M63" s="1505">
        <v>4613</v>
      </c>
      <c r="N63" s="328">
        <v>5632</v>
      </c>
      <c r="O63" s="328">
        <v>106</v>
      </c>
      <c r="P63" s="1506">
        <v>152</v>
      </c>
      <c r="Q63" s="329">
        <v>174</v>
      </c>
    </row>
    <row r="64" spans="1:17" s="329" customFormat="1" x14ac:dyDescent="0.3">
      <c r="A64" s="331" t="s">
        <v>149</v>
      </c>
      <c r="B64" s="327" t="s">
        <v>150</v>
      </c>
      <c r="C64" s="326" t="s">
        <v>253</v>
      </c>
      <c r="D64" s="1532">
        <v>3286</v>
      </c>
      <c r="E64" s="1508">
        <v>1154</v>
      </c>
      <c r="F64" s="562">
        <v>741</v>
      </c>
      <c r="G64" s="562">
        <v>1029</v>
      </c>
      <c r="H64" s="562">
        <v>362</v>
      </c>
      <c r="I64" s="1509">
        <v>0</v>
      </c>
      <c r="J64" s="1508">
        <v>1844</v>
      </c>
      <c r="K64" s="562">
        <v>1442</v>
      </c>
      <c r="L64" s="1509"/>
      <c r="M64" s="1505">
        <v>2315</v>
      </c>
      <c r="N64" s="328">
        <v>859</v>
      </c>
      <c r="O64" s="328">
        <v>50</v>
      </c>
      <c r="P64" s="1506">
        <v>62</v>
      </c>
      <c r="Q64" s="329">
        <v>57</v>
      </c>
    </row>
    <row r="65" spans="1:17" s="329" customFormat="1" x14ac:dyDescent="0.3">
      <c r="A65" s="331" t="s">
        <v>151</v>
      </c>
      <c r="B65" s="327" t="s">
        <v>152</v>
      </c>
      <c r="C65" s="326" t="s">
        <v>255</v>
      </c>
      <c r="D65" s="1532">
        <v>15527</v>
      </c>
      <c r="E65" s="1508">
        <v>5938</v>
      </c>
      <c r="F65" s="562">
        <v>4178</v>
      </c>
      <c r="G65" s="562">
        <v>4281</v>
      </c>
      <c r="H65" s="562">
        <v>1124</v>
      </c>
      <c r="I65" s="1509">
        <v>6</v>
      </c>
      <c r="J65" s="1508">
        <v>8637</v>
      </c>
      <c r="K65" s="562">
        <v>6890</v>
      </c>
      <c r="L65" s="1509"/>
      <c r="M65" s="1505">
        <v>13114</v>
      </c>
      <c r="N65" s="328">
        <v>1450</v>
      </c>
      <c r="O65" s="328">
        <v>393</v>
      </c>
      <c r="P65" s="1506">
        <v>570</v>
      </c>
      <c r="Q65" s="329">
        <v>473</v>
      </c>
    </row>
    <row r="66" spans="1:17" s="329" customFormat="1" x14ac:dyDescent="0.3">
      <c r="A66" s="331" t="s">
        <v>153</v>
      </c>
      <c r="B66" s="327" t="s">
        <v>154</v>
      </c>
      <c r="C66" s="326" t="s">
        <v>252</v>
      </c>
      <c r="D66" s="1532">
        <v>4226</v>
      </c>
      <c r="E66" s="1508">
        <v>1507</v>
      </c>
      <c r="F66" s="562">
        <v>942</v>
      </c>
      <c r="G66" s="562">
        <v>1254</v>
      </c>
      <c r="H66" s="562">
        <v>523</v>
      </c>
      <c r="I66" s="1509">
        <v>0</v>
      </c>
      <c r="J66" s="1508">
        <v>2295</v>
      </c>
      <c r="K66" s="562">
        <v>1931</v>
      </c>
      <c r="L66" s="1509"/>
      <c r="M66" s="1505">
        <v>3187</v>
      </c>
      <c r="N66" s="328">
        <v>807</v>
      </c>
      <c r="O66" s="328">
        <v>114</v>
      </c>
      <c r="P66" s="1506">
        <v>118</v>
      </c>
      <c r="Q66" s="329">
        <v>145</v>
      </c>
    </row>
    <row r="67" spans="1:17" s="329" customFormat="1" x14ac:dyDescent="0.3">
      <c r="A67" s="331" t="s">
        <v>155</v>
      </c>
      <c r="B67" s="327" t="s">
        <v>156</v>
      </c>
      <c r="C67" s="326" t="s">
        <v>253</v>
      </c>
      <c r="D67" s="1532">
        <v>3229</v>
      </c>
      <c r="E67" s="1508">
        <v>1324</v>
      </c>
      <c r="F67" s="562">
        <v>768</v>
      </c>
      <c r="G67" s="562">
        <v>915</v>
      </c>
      <c r="H67" s="562">
        <v>222</v>
      </c>
      <c r="I67" s="1509">
        <v>0</v>
      </c>
      <c r="J67" s="1508">
        <v>1869</v>
      </c>
      <c r="K67" s="562">
        <v>1360</v>
      </c>
      <c r="L67" s="1509"/>
      <c r="M67" s="1505">
        <v>2364</v>
      </c>
      <c r="N67" s="328">
        <v>662</v>
      </c>
      <c r="O67" s="328">
        <v>117</v>
      </c>
      <c r="P67" s="1506">
        <v>86</v>
      </c>
      <c r="Q67" s="329">
        <v>100</v>
      </c>
    </row>
    <row r="68" spans="1:17" s="329" customFormat="1" x14ac:dyDescent="0.3">
      <c r="A68" s="331" t="s">
        <v>161</v>
      </c>
      <c r="B68" s="327" t="s">
        <v>162</v>
      </c>
      <c r="C68" s="326" t="s">
        <v>251</v>
      </c>
      <c r="D68" s="1532">
        <v>5060</v>
      </c>
      <c r="E68" s="1508">
        <v>1826</v>
      </c>
      <c r="F68" s="562">
        <v>1025</v>
      </c>
      <c r="G68" s="562">
        <v>1448</v>
      </c>
      <c r="H68" s="562">
        <v>761</v>
      </c>
      <c r="I68" s="1509">
        <v>0</v>
      </c>
      <c r="J68" s="1508">
        <v>2790</v>
      </c>
      <c r="K68" s="562">
        <v>2270</v>
      </c>
      <c r="L68" s="1509"/>
      <c r="M68" s="1505">
        <v>2153</v>
      </c>
      <c r="N68" s="328">
        <v>2775</v>
      </c>
      <c r="O68" s="328">
        <v>43</v>
      </c>
      <c r="P68" s="1506">
        <v>89</v>
      </c>
      <c r="Q68" s="329">
        <v>287</v>
      </c>
    </row>
    <row r="69" spans="1:17" s="329" customFormat="1" x14ac:dyDescent="0.3">
      <c r="A69" s="331" t="s">
        <v>163</v>
      </c>
      <c r="B69" s="327" t="s">
        <v>164</v>
      </c>
      <c r="C69" s="326" t="s">
        <v>253</v>
      </c>
      <c r="D69" s="1532">
        <v>3365</v>
      </c>
      <c r="E69" s="1508">
        <v>1215</v>
      </c>
      <c r="F69" s="562">
        <v>727</v>
      </c>
      <c r="G69" s="562">
        <v>1042</v>
      </c>
      <c r="H69" s="562">
        <v>381</v>
      </c>
      <c r="I69" s="1509">
        <v>0</v>
      </c>
      <c r="J69" s="1508">
        <v>1862</v>
      </c>
      <c r="K69" s="562">
        <v>1503</v>
      </c>
      <c r="L69" s="1509"/>
      <c r="M69" s="1505">
        <v>1536</v>
      </c>
      <c r="N69" s="328">
        <v>1697</v>
      </c>
      <c r="O69" s="328">
        <v>61</v>
      </c>
      <c r="P69" s="1506">
        <v>71</v>
      </c>
      <c r="Q69" s="329">
        <v>57</v>
      </c>
    </row>
    <row r="70" spans="1:17" s="329" customFormat="1" x14ac:dyDescent="0.3">
      <c r="A70" s="331" t="s">
        <v>167</v>
      </c>
      <c r="B70" s="327" t="s">
        <v>168</v>
      </c>
      <c r="C70" s="326" t="s">
        <v>253</v>
      </c>
      <c r="D70" s="1532">
        <v>6170</v>
      </c>
      <c r="E70" s="1508">
        <v>2124</v>
      </c>
      <c r="F70" s="562">
        <v>1391</v>
      </c>
      <c r="G70" s="562">
        <v>1965</v>
      </c>
      <c r="H70" s="562">
        <v>690</v>
      </c>
      <c r="I70" s="1509">
        <v>0</v>
      </c>
      <c r="J70" s="1508">
        <v>3182</v>
      </c>
      <c r="K70" s="562">
        <v>2988</v>
      </c>
      <c r="L70" s="1509"/>
      <c r="M70" s="1505">
        <v>2914</v>
      </c>
      <c r="N70" s="328">
        <v>3093</v>
      </c>
      <c r="O70" s="328">
        <v>89</v>
      </c>
      <c r="P70" s="1506">
        <v>74</v>
      </c>
      <c r="Q70" s="329">
        <v>206</v>
      </c>
    </row>
    <row r="71" spans="1:17" s="329" customFormat="1" x14ac:dyDescent="0.3">
      <c r="A71" s="331" t="s">
        <v>169</v>
      </c>
      <c r="B71" s="327" t="s">
        <v>170</v>
      </c>
      <c r="C71" s="326" t="s">
        <v>254</v>
      </c>
      <c r="D71" s="1532">
        <v>8998</v>
      </c>
      <c r="E71" s="1508">
        <v>3626</v>
      </c>
      <c r="F71" s="562">
        <v>2048</v>
      </c>
      <c r="G71" s="562">
        <v>2458</v>
      </c>
      <c r="H71" s="562">
        <v>865</v>
      </c>
      <c r="I71" s="1509">
        <v>1</v>
      </c>
      <c r="J71" s="1508">
        <v>5103</v>
      </c>
      <c r="K71" s="562">
        <v>3895</v>
      </c>
      <c r="L71" s="1509"/>
      <c r="M71" s="1505">
        <v>6528</v>
      </c>
      <c r="N71" s="328">
        <v>2037</v>
      </c>
      <c r="O71" s="328">
        <v>202</v>
      </c>
      <c r="P71" s="1506">
        <v>231</v>
      </c>
      <c r="Q71" s="329">
        <v>326</v>
      </c>
    </row>
    <row r="72" spans="1:17" s="329" customFormat="1" x14ac:dyDescent="0.3">
      <c r="A72" s="331" t="s">
        <v>171</v>
      </c>
      <c r="B72" s="327" t="s">
        <v>172</v>
      </c>
      <c r="C72" s="326" t="s">
        <v>254</v>
      </c>
      <c r="D72" s="1532">
        <v>7562</v>
      </c>
      <c r="E72" s="1508">
        <v>2668</v>
      </c>
      <c r="F72" s="562">
        <v>1668</v>
      </c>
      <c r="G72" s="562">
        <v>2411</v>
      </c>
      <c r="H72" s="562">
        <v>815</v>
      </c>
      <c r="I72" s="1509">
        <v>0</v>
      </c>
      <c r="J72" s="1508">
        <v>4127</v>
      </c>
      <c r="K72" s="562">
        <v>3435</v>
      </c>
      <c r="L72" s="1509"/>
      <c r="M72" s="1505">
        <v>7107</v>
      </c>
      <c r="N72" s="328">
        <v>250</v>
      </c>
      <c r="O72" s="328">
        <v>75</v>
      </c>
      <c r="P72" s="1506">
        <v>130</v>
      </c>
      <c r="Q72" s="329">
        <v>97</v>
      </c>
    </row>
    <row r="73" spans="1:17" s="329" customFormat="1" x14ac:dyDescent="0.3">
      <c r="A73" s="331" t="s">
        <v>173</v>
      </c>
      <c r="B73" s="327" t="s">
        <v>174</v>
      </c>
      <c r="C73" s="326" t="s">
        <v>255</v>
      </c>
      <c r="D73" s="1532">
        <v>5865</v>
      </c>
      <c r="E73" s="1508">
        <v>1958</v>
      </c>
      <c r="F73" s="562">
        <v>1285</v>
      </c>
      <c r="G73" s="562">
        <v>1885</v>
      </c>
      <c r="H73" s="562">
        <v>737</v>
      </c>
      <c r="I73" s="1509">
        <v>0</v>
      </c>
      <c r="J73" s="1508">
        <v>3221</v>
      </c>
      <c r="K73" s="562">
        <v>2644</v>
      </c>
      <c r="L73" s="1509"/>
      <c r="M73" s="1505">
        <v>5311</v>
      </c>
      <c r="N73" s="328">
        <v>442</v>
      </c>
      <c r="O73" s="328">
        <v>50</v>
      </c>
      <c r="P73" s="1506">
        <v>62</v>
      </c>
      <c r="Q73" s="329">
        <v>126</v>
      </c>
    </row>
    <row r="74" spans="1:17" s="329" customFormat="1" x14ac:dyDescent="0.3">
      <c r="A74" s="331" t="s">
        <v>177</v>
      </c>
      <c r="B74" s="327" t="s">
        <v>178</v>
      </c>
      <c r="C74" s="326" t="s">
        <v>252</v>
      </c>
      <c r="D74" s="1532">
        <v>20481</v>
      </c>
      <c r="E74" s="1508">
        <v>6985</v>
      </c>
      <c r="F74" s="562">
        <v>4618</v>
      </c>
      <c r="G74" s="562">
        <v>6605</v>
      </c>
      <c r="H74" s="562">
        <v>2273</v>
      </c>
      <c r="I74" s="1509">
        <v>0</v>
      </c>
      <c r="J74" s="1508">
        <v>11285</v>
      </c>
      <c r="K74" s="562">
        <v>9196</v>
      </c>
      <c r="L74" s="1509"/>
      <c r="M74" s="1505">
        <v>13424</v>
      </c>
      <c r="N74" s="328">
        <v>6400</v>
      </c>
      <c r="O74" s="328">
        <v>298</v>
      </c>
      <c r="P74" s="1506">
        <v>359</v>
      </c>
      <c r="Q74" s="329">
        <v>506</v>
      </c>
    </row>
    <row r="75" spans="1:17" s="329" customFormat="1" x14ac:dyDescent="0.3">
      <c r="A75" s="331" t="s">
        <v>181</v>
      </c>
      <c r="B75" s="327" t="s">
        <v>182</v>
      </c>
      <c r="C75" s="326" t="s">
        <v>253</v>
      </c>
      <c r="D75" s="1532">
        <v>4504</v>
      </c>
      <c r="E75" s="1508">
        <v>1523</v>
      </c>
      <c r="F75" s="562">
        <v>1108</v>
      </c>
      <c r="G75" s="562">
        <v>1572</v>
      </c>
      <c r="H75" s="562">
        <v>301</v>
      </c>
      <c r="I75" s="1509">
        <v>0</v>
      </c>
      <c r="J75" s="1508">
        <v>2158</v>
      </c>
      <c r="K75" s="562">
        <v>2346</v>
      </c>
      <c r="L75" s="1509"/>
      <c r="M75" s="1505">
        <v>3341</v>
      </c>
      <c r="N75" s="328">
        <v>925</v>
      </c>
      <c r="O75" s="328">
        <v>79</v>
      </c>
      <c r="P75" s="1506">
        <v>159</v>
      </c>
      <c r="Q75" s="329">
        <v>73</v>
      </c>
    </row>
    <row r="76" spans="1:17" s="329" customFormat="1" x14ac:dyDescent="0.3">
      <c r="A76" s="331" t="s">
        <v>183</v>
      </c>
      <c r="B76" s="327" t="s">
        <v>184</v>
      </c>
      <c r="C76" s="326" t="s">
        <v>253</v>
      </c>
      <c r="D76" s="1532">
        <v>6678</v>
      </c>
      <c r="E76" s="1508">
        <v>2452</v>
      </c>
      <c r="F76" s="562">
        <v>1611</v>
      </c>
      <c r="G76" s="562">
        <v>1944</v>
      </c>
      <c r="H76" s="562">
        <v>671</v>
      </c>
      <c r="I76" s="1509">
        <v>0</v>
      </c>
      <c r="J76" s="1508">
        <v>3743</v>
      </c>
      <c r="K76" s="562">
        <v>2935</v>
      </c>
      <c r="L76" s="1509"/>
      <c r="M76" s="1505">
        <v>2678</v>
      </c>
      <c r="N76" s="328">
        <v>3777</v>
      </c>
      <c r="O76" s="328">
        <v>103</v>
      </c>
      <c r="P76" s="1506">
        <v>120</v>
      </c>
      <c r="Q76" s="329">
        <v>134</v>
      </c>
    </row>
    <row r="77" spans="1:17" s="329" customFormat="1" x14ac:dyDescent="0.3">
      <c r="A77" s="331" t="s">
        <v>185</v>
      </c>
      <c r="B77" s="327" t="s">
        <v>186</v>
      </c>
      <c r="C77" s="326" t="s">
        <v>251</v>
      </c>
      <c r="D77" s="1532">
        <v>8265</v>
      </c>
      <c r="E77" s="1508">
        <v>3468</v>
      </c>
      <c r="F77" s="562">
        <v>2254</v>
      </c>
      <c r="G77" s="562">
        <v>2160</v>
      </c>
      <c r="H77" s="562">
        <v>383</v>
      </c>
      <c r="I77" s="1509">
        <v>0</v>
      </c>
      <c r="J77" s="1508">
        <v>4697</v>
      </c>
      <c r="K77" s="562">
        <v>3568</v>
      </c>
      <c r="L77" s="1509"/>
      <c r="M77" s="1505">
        <v>4135</v>
      </c>
      <c r="N77" s="328">
        <v>3706</v>
      </c>
      <c r="O77" s="328">
        <v>238</v>
      </c>
      <c r="P77" s="1506">
        <v>186</v>
      </c>
      <c r="Q77" s="329">
        <v>392</v>
      </c>
    </row>
    <row r="78" spans="1:17" s="329" customFormat="1" x14ac:dyDescent="0.3">
      <c r="A78" s="331" t="s">
        <v>187</v>
      </c>
      <c r="B78" s="327" t="s">
        <v>188</v>
      </c>
      <c r="C78" s="326" t="s">
        <v>254</v>
      </c>
      <c r="D78" s="1532">
        <v>91388</v>
      </c>
      <c r="E78" s="1508">
        <v>47254</v>
      </c>
      <c r="F78" s="562">
        <v>20343</v>
      </c>
      <c r="G78" s="562">
        <v>18742</v>
      </c>
      <c r="H78" s="562">
        <v>5040</v>
      </c>
      <c r="I78" s="1509">
        <v>9</v>
      </c>
      <c r="J78" s="1508">
        <v>50829</v>
      </c>
      <c r="K78" s="562">
        <v>40559</v>
      </c>
      <c r="L78" s="1509"/>
      <c r="M78" s="1505">
        <v>51581</v>
      </c>
      <c r="N78" s="328">
        <v>25071</v>
      </c>
      <c r="O78" s="328">
        <v>12082</v>
      </c>
      <c r="P78" s="1506">
        <v>2654</v>
      </c>
      <c r="Q78" s="329">
        <v>11117</v>
      </c>
    </row>
    <row r="79" spans="1:17" s="329" customFormat="1" x14ac:dyDescent="0.3">
      <c r="A79" s="331" t="s">
        <v>189</v>
      </c>
      <c r="B79" s="327" t="s">
        <v>190</v>
      </c>
      <c r="C79" s="326" t="s">
        <v>255</v>
      </c>
      <c r="D79" s="1532">
        <v>10781</v>
      </c>
      <c r="E79" s="1508">
        <v>3494</v>
      </c>
      <c r="F79" s="562">
        <v>2635</v>
      </c>
      <c r="G79" s="562">
        <v>3609</v>
      </c>
      <c r="H79" s="562">
        <v>1041</v>
      </c>
      <c r="I79" s="1509">
        <v>2</v>
      </c>
      <c r="J79" s="1508">
        <v>5891</v>
      </c>
      <c r="K79" s="562">
        <v>4890</v>
      </c>
      <c r="L79" s="1509"/>
      <c r="M79" s="1505">
        <v>9502</v>
      </c>
      <c r="N79" s="328">
        <v>1041</v>
      </c>
      <c r="O79" s="328">
        <v>116</v>
      </c>
      <c r="P79" s="1506">
        <v>122</v>
      </c>
      <c r="Q79" s="329">
        <v>135</v>
      </c>
    </row>
    <row r="80" spans="1:17" s="329" customFormat="1" x14ac:dyDescent="0.3">
      <c r="A80" s="331" t="s">
        <v>193</v>
      </c>
      <c r="B80" s="327" t="s">
        <v>194</v>
      </c>
      <c r="C80" s="326" t="s">
        <v>254</v>
      </c>
      <c r="D80" s="1532">
        <v>1437</v>
      </c>
      <c r="E80" s="1508">
        <v>554</v>
      </c>
      <c r="F80" s="562">
        <v>339</v>
      </c>
      <c r="G80" s="562">
        <v>405</v>
      </c>
      <c r="H80" s="562">
        <v>139</v>
      </c>
      <c r="I80" s="1509">
        <v>0</v>
      </c>
      <c r="J80" s="1508">
        <v>760</v>
      </c>
      <c r="K80" s="562">
        <v>677</v>
      </c>
      <c r="L80" s="1509"/>
      <c r="M80" s="1505">
        <v>1215</v>
      </c>
      <c r="N80" s="328">
        <v>122</v>
      </c>
      <c r="O80" s="328">
        <v>22</v>
      </c>
      <c r="P80" s="1506">
        <v>78</v>
      </c>
      <c r="Q80" s="329">
        <v>44</v>
      </c>
    </row>
    <row r="81" spans="1:17" s="329" customFormat="1" x14ac:dyDescent="0.3">
      <c r="A81" s="331" t="s">
        <v>197</v>
      </c>
      <c r="B81" s="327" t="s">
        <v>259</v>
      </c>
      <c r="C81" s="326" t="s">
        <v>253</v>
      </c>
      <c r="D81" s="1532">
        <v>3179</v>
      </c>
      <c r="E81" s="1508">
        <v>1040</v>
      </c>
      <c r="F81" s="562">
        <v>777</v>
      </c>
      <c r="G81" s="562">
        <v>1080</v>
      </c>
      <c r="H81" s="562">
        <v>282</v>
      </c>
      <c r="I81" s="1509">
        <v>0</v>
      </c>
      <c r="J81" s="1508">
        <v>1580</v>
      </c>
      <c r="K81" s="562">
        <v>1599</v>
      </c>
      <c r="L81" s="1509"/>
      <c r="M81" s="1505">
        <v>1794</v>
      </c>
      <c r="N81" s="328">
        <v>1311</v>
      </c>
      <c r="O81" s="328">
        <v>29</v>
      </c>
      <c r="P81" s="1506">
        <v>45</v>
      </c>
      <c r="Q81" s="329">
        <v>144</v>
      </c>
    </row>
    <row r="82" spans="1:17" s="329" customFormat="1" x14ac:dyDescent="0.3">
      <c r="A82" s="331" t="s">
        <v>201</v>
      </c>
      <c r="B82" s="327" t="s">
        <v>276</v>
      </c>
      <c r="C82" s="326" t="s">
        <v>252</v>
      </c>
      <c r="D82" s="1532">
        <v>21758</v>
      </c>
      <c r="E82" s="1508">
        <v>8828</v>
      </c>
      <c r="F82" s="562">
        <v>5144</v>
      </c>
      <c r="G82" s="562">
        <v>5970</v>
      </c>
      <c r="H82" s="562">
        <v>1816</v>
      </c>
      <c r="I82" s="1509">
        <v>0</v>
      </c>
      <c r="J82" s="1508">
        <v>12179</v>
      </c>
      <c r="K82" s="562">
        <v>9579</v>
      </c>
      <c r="L82" s="1509"/>
      <c r="M82" s="1505">
        <v>16989</v>
      </c>
      <c r="N82" s="328">
        <v>3199</v>
      </c>
      <c r="O82" s="328">
        <v>875</v>
      </c>
      <c r="P82" s="1506">
        <v>695</v>
      </c>
      <c r="Q82" s="329">
        <v>627</v>
      </c>
    </row>
    <row r="83" spans="1:17" s="329" customFormat="1" x14ac:dyDescent="0.3">
      <c r="A83" s="331" t="s">
        <v>203</v>
      </c>
      <c r="B83" s="327" t="s">
        <v>269</v>
      </c>
      <c r="C83" s="326" t="s">
        <v>252</v>
      </c>
      <c r="D83" s="1532">
        <v>9407</v>
      </c>
      <c r="E83" s="1508">
        <v>3470</v>
      </c>
      <c r="F83" s="562">
        <v>2185</v>
      </c>
      <c r="G83" s="562">
        <v>2781</v>
      </c>
      <c r="H83" s="562">
        <v>969</v>
      </c>
      <c r="I83" s="1509">
        <v>2</v>
      </c>
      <c r="J83" s="1508">
        <v>5325</v>
      </c>
      <c r="K83" s="562">
        <v>4082</v>
      </c>
      <c r="L83" s="1509"/>
      <c r="M83" s="1505">
        <v>8249</v>
      </c>
      <c r="N83" s="328">
        <v>713</v>
      </c>
      <c r="O83" s="328">
        <v>181</v>
      </c>
      <c r="P83" s="1506">
        <v>264</v>
      </c>
      <c r="Q83" s="329">
        <v>181</v>
      </c>
    </row>
    <row r="84" spans="1:17" s="329" customFormat="1" x14ac:dyDescent="0.3">
      <c r="A84" s="331" t="s">
        <v>205</v>
      </c>
      <c r="B84" s="327" t="s">
        <v>270</v>
      </c>
      <c r="C84" s="326" t="s">
        <v>254</v>
      </c>
      <c r="D84" s="1532">
        <v>28793</v>
      </c>
      <c r="E84" s="1508">
        <v>13152</v>
      </c>
      <c r="F84" s="562">
        <v>6689</v>
      </c>
      <c r="G84" s="562">
        <v>6965</v>
      </c>
      <c r="H84" s="562">
        <v>1986</v>
      </c>
      <c r="I84" s="1509">
        <v>1</v>
      </c>
      <c r="J84" s="1508">
        <v>15961</v>
      </c>
      <c r="K84" s="562">
        <v>12832</v>
      </c>
      <c r="L84" s="1509"/>
      <c r="M84" s="1505">
        <v>24593</v>
      </c>
      <c r="N84" s="328">
        <v>2737</v>
      </c>
      <c r="O84" s="328">
        <v>756</v>
      </c>
      <c r="P84" s="1506">
        <v>707</v>
      </c>
      <c r="Q84" s="329">
        <v>3370</v>
      </c>
    </row>
    <row r="85" spans="1:17" s="329" customFormat="1" x14ac:dyDescent="0.3">
      <c r="A85" s="331" t="s">
        <v>207</v>
      </c>
      <c r="B85" s="327" t="s">
        <v>208</v>
      </c>
      <c r="C85" s="326" t="s">
        <v>255</v>
      </c>
      <c r="D85" s="1532">
        <v>10843</v>
      </c>
      <c r="E85" s="1508">
        <v>3526</v>
      </c>
      <c r="F85" s="562">
        <v>2516</v>
      </c>
      <c r="G85" s="562">
        <v>3798</v>
      </c>
      <c r="H85" s="562">
        <v>1000</v>
      </c>
      <c r="I85" s="1509">
        <v>3</v>
      </c>
      <c r="J85" s="1508">
        <v>5951</v>
      </c>
      <c r="K85" s="562">
        <v>4892</v>
      </c>
      <c r="L85" s="1509"/>
      <c r="M85" s="1505">
        <v>10542</v>
      </c>
      <c r="N85" s="328">
        <v>139</v>
      </c>
      <c r="O85" s="328">
        <v>56</v>
      </c>
      <c r="P85" s="1506">
        <v>106</v>
      </c>
      <c r="Q85" s="329">
        <v>54</v>
      </c>
    </row>
    <row r="86" spans="1:17" s="329" customFormat="1" x14ac:dyDescent="0.3">
      <c r="A86" s="331" t="s">
        <v>209</v>
      </c>
      <c r="B86" s="327" t="s">
        <v>210</v>
      </c>
      <c r="C86" s="326" t="s">
        <v>255</v>
      </c>
      <c r="D86" s="1532">
        <v>7670</v>
      </c>
      <c r="E86" s="1508">
        <v>2465</v>
      </c>
      <c r="F86" s="562">
        <v>1572</v>
      </c>
      <c r="G86" s="562">
        <v>2669</v>
      </c>
      <c r="H86" s="562">
        <v>963</v>
      </c>
      <c r="I86" s="1509">
        <v>1</v>
      </c>
      <c r="J86" s="1508">
        <v>4104</v>
      </c>
      <c r="K86" s="562">
        <v>3566</v>
      </c>
      <c r="L86" s="1509"/>
      <c r="M86" s="1505">
        <v>7464</v>
      </c>
      <c r="N86" s="328">
        <v>86</v>
      </c>
      <c r="O86" s="328">
        <v>49</v>
      </c>
      <c r="P86" s="1506">
        <v>71</v>
      </c>
      <c r="Q86" s="329">
        <v>64</v>
      </c>
    </row>
    <row r="87" spans="1:17" s="329" customFormat="1" x14ac:dyDescent="0.3">
      <c r="A87" s="331" t="s">
        <v>211</v>
      </c>
      <c r="B87" s="327" t="s">
        <v>212</v>
      </c>
      <c r="C87" s="326" t="s">
        <v>254</v>
      </c>
      <c r="D87" s="1532">
        <v>11793</v>
      </c>
      <c r="E87" s="1508">
        <v>4977</v>
      </c>
      <c r="F87" s="562">
        <v>2738</v>
      </c>
      <c r="G87" s="562">
        <v>3107</v>
      </c>
      <c r="H87" s="562">
        <v>971</v>
      </c>
      <c r="I87" s="1509">
        <v>0</v>
      </c>
      <c r="J87" s="1508">
        <v>6649</v>
      </c>
      <c r="K87" s="562">
        <v>5144</v>
      </c>
      <c r="L87" s="1509"/>
      <c r="M87" s="1505">
        <v>10556</v>
      </c>
      <c r="N87" s="328">
        <v>639</v>
      </c>
      <c r="O87" s="328">
        <v>368</v>
      </c>
      <c r="P87" s="1506">
        <v>230</v>
      </c>
      <c r="Q87" s="329">
        <v>1027</v>
      </c>
    </row>
    <row r="88" spans="1:17" s="329" customFormat="1" x14ac:dyDescent="0.3">
      <c r="A88" s="331" t="s">
        <v>213</v>
      </c>
      <c r="B88" s="327" t="s">
        <v>214</v>
      </c>
      <c r="C88" s="326" t="s">
        <v>255</v>
      </c>
      <c r="D88" s="1532">
        <v>12027</v>
      </c>
      <c r="E88" s="1508">
        <v>3833</v>
      </c>
      <c r="F88" s="562">
        <v>2911</v>
      </c>
      <c r="G88" s="562">
        <v>4042</v>
      </c>
      <c r="H88" s="562">
        <v>1241</v>
      </c>
      <c r="I88" s="1509">
        <v>0</v>
      </c>
      <c r="J88" s="1508">
        <v>6495</v>
      </c>
      <c r="K88" s="562">
        <v>5532</v>
      </c>
      <c r="L88" s="1509"/>
      <c r="M88" s="1505">
        <v>11359</v>
      </c>
      <c r="N88" s="328">
        <v>391</v>
      </c>
      <c r="O88" s="328">
        <v>97</v>
      </c>
      <c r="P88" s="1506">
        <v>180</v>
      </c>
      <c r="Q88" s="329">
        <v>112</v>
      </c>
    </row>
    <row r="89" spans="1:17" s="329" customFormat="1" x14ac:dyDescent="0.3">
      <c r="A89" s="331" t="s">
        <v>215</v>
      </c>
      <c r="B89" s="327" t="s">
        <v>216</v>
      </c>
      <c r="C89" s="326" t="s">
        <v>251</v>
      </c>
      <c r="D89" s="1532">
        <v>6110</v>
      </c>
      <c r="E89" s="1508">
        <v>2122</v>
      </c>
      <c r="F89" s="562">
        <v>1264</v>
      </c>
      <c r="G89" s="562">
        <v>2021</v>
      </c>
      <c r="H89" s="562">
        <v>702</v>
      </c>
      <c r="I89" s="1509">
        <v>1</v>
      </c>
      <c r="J89" s="1508">
        <v>3214</v>
      </c>
      <c r="K89" s="562">
        <v>2896</v>
      </c>
      <c r="L89" s="1509"/>
      <c r="M89" s="1505">
        <v>2602</v>
      </c>
      <c r="N89" s="328">
        <v>3370</v>
      </c>
      <c r="O89" s="328">
        <v>66</v>
      </c>
      <c r="P89" s="1506">
        <v>72</v>
      </c>
      <c r="Q89" s="329">
        <v>82</v>
      </c>
    </row>
    <row r="90" spans="1:17" s="329" customFormat="1" x14ac:dyDescent="0.3">
      <c r="A90" s="331" t="s">
        <v>217</v>
      </c>
      <c r="B90" s="327" t="s">
        <v>218</v>
      </c>
      <c r="C90" s="326" t="s">
        <v>254</v>
      </c>
      <c r="D90" s="1532">
        <v>31484</v>
      </c>
      <c r="E90" s="1508">
        <v>14336</v>
      </c>
      <c r="F90" s="562">
        <v>7877</v>
      </c>
      <c r="G90" s="562">
        <v>7628</v>
      </c>
      <c r="H90" s="562">
        <v>1643</v>
      </c>
      <c r="I90" s="1509">
        <v>0</v>
      </c>
      <c r="J90" s="1508">
        <v>17699</v>
      </c>
      <c r="K90" s="562">
        <v>13785</v>
      </c>
      <c r="L90" s="1509"/>
      <c r="M90" s="1505">
        <v>20179</v>
      </c>
      <c r="N90" s="328">
        <v>8898</v>
      </c>
      <c r="O90" s="328">
        <v>1610</v>
      </c>
      <c r="P90" s="1506">
        <v>797</v>
      </c>
      <c r="Q90" s="329">
        <v>1635</v>
      </c>
    </row>
    <row r="91" spans="1:17" s="329" customFormat="1" x14ac:dyDescent="0.3">
      <c r="A91" s="331" t="s">
        <v>219</v>
      </c>
      <c r="B91" s="327" t="s">
        <v>220</v>
      </c>
      <c r="C91" s="326" t="s">
        <v>254</v>
      </c>
      <c r="D91" s="1532">
        <v>27922</v>
      </c>
      <c r="E91" s="1508">
        <v>13357</v>
      </c>
      <c r="F91" s="562">
        <v>7128</v>
      </c>
      <c r="G91" s="562">
        <v>6089</v>
      </c>
      <c r="H91" s="562">
        <v>1348</v>
      </c>
      <c r="I91" s="1509">
        <v>0</v>
      </c>
      <c r="J91" s="1508">
        <v>15828</v>
      </c>
      <c r="K91" s="562">
        <v>12094</v>
      </c>
      <c r="L91" s="1509"/>
      <c r="M91" s="1505">
        <v>16007</v>
      </c>
      <c r="N91" s="328">
        <v>9018</v>
      </c>
      <c r="O91" s="328">
        <v>2043</v>
      </c>
      <c r="P91" s="1506">
        <v>854</v>
      </c>
      <c r="Q91" s="329">
        <v>2538</v>
      </c>
    </row>
    <row r="92" spans="1:17" s="329" customFormat="1" x14ac:dyDescent="0.3">
      <c r="A92" s="331" t="s">
        <v>223</v>
      </c>
      <c r="B92" s="327" t="s">
        <v>224</v>
      </c>
      <c r="C92" s="326" t="s">
        <v>251</v>
      </c>
      <c r="D92" s="1532">
        <v>1884</v>
      </c>
      <c r="E92" s="1508">
        <v>625</v>
      </c>
      <c r="F92" s="562">
        <v>440</v>
      </c>
      <c r="G92" s="562">
        <v>621</v>
      </c>
      <c r="H92" s="562">
        <v>197</v>
      </c>
      <c r="I92" s="1509">
        <v>1</v>
      </c>
      <c r="J92" s="1508">
        <v>1051</v>
      </c>
      <c r="K92" s="562">
        <v>833</v>
      </c>
      <c r="L92" s="1509"/>
      <c r="M92" s="1505">
        <v>774</v>
      </c>
      <c r="N92" s="328">
        <v>1060</v>
      </c>
      <c r="O92" s="328">
        <v>25</v>
      </c>
      <c r="P92" s="1506">
        <v>25</v>
      </c>
      <c r="Q92" s="329">
        <v>17</v>
      </c>
    </row>
    <row r="93" spans="1:17" s="329" customFormat="1" x14ac:dyDescent="0.3">
      <c r="A93" s="331" t="s">
        <v>225</v>
      </c>
      <c r="B93" s="327" t="s">
        <v>226</v>
      </c>
      <c r="C93" s="326" t="s">
        <v>251</v>
      </c>
      <c r="D93" s="1532">
        <v>5263</v>
      </c>
      <c r="E93" s="1508">
        <v>1296</v>
      </c>
      <c r="F93" s="562">
        <v>1550</v>
      </c>
      <c r="G93" s="562">
        <v>2001</v>
      </c>
      <c r="H93" s="562">
        <v>416</v>
      </c>
      <c r="I93" s="1509">
        <v>0</v>
      </c>
      <c r="J93" s="1508">
        <v>2013</v>
      </c>
      <c r="K93" s="562">
        <v>3250</v>
      </c>
      <c r="L93" s="1509"/>
      <c r="M93" s="1505">
        <v>2027</v>
      </c>
      <c r="N93" s="328">
        <v>3141</v>
      </c>
      <c r="O93" s="328">
        <v>53</v>
      </c>
      <c r="P93" s="1506">
        <v>42</v>
      </c>
      <c r="Q93" s="329">
        <v>89</v>
      </c>
    </row>
    <row r="94" spans="1:17" s="329" customFormat="1" x14ac:dyDescent="0.3">
      <c r="A94" s="331" t="s">
        <v>227</v>
      </c>
      <c r="B94" s="327" t="s">
        <v>228</v>
      </c>
      <c r="C94" s="326" t="s">
        <v>255</v>
      </c>
      <c r="D94" s="1532">
        <v>16424</v>
      </c>
      <c r="E94" s="1508">
        <v>5234</v>
      </c>
      <c r="F94" s="562">
        <v>3895</v>
      </c>
      <c r="G94" s="562">
        <v>5860</v>
      </c>
      <c r="H94" s="562">
        <v>1435</v>
      </c>
      <c r="I94" s="1509">
        <v>0</v>
      </c>
      <c r="J94" s="1508">
        <v>8770</v>
      </c>
      <c r="K94" s="562">
        <v>7654</v>
      </c>
      <c r="L94" s="1509"/>
      <c r="M94" s="1505">
        <v>15460</v>
      </c>
      <c r="N94" s="328">
        <v>643</v>
      </c>
      <c r="O94" s="328">
        <v>106</v>
      </c>
      <c r="P94" s="1506">
        <v>215</v>
      </c>
      <c r="Q94" s="329">
        <v>80</v>
      </c>
    </row>
    <row r="95" spans="1:17" s="329" customFormat="1" x14ac:dyDescent="0.3">
      <c r="A95" s="331" t="s">
        <v>231</v>
      </c>
      <c r="B95" s="327" t="s">
        <v>232</v>
      </c>
      <c r="C95" s="326" t="s">
        <v>254</v>
      </c>
      <c r="D95" s="1532">
        <v>10220</v>
      </c>
      <c r="E95" s="1508">
        <v>4130</v>
      </c>
      <c r="F95" s="562">
        <v>2425</v>
      </c>
      <c r="G95" s="562">
        <v>2945</v>
      </c>
      <c r="H95" s="562">
        <v>719</v>
      </c>
      <c r="I95" s="1509">
        <v>1</v>
      </c>
      <c r="J95" s="1508">
        <v>5579</v>
      </c>
      <c r="K95" s="562">
        <v>4641</v>
      </c>
      <c r="L95" s="1509"/>
      <c r="M95" s="1505">
        <v>8658</v>
      </c>
      <c r="N95" s="328">
        <v>1092</v>
      </c>
      <c r="O95" s="328">
        <v>261</v>
      </c>
      <c r="P95" s="1506">
        <v>209</v>
      </c>
      <c r="Q95" s="329">
        <v>317</v>
      </c>
    </row>
    <row r="96" spans="1:17" s="329" customFormat="1" x14ac:dyDescent="0.3">
      <c r="A96" s="331" t="s">
        <v>233</v>
      </c>
      <c r="B96" s="327" t="s">
        <v>234</v>
      </c>
      <c r="C96" s="326" t="s">
        <v>255</v>
      </c>
      <c r="D96" s="1532">
        <v>15835</v>
      </c>
      <c r="E96" s="1508">
        <v>5408</v>
      </c>
      <c r="F96" s="562">
        <v>3593</v>
      </c>
      <c r="G96" s="562">
        <v>5300</v>
      </c>
      <c r="H96" s="562">
        <v>1533</v>
      </c>
      <c r="I96" s="1509">
        <v>1</v>
      </c>
      <c r="J96" s="1508">
        <v>8810</v>
      </c>
      <c r="K96" s="562">
        <v>7025</v>
      </c>
      <c r="L96" s="1509"/>
      <c r="M96" s="1505">
        <v>14909</v>
      </c>
      <c r="N96" s="328">
        <v>359</v>
      </c>
      <c r="O96" s="328">
        <v>198</v>
      </c>
      <c r="P96" s="1506">
        <v>369</v>
      </c>
      <c r="Q96" s="329">
        <v>242</v>
      </c>
    </row>
    <row r="97" spans="1:17" s="329" customFormat="1" x14ac:dyDescent="0.3">
      <c r="A97" s="331" t="s">
        <v>235</v>
      </c>
      <c r="B97" s="327" t="s">
        <v>236</v>
      </c>
      <c r="C97" s="326" t="s">
        <v>253</v>
      </c>
      <c r="D97" s="1532">
        <v>6375</v>
      </c>
      <c r="E97" s="1508">
        <v>2408</v>
      </c>
      <c r="F97" s="562">
        <v>1384</v>
      </c>
      <c r="G97" s="562">
        <v>1897</v>
      </c>
      <c r="H97" s="562">
        <v>686</v>
      </c>
      <c r="I97" s="1509">
        <v>0</v>
      </c>
      <c r="J97" s="1508">
        <v>3552</v>
      </c>
      <c r="K97" s="562">
        <v>2823</v>
      </c>
      <c r="L97" s="1509"/>
      <c r="M97" s="1505">
        <v>3509</v>
      </c>
      <c r="N97" s="328">
        <v>2563</v>
      </c>
      <c r="O97" s="328">
        <v>171</v>
      </c>
      <c r="P97" s="1506">
        <v>132</v>
      </c>
      <c r="Q97" s="329">
        <v>320</v>
      </c>
    </row>
    <row r="98" spans="1:17" s="329" customFormat="1" x14ac:dyDescent="0.3">
      <c r="A98" s="331" t="s">
        <v>241</v>
      </c>
      <c r="B98" s="327" t="s">
        <v>242</v>
      </c>
      <c r="C98" s="326" t="s">
        <v>255</v>
      </c>
      <c r="D98" s="1532">
        <v>16323</v>
      </c>
      <c r="E98" s="1508">
        <v>5201</v>
      </c>
      <c r="F98" s="562">
        <v>3938</v>
      </c>
      <c r="G98" s="562">
        <v>5894</v>
      </c>
      <c r="H98" s="562">
        <v>1290</v>
      </c>
      <c r="I98" s="1509">
        <v>0</v>
      </c>
      <c r="J98" s="1508">
        <v>8687</v>
      </c>
      <c r="K98" s="562">
        <v>7636</v>
      </c>
      <c r="L98" s="1509"/>
      <c r="M98" s="1505">
        <v>15543</v>
      </c>
      <c r="N98" s="328">
        <v>594</v>
      </c>
      <c r="O98" s="328">
        <v>81</v>
      </c>
      <c r="P98" s="1506">
        <v>105</v>
      </c>
      <c r="Q98" s="329">
        <v>73</v>
      </c>
    </row>
    <row r="99" spans="1:17" s="329" customFormat="1" x14ac:dyDescent="0.3">
      <c r="A99" s="331" t="s">
        <v>243</v>
      </c>
      <c r="B99" s="327" t="s">
        <v>244</v>
      </c>
      <c r="C99" s="326" t="s">
        <v>255</v>
      </c>
      <c r="D99" s="1532">
        <v>9676</v>
      </c>
      <c r="E99" s="1508">
        <v>3245</v>
      </c>
      <c r="F99" s="562">
        <v>2300</v>
      </c>
      <c r="G99" s="562">
        <v>3177</v>
      </c>
      <c r="H99" s="562">
        <v>953</v>
      </c>
      <c r="I99" s="1509">
        <v>1</v>
      </c>
      <c r="J99" s="1508">
        <v>5413</v>
      </c>
      <c r="K99" s="562">
        <v>4263</v>
      </c>
      <c r="L99" s="1509"/>
      <c r="M99" s="1505">
        <v>9010</v>
      </c>
      <c r="N99" s="328">
        <v>489</v>
      </c>
      <c r="O99" s="328">
        <v>63</v>
      </c>
      <c r="P99" s="1506">
        <v>114</v>
      </c>
      <c r="Q99" s="329">
        <v>76</v>
      </c>
    </row>
    <row r="100" spans="1:17" s="329" customFormat="1" x14ac:dyDescent="0.3">
      <c r="A100" s="331" t="s">
        <v>245</v>
      </c>
      <c r="B100" s="327" t="s">
        <v>246</v>
      </c>
      <c r="C100" s="326" t="s">
        <v>251</v>
      </c>
      <c r="D100" s="1532">
        <v>9613</v>
      </c>
      <c r="E100" s="1508">
        <v>4064</v>
      </c>
      <c r="F100" s="562">
        <v>2482</v>
      </c>
      <c r="G100" s="562">
        <v>2466</v>
      </c>
      <c r="H100" s="562">
        <v>600</v>
      </c>
      <c r="I100" s="1509">
        <v>1</v>
      </c>
      <c r="J100" s="1508">
        <v>5516</v>
      </c>
      <c r="K100" s="562">
        <v>4097</v>
      </c>
      <c r="L100" s="1509"/>
      <c r="M100" s="1505">
        <v>5953</v>
      </c>
      <c r="N100" s="328">
        <v>2604</v>
      </c>
      <c r="O100" s="328">
        <v>633</v>
      </c>
      <c r="P100" s="1506">
        <v>423</v>
      </c>
      <c r="Q100" s="329">
        <v>406</v>
      </c>
    </row>
    <row r="101" spans="1:17" s="329" customFormat="1" x14ac:dyDescent="0.3">
      <c r="A101" s="331" t="s">
        <v>13</v>
      </c>
      <c r="B101" s="327" t="s">
        <v>14</v>
      </c>
      <c r="C101" s="326" t="s">
        <v>254</v>
      </c>
      <c r="D101" s="1532">
        <v>28231</v>
      </c>
      <c r="E101" s="1508">
        <v>13629</v>
      </c>
      <c r="F101" s="562">
        <v>5740</v>
      </c>
      <c r="G101" s="562">
        <v>6612</v>
      </c>
      <c r="H101" s="562">
        <v>2250</v>
      </c>
      <c r="I101" s="1509">
        <v>0</v>
      </c>
      <c r="J101" s="1508">
        <v>15465</v>
      </c>
      <c r="K101" s="562">
        <v>12766</v>
      </c>
      <c r="L101" s="1509"/>
      <c r="M101" s="1505">
        <v>13054</v>
      </c>
      <c r="N101" s="328">
        <v>11087</v>
      </c>
      <c r="O101" s="328">
        <v>2786</v>
      </c>
      <c r="P101" s="1506">
        <v>1304</v>
      </c>
      <c r="Q101" s="329">
        <v>2878</v>
      </c>
    </row>
    <row r="102" spans="1:17" s="329" customFormat="1" x14ac:dyDescent="0.3">
      <c r="A102" s="331" t="s">
        <v>33</v>
      </c>
      <c r="B102" s="327" t="s">
        <v>34</v>
      </c>
      <c r="C102" s="326" t="s">
        <v>255</v>
      </c>
      <c r="D102" s="1532">
        <v>8707</v>
      </c>
      <c r="E102" s="1508">
        <v>3021</v>
      </c>
      <c r="F102" s="562">
        <v>2071</v>
      </c>
      <c r="G102" s="562">
        <v>2847</v>
      </c>
      <c r="H102" s="562">
        <v>767</v>
      </c>
      <c r="I102" s="1509">
        <v>1</v>
      </c>
      <c r="J102" s="1508">
        <v>4876</v>
      </c>
      <c r="K102" s="562">
        <v>3831</v>
      </c>
      <c r="L102" s="1509"/>
      <c r="M102" s="1505">
        <v>7357</v>
      </c>
      <c r="N102" s="328">
        <v>1081</v>
      </c>
      <c r="O102" s="328">
        <v>147</v>
      </c>
      <c r="P102" s="1506">
        <v>122</v>
      </c>
      <c r="Q102" s="329">
        <v>129</v>
      </c>
    </row>
    <row r="103" spans="1:17" s="329" customFormat="1" x14ac:dyDescent="0.3">
      <c r="A103" s="331" t="s">
        <v>51</v>
      </c>
      <c r="B103" s="327" t="s">
        <v>52</v>
      </c>
      <c r="C103" s="326" t="s">
        <v>252</v>
      </c>
      <c r="D103" s="1532">
        <v>10226</v>
      </c>
      <c r="E103" s="1508">
        <v>3731</v>
      </c>
      <c r="F103" s="562">
        <v>2516</v>
      </c>
      <c r="G103" s="562">
        <v>3160</v>
      </c>
      <c r="H103" s="562">
        <v>819</v>
      </c>
      <c r="I103" s="1509">
        <v>0</v>
      </c>
      <c r="J103" s="1508">
        <v>5370</v>
      </c>
      <c r="K103" s="562">
        <v>4856</v>
      </c>
      <c r="L103" s="1509"/>
      <c r="M103" s="1505">
        <v>4297</v>
      </c>
      <c r="N103" s="328">
        <v>4848</v>
      </c>
      <c r="O103" s="328">
        <v>688</v>
      </c>
      <c r="P103" s="1506">
        <v>393</v>
      </c>
      <c r="Q103" s="329">
        <v>427</v>
      </c>
    </row>
    <row r="104" spans="1:17" s="329" customFormat="1" x14ac:dyDescent="0.3">
      <c r="A104" s="331" t="s">
        <v>53</v>
      </c>
      <c r="B104" s="327" t="s">
        <v>54</v>
      </c>
      <c r="C104" s="326" t="s">
        <v>251</v>
      </c>
      <c r="D104" s="1532">
        <v>54523</v>
      </c>
      <c r="E104" s="1508">
        <v>22491</v>
      </c>
      <c r="F104" s="562">
        <v>14090</v>
      </c>
      <c r="G104" s="562">
        <v>14598</v>
      </c>
      <c r="H104" s="562">
        <v>3340</v>
      </c>
      <c r="I104" s="1509">
        <v>4</v>
      </c>
      <c r="J104" s="1508">
        <v>31115</v>
      </c>
      <c r="K104" s="562">
        <v>23408</v>
      </c>
      <c r="L104" s="1509"/>
      <c r="M104" s="1505">
        <v>21425</v>
      </c>
      <c r="N104" s="328">
        <v>29512</v>
      </c>
      <c r="O104" s="328">
        <v>2230</v>
      </c>
      <c r="P104" s="1506">
        <v>1356</v>
      </c>
      <c r="Q104" s="329">
        <v>2365</v>
      </c>
    </row>
    <row r="105" spans="1:17" s="329" customFormat="1" x14ac:dyDescent="0.3">
      <c r="A105" s="331" t="s">
        <v>65</v>
      </c>
      <c r="B105" s="327" t="s">
        <v>66</v>
      </c>
      <c r="C105" s="326" t="s">
        <v>252</v>
      </c>
      <c r="D105" s="1532">
        <v>23240</v>
      </c>
      <c r="E105" s="1508">
        <v>7948</v>
      </c>
      <c r="F105" s="562">
        <v>5695</v>
      </c>
      <c r="G105" s="562">
        <v>7182</v>
      </c>
      <c r="H105" s="562">
        <v>2411</v>
      </c>
      <c r="I105" s="1509">
        <v>4</v>
      </c>
      <c r="J105" s="1508">
        <v>13131</v>
      </c>
      <c r="K105" s="562">
        <v>10109</v>
      </c>
      <c r="L105" s="1509"/>
      <c r="M105" s="1505">
        <v>7267</v>
      </c>
      <c r="N105" s="328">
        <v>15250</v>
      </c>
      <c r="O105" s="328">
        <v>482</v>
      </c>
      <c r="P105" s="1506">
        <v>241</v>
      </c>
      <c r="Q105" s="329">
        <v>607</v>
      </c>
    </row>
    <row r="106" spans="1:17" s="329" customFormat="1" x14ac:dyDescent="0.3">
      <c r="A106" s="331" t="s">
        <v>81</v>
      </c>
      <c r="B106" s="327" t="s">
        <v>82</v>
      </c>
      <c r="C106" s="326" t="s">
        <v>251</v>
      </c>
      <c r="D106" s="1532">
        <v>4372</v>
      </c>
      <c r="E106" s="1508">
        <v>1679</v>
      </c>
      <c r="F106" s="562">
        <v>1013</v>
      </c>
      <c r="G106" s="562">
        <v>1277</v>
      </c>
      <c r="H106" s="562">
        <v>403</v>
      </c>
      <c r="I106" s="1509">
        <v>0</v>
      </c>
      <c r="J106" s="1508">
        <v>2514</v>
      </c>
      <c r="K106" s="562">
        <v>1858</v>
      </c>
      <c r="L106" s="1509"/>
      <c r="M106" s="1505">
        <v>733</v>
      </c>
      <c r="N106" s="328">
        <v>3546</v>
      </c>
      <c r="O106" s="328">
        <v>56</v>
      </c>
      <c r="P106" s="1506">
        <v>37</v>
      </c>
      <c r="Q106" s="329">
        <v>72</v>
      </c>
    </row>
    <row r="107" spans="1:17" s="329" customFormat="1" x14ac:dyDescent="0.3">
      <c r="A107" s="331" t="s">
        <v>87</v>
      </c>
      <c r="B107" s="327" t="s">
        <v>88</v>
      </c>
      <c r="C107" s="326" t="s">
        <v>254</v>
      </c>
      <c r="D107" s="1532">
        <v>9917</v>
      </c>
      <c r="E107" s="1508">
        <v>4182</v>
      </c>
      <c r="F107" s="562">
        <v>2542</v>
      </c>
      <c r="G107" s="562">
        <v>2611</v>
      </c>
      <c r="H107" s="562">
        <v>581</v>
      </c>
      <c r="I107" s="1509">
        <v>1</v>
      </c>
      <c r="J107" s="1508">
        <v>5507</v>
      </c>
      <c r="K107" s="562">
        <v>4410</v>
      </c>
      <c r="L107" s="1509"/>
      <c r="M107" s="1505">
        <v>4581</v>
      </c>
      <c r="N107" s="328">
        <v>4356</v>
      </c>
      <c r="O107" s="328">
        <v>790</v>
      </c>
      <c r="P107" s="1506">
        <v>190</v>
      </c>
      <c r="Q107" s="329">
        <v>515</v>
      </c>
    </row>
    <row r="108" spans="1:17" s="329" customFormat="1" x14ac:dyDescent="0.3">
      <c r="A108" s="331" t="s">
        <v>89</v>
      </c>
      <c r="B108" s="327" t="s">
        <v>90</v>
      </c>
      <c r="C108" s="326" t="s">
        <v>255</v>
      </c>
      <c r="D108" s="1532">
        <v>3365</v>
      </c>
      <c r="E108" s="1508">
        <v>1209</v>
      </c>
      <c r="F108" s="562">
        <v>785</v>
      </c>
      <c r="G108" s="562">
        <v>971</v>
      </c>
      <c r="H108" s="562">
        <v>400</v>
      </c>
      <c r="I108" s="1509">
        <v>0</v>
      </c>
      <c r="J108" s="1508">
        <v>1827</v>
      </c>
      <c r="K108" s="562">
        <v>1538</v>
      </c>
      <c r="L108" s="1509"/>
      <c r="M108" s="1505">
        <v>2989</v>
      </c>
      <c r="N108" s="328">
        <v>304</v>
      </c>
      <c r="O108" s="328">
        <v>27</v>
      </c>
      <c r="P108" s="1506">
        <v>45</v>
      </c>
      <c r="Q108" s="329">
        <v>459</v>
      </c>
    </row>
    <row r="109" spans="1:17" s="329" customFormat="1" x14ac:dyDescent="0.3">
      <c r="A109" s="331" t="s">
        <v>105</v>
      </c>
      <c r="B109" s="327" t="s">
        <v>106</v>
      </c>
      <c r="C109" s="326" t="s">
        <v>251</v>
      </c>
      <c r="D109" s="1532">
        <v>44062</v>
      </c>
      <c r="E109" s="1508">
        <v>17378</v>
      </c>
      <c r="F109" s="562">
        <v>11402</v>
      </c>
      <c r="G109" s="562">
        <v>12472</v>
      </c>
      <c r="H109" s="562">
        <v>2806</v>
      </c>
      <c r="I109" s="1509">
        <v>4</v>
      </c>
      <c r="J109" s="1508">
        <v>25430</v>
      </c>
      <c r="K109" s="562">
        <v>18632</v>
      </c>
      <c r="L109" s="1509"/>
      <c r="M109" s="1505">
        <v>11383</v>
      </c>
      <c r="N109" s="328">
        <v>30427</v>
      </c>
      <c r="O109" s="328">
        <v>1524</v>
      </c>
      <c r="P109" s="1506">
        <v>728</v>
      </c>
      <c r="Q109" s="329">
        <v>1695</v>
      </c>
    </row>
    <row r="110" spans="1:17" s="329" customFormat="1" x14ac:dyDescent="0.3">
      <c r="A110" s="331" t="s">
        <v>115</v>
      </c>
      <c r="B110" s="327" t="s">
        <v>116</v>
      </c>
      <c r="C110" s="326" t="s">
        <v>253</v>
      </c>
      <c r="D110" s="1532">
        <v>12928</v>
      </c>
      <c r="E110" s="1508">
        <v>5313</v>
      </c>
      <c r="F110" s="562">
        <v>3387</v>
      </c>
      <c r="G110" s="562">
        <v>3528</v>
      </c>
      <c r="H110" s="562">
        <v>700</v>
      </c>
      <c r="I110" s="1509">
        <v>0</v>
      </c>
      <c r="J110" s="1508">
        <v>7338</v>
      </c>
      <c r="K110" s="562">
        <v>5590</v>
      </c>
      <c r="L110" s="1509"/>
      <c r="M110" s="1505">
        <v>5168</v>
      </c>
      <c r="N110" s="328">
        <v>7386</v>
      </c>
      <c r="O110" s="328">
        <v>258</v>
      </c>
      <c r="P110" s="1506">
        <v>116</v>
      </c>
      <c r="Q110" s="329">
        <v>678</v>
      </c>
    </row>
    <row r="111" spans="1:17" s="329" customFormat="1" x14ac:dyDescent="0.3">
      <c r="A111" s="331" t="s">
        <v>137</v>
      </c>
      <c r="B111" s="327" t="s">
        <v>138</v>
      </c>
      <c r="C111" s="326" t="s">
        <v>252</v>
      </c>
      <c r="D111" s="1532">
        <v>25315</v>
      </c>
      <c r="E111" s="1508">
        <v>9709</v>
      </c>
      <c r="F111" s="562">
        <v>6602</v>
      </c>
      <c r="G111" s="562">
        <v>7062</v>
      </c>
      <c r="H111" s="562">
        <v>1941</v>
      </c>
      <c r="I111" s="1509">
        <v>1</v>
      </c>
      <c r="J111" s="1508">
        <v>14305</v>
      </c>
      <c r="K111" s="562">
        <v>11010</v>
      </c>
      <c r="L111" s="1509"/>
      <c r="M111" s="1505">
        <v>10217</v>
      </c>
      <c r="N111" s="328">
        <v>13882</v>
      </c>
      <c r="O111" s="328">
        <v>518</v>
      </c>
      <c r="P111" s="1506">
        <v>698</v>
      </c>
      <c r="Q111" s="329">
        <v>538</v>
      </c>
    </row>
    <row r="112" spans="1:17" s="329" customFormat="1" x14ac:dyDescent="0.3">
      <c r="A112" s="331" t="s">
        <v>141</v>
      </c>
      <c r="B112" s="327" t="s">
        <v>142</v>
      </c>
      <c r="C112" s="326" t="s">
        <v>254</v>
      </c>
      <c r="D112" s="1532">
        <v>11091</v>
      </c>
      <c r="E112" s="1508">
        <v>6592</v>
      </c>
      <c r="F112" s="562">
        <v>2245</v>
      </c>
      <c r="G112" s="562">
        <v>1844</v>
      </c>
      <c r="H112" s="562">
        <v>410</v>
      </c>
      <c r="I112" s="1509">
        <v>0</v>
      </c>
      <c r="J112" s="1508">
        <v>5999</v>
      </c>
      <c r="K112" s="562">
        <v>5092</v>
      </c>
      <c r="L112" s="1509"/>
      <c r="M112" s="1505">
        <v>8045</v>
      </c>
      <c r="N112" s="328">
        <v>2051</v>
      </c>
      <c r="O112" s="328">
        <v>750</v>
      </c>
      <c r="P112" s="1506">
        <v>245</v>
      </c>
      <c r="Q112" s="329">
        <v>2684</v>
      </c>
    </row>
    <row r="113" spans="1:17" s="329" customFormat="1" x14ac:dyDescent="0.3">
      <c r="A113" s="331" t="s">
        <v>143</v>
      </c>
      <c r="B113" s="327" t="s">
        <v>144</v>
      </c>
      <c r="C113" s="326" t="s">
        <v>254</v>
      </c>
      <c r="D113" s="1532">
        <v>4421</v>
      </c>
      <c r="E113" s="1508">
        <v>2610</v>
      </c>
      <c r="F113" s="562">
        <v>836</v>
      </c>
      <c r="G113" s="562">
        <v>746</v>
      </c>
      <c r="H113" s="562">
        <v>229</v>
      </c>
      <c r="I113" s="1509">
        <v>0</v>
      </c>
      <c r="J113" s="1508">
        <v>2451</v>
      </c>
      <c r="K113" s="562">
        <v>1970</v>
      </c>
      <c r="L113" s="1509"/>
      <c r="M113" s="1505">
        <v>3375</v>
      </c>
      <c r="N113" s="328">
        <v>500</v>
      </c>
      <c r="O113" s="328">
        <v>434</v>
      </c>
      <c r="P113" s="1506">
        <v>112</v>
      </c>
      <c r="Q113" s="329">
        <v>1384</v>
      </c>
    </row>
    <row r="114" spans="1:17" s="329" customFormat="1" x14ac:dyDescent="0.3">
      <c r="A114" s="331" t="s">
        <v>157</v>
      </c>
      <c r="B114" s="327" t="s">
        <v>158</v>
      </c>
      <c r="C114" s="326" t="s">
        <v>251</v>
      </c>
      <c r="D114" s="1532">
        <v>67054</v>
      </c>
      <c r="E114" s="1508">
        <v>28355</v>
      </c>
      <c r="F114" s="562">
        <v>17272</v>
      </c>
      <c r="G114" s="562">
        <v>17419</v>
      </c>
      <c r="H114" s="562">
        <v>4004</v>
      </c>
      <c r="I114" s="1509">
        <v>4</v>
      </c>
      <c r="J114" s="1508">
        <v>39091</v>
      </c>
      <c r="K114" s="562">
        <v>27963</v>
      </c>
      <c r="L114" s="1509"/>
      <c r="M114" s="1505">
        <v>18060</v>
      </c>
      <c r="N114" s="328">
        <v>45477</v>
      </c>
      <c r="O114" s="328">
        <v>2545</v>
      </c>
      <c r="P114" s="1506">
        <v>972</v>
      </c>
      <c r="Q114" s="329">
        <v>4153</v>
      </c>
    </row>
    <row r="115" spans="1:17" s="329" customFormat="1" x14ac:dyDescent="0.3">
      <c r="A115" s="331" t="s">
        <v>159</v>
      </c>
      <c r="B115" s="327" t="s">
        <v>160</v>
      </c>
      <c r="C115" s="326" t="s">
        <v>251</v>
      </c>
      <c r="D115" s="1532">
        <v>81344</v>
      </c>
      <c r="E115" s="1508">
        <v>31725</v>
      </c>
      <c r="F115" s="562">
        <v>20666</v>
      </c>
      <c r="G115" s="562">
        <v>23151</v>
      </c>
      <c r="H115" s="562">
        <v>5799</v>
      </c>
      <c r="I115" s="1509">
        <v>3</v>
      </c>
      <c r="J115" s="1508">
        <v>46737</v>
      </c>
      <c r="K115" s="562">
        <v>34607</v>
      </c>
      <c r="L115" s="1509"/>
      <c r="M115" s="1505">
        <v>19561</v>
      </c>
      <c r="N115" s="328">
        <v>57704</v>
      </c>
      <c r="O115" s="328">
        <v>2643</v>
      </c>
      <c r="P115" s="1506">
        <v>1436</v>
      </c>
      <c r="Q115" s="329">
        <v>3490</v>
      </c>
    </row>
    <row r="116" spans="1:17" s="329" customFormat="1" x14ac:dyDescent="0.3">
      <c r="A116" s="331" t="s">
        <v>165</v>
      </c>
      <c r="B116" s="327" t="s">
        <v>166</v>
      </c>
      <c r="C116" s="326" t="s">
        <v>255</v>
      </c>
      <c r="D116" s="1532">
        <v>1929</v>
      </c>
      <c r="E116" s="1508">
        <v>608</v>
      </c>
      <c r="F116" s="562">
        <v>475</v>
      </c>
      <c r="G116" s="562">
        <v>666</v>
      </c>
      <c r="H116" s="562">
        <v>180</v>
      </c>
      <c r="I116" s="1509">
        <v>0</v>
      </c>
      <c r="J116" s="1508">
        <v>1101</v>
      </c>
      <c r="K116" s="562">
        <v>828</v>
      </c>
      <c r="L116" s="1509"/>
      <c r="M116" s="1505">
        <v>1729</v>
      </c>
      <c r="N116" s="328">
        <v>153</v>
      </c>
      <c r="O116" s="328">
        <v>24</v>
      </c>
      <c r="P116" s="1506">
        <v>23</v>
      </c>
      <c r="Q116" s="329">
        <v>32</v>
      </c>
    </row>
    <row r="117" spans="1:17" s="329" customFormat="1" x14ac:dyDescent="0.3">
      <c r="A117" s="331" t="s">
        <v>175</v>
      </c>
      <c r="B117" s="327" t="s">
        <v>176</v>
      </c>
      <c r="C117" s="326" t="s">
        <v>253</v>
      </c>
      <c r="D117" s="1532">
        <v>20206</v>
      </c>
      <c r="E117" s="1508">
        <v>6788</v>
      </c>
      <c r="F117" s="562">
        <v>5474</v>
      </c>
      <c r="G117" s="562">
        <v>6169</v>
      </c>
      <c r="H117" s="562">
        <v>1773</v>
      </c>
      <c r="I117" s="1509">
        <v>2</v>
      </c>
      <c r="J117" s="1508">
        <v>11215</v>
      </c>
      <c r="K117" s="562">
        <v>8991</v>
      </c>
      <c r="L117" s="1509"/>
      <c r="M117" s="1505">
        <v>2844</v>
      </c>
      <c r="N117" s="328">
        <v>16864</v>
      </c>
      <c r="O117" s="328">
        <v>303</v>
      </c>
      <c r="P117" s="1506">
        <v>195</v>
      </c>
      <c r="Q117" s="329">
        <v>603</v>
      </c>
    </row>
    <row r="118" spans="1:17" s="329" customFormat="1" x14ac:dyDescent="0.3">
      <c r="A118" s="331" t="s">
        <v>179</v>
      </c>
      <c r="B118" s="327" t="s">
        <v>180</v>
      </c>
      <c r="C118" s="326" t="s">
        <v>251</v>
      </c>
      <c r="D118" s="1532">
        <v>43103</v>
      </c>
      <c r="E118" s="1508">
        <v>16975</v>
      </c>
      <c r="F118" s="562">
        <v>10791</v>
      </c>
      <c r="G118" s="562">
        <v>12454</v>
      </c>
      <c r="H118" s="562">
        <v>2862</v>
      </c>
      <c r="I118" s="1509">
        <v>21</v>
      </c>
      <c r="J118" s="1508">
        <v>24522</v>
      </c>
      <c r="K118" s="562">
        <v>18581</v>
      </c>
      <c r="L118" s="1509"/>
      <c r="M118" s="1505">
        <v>8914</v>
      </c>
      <c r="N118" s="328">
        <v>32957</v>
      </c>
      <c r="O118" s="328">
        <v>772</v>
      </c>
      <c r="P118" s="1506">
        <v>460</v>
      </c>
      <c r="Q118" s="329">
        <v>898</v>
      </c>
    </row>
    <row r="119" spans="1:17" s="329" customFormat="1" x14ac:dyDescent="0.3">
      <c r="A119" s="331" t="s">
        <v>191</v>
      </c>
      <c r="B119" s="327" t="s">
        <v>192</v>
      </c>
      <c r="C119" s="326" t="s">
        <v>255</v>
      </c>
      <c r="D119" s="1532">
        <v>3636</v>
      </c>
      <c r="E119" s="1508">
        <v>1294</v>
      </c>
      <c r="F119" s="562">
        <v>1177</v>
      </c>
      <c r="G119" s="562">
        <v>959</v>
      </c>
      <c r="H119" s="562">
        <v>206</v>
      </c>
      <c r="I119" s="1509">
        <v>0</v>
      </c>
      <c r="J119" s="1508">
        <v>2084</v>
      </c>
      <c r="K119" s="562">
        <v>1552</v>
      </c>
      <c r="L119" s="1509"/>
      <c r="M119" s="1505">
        <v>2744</v>
      </c>
      <c r="N119" s="328">
        <v>751</v>
      </c>
      <c r="O119" s="328">
        <v>47</v>
      </c>
      <c r="P119" s="1506">
        <v>94</v>
      </c>
      <c r="Q119" s="329">
        <v>77</v>
      </c>
    </row>
    <row r="120" spans="1:17" s="329" customFormat="1" x14ac:dyDescent="0.3">
      <c r="A120" s="331" t="s">
        <v>195</v>
      </c>
      <c r="B120" s="327" t="s">
        <v>196</v>
      </c>
      <c r="C120" s="326" t="s">
        <v>253</v>
      </c>
      <c r="D120" s="1532">
        <v>86057</v>
      </c>
      <c r="E120" s="1508">
        <v>30532</v>
      </c>
      <c r="F120" s="562">
        <v>23283</v>
      </c>
      <c r="G120" s="562">
        <v>25157</v>
      </c>
      <c r="H120" s="562">
        <v>7067</v>
      </c>
      <c r="I120" s="1509">
        <v>18</v>
      </c>
      <c r="J120" s="1508">
        <v>47070</v>
      </c>
      <c r="K120" s="562">
        <v>38987</v>
      </c>
      <c r="L120" s="1509"/>
      <c r="M120" s="1505">
        <v>17869</v>
      </c>
      <c r="N120" s="328">
        <v>63529</v>
      </c>
      <c r="O120" s="328">
        <v>1919</v>
      </c>
      <c r="P120" s="1506">
        <v>2740</v>
      </c>
      <c r="Q120" s="329">
        <v>3777</v>
      </c>
    </row>
    <row r="121" spans="1:17" s="329" customFormat="1" x14ac:dyDescent="0.3">
      <c r="A121" s="331" t="s">
        <v>199</v>
      </c>
      <c r="B121" s="327" t="s">
        <v>200</v>
      </c>
      <c r="C121" s="326" t="s">
        <v>252</v>
      </c>
      <c r="D121" s="1532">
        <v>43785</v>
      </c>
      <c r="E121" s="1508">
        <v>17411</v>
      </c>
      <c r="F121" s="562">
        <v>10219</v>
      </c>
      <c r="G121" s="562">
        <v>12913</v>
      </c>
      <c r="H121" s="562">
        <v>3228</v>
      </c>
      <c r="I121" s="1509">
        <v>14</v>
      </c>
      <c r="J121" s="1508">
        <v>24217</v>
      </c>
      <c r="K121" s="562">
        <v>19568</v>
      </c>
      <c r="L121" s="1509"/>
      <c r="M121" s="1505">
        <v>22772</v>
      </c>
      <c r="N121" s="328">
        <v>18701</v>
      </c>
      <c r="O121" s="328">
        <v>1649</v>
      </c>
      <c r="P121" s="1506">
        <v>663</v>
      </c>
      <c r="Q121" s="329">
        <v>1715</v>
      </c>
    </row>
    <row r="122" spans="1:17" s="329" customFormat="1" x14ac:dyDescent="0.3">
      <c r="A122" s="331" t="s">
        <v>221</v>
      </c>
      <c r="B122" s="327" t="s">
        <v>222</v>
      </c>
      <c r="C122" s="326" t="s">
        <v>251</v>
      </c>
      <c r="D122" s="1532">
        <v>24098</v>
      </c>
      <c r="E122" s="1508">
        <v>9610</v>
      </c>
      <c r="F122" s="562">
        <v>5834</v>
      </c>
      <c r="G122" s="562">
        <v>6761</v>
      </c>
      <c r="H122" s="562">
        <v>1891</v>
      </c>
      <c r="I122" s="1509">
        <v>2</v>
      </c>
      <c r="J122" s="1508">
        <v>13813</v>
      </c>
      <c r="K122" s="562">
        <v>10285</v>
      </c>
      <c r="L122" s="1509"/>
      <c r="M122" s="1505">
        <v>6327</v>
      </c>
      <c r="N122" s="328">
        <v>16737</v>
      </c>
      <c r="O122" s="328">
        <v>583</v>
      </c>
      <c r="P122" s="1506">
        <v>451</v>
      </c>
      <c r="Q122" s="329">
        <v>566</v>
      </c>
    </row>
    <row r="123" spans="1:17" s="329" customFormat="1" x14ac:dyDescent="0.3">
      <c r="A123" s="331" t="s">
        <v>229</v>
      </c>
      <c r="B123" s="327" t="s">
        <v>230</v>
      </c>
      <c r="C123" s="326" t="s">
        <v>251</v>
      </c>
      <c r="D123" s="1532">
        <v>85630</v>
      </c>
      <c r="E123" s="1508">
        <v>35484</v>
      </c>
      <c r="F123" s="562">
        <v>22257</v>
      </c>
      <c r="G123" s="562">
        <v>22766</v>
      </c>
      <c r="H123" s="562">
        <v>5119</v>
      </c>
      <c r="I123" s="1509">
        <v>4</v>
      </c>
      <c r="J123" s="1508">
        <v>49369</v>
      </c>
      <c r="K123" s="562">
        <v>36261</v>
      </c>
      <c r="L123" s="1509"/>
      <c r="M123" s="1505">
        <v>40689</v>
      </c>
      <c r="N123" s="328">
        <v>35451</v>
      </c>
      <c r="O123" s="328">
        <v>5903</v>
      </c>
      <c r="P123" s="1506">
        <v>3587</v>
      </c>
      <c r="Q123" s="329">
        <v>4783</v>
      </c>
    </row>
    <row r="124" spans="1:17" s="329" customFormat="1" x14ac:dyDescent="0.3">
      <c r="A124" s="331" t="s">
        <v>237</v>
      </c>
      <c r="B124" s="327" t="s">
        <v>238</v>
      </c>
      <c r="C124" s="326" t="s">
        <v>251</v>
      </c>
      <c r="D124" s="1532">
        <v>2948</v>
      </c>
      <c r="E124" s="1508">
        <v>1173</v>
      </c>
      <c r="F124" s="562">
        <v>720</v>
      </c>
      <c r="G124" s="562">
        <v>884</v>
      </c>
      <c r="H124" s="562">
        <v>171</v>
      </c>
      <c r="I124" s="1509">
        <v>0</v>
      </c>
      <c r="J124" s="1508">
        <v>1599</v>
      </c>
      <c r="K124" s="562">
        <v>1349</v>
      </c>
      <c r="L124" s="1509"/>
      <c r="M124" s="1505">
        <v>1447</v>
      </c>
      <c r="N124" s="328">
        <v>1259</v>
      </c>
      <c r="O124" s="328">
        <v>146</v>
      </c>
      <c r="P124" s="1506">
        <v>96</v>
      </c>
      <c r="Q124" s="329">
        <v>194</v>
      </c>
    </row>
    <row r="125" spans="1:17" s="329" customFormat="1" x14ac:dyDescent="0.3">
      <c r="A125" s="331" t="s">
        <v>239</v>
      </c>
      <c r="B125" s="327" t="s">
        <v>240</v>
      </c>
      <c r="C125" s="326" t="s">
        <v>254</v>
      </c>
      <c r="D125" s="1532">
        <v>9260</v>
      </c>
      <c r="E125" s="1508">
        <v>4231</v>
      </c>
      <c r="F125" s="562">
        <v>2069</v>
      </c>
      <c r="G125" s="562">
        <v>2355</v>
      </c>
      <c r="H125" s="562">
        <v>605</v>
      </c>
      <c r="I125" s="1509">
        <v>0</v>
      </c>
      <c r="J125" s="1508">
        <v>4933</v>
      </c>
      <c r="K125" s="562">
        <v>4327</v>
      </c>
      <c r="L125" s="1509"/>
      <c r="M125" s="1505">
        <v>7150</v>
      </c>
      <c r="N125" s="328">
        <v>1748</v>
      </c>
      <c r="O125" s="328">
        <v>187</v>
      </c>
      <c r="P125" s="1506">
        <v>175</v>
      </c>
      <c r="Q125" s="329">
        <v>1320</v>
      </c>
    </row>
    <row r="126" spans="1:17" x14ac:dyDescent="0.3">
      <c r="B126" s="252"/>
      <c r="C126" s="252"/>
      <c r="D126" s="252"/>
      <c r="E126" s="252"/>
      <c r="F126" s="252"/>
      <c r="G126" s="252"/>
      <c r="H126" s="252"/>
      <c r="I126" s="252"/>
      <c r="J126" s="252"/>
      <c r="K126" s="252"/>
      <c r="L126" s="252"/>
    </row>
    <row r="128" spans="1:17" ht="67.5" customHeight="1" x14ac:dyDescent="0.3">
      <c r="A128" s="2551" t="s">
        <v>931</v>
      </c>
      <c r="B128" s="2551"/>
      <c r="C128" s="2551"/>
      <c r="D128" s="2551"/>
      <c r="E128" s="2551"/>
      <c r="F128" s="2551"/>
      <c r="G128" s="2551"/>
      <c r="H128" s="2551"/>
      <c r="I128" s="2551"/>
      <c r="J128" s="653"/>
      <c r="K128" s="653"/>
      <c r="L128" s="1541"/>
    </row>
    <row r="129" spans="1:12" ht="39" customHeight="1" x14ac:dyDescent="0.3"/>
    <row r="130" spans="1:12" s="193" customFormat="1" ht="39" customHeight="1" x14ac:dyDescent="0.3">
      <c r="A130" s="193" t="s">
        <v>247</v>
      </c>
    </row>
    <row r="131" spans="1:12" s="193" customFormat="1" x14ac:dyDescent="0.3">
      <c r="A131" s="194" t="s">
        <v>248</v>
      </c>
      <c r="B131" s="195" t="s">
        <v>249</v>
      </c>
      <c r="C131" s="195"/>
      <c r="D131" s="195"/>
      <c r="E131" s="195"/>
      <c r="F131" s="195"/>
      <c r="G131" s="195"/>
      <c r="H131" s="195"/>
      <c r="I131" s="195"/>
      <c r="J131" s="195"/>
      <c r="K131" s="195"/>
      <c r="L131" s="195"/>
    </row>
  </sheetData>
  <sortState ref="A6:Q125">
    <sortCondition ref="A6:A125"/>
  </sortState>
  <mergeCells count="4">
    <mergeCell ref="A128:I128"/>
    <mergeCell ref="M3:P3"/>
    <mergeCell ref="E3:I3"/>
    <mergeCell ref="J3:L3"/>
  </mergeCells>
  <hyperlinks>
    <hyperlink ref="B131"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G130"/>
  <sheetViews>
    <sheetView zoomScaleNormal="100" workbookViewId="0">
      <pane xSplit="3" ySplit="5" topLeftCell="D114" activePane="bottomRight" state="frozen"/>
      <selection pane="topRight" activeCell="D1" sqref="D1"/>
      <selection pane="bottomLeft" activeCell="A6" sqref="A6"/>
      <selection pane="bottomRight" activeCell="A2" sqref="A2"/>
    </sheetView>
  </sheetViews>
  <sheetFormatPr defaultColWidth="9" defaultRowHeight="15.6" x14ac:dyDescent="0.3"/>
  <cols>
    <col min="1" max="1" width="6.796875" style="292" bestFit="1" customWidth="1"/>
    <col min="2" max="2" width="30.796875" style="296" customWidth="1"/>
    <col min="3" max="3" width="12.796875" style="296" customWidth="1"/>
    <col min="4" max="4" width="7.69921875" style="292" bestFit="1" customWidth="1"/>
    <col min="5" max="5" width="8.796875" style="292" bestFit="1" customWidth="1"/>
    <col min="6" max="6" width="9" style="292" customWidth="1"/>
    <col min="7" max="7" width="9.5" style="292" customWidth="1"/>
    <col min="8" max="8" width="11.59765625" style="292" customWidth="1"/>
    <col min="9" max="10" width="9" style="292" customWidth="1"/>
    <col min="11" max="11" width="10.69921875" style="292" customWidth="1"/>
    <col min="12" max="12" width="11.69921875" style="292" customWidth="1"/>
    <col min="13" max="13" width="9" style="292" customWidth="1"/>
    <col min="14" max="14" width="1.5" style="292" customWidth="1"/>
    <col min="15" max="16" width="12" style="292" customWidth="1"/>
    <col min="17" max="17" width="2.69921875" style="292" customWidth="1"/>
    <col min="18" max="18" width="7.09765625" style="292" bestFit="1" customWidth="1"/>
    <col min="19" max="19" width="9" style="292"/>
    <col min="20" max="20" width="3.59765625" style="292" customWidth="1"/>
    <col min="21" max="25" width="10.796875" style="292" customWidth="1"/>
    <col min="26" max="16384" width="9" style="292"/>
  </cols>
  <sheetData>
    <row r="1" spans="1:33" ht="15.75" customHeight="1" x14ac:dyDescent="0.3">
      <c r="A1" s="632" t="s">
        <v>922</v>
      </c>
      <c r="B1" s="291"/>
      <c r="C1" s="291"/>
      <c r="D1" s="291"/>
      <c r="E1" s="291"/>
      <c r="F1" s="291"/>
      <c r="G1" s="291"/>
      <c r="H1" s="291"/>
      <c r="I1" s="291"/>
      <c r="J1" s="291"/>
      <c r="K1" s="291"/>
      <c r="L1" s="291"/>
      <c r="M1" s="291"/>
      <c r="N1" s="291"/>
      <c r="O1" s="291"/>
      <c r="P1" s="291"/>
      <c r="Q1" s="291"/>
      <c r="R1" s="291"/>
      <c r="S1" s="291"/>
    </row>
    <row r="2" spans="1:33" x14ac:dyDescent="0.3">
      <c r="A2" s="293"/>
      <c r="B2" s="293"/>
      <c r="C2" s="293"/>
      <c r="D2" s="293"/>
      <c r="E2" s="291"/>
      <c r="F2" s="291"/>
      <c r="G2" s="291"/>
      <c r="H2" s="291"/>
      <c r="I2" s="291"/>
      <c r="J2" s="291"/>
      <c r="K2" s="291"/>
      <c r="L2" s="291"/>
      <c r="M2" s="291"/>
      <c r="N2" s="291"/>
      <c r="O2" s="291"/>
      <c r="P2" s="291"/>
      <c r="Q2" s="291"/>
      <c r="R2" s="295"/>
      <c r="S2" s="295"/>
    </row>
    <row r="3" spans="1:33" ht="15.75" customHeight="1" x14ac:dyDescent="0.3">
      <c r="D3" s="2562" t="s">
        <v>497</v>
      </c>
      <c r="E3" s="2562"/>
      <c r="F3" s="2562"/>
      <c r="G3" s="2562"/>
      <c r="H3" s="2562"/>
      <c r="I3" s="2562"/>
      <c r="J3" s="2562"/>
      <c r="K3" s="2562"/>
      <c r="L3" s="2562"/>
      <c r="M3" s="2562"/>
      <c r="N3" s="297"/>
      <c r="O3" s="297"/>
      <c r="P3" s="297"/>
      <c r="Q3" s="297"/>
      <c r="R3" s="2559" t="s">
        <v>261</v>
      </c>
      <c r="S3" s="2559"/>
    </row>
    <row r="4" spans="1:33" ht="62.4" x14ac:dyDescent="0.3">
      <c r="A4" s="298" t="s">
        <v>4</v>
      </c>
      <c r="B4" s="299" t="s">
        <v>5</v>
      </c>
      <c r="C4" s="294" t="s">
        <v>250</v>
      </c>
      <c r="D4" s="964" t="s">
        <v>262</v>
      </c>
      <c r="E4" s="964" t="s">
        <v>2</v>
      </c>
      <c r="F4" s="964" t="s">
        <v>298</v>
      </c>
      <c r="G4" s="964" t="s">
        <v>379</v>
      </c>
      <c r="H4" s="964" t="s">
        <v>632</v>
      </c>
      <c r="I4" s="964" t="s">
        <v>629</v>
      </c>
      <c r="J4" s="964" t="s">
        <v>383</v>
      </c>
      <c r="K4" s="964" t="s">
        <v>530</v>
      </c>
      <c r="L4" s="964" t="s">
        <v>741</v>
      </c>
      <c r="M4" s="964" t="s">
        <v>613</v>
      </c>
      <c r="N4" s="300"/>
      <c r="O4" s="630" t="s">
        <v>742</v>
      </c>
      <c r="P4" s="964" t="s">
        <v>743</v>
      </c>
      <c r="Q4" s="630"/>
      <c r="R4" s="300" t="s">
        <v>2</v>
      </c>
      <c r="S4" s="300" t="s">
        <v>3</v>
      </c>
      <c r="U4" s="821" t="s">
        <v>717</v>
      </c>
      <c r="V4" s="821" t="s">
        <v>718</v>
      </c>
      <c r="W4" s="821" t="s">
        <v>619</v>
      </c>
      <c r="X4" s="821" t="s">
        <v>620</v>
      </c>
      <c r="Y4" s="821" t="s">
        <v>621</v>
      </c>
      <c r="Z4" s="821" t="s">
        <v>622</v>
      </c>
      <c r="AA4" s="821" t="s">
        <v>500</v>
      </c>
      <c r="AB4" s="821" t="s">
        <v>262</v>
      </c>
      <c r="AC4" s="821" t="s">
        <v>618</v>
      </c>
      <c r="AD4" s="821" t="s">
        <v>619</v>
      </c>
      <c r="AE4" s="1092" t="s">
        <v>620</v>
      </c>
      <c r="AF4" s="821" t="s">
        <v>621</v>
      </c>
      <c r="AG4" s="821" t="s">
        <v>622</v>
      </c>
    </row>
    <row r="5" spans="1:33" x14ac:dyDescent="0.3">
      <c r="A5" s="301" t="s">
        <v>7</v>
      </c>
      <c r="B5" s="302" t="s">
        <v>8</v>
      </c>
      <c r="C5" s="302"/>
      <c r="D5" s="303">
        <f t="shared" ref="D5:M5" si="0">SUM(D6:D125)</f>
        <v>4739</v>
      </c>
      <c r="E5" s="303">
        <f t="shared" si="0"/>
        <v>2427</v>
      </c>
      <c r="F5" s="303">
        <f t="shared" si="0"/>
        <v>1236</v>
      </c>
      <c r="G5" s="303">
        <f t="shared" si="0"/>
        <v>36</v>
      </c>
      <c r="H5" s="303">
        <f t="shared" si="0"/>
        <v>5</v>
      </c>
      <c r="I5" s="303">
        <f t="shared" si="0"/>
        <v>4</v>
      </c>
      <c r="J5" s="303">
        <f>SUM(J6:J125)</f>
        <v>468</v>
      </c>
      <c r="K5" s="303">
        <f>SUM(K6:K125)</f>
        <v>506</v>
      </c>
      <c r="L5" s="303">
        <f t="shared" si="0"/>
        <v>55</v>
      </c>
      <c r="M5" s="303">
        <f t="shared" si="0"/>
        <v>2</v>
      </c>
      <c r="N5" s="304"/>
      <c r="O5" s="304">
        <f>SUM(O6:O125)</f>
        <v>1019</v>
      </c>
      <c r="P5" s="304">
        <f>SUM(P6:P125)</f>
        <v>57</v>
      </c>
      <c r="Q5" s="304"/>
      <c r="R5" s="305">
        <f>+E5/D5</f>
        <v>0.51213336146866428</v>
      </c>
      <c r="S5" s="305">
        <f>+F5/D5</f>
        <v>0.26081451783076598</v>
      </c>
      <c r="U5" s="304">
        <f t="shared" ref="U5:AG5" si="1">SUM(U6:U125)</f>
        <v>251</v>
      </c>
      <c r="V5" s="304">
        <f t="shared" si="1"/>
        <v>1297</v>
      </c>
      <c r="W5" s="304">
        <f t="shared" si="1"/>
        <v>976</v>
      </c>
      <c r="X5" s="304">
        <f t="shared" si="1"/>
        <v>1211</v>
      </c>
      <c r="Y5" s="304">
        <f t="shared" si="1"/>
        <v>1004</v>
      </c>
      <c r="Z5" s="304">
        <f t="shared" si="1"/>
        <v>0</v>
      </c>
      <c r="AA5" s="304">
        <f t="shared" si="1"/>
        <v>0</v>
      </c>
      <c r="AB5" s="304">
        <f t="shared" si="1"/>
        <v>4739</v>
      </c>
      <c r="AC5" s="304">
        <f t="shared" si="1"/>
        <v>1548</v>
      </c>
      <c r="AD5" s="304">
        <f t="shared" si="1"/>
        <v>976</v>
      </c>
      <c r="AE5" s="304">
        <f t="shared" si="1"/>
        <v>1211</v>
      </c>
      <c r="AF5" s="304">
        <f t="shared" si="1"/>
        <v>1004</v>
      </c>
      <c r="AG5" s="304">
        <f t="shared" si="1"/>
        <v>0</v>
      </c>
    </row>
    <row r="6" spans="1:33" x14ac:dyDescent="0.3">
      <c r="A6" s="306" t="s">
        <v>9</v>
      </c>
      <c r="B6" s="307" t="s">
        <v>10</v>
      </c>
      <c r="C6" s="308" t="s">
        <v>251</v>
      </c>
      <c r="D6" s="309">
        <v>12</v>
      </c>
      <c r="E6" s="309">
        <v>7</v>
      </c>
      <c r="F6" s="309">
        <v>5</v>
      </c>
      <c r="G6" s="309">
        <v>0</v>
      </c>
      <c r="H6" s="309">
        <v>0</v>
      </c>
      <c r="I6" s="309">
        <v>0</v>
      </c>
      <c r="J6" s="309">
        <v>0</v>
      </c>
      <c r="K6" s="309">
        <v>0</v>
      </c>
      <c r="L6" s="309">
        <v>0</v>
      </c>
      <c r="M6" s="309">
        <v>0</v>
      </c>
      <c r="N6" s="310"/>
      <c r="O6" s="310">
        <f t="shared" ref="O6:O37" si="2">SUM(G6:K6)</f>
        <v>0</v>
      </c>
      <c r="P6" s="310">
        <f t="shared" ref="P6:P37" si="3">L6+M6</f>
        <v>0</v>
      </c>
      <c r="Q6" s="310"/>
      <c r="R6" s="311">
        <f t="shared" ref="R6:R37" si="4">IF(D6=0,"N/A",+E6/D6)</f>
        <v>0.58333333333333337</v>
      </c>
      <c r="S6" s="311">
        <f t="shared" ref="S6:S37" si="5">IF(D6=0,"N/A",+F6/D6)</f>
        <v>0.41666666666666669</v>
      </c>
      <c r="U6" s="292">
        <v>3</v>
      </c>
      <c r="V6" s="292">
        <v>3</v>
      </c>
      <c r="W6" s="292">
        <v>3</v>
      </c>
      <c r="X6" s="292">
        <v>0</v>
      </c>
      <c r="Y6" s="292">
        <v>3</v>
      </c>
      <c r="Z6" s="292">
        <v>0</v>
      </c>
      <c r="AA6" s="292">
        <v>0</v>
      </c>
      <c r="AB6" s="292">
        <v>12</v>
      </c>
      <c r="AC6" s="292">
        <f t="shared" ref="AC6:AC37" si="6">U6+V6</f>
        <v>6</v>
      </c>
      <c r="AD6" s="292">
        <f t="shared" ref="AD6:AD37" si="7">W6</f>
        <v>3</v>
      </c>
      <c r="AE6" s="292">
        <f t="shared" ref="AE6:AE37" si="8">X6</f>
        <v>0</v>
      </c>
      <c r="AF6" s="292">
        <f t="shared" ref="AF6:AF37" si="9">Y6</f>
        <v>3</v>
      </c>
      <c r="AG6" s="292">
        <f t="shared" ref="AG6:AG37" si="10">Z6</f>
        <v>0</v>
      </c>
    </row>
    <row r="7" spans="1:33" x14ac:dyDescent="0.3">
      <c r="A7" s="306" t="s">
        <v>11</v>
      </c>
      <c r="B7" s="307" t="s">
        <v>12</v>
      </c>
      <c r="C7" s="308" t="s">
        <v>252</v>
      </c>
      <c r="D7" s="309">
        <v>85</v>
      </c>
      <c r="E7" s="309">
        <v>35</v>
      </c>
      <c r="F7" s="309">
        <v>32</v>
      </c>
      <c r="G7" s="309">
        <v>0</v>
      </c>
      <c r="H7" s="309">
        <v>0</v>
      </c>
      <c r="I7" s="309">
        <v>0</v>
      </c>
      <c r="J7" s="309">
        <v>5</v>
      </c>
      <c r="K7" s="309">
        <v>13</v>
      </c>
      <c r="L7" s="309">
        <v>0</v>
      </c>
      <c r="M7" s="309">
        <v>0</v>
      </c>
      <c r="N7" s="310"/>
      <c r="O7" s="310">
        <f t="shared" si="2"/>
        <v>18</v>
      </c>
      <c r="P7" s="310">
        <f t="shared" si="3"/>
        <v>0</v>
      </c>
      <c r="Q7" s="310"/>
      <c r="R7" s="311">
        <f t="shared" si="4"/>
        <v>0.41176470588235292</v>
      </c>
      <c r="S7" s="311">
        <f t="shared" si="5"/>
        <v>0.37647058823529411</v>
      </c>
      <c r="U7" s="292">
        <v>2</v>
      </c>
      <c r="V7" s="292">
        <v>24</v>
      </c>
      <c r="W7" s="292">
        <v>24</v>
      </c>
      <c r="X7" s="292">
        <v>24</v>
      </c>
      <c r="Y7" s="292">
        <v>11</v>
      </c>
      <c r="Z7" s="292">
        <v>0</v>
      </c>
      <c r="AA7" s="292">
        <v>0</v>
      </c>
      <c r="AB7" s="292">
        <v>85</v>
      </c>
      <c r="AC7" s="292">
        <f t="shared" si="6"/>
        <v>26</v>
      </c>
      <c r="AD7" s="292">
        <f t="shared" si="7"/>
        <v>24</v>
      </c>
      <c r="AE7" s="292">
        <f t="shared" si="8"/>
        <v>24</v>
      </c>
      <c r="AF7" s="292">
        <f t="shared" si="9"/>
        <v>11</v>
      </c>
      <c r="AG7" s="292">
        <f t="shared" si="10"/>
        <v>0</v>
      </c>
    </row>
    <row r="8" spans="1:33" x14ac:dyDescent="0.3">
      <c r="A8" s="306" t="s">
        <v>15</v>
      </c>
      <c r="B8" s="307" t="s">
        <v>16</v>
      </c>
      <c r="C8" s="308" t="s">
        <v>252</v>
      </c>
      <c r="D8" s="309">
        <v>21</v>
      </c>
      <c r="E8" s="309">
        <v>12</v>
      </c>
      <c r="F8" s="309">
        <v>3</v>
      </c>
      <c r="G8" s="309">
        <v>0</v>
      </c>
      <c r="H8" s="309">
        <v>0</v>
      </c>
      <c r="I8" s="309">
        <v>0</v>
      </c>
      <c r="J8" s="309">
        <v>2</v>
      </c>
      <c r="K8" s="309">
        <v>4</v>
      </c>
      <c r="L8" s="309">
        <v>0</v>
      </c>
      <c r="M8" s="309">
        <v>0</v>
      </c>
      <c r="N8" s="310"/>
      <c r="O8" s="310">
        <f t="shared" si="2"/>
        <v>6</v>
      </c>
      <c r="P8" s="310">
        <f t="shared" si="3"/>
        <v>0</v>
      </c>
      <c r="Q8" s="310"/>
      <c r="R8" s="311">
        <f t="shared" si="4"/>
        <v>0.5714285714285714</v>
      </c>
      <c r="S8" s="311">
        <f t="shared" si="5"/>
        <v>0.14285714285714285</v>
      </c>
      <c r="U8" s="292">
        <v>0</v>
      </c>
      <c r="V8" s="292">
        <v>1</v>
      </c>
      <c r="W8" s="292">
        <v>9</v>
      </c>
      <c r="X8" s="292">
        <v>5</v>
      </c>
      <c r="Y8" s="292">
        <v>6</v>
      </c>
      <c r="Z8" s="292">
        <v>0</v>
      </c>
      <c r="AA8" s="292">
        <v>0</v>
      </c>
      <c r="AB8" s="292">
        <v>21</v>
      </c>
      <c r="AC8" s="292">
        <f t="shared" si="6"/>
        <v>1</v>
      </c>
      <c r="AD8" s="292">
        <f t="shared" si="7"/>
        <v>9</v>
      </c>
      <c r="AE8" s="292">
        <f t="shared" si="8"/>
        <v>5</v>
      </c>
      <c r="AF8" s="292">
        <f t="shared" si="9"/>
        <v>6</v>
      </c>
      <c r="AG8" s="292">
        <f t="shared" si="10"/>
        <v>0</v>
      </c>
    </row>
    <row r="9" spans="1:33" x14ac:dyDescent="0.3">
      <c r="A9" s="306" t="s">
        <v>17</v>
      </c>
      <c r="B9" s="307" t="s">
        <v>18</v>
      </c>
      <c r="C9" s="308" t="s">
        <v>253</v>
      </c>
      <c r="D9" s="309">
        <v>3</v>
      </c>
      <c r="E9" s="309">
        <v>3</v>
      </c>
      <c r="F9" s="309">
        <v>0</v>
      </c>
      <c r="G9" s="309">
        <v>0</v>
      </c>
      <c r="H9" s="309">
        <v>0</v>
      </c>
      <c r="I9" s="309">
        <v>0</v>
      </c>
      <c r="J9" s="309">
        <v>0</v>
      </c>
      <c r="K9" s="309">
        <v>0</v>
      </c>
      <c r="L9" s="309">
        <v>0</v>
      </c>
      <c r="M9" s="309">
        <v>0</v>
      </c>
      <c r="N9" s="310"/>
      <c r="O9" s="310">
        <f t="shared" si="2"/>
        <v>0</v>
      </c>
      <c r="P9" s="310">
        <f t="shared" si="3"/>
        <v>0</v>
      </c>
      <c r="Q9" s="310"/>
      <c r="R9" s="311">
        <f t="shared" si="4"/>
        <v>1</v>
      </c>
      <c r="S9" s="311">
        <f t="shared" si="5"/>
        <v>0</v>
      </c>
      <c r="U9" s="292">
        <v>0</v>
      </c>
      <c r="V9" s="292">
        <v>1</v>
      </c>
      <c r="W9" s="292">
        <v>2</v>
      </c>
      <c r="X9" s="292">
        <v>0</v>
      </c>
      <c r="Y9" s="292">
        <v>0</v>
      </c>
      <c r="Z9" s="292">
        <v>0</v>
      </c>
      <c r="AA9" s="292">
        <v>0</v>
      </c>
      <c r="AB9" s="292">
        <v>3</v>
      </c>
      <c r="AC9" s="292">
        <f t="shared" si="6"/>
        <v>1</v>
      </c>
      <c r="AD9" s="292">
        <f t="shared" si="7"/>
        <v>2</v>
      </c>
      <c r="AE9" s="292">
        <f t="shared" si="8"/>
        <v>0</v>
      </c>
      <c r="AF9" s="292">
        <f t="shared" si="9"/>
        <v>0</v>
      </c>
      <c r="AG9" s="292">
        <f t="shared" si="10"/>
        <v>0</v>
      </c>
    </row>
    <row r="10" spans="1:33" x14ac:dyDescent="0.3">
      <c r="A10" s="306" t="s">
        <v>19</v>
      </c>
      <c r="B10" s="307" t="s">
        <v>20</v>
      </c>
      <c r="C10" s="308" t="s">
        <v>252</v>
      </c>
      <c r="D10" s="309">
        <v>27</v>
      </c>
      <c r="E10" s="309">
        <v>17</v>
      </c>
      <c r="F10" s="309">
        <v>7</v>
      </c>
      <c r="G10" s="309">
        <v>0</v>
      </c>
      <c r="H10" s="309">
        <v>0</v>
      </c>
      <c r="I10" s="309">
        <v>0</v>
      </c>
      <c r="J10" s="309">
        <v>3</v>
      </c>
      <c r="K10" s="309">
        <v>0</v>
      </c>
      <c r="L10" s="309">
        <v>0</v>
      </c>
      <c r="M10" s="309">
        <v>0</v>
      </c>
      <c r="N10" s="310"/>
      <c r="O10" s="310">
        <f t="shared" si="2"/>
        <v>3</v>
      </c>
      <c r="P10" s="310">
        <f t="shared" si="3"/>
        <v>0</v>
      </c>
      <c r="Q10" s="310"/>
      <c r="R10" s="311">
        <f t="shared" si="4"/>
        <v>0.62962962962962965</v>
      </c>
      <c r="S10" s="311">
        <f t="shared" si="5"/>
        <v>0.25925925925925924</v>
      </c>
      <c r="U10" s="292">
        <v>2</v>
      </c>
      <c r="V10" s="292">
        <v>7</v>
      </c>
      <c r="W10" s="292">
        <v>6</v>
      </c>
      <c r="X10" s="292">
        <v>6</v>
      </c>
      <c r="Y10" s="292">
        <v>6</v>
      </c>
      <c r="Z10" s="292">
        <v>0</v>
      </c>
      <c r="AA10" s="292">
        <v>0</v>
      </c>
      <c r="AB10" s="292">
        <v>27</v>
      </c>
      <c r="AC10" s="292">
        <f t="shared" si="6"/>
        <v>9</v>
      </c>
      <c r="AD10" s="292">
        <f t="shared" si="7"/>
        <v>6</v>
      </c>
      <c r="AE10" s="292">
        <f t="shared" si="8"/>
        <v>6</v>
      </c>
      <c r="AF10" s="292">
        <f t="shared" si="9"/>
        <v>6</v>
      </c>
      <c r="AG10" s="292">
        <f t="shared" si="10"/>
        <v>0</v>
      </c>
    </row>
    <row r="11" spans="1:33" x14ac:dyDescent="0.3">
      <c r="A11" s="306" t="s">
        <v>21</v>
      </c>
      <c r="B11" s="307" t="s">
        <v>22</v>
      </c>
      <c r="C11" s="308" t="s">
        <v>252</v>
      </c>
      <c r="D11" s="309">
        <v>24</v>
      </c>
      <c r="E11" s="309">
        <v>17</v>
      </c>
      <c r="F11" s="309">
        <v>3</v>
      </c>
      <c r="G11" s="309">
        <v>0</v>
      </c>
      <c r="H11" s="309">
        <v>0</v>
      </c>
      <c r="I11" s="309">
        <v>0</v>
      </c>
      <c r="J11" s="309">
        <v>3</v>
      </c>
      <c r="K11" s="309">
        <v>1</v>
      </c>
      <c r="L11" s="309">
        <v>0</v>
      </c>
      <c r="M11" s="309">
        <v>0</v>
      </c>
      <c r="N11" s="310"/>
      <c r="O11" s="310">
        <f t="shared" si="2"/>
        <v>4</v>
      </c>
      <c r="P11" s="310">
        <f t="shared" si="3"/>
        <v>0</v>
      </c>
      <c r="Q11" s="310"/>
      <c r="R11" s="311">
        <f t="shared" si="4"/>
        <v>0.70833333333333337</v>
      </c>
      <c r="S11" s="311">
        <f t="shared" si="5"/>
        <v>0.125</v>
      </c>
      <c r="U11" s="292">
        <v>2</v>
      </c>
      <c r="V11" s="292">
        <v>11</v>
      </c>
      <c r="W11" s="292">
        <v>4</v>
      </c>
      <c r="X11" s="292">
        <v>7</v>
      </c>
      <c r="Y11" s="292">
        <v>0</v>
      </c>
      <c r="Z11" s="292">
        <v>0</v>
      </c>
      <c r="AA11" s="292">
        <v>0</v>
      </c>
      <c r="AB11" s="292">
        <v>24</v>
      </c>
      <c r="AC11" s="292">
        <f t="shared" si="6"/>
        <v>13</v>
      </c>
      <c r="AD11" s="292">
        <f t="shared" si="7"/>
        <v>4</v>
      </c>
      <c r="AE11" s="292">
        <f t="shared" si="8"/>
        <v>7</v>
      </c>
      <c r="AF11" s="292">
        <f t="shared" si="9"/>
        <v>0</v>
      </c>
      <c r="AG11" s="292">
        <f t="shared" si="10"/>
        <v>0</v>
      </c>
    </row>
    <row r="12" spans="1:33" x14ac:dyDescent="0.3">
      <c r="A12" s="306" t="s">
        <v>23</v>
      </c>
      <c r="B12" s="307" t="s">
        <v>24</v>
      </c>
      <c r="C12" s="308" t="s">
        <v>254</v>
      </c>
      <c r="D12" s="309">
        <v>54</v>
      </c>
      <c r="E12" s="309">
        <v>6</v>
      </c>
      <c r="F12" s="309">
        <v>19</v>
      </c>
      <c r="G12" s="309">
        <v>3</v>
      </c>
      <c r="H12" s="309">
        <v>0</v>
      </c>
      <c r="I12" s="309">
        <v>0</v>
      </c>
      <c r="J12" s="309">
        <v>4</v>
      </c>
      <c r="K12" s="309">
        <v>22</v>
      </c>
      <c r="L12" s="309">
        <v>0</v>
      </c>
      <c r="M12" s="309">
        <v>0</v>
      </c>
      <c r="N12" s="310"/>
      <c r="O12" s="310">
        <f t="shared" si="2"/>
        <v>29</v>
      </c>
      <c r="P12" s="310">
        <f t="shared" si="3"/>
        <v>0</v>
      </c>
      <c r="Q12" s="310"/>
      <c r="R12" s="311">
        <f t="shared" si="4"/>
        <v>0.1111111111111111</v>
      </c>
      <c r="S12" s="311">
        <f t="shared" si="5"/>
        <v>0.35185185185185186</v>
      </c>
      <c r="U12" s="292">
        <v>8</v>
      </c>
      <c r="V12" s="292">
        <v>17</v>
      </c>
      <c r="W12" s="292">
        <v>9</v>
      </c>
      <c r="X12" s="292">
        <v>7</v>
      </c>
      <c r="Y12" s="292">
        <v>13</v>
      </c>
      <c r="Z12" s="292">
        <v>0</v>
      </c>
      <c r="AA12" s="292">
        <v>0</v>
      </c>
      <c r="AB12" s="292">
        <v>54</v>
      </c>
      <c r="AC12" s="292">
        <f t="shared" si="6"/>
        <v>25</v>
      </c>
      <c r="AD12" s="292">
        <f t="shared" si="7"/>
        <v>9</v>
      </c>
      <c r="AE12" s="292">
        <f t="shared" si="8"/>
        <v>7</v>
      </c>
      <c r="AF12" s="292">
        <f t="shared" si="9"/>
        <v>13</v>
      </c>
      <c r="AG12" s="292">
        <f t="shared" si="10"/>
        <v>0</v>
      </c>
    </row>
    <row r="13" spans="1:33" x14ac:dyDescent="0.3">
      <c r="A13" s="306" t="s">
        <v>25</v>
      </c>
      <c r="B13" s="307" t="s">
        <v>444</v>
      </c>
      <c r="C13" s="308" t="s">
        <v>252</v>
      </c>
      <c r="D13" s="309">
        <v>120</v>
      </c>
      <c r="E13" s="309">
        <v>87</v>
      </c>
      <c r="F13" s="309">
        <v>10</v>
      </c>
      <c r="G13" s="309">
        <v>2</v>
      </c>
      <c r="H13" s="309">
        <v>1</v>
      </c>
      <c r="I13" s="309">
        <v>0</v>
      </c>
      <c r="J13" s="309">
        <v>10</v>
      </c>
      <c r="K13" s="309">
        <v>9</v>
      </c>
      <c r="L13" s="309">
        <v>1</v>
      </c>
      <c r="M13" s="309">
        <v>0</v>
      </c>
      <c r="N13" s="310"/>
      <c r="O13" s="310">
        <f t="shared" si="2"/>
        <v>22</v>
      </c>
      <c r="P13" s="310">
        <f t="shared" si="3"/>
        <v>1</v>
      </c>
      <c r="Q13" s="310"/>
      <c r="R13" s="311">
        <f t="shared" si="4"/>
        <v>0.72499999999999998</v>
      </c>
      <c r="S13" s="311">
        <f t="shared" si="5"/>
        <v>8.3333333333333329E-2</v>
      </c>
      <c r="U13" s="292">
        <v>0</v>
      </c>
      <c r="V13" s="292">
        <v>31</v>
      </c>
      <c r="W13" s="292">
        <v>25</v>
      </c>
      <c r="X13" s="292">
        <v>37</v>
      </c>
      <c r="Y13" s="292">
        <v>27</v>
      </c>
      <c r="Z13" s="292">
        <v>0</v>
      </c>
      <c r="AA13" s="292">
        <v>0</v>
      </c>
      <c r="AB13" s="292">
        <v>120</v>
      </c>
      <c r="AC13" s="292">
        <f t="shared" si="6"/>
        <v>31</v>
      </c>
      <c r="AD13" s="292">
        <f t="shared" si="7"/>
        <v>25</v>
      </c>
      <c r="AE13" s="292">
        <f t="shared" si="8"/>
        <v>37</v>
      </c>
      <c r="AF13" s="292">
        <f t="shared" si="9"/>
        <v>27</v>
      </c>
      <c r="AG13" s="292">
        <f t="shared" si="10"/>
        <v>0</v>
      </c>
    </row>
    <row r="14" spans="1:33" x14ac:dyDescent="0.3">
      <c r="A14" s="312" t="s">
        <v>26</v>
      </c>
      <c r="B14" s="307" t="s">
        <v>27</v>
      </c>
      <c r="C14" s="313" t="s">
        <v>252</v>
      </c>
      <c r="D14" s="309">
        <v>0</v>
      </c>
      <c r="E14" s="309">
        <v>0</v>
      </c>
      <c r="F14" s="309">
        <v>0</v>
      </c>
      <c r="G14" s="309">
        <v>0</v>
      </c>
      <c r="H14" s="309">
        <v>0</v>
      </c>
      <c r="I14" s="309">
        <v>0</v>
      </c>
      <c r="J14" s="309">
        <v>0</v>
      </c>
      <c r="K14" s="309">
        <v>0</v>
      </c>
      <c r="L14" s="309">
        <v>0</v>
      </c>
      <c r="M14" s="309">
        <v>0</v>
      </c>
      <c r="N14" s="310"/>
      <c r="O14" s="310">
        <f t="shared" si="2"/>
        <v>0</v>
      </c>
      <c r="P14" s="310">
        <f t="shared" si="3"/>
        <v>0</v>
      </c>
      <c r="Q14" s="310"/>
      <c r="R14" s="311" t="str">
        <f t="shared" si="4"/>
        <v>N/A</v>
      </c>
      <c r="S14" s="311" t="str">
        <f t="shared" si="5"/>
        <v>N/A</v>
      </c>
      <c r="U14" s="292">
        <v>0</v>
      </c>
      <c r="V14" s="292">
        <v>0</v>
      </c>
      <c r="W14" s="292">
        <v>0</v>
      </c>
      <c r="X14" s="292">
        <v>0</v>
      </c>
      <c r="Y14" s="292">
        <v>0</v>
      </c>
      <c r="Z14" s="292">
        <v>0</v>
      </c>
      <c r="AA14" s="292">
        <v>0</v>
      </c>
      <c r="AB14" s="292">
        <v>0</v>
      </c>
      <c r="AC14" s="292">
        <f t="shared" si="6"/>
        <v>0</v>
      </c>
      <c r="AD14" s="292">
        <f t="shared" si="7"/>
        <v>0</v>
      </c>
      <c r="AE14" s="292">
        <f t="shared" si="8"/>
        <v>0</v>
      </c>
      <c r="AF14" s="292">
        <f t="shared" si="9"/>
        <v>0</v>
      </c>
      <c r="AG14" s="292">
        <f t="shared" si="10"/>
        <v>0</v>
      </c>
    </row>
    <row r="15" spans="1:33" x14ac:dyDescent="0.3">
      <c r="A15" s="306" t="s">
        <v>28</v>
      </c>
      <c r="B15" s="307" t="s">
        <v>568</v>
      </c>
      <c r="C15" s="313" t="s">
        <v>252</v>
      </c>
      <c r="D15" s="309">
        <v>82</v>
      </c>
      <c r="E15" s="309">
        <v>63</v>
      </c>
      <c r="F15" s="309">
        <v>10</v>
      </c>
      <c r="G15" s="309">
        <v>0</v>
      </c>
      <c r="H15" s="309">
        <v>0</v>
      </c>
      <c r="I15" s="309">
        <v>0</v>
      </c>
      <c r="J15" s="309">
        <v>5</v>
      </c>
      <c r="K15" s="309">
        <v>4</v>
      </c>
      <c r="L15" s="309">
        <v>0</v>
      </c>
      <c r="M15" s="309">
        <v>0</v>
      </c>
      <c r="N15" s="310"/>
      <c r="O15" s="310">
        <f t="shared" si="2"/>
        <v>9</v>
      </c>
      <c r="P15" s="310">
        <f t="shared" si="3"/>
        <v>0</v>
      </c>
      <c r="Q15" s="310"/>
      <c r="R15" s="311">
        <f t="shared" si="4"/>
        <v>0.76829268292682928</v>
      </c>
      <c r="S15" s="311">
        <f t="shared" si="5"/>
        <v>0.12195121951219512</v>
      </c>
      <c r="U15" s="292">
        <v>4</v>
      </c>
      <c r="V15" s="292">
        <v>16</v>
      </c>
      <c r="W15" s="292">
        <v>15</v>
      </c>
      <c r="X15" s="292">
        <v>23</v>
      </c>
      <c r="Y15" s="292">
        <v>24</v>
      </c>
      <c r="Z15" s="292">
        <v>0</v>
      </c>
      <c r="AA15" s="292">
        <v>0</v>
      </c>
      <c r="AB15" s="292">
        <v>82</v>
      </c>
      <c r="AC15" s="292">
        <f t="shared" si="6"/>
        <v>20</v>
      </c>
      <c r="AD15" s="292">
        <f t="shared" si="7"/>
        <v>15</v>
      </c>
      <c r="AE15" s="292">
        <f t="shared" si="8"/>
        <v>23</v>
      </c>
      <c r="AF15" s="292">
        <f t="shared" si="9"/>
        <v>24</v>
      </c>
      <c r="AG15" s="292">
        <f t="shared" si="10"/>
        <v>0</v>
      </c>
    </row>
    <row r="16" spans="1:33" x14ac:dyDescent="0.3">
      <c r="A16" s="306" t="s">
        <v>29</v>
      </c>
      <c r="B16" s="307" t="s">
        <v>30</v>
      </c>
      <c r="C16" s="313" t="s">
        <v>255</v>
      </c>
      <c r="D16" s="309">
        <v>4</v>
      </c>
      <c r="E16" s="309">
        <v>4</v>
      </c>
      <c r="F16" s="309">
        <v>0</v>
      </c>
      <c r="G16" s="309">
        <v>0</v>
      </c>
      <c r="H16" s="309">
        <v>0</v>
      </c>
      <c r="I16" s="309">
        <v>0</v>
      </c>
      <c r="J16" s="309">
        <v>0</v>
      </c>
      <c r="K16" s="309">
        <v>0</v>
      </c>
      <c r="L16" s="309">
        <v>0</v>
      </c>
      <c r="M16" s="309">
        <v>0</v>
      </c>
      <c r="N16" s="310"/>
      <c r="O16" s="310">
        <f t="shared" si="2"/>
        <v>0</v>
      </c>
      <c r="P16" s="310">
        <f t="shared" si="3"/>
        <v>0</v>
      </c>
      <c r="Q16" s="310"/>
      <c r="R16" s="311">
        <f t="shared" si="4"/>
        <v>1</v>
      </c>
      <c r="S16" s="311">
        <f t="shared" si="5"/>
        <v>0</v>
      </c>
      <c r="U16" s="292">
        <v>0</v>
      </c>
      <c r="V16" s="292">
        <v>1</v>
      </c>
      <c r="W16" s="292">
        <v>0</v>
      </c>
      <c r="X16" s="292">
        <v>1</v>
      </c>
      <c r="Y16" s="292">
        <v>2</v>
      </c>
      <c r="Z16" s="292">
        <v>0</v>
      </c>
      <c r="AA16" s="292">
        <v>0</v>
      </c>
      <c r="AB16" s="292">
        <v>4</v>
      </c>
      <c r="AC16" s="292">
        <f t="shared" si="6"/>
        <v>1</v>
      </c>
      <c r="AD16" s="292">
        <f t="shared" si="7"/>
        <v>0</v>
      </c>
      <c r="AE16" s="292">
        <f t="shared" si="8"/>
        <v>1</v>
      </c>
      <c r="AF16" s="292">
        <f t="shared" si="9"/>
        <v>2</v>
      </c>
      <c r="AG16" s="292">
        <f t="shared" si="10"/>
        <v>0</v>
      </c>
    </row>
    <row r="17" spans="1:33" x14ac:dyDescent="0.3">
      <c r="A17" s="306" t="s">
        <v>31</v>
      </c>
      <c r="B17" s="307" t="s">
        <v>32</v>
      </c>
      <c r="C17" s="313" t="s">
        <v>252</v>
      </c>
      <c r="D17" s="309">
        <v>12</v>
      </c>
      <c r="E17" s="309">
        <v>10</v>
      </c>
      <c r="F17" s="309">
        <v>1</v>
      </c>
      <c r="G17" s="309">
        <v>0</v>
      </c>
      <c r="H17" s="309">
        <v>0</v>
      </c>
      <c r="I17" s="309">
        <v>0</v>
      </c>
      <c r="J17" s="309">
        <v>1</v>
      </c>
      <c r="K17" s="309">
        <v>0</v>
      </c>
      <c r="L17" s="309">
        <v>0</v>
      </c>
      <c r="M17" s="309">
        <v>0</v>
      </c>
      <c r="N17" s="310"/>
      <c r="O17" s="310">
        <f t="shared" si="2"/>
        <v>1</v>
      </c>
      <c r="P17" s="310">
        <f t="shared" si="3"/>
        <v>0</v>
      </c>
      <c r="Q17" s="310"/>
      <c r="R17" s="311">
        <f t="shared" si="4"/>
        <v>0.83333333333333337</v>
      </c>
      <c r="S17" s="311">
        <f t="shared" si="5"/>
        <v>8.3333333333333329E-2</v>
      </c>
      <c r="U17" s="292">
        <v>1</v>
      </c>
      <c r="V17" s="292">
        <v>1</v>
      </c>
      <c r="W17" s="292">
        <v>5</v>
      </c>
      <c r="X17" s="292">
        <v>3</v>
      </c>
      <c r="Y17" s="292">
        <v>2</v>
      </c>
      <c r="Z17" s="292">
        <v>0</v>
      </c>
      <c r="AA17" s="292">
        <v>0</v>
      </c>
      <c r="AB17" s="292">
        <v>12</v>
      </c>
      <c r="AC17" s="292">
        <f t="shared" si="6"/>
        <v>2</v>
      </c>
      <c r="AD17" s="292">
        <f t="shared" si="7"/>
        <v>5</v>
      </c>
      <c r="AE17" s="292">
        <f t="shared" si="8"/>
        <v>3</v>
      </c>
      <c r="AF17" s="292">
        <f t="shared" si="9"/>
        <v>2</v>
      </c>
      <c r="AG17" s="292">
        <f t="shared" si="10"/>
        <v>0</v>
      </c>
    </row>
    <row r="18" spans="1:33" x14ac:dyDescent="0.3">
      <c r="A18" s="306" t="s">
        <v>35</v>
      </c>
      <c r="B18" s="307" t="s">
        <v>36</v>
      </c>
      <c r="C18" s="313" t="s">
        <v>251</v>
      </c>
      <c r="D18" s="309">
        <v>7</v>
      </c>
      <c r="E18" s="309">
        <v>3</v>
      </c>
      <c r="F18" s="309">
        <v>4</v>
      </c>
      <c r="G18" s="309">
        <v>0</v>
      </c>
      <c r="H18" s="309">
        <v>0</v>
      </c>
      <c r="I18" s="309">
        <v>0</v>
      </c>
      <c r="J18" s="309">
        <v>0</v>
      </c>
      <c r="K18" s="309">
        <v>0</v>
      </c>
      <c r="L18" s="309">
        <v>0</v>
      </c>
      <c r="M18" s="309">
        <v>0</v>
      </c>
      <c r="N18" s="310"/>
      <c r="O18" s="310">
        <f t="shared" si="2"/>
        <v>0</v>
      </c>
      <c r="P18" s="310">
        <f t="shared" si="3"/>
        <v>0</v>
      </c>
      <c r="Q18" s="310"/>
      <c r="R18" s="311">
        <f t="shared" si="4"/>
        <v>0.42857142857142855</v>
      </c>
      <c r="S18" s="311">
        <f t="shared" si="5"/>
        <v>0.5714285714285714</v>
      </c>
      <c r="U18" s="292">
        <v>0</v>
      </c>
      <c r="V18" s="292">
        <v>4</v>
      </c>
      <c r="W18" s="292">
        <v>1</v>
      </c>
      <c r="X18" s="292">
        <v>0</v>
      </c>
      <c r="Y18" s="292">
        <v>2</v>
      </c>
      <c r="Z18" s="292">
        <v>0</v>
      </c>
      <c r="AA18" s="292">
        <v>0</v>
      </c>
      <c r="AB18" s="292">
        <v>7</v>
      </c>
      <c r="AC18" s="292">
        <f t="shared" si="6"/>
        <v>4</v>
      </c>
      <c r="AD18" s="292">
        <f t="shared" si="7"/>
        <v>1</v>
      </c>
      <c r="AE18" s="292">
        <f t="shared" si="8"/>
        <v>0</v>
      </c>
      <c r="AF18" s="292">
        <f t="shared" si="9"/>
        <v>2</v>
      </c>
      <c r="AG18" s="292">
        <f t="shared" si="10"/>
        <v>0</v>
      </c>
    </row>
    <row r="19" spans="1:33" x14ac:dyDescent="0.3">
      <c r="A19" s="306" t="s">
        <v>37</v>
      </c>
      <c r="B19" s="307" t="s">
        <v>38</v>
      </c>
      <c r="C19" s="313" t="s">
        <v>255</v>
      </c>
      <c r="D19" s="309">
        <v>55</v>
      </c>
      <c r="E19" s="309">
        <v>55</v>
      </c>
      <c r="F19" s="309">
        <v>0</v>
      </c>
      <c r="G19" s="309">
        <v>0</v>
      </c>
      <c r="H19" s="309">
        <v>0</v>
      </c>
      <c r="I19" s="309">
        <v>0</v>
      </c>
      <c r="J19" s="309">
        <v>0</v>
      </c>
      <c r="K19" s="309">
        <v>0</v>
      </c>
      <c r="L19" s="309">
        <v>0</v>
      </c>
      <c r="M19" s="309">
        <v>0</v>
      </c>
      <c r="N19" s="310"/>
      <c r="O19" s="310">
        <f t="shared" si="2"/>
        <v>0</v>
      </c>
      <c r="P19" s="310">
        <f t="shared" si="3"/>
        <v>0</v>
      </c>
      <c r="Q19" s="310"/>
      <c r="R19" s="311">
        <f t="shared" si="4"/>
        <v>1</v>
      </c>
      <c r="S19" s="311">
        <f t="shared" si="5"/>
        <v>0</v>
      </c>
      <c r="U19" s="292">
        <v>2</v>
      </c>
      <c r="V19" s="292">
        <v>13</v>
      </c>
      <c r="W19" s="292">
        <v>11</v>
      </c>
      <c r="X19" s="292">
        <v>16</v>
      </c>
      <c r="Y19" s="292">
        <v>13</v>
      </c>
      <c r="Z19" s="292">
        <v>0</v>
      </c>
      <c r="AA19" s="292">
        <v>0</v>
      </c>
      <c r="AB19" s="292">
        <v>55</v>
      </c>
      <c r="AC19" s="292">
        <f t="shared" si="6"/>
        <v>15</v>
      </c>
      <c r="AD19" s="292">
        <f t="shared" si="7"/>
        <v>11</v>
      </c>
      <c r="AE19" s="292">
        <f t="shared" si="8"/>
        <v>16</v>
      </c>
      <c r="AF19" s="292">
        <f t="shared" si="9"/>
        <v>13</v>
      </c>
      <c r="AG19" s="292">
        <f t="shared" si="10"/>
        <v>0</v>
      </c>
    </row>
    <row r="20" spans="1:33" x14ac:dyDescent="0.3">
      <c r="A20" s="306" t="s">
        <v>39</v>
      </c>
      <c r="B20" s="307" t="s">
        <v>40</v>
      </c>
      <c r="C20" s="313" t="s">
        <v>253</v>
      </c>
      <c r="D20" s="309">
        <v>18</v>
      </c>
      <c r="E20" s="309">
        <v>8</v>
      </c>
      <c r="F20" s="309">
        <v>7</v>
      </c>
      <c r="G20" s="309">
        <v>0</v>
      </c>
      <c r="H20" s="309">
        <v>0</v>
      </c>
      <c r="I20" s="309">
        <v>0</v>
      </c>
      <c r="J20" s="309">
        <v>3</v>
      </c>
      <c r="K20" s="309">
        <v>0</v>
      </c>
      <c r="L20" s="309">
        <v>0</v>
      </c>
      <c r="M20" s="309">
        <v>0</v>
      </c>
      <c r="N20" s="310"/>
      <c r="O20" s="310">
        <f t="shared" si="2"/>
        <v>3</v>
      </c>
      <c r="P20" s="310">
        <f t="shared" si="3"/>
        <v>0</v>
      </c>
      <c r="Q20" s="310"/>
      <c r="R20" s="311">
        <f t="shared" si="4"/>
        <v>0.44444444444444442</v>
      </c>
      <c r="S20" s="311">
        <f t="shared" si="5"/>
        <v>0.3888888888888889</v>
      </c>
      <c r="U20" s="292">
        <v>0</v>
      </c>
      <c r="V20" s="292">
        <v>5</v>
      </c>
      <c r="W20" s="292">
        <v>6</v>
      </c>
      <c r="X20" s="292">
        <v>6</v>
      </c>
      <c r="Y20" s="292">
        <v>1</v>
      </c>
      <c r="Z20" s="292">
        <v>0</v>
      </c>
      <c r="AA20" s="292">
        <v>0</v>
      </c>
      <c r="AB20" s="292">
        <v>18</v>
      </c>
      <c r="AC20" s="292">
        <f t="shared" si="6"/>
        <v>5</v>
      </c>
      <c r="AD20" s="292">
        <f t="shared" si="7"/>
        <v>6</v>
      </c>
      <c r="AE20" s="292">
        <f t="shared" si="8"/>
        <v>6</v>
      </c>
      <c r="AF20" s="292">
        <f t="shared" si="9"/>
        <v>1</v>
      </c>
      <c r="AG20" s="292">
        <f t="shared" si="10"/>
        <v>0</v>
      </c>
    </row>
    <row r="21" spans="1:33" x14ac:dyDescent="0.3">
      <c r="A21" s="306" t="s">
        <v>41</v>
      </c>
      <c r="B21" s="307" t="s">
        <v>42</v>
      </c>
      <c r="C21" s="313" t="s">
        <v>252</v>
      </c>
      <c r="D21" s="309">
        <v>44</v>
      </c>
      <c r="E21" s="309">
        <v>39</v>
      </c>
      <c r="F21" s="309">
        <v>2</v>
      </c>
      <c r="G21" s="309">
        <v>0</v>
      </c>
      <c r="H21" s="309">
        <v>0</v>
      </c>
      <c r="I21" s="309">
        <v>0</v>
      </c>
      <c r="J21" s="309">
        <v>0</v>
      </c>
      <c r="K21" s="309">
        <v>3</v>
      </c>
      <c r="L21" s="309">
        <v>0</v>
      </c>
      <c r="M21" s="309">
        <v>0</v>
      </c>
      <c r="N21" s="310"/>
      <c r="O21" s="310">
        <f t="shared" si="2"/>
        <v>3</v>
      </c>
      <c r="P21" s="310">
        <f t="shared" si="3"/>
        <v>0</v>
      </c>
      <c r="Q21" s="310"/>
      <c r="R21" s="311">
        <f t="shared" si="4"/>
        <v>0.88636363636363635</v>
      </c>
      <c r="S21" s="311">
        <f t="shared" si="5"/>
        <v>4.5454545454545456E-2</v>
      </c>
      <c r="U21" s="292">
        <v>6</v>
      </c>
      <c r="V21" s="292">
        <v>13</v>
      </c>
      <c r="W21" s="292">
        <v>6</v>
      </c>
      <c r="X21" s="292">
        <v>14</v>
      </c>
      <c r="Y21" s="292">
        <v>5</v>
      </c>
      <c r="Z21" s="292">
        <v>0</v>
      </c>
      <c r="AA21" s="292">
        <v>0</v>
      </c>
      <c r="AB21" s="292">
        <v>44</v>
      </c>
      <c r="AC21" s="292">
        <f t="shared" si="6"/>
        <v>19</v>
      </c>
      <c r="AD21" s="292">
        <f t="shared" si="7"/>
        <v>6</v>
      </c>
      <c r="AE21" s="292">
        <f t="shared" si="8"/>
        <v>14</v>
      </c>
      <c r="AF21" s="292">
        <f t="shared" si="9"/>
        <v>5</v>
      </c>
      <c r="AG21" s="292">
        <f t="shared" si="10"/>
        <v>0</v>
      </c>
    </row>
    <row r="22" spans="1:33" x14ac:dyDescent="0.3">
      <c r="A22" s="306" t="s">
        <v>43</v>
      </c>
      <c r="B22" s="307" t="s">
        <v>44</v>
      </c>
      <c r="C22" s="313" t="s">
        <v>253</v>
      </c>
      <c r="D22" s="309">
        <v>10</v>
      </c>
      <c r="E22" s="309">
        <v>3</v>
      </c>
      <c r="F22" s="309">
        <v>6</v>
      </c>
      <c r="G22" s="309">
        <v>0</v>
      </c>
      <c r="H22" s="309">
        <v>0</v>
      </c>
      <c r="I22" s="309">
        <v>0</v>
      </c>
      <c r="J22" s="309">
        <v>0</v>
      </c>
      <c r="K22" s="309">
        <v>0</v>
      </c>
      <c r="L22" s="309">
        <v>1</v>
      </c>
      <c r="M22" s="309">
        <v>0</v>
      </c>
      <c r="N22" s="310"/>
      <c r="O22" s="310">
        <f t="shared" si="2"/>
        <v>0</v>
      </c>
      <c r="P22" s="310">
        <f t="shared" si="3"/>
        <v>1</v>
      </c>
      <c r="Q22" s="310"/>
      <c r="R22" s="311">
        <f t="shared" si="4"/>
        <v>0.3</v>
      </c>
      <c r="S22" s="311">
        <f t="shared" si="5"/>
        <v>0.6</v>
      </c>
      <c r="U22" s="292">
        <v>0</v>
      </c>
      <c r="V22" s="292">
        <v>4</v>
      </c>
      <c r="W22" s="292">
        <v>3</v>
      </c>
      <c r="X22" s="292">
        <v>1</v>
      </c>
      <c r="Y22" s="292">
        <v>2</v>
      </c>
      <c r="Z22" s="292">
        <v>0</v>
      </c>
      <c r="AA22" s="292">
        <v>0</v>
      </c>
      <c r="AB22" s="292">
        <v>10</v>
      </c>
      <c r="AC22" s="292">
        <f t="shared" si="6"/>
        <v>4</v>
      </c>
      <c r="AD22" s="292">
        <f t="shared" si="7"/>
        <v>3</v>
      </c>
      <c r="AE22" s="292">
        <f t="shared" si="8"/>
        <v>1</v>
      </c>
      <c r="AF22" s="292">
        <f t="shared" si="9"/>
        <v>2</v>
      </c>
      <c r="AG22" s="292">
        <f t="shared" si="10"/>
        <v>0</v>
      </c>
    </row>
    <row r="23" spans="1:33" x14ac:dyDescent="0.3">
      <c r="A23" s="306" t="s">
        <v>45</v>
      </c>
      <c r="B23" s="307" t="s">
        <v>46</v>
      </c>
      <c r="C23" s="313" t="s">
        <v>255</v>
      </c>
      <c r="D23" s="309">
        <v>79</v>
      </c>
      <c r="E23" s="309">
        <v>69</v>
      </c>
      <c r="F23" s="309">
        <v>1</v>
      </c>
      <c r="G23" s="309">
        <v>0</v>
      </c>
      <c r="H23" s="309">
        <v>0</v>
      </c>
      <c r="I23" s="309">
        <v>0</v>
      </c>
      <c r="J23" s="309">
        <v>1</v>
      </c>
      <c r="K23" s="309">
        <v>8</v>
      </c>
      <c r="L23" s="309">
        <v>0</v>
      </c>
      <c r="M23" s="309">
        <v>0</v>
      </c>
      <c r="N23" s="310"/>
      <c r="O23" s="310">
        <f t="shared" si="2"/>
        <v>9</v>
      </c>
      <c r="P23" s="310">
        <f t="shared" si="3"/>
        <v>0</v>
      </c>
      <c r="Q23" s="310"/>
      <c r="R23" s="311">
        <f t="shared" si="4"/>
        <v>0.87341772151898733</v>
      </c>
      <c r="S23" s="311">
        <f t="shared" si="5"/>
        <v>1.2658227848101266E-2</v>
      </c>
      <c r="U23" s="292">
        <v>4</v>
      </c>
      <c r="V23" s="292">
        <v>19</v>
      </c>
      <c r="W23" s="292">
        <v>16</v>
      </c>
      <c r="X23" s="292">
        <v>21</v>
      </c>
      <c r="Y23" s="292">
        <v>19</v>
      </c>
      <c r="Z23" s="292">
        <v>0</v>
      </c>
      <c r="AA23" s="292">
        <v>0</v>
      </c>
      <c r="AB23" s="292">
        <v>79</v>
      </c>
      <c r="AC23" s="292">
        <f t="shared" si="6"/>
        <v>23</v>
      </c>
      <c r="AD23" s="292">
        <f t="shared" si="7"/>
        <v>16</v>
      </c>
      <c r="AE23" s="292">
        <f t="shared" si="8"/>
        <v>21</v>
      </c>
      <c r="AF23" s="292">
        <f t="shared" si="9"/>
        <v>19</v>
      </c>
      <c r="AG23" s="292">
        <f t="shared" si="10"/>
        <v>0</v>
      </c>
    </row>
    <row r="24" spans="1:33" x14ac:dyDescent="0.3">
      <c r="A24" s="312" t="s">
        <v>47</v>
      </c>
      <c r="B24" s="307" t="s">
        <v>48</v>
      </c>
      <c r="C24" s="313" t="s">
        <v>253</v>
      </c>
      <c r="D24" s="309">
        <v>6</v>
      </c>
      <c r="E24" s="309">
        <v>1</v>
      </c>
      <c r="F24" s="309">
        <v>3</v>
      </c>
      <c r="G24" s="309">
        <v>0</v>
      </c>
      <c r="H24" s="309">
        <v>0</v>
      </c>
      <c r="I24" s="309">
        <v>0</v>
      </c>
      <c r="J24" s="309">
        <v>1</v>
      </c>
      <c r="K24" s="309">
        <v>1</v>
      </c>
      <c r="L24" s="309">
        <v>0</v>
      </c>
      <c r="M24" s="309">
        <v>0</v>
      </c>
      <c r="N24" s="310"/>
      <c r="O24" s="310">
        <f t="shared" si="2"/>
        <v>2</v>
      </c>
      <c r="P24" s="310">
        <f t="shared" si="3"/>
        <v>0</v>
      </c>
      <c r="Q24" s="310"/>
      <c r="R24" s="311">
        <f t="shared" si="4"/>
        <v>0.16666666666666666</v>
      </c>
      <c r="S24" s="311">
        <f t="shared" si="5"/>
        <v>0.5</v>
      </c>
      <c r="U24" s="292">
        <v>1</v>
      </c>
      <c r="V24" s="292">
        <v>4</v>
      </c>
      <c r="W24" s="292">
        <v>1</v>
      </c>
      <c r="X24" s="292">
        <v>0</v>
      </c>
      <c r="Y24" s="292">
        <v>0</v>
      </c>
      <c r="Z24" s="292">
        <v>0</v>
      </c>
      <c r="AA24" s="292">
        <v>0</v>
      </c>
      <c r="AB24" s="292">
        <v>6</v>
      </c>
      <c r="AC24" s="292">
        <f t="shared" si="6"/>
        <v>5</v>
      </c>
      <c r="AD24" s="292">
        <f t="shared" si="7"/>
        <v>1</v>
      </c>
      <c r="AE24" s="292">
        <f t="shared" si="8"/>
        <v>0</v>
      </c>
      <c r="AF24" s="292">
        <f t="shared" si="9"/>
        <v>0</v>
      </c>
      <c r="AG24" s="292">
        <f t="shared" si="10"/>
        <v>0</v>
      </c>
    </row>
    <row r="25" spans="1:33" x14ac:dyDescent="0.3">
      <c r="A25" s="306" t="s">
        <v>49</v>
      </c>
      <c r="B25" s="307" t="s">
        <v>50</v>
      </c>
      <c r="C25" s="313" t="s">
        <v>252</v>
      </c>
      <c r="D25" s="309">
        <v>16</v>
      </c>
      <c r="E25" s="309">
        <v>9</v>
      </c>
      <c r="F25" s="309">
        <v>5</v>
      </c>
      <c r="G25" s="309">
        <v>0</v>
      </c>
      <c r="H25" s="309">
        <v>0</v>
      </c>
      <c r="I25" s="309">
        <v>0</v>
      </c>
      <c r="J25" s="309">
        <v>2</v>
      </c>
      <c r="K25" s="309">
        <v>0</v>
      </c>
      <c r="L25" s="309">
        <v>0</v>
      </c>
      <c r="M25" s="309">
        <v>0</v>
      </c>
      <c r="N25" s="310"/>
      <c r="O25" s="310">
        <f t="shared" si="2"/>
        <v>2</v>
      </c>
      <c r="P25" s="310">
        <f t="shared" si="3"/>
        <v>0</v>
      </c>
      <c r="Q25" s="310"/>
      <c r="R25" s="311">
        <f t="shared" si="4"/>
        <v>0.5625</v>
      </c>
      <c r="S25" s="311">
        <f t="shared" si="5"/>
        <v>0.3125</v>
      </c>
      <c r="U25" s="292">
        <v>0</v>
      </c>
      <c r="V25" s="292">
        <v>7</v>
      </c>
      <c r="W25" s="292">
        <v>1</v>
      </c>
      <c r="X25" s="292">
        <v>8</v>
      </c>
      <c r="Y25" s="292">
        <v>0</v>
      </c>
      <c r="Z25" s="292">
        <v>0</v>
      </c>
      <c r="AA25" s="292">
        <v>0</v>
      </c>
      <c r="AB25" s="292">
        <v>16</v>
      </c>
      <c r="AC25" s="292">
        <f t="shared" si="6"/>
        <v>7</v>
      </c>
      <c r="AD25" s="292">
        <f t="shared" si="7"/>
        <v>1</v>
      </c>
      <c r="AE25" s="292">
        <f t="shared" si="8"/>
        <v>8</v>
      </c>
      <c r="AF25" s="292">
        <f t="shared" si="9"/>
        <v>0</v>
      </c>
      <c r="AG25" s="292">
        <f t="shared" si="10"/>
        <v>0</v>
      </c>
    </row>
    <row r="26" spans="1:33" x14ac:dyDescent="0.3">
      <c r="A26" s="306" t="s">
        <v>55</v>
      </c>
      <c r="B26" s="307" t="s">
        <v>56</v>
      </c>
      <c r="C26" s="313" t="s">
        <v>253</v>
      </c>
      <c r="D26" s="309">
        <v>111</v>
      </c>
      <c r="E26" s="309">
        <v>58</v>
      </c>
      <c r="F26" s="309">
        <v>25</v>
      </c>
      <c r="G26" s="309">
        <v>0</v>
      </c>
      <c r="H26" s="309">
        <v>0</v>
      </c>
      <c r="I26" s="309">
        <v>0</v>
      </c>
      <c r="J26" s="309">
        <v>13</v>
      </c>
      <c r="K26" s="309">
        <v>12</v>
      </c>
      <c r="L26" s="309">
        <v>3</v>
      </c>
      <c r="M26" s="309">
        <v>0</v>
      </c>
      <c r="N26" s="310"/>
      <c r="O26" s="310">
        <f t="shared" si="2"/>
        <v>25</v>
      </c>
      <c r="P26" s="310">
        <f t="shared" si="3"/>
        <v>3</v>
      </c>
      <c r="Q26" s="310"/>
      <c r="R26" s="311">
        <f t="shared" si="4"/>
        <v>0.52252252252252251</v>
      </c>
      <c r="S26" s="311">
        <f t="shared" si="5"/>
        <v>0.22522522522522523</v>
      </c>
      <c r="U26" s="292">
        <v>5</v>
      </c>
      <c r="V26" s="292">
        <v>16</v>
      </c>
      <c r="W26" s="292">
        <v>13</v>
      </c>
      <c r="X26" s="292">
        <v>40</v>
      </c>
      <c r="Y26" s="292">
        <v>37</v>
      </c>
      <c r="Z26" s="292">
        <v>0</v>
      </c>
      <c r="AA26" s="292">
        <v>0</v>
      </c>
      <c r="AB26" s="292">
        <v>111</v>
      </c>
      <c r="AC26" s="292">
        <f t="shared" si="6"/>
        <v>21</v>
      </c>
      <c r="AD26" s="292">
        <f t="shared" si="7"/>
        <v>13</v>
      </c>
      <c r="AE26" s="292">
        <f t="shared" si="8"/>
        <v>40</v>
      </c>
      <c r="AF26" s="292">
        <f t="shared" si="9"/>
        <v>37</v>
      </c>
      <c r="AG26" s="292">
        <f t="shared" si="10"/>
        <v>0</v>
      </c>
    </row>
    <row r="27" spans="1:33" x14ac:dyDescent="0.3">
      <c r="A27" s="306" t="s">
        <v>57</v>
      </c>
      <c r="B27" s="307" t="s">
        <v>58</v>
      </c>
      <c r="C27" s="313" t="s">
        <v>254</v>
      </c>
      <c r="D27" s="309">
        <v>3</v>
      </c>
      <c r="E27" s="309">
        <v>1</v>
      </c>
      <c r="F27" s="309">
        <v>0</v>
      </c>
      <c r="G27" s="309">
        <v>0</v>
      </c>
      <c r="H27" s="309">
        <v>0</v>
      </c>
      <c r="I27" s="309">
        <v>0</v>
      </c>
      <c r="J27" s="309">
        <v>2</v>
      </c>
      <c r="K27" s="309">
        <v>0</v>
      </c>
      <c r="L27" s="309">
        <v>0</v>
      </c>
      <c r="M27" s="309">
        <v>0</v>
      </c>
      <c r="N27" s="310"/>
      <c r="O27" s="310">
        <f t="shared" si="2"/>
        <v>2</v>
      </c>
      <c r="P27" s="310">
        <f t="shared" si="3"/>
        <v>0</v>
      </c>
      <c r="Q27" s="310"/>
      <c r="R27" s="311">
        <f t="shared" si="4"/>
        <v>0.33333333333333331</v>
      </c>
      <c r="S27" s="311">
        <f t="shared" si="5"/>
        <v>0</v>
      </c>
      <c r="U27" s="292">
        <v>0</v>
      </c>
      <c r="V27" s="292">
        <v>1</v>
      </c>
      <c r="W27" s="292">
        <v>0</v>
      </c>
      <c r="X27" s="292">
        <v>2</v>
      </c>
      <c r="Y27" s="292">
        <v>0</v>
      </c>
      <c r="Z27" s="292">
        <v>0</v>
      </c>
      <c r="AA27" s="292">
        <v>0</v>
      </c>
      <c r="AB27" s="292">
        <v>3</v>
      </c>
      <c r="AC27" s="292">
        <f t="shared" si="6"/>
        <v>1</v>
      </c>
      <c r="AD27" s="292">
        <f t="shared" si="7"/>
        <v>0</v>
      </c>
      <c r="AE27" s="292">
        <f t="shared" si="8"/>
        <v>2</v>
      </c>
      <c r="AF27" s="292">
        <f t="shared" si="9"/>
        <v>0</v>
      </c>
      <c r="AG27" s="292">
        <f t="shared" si="10"/>
        <v>0</v>
      </c>
    </row>
    <row r="28" spans="1:33" x14ac:dyDescent="0.3">
      <c r="A28" s="312" t="s">
        <v>59</v>
      </c>
      <c r="B28" s="307" t="s">
        <v>60</v>
      </c>
      <c r="C28" s="313" t="s">
        <v>252</v>
      </c>
      <c r="D28" s="309">
        <v>15</v>
      </c>
      <c r="E28" s="309">
        <v>15</v>
      </c>
      <c r="F28" s="309">
        <v>0</v>
      </c>
      <c r="G28" s="309">
        <v>0</v>
      </c>
      <c r="H28" s="309">
        <v>0</v>
      </c>
      <c r="I28" s="309">
        <v>0</v>
      </c>
      <c r="J28" s="309">
        <v>0</v>
      </c>
      <c r="K28" s="309">
        <v>0</v>
      </c>
      <c r="L28" s="309">
        <v>0</v>
      </c>
      <c r="M28" s="309">
        <v>0</v>
      </c>
      <c r="N28" s="310"/>
      <c r="O28" s="310">
        <f t="shared" si="2"/>
        <v>0</v>
      </c>
      <c r="P28" s="310">
        <f t="shared" si="3"/>
        <v>0</v>
      </c>
      <c r="Q28" s="310"/>
      <c r="R28" s="311">
        <f t="shared" si="4"/>
        <v>1</v>
      </c>
      <c r="S28" s="311">
        <f t="shared" si="5"/>
        <v>0</v>
      </c>
      <c r="U28" s="292">
        <v>1</v>
      </c>
      <c r="V28" s="292">
        <v>4</v>
      </c>
      <c r="W28" s="292">
        <v>3</v>
      </c>
      <c r="X28" s="292">
        <v>5</v>
      </c>
      <c r="Y28" s="292">
        <v>2</v>
      </c>
      <c r="Z28" s="292">
        <v>0</v>
      </c>
      <c r="AA28" s="292">
        <v>0</v>
      </c>
      <c r="AB28" s="292">
        <v>15</v>
      </c>
      <c r="AC28" s="292">
        <f t="shared" si="6"/>
        <v>5</v>
      </c>
      <c r="AD28" s="292">
        <f t="shared" si="7"/>
        <v>3</v>
      </c>
      <c r="AE28" s="292">
        <f t="shared" si="8"/>
        <v>5</v>
      </c>
      <c r="AF28" s="292">
        <f t="shared" si="9"/>
        <v>2</v>
      </c>
      <c r="AG28" s="292">
        <f t="shared" si="10"/>
        <v>0</v>
      </c>
    </row>
    <row r="29" spans="1:33" x14ac:dyDescent="0.3">
      <c r="A29" s="306" t="s">
        <v>61</v>
      </c>
      <c r="B29" s="307" t="s">
        <v>62</v>
      </c>
      <c r="C29" s="313" t="s">
        <v>254</v>
      </c>
      <c r="D29" s="309">
        <v>25</v>
      </c>
      <c r="E29" s="309">
        <v>12</v>
      </c>
      <c r="F29" s="309">
        <v>8</v>
      </c>
      <c r="G29" s="309">
        <v>0</v>
      </c>
      <c r="H29" s="309">
        <v>0</v>
      </c>
      <c r="I29" s="309">
        <v>0</v>
      </c>
      <c r="J29" s="309">
        <v>5</v>
      </c>
      <c r="K29" s="309">
        <v>0</v>
      </c>
      <c r="L29" s="309">
        <v>0</v>
      </c>
      <c r="M29" s="309">
        <v>0</v>
      </c>
      <c r="N29" s="310"/>
      <c r="O29" s="310">
        <f t="shared" si="2"/>
        <v>5</v>
      </c>
      <c r="P29" s="310">
        <f t="shared" si="3"/>
        <v>0</v>
      </c>
      <c r="Q29" s="310"/>
      <c r="R29" s="311">
        <f t="shared" si="4"/>
        <v>0.48</v>
      </c>
      <c r="S29" s="311">
        <f t="shared" si="5"/>
        <v>0.32</v>
      </c>
      <c r="U29" s="292">
        <v>1</v>
      </c>
      <c r="V29" s="292">
        <v>4</v>
      </c>
      <c r="W29" s="292">
        <v>7</v>
      </c>
      <c r="X29" s="292">
        <v>6</v>
      </c>
      <c r="Y29" s="292">
        <v>7</v>
      </c>
      <c r="Z29" s="292">
        <v>0</v>
      </c>
      <c r="AA29" s="292">
        <v>0</v>
      </c>
      <c r="AB29" s="292">
        <v>25</v>
      </c>
      <c r="AC29" s="292">
        <f t="shared" si="6"/>
        <v>5</v>
      </c>
      <c r="AD29" s="292">
        <f t="shared" si="7"/>
        <v>7</v>
      </c>
      <c r="AE29" s="292">
        <f t="shared" si="8"/>
        <v>6</v>
      </c>
      <c r="AF29" s="292">
        <f t="shared" si="9"/>
        <v>7</v>
      </c>
      <c r="AG29" s="292">
        <f t="shared" si="10"/>
        <v>0</v>
      </c>
    </row>
    <row r="30" spans="1:33" x14ac:dyDescent="0.3">
      <c r="A30" s="306" t="s">
        <v>63</v>
      </c>
      <c r="B30" s="307" t="s">
        <v>64</v>
      </c>
      <c r="C30" s="313" t="s">
        <v>253</v>
      </c>
      <c r="D30" s="309">
        <v>8</v>
      </c>
      <c r="E30" s="309">
        <v>5</v>
      </c>
      <c r="F30" s="309">
        <v>3</v>
      </c>
      <c r="G30" s="309">
        <v>0</v>
      </c>
      <c r="H30" s="309">
        <v>0</v>
      </c>
      <c r="I30" s="309">
        <v>0</v>
      </c>
      <c r="J30" s="309">
        <v>0</v>
      </c>
      <c r="K30" s="309">
        <v>0</v>
      </c>
      <c r="L30" s="309">
        <v>0</v>
      </c>
      <c r="M30" s="309">
        <v>0</v>
      </c>
      <c r="N30" s="310"/>
      <c r="O30" s="310">
        <f t="shared" si="2"/>
        <v>0</v>
      </c>
      <c r="P30" s="310">
        <f t="shared" si="3"/>
        <v>0</v>
      </c>
      <c r="Q30" s="310"/>
      <c r="R30" s="311">
        <f t="shared" si="4"/>
        <v>0.625</v>
      </c>
      <c r="S30" s="311">
        <f t="shared" si="5"/>
        <v>0.375</v>
      </c>
      <c r="U30" s="292">
        <v>0</v>
      </c>
      <c r="V30" s="292">
        <v>2</v>
      </c>
      <c r="W30" s="292">
        <v>2</v>
      </c>
      <c r="X30" s="292">
        <v>4</v>
      </c>
      <c r="Y30" s="292">
        <v>0</v>
      </c>
      <c r="Z30" s="292">
        <v>0</v>
      </c>
      <c r="AA30" s="292">
        <v>0</v>
      </c>
      <c r="AB30" s="292">
        <v>8</v>
      </c>
      <c r="AC30" s="292">
        <f t="shared" si="6"/>
        <v>2</v>
      </c>
      <c r="AD30" s="292">
        <f t="shared" si="7"/>
        <v>2</v>
      </c>
      <c r="AE30" s="292">
        <f t="shared" si="8"/>
        <v>4</v>
      </c>
      <c r="AF30" s="292">
        <f t="shared" si="9"/>
        <v>0</v>
      </c>
      <c r="AG30" s="292">
        <f t="shared" si="10"/>
        <v>0</v>
      </c>
    </row>
    <row r="31" spans="1:33" x14ac:dyDescent="0.3">
      <c r="A31" s="306" t="s">
        <v>67</v>
      </c>
      <c r="B31" s="307" t="s">
        <v>68</v>
      </c>
      <c r="C31" s="313" t="s">
        <v>255</v>
      </c>
      <c r="D31" s="309">
        <v>22</v>
      </c>
      <c r="E31" s="309">
        <v>21</v>
      </c>
      <c r="F31" s="309">
        <v>0</v>
      </c>
      <c r="G31" s="309">
        <v>0</v>
      </c>
      <c r="H31" s="309">
        <v>0</v>
      </c>
      <c r="I31" s="309">
        <v>0</v>
      </c>
      <c r="J31" s="309">
        <v>0</v>
      </c>
      <c r="K31" s="309">
        <v>0</v>
      </c>
      <c r="L31" s="309">
        <v>1</v>
      </c>
      <c r="M31" s="309">
        <v>0</v>
      </c>
      <c r="N31" s="310"/>
      <c r="O31" s="310">
        <f t="shared" si="2"/>
        <v>0</v>
      </c>
      <c r="P31" s="310">
        <f t="shared" si="3"/>
        <v>1</v>
      </c>
      <c r="Q31" s="310"/>
      <c r="R31" s="311">
        <f t="shared" si="4"/>
        <v>0.95454545454545459</v>
      </c>
      <c r="S31" s="311">
        <f t="shared" si="5"/>
        <v>0</v>
      </c>
      <c r="U31" s="292">
        <v>0</v>
      </c>
      <c r="V31" s="292">
        <v>5</v>
      </c>
      <c r="W31" s="292">
        <v>3</v>
      </c>
      <c r="X31" s="292">
        <v>5</v>
      </c>
      <c r="Y31" s="292">
        <v>9</v>
      </c>
      <c r="Z31" s="292">
        <v>0</v>
      </c>
      <c r="AA31" s="292">
        <v>0</v>
      </c>
      <c r="AB31" s="292">
        <v>22</v>
      </c>
      <c r="AC31" s="292">
        <f t="shared" si="6"/>
        <v>5</v>
      </c>
      <c r="AD31" s="292">
        <f t="shared" si="7"/>
        <v>3</v>
      </c>
      <c r="AE31" s="292">
        <f t="shared" si="8"/>
        <v>5</v>
      </c>
      <c r="AF31" s="292">
        <f t="shared" si="9"/>
        <v>9</v>
      </c>
      <c r="AG31" s="292">
        <f t="shared" si="10"/>
        <v>0</v>
      </c>
    </row>
    <row r="32" spans="1:33" x14ac:dyDescent="0.3">
      <c r="A32" s="306" t="s">
        <v>69</v>
      </c>
      <c r="B32" s="307" t="s">
        <v>70</v>
      </c>
      <c r="C32" s="313" t="s">
        <v>251</v>
      </c>
      <c r="D32" s="309">
        <v>18</v>
      </c>
      <c r="E32" s="309">
        <v>12</v>
      </c>
      <c r="F32" s="309">
        <v>4</v>
      </c>
      <c r="G32" s="309">
        <v>0</v>
      </c>
      <c r="H32" s="309">
        <v>0</v>
      </c>
      <c r="I32" s="309">
        <v>0</v>
      </c>
      <c r="J32" s="309">
        <v>2</v>
      </c>
      <c r="K32" s="309">
        <v>0</v>
      </c>
      <c r="L32" s="309">
        <v>0</v>
      </c>
      <c r="M32" s="309">
        <v>0</v>
      </c>
      <c r="N32" s="310"/>
      <c r="O32" s="310">
        <f t="shared" si="2"/>
        <v>2</v>
      </c>
      <c r="P32" s="310">
        <f t="shared" si="3"/>
        <v>0</v>
      </c>
      <c r="Q32" s="310"/>
      <c r="R32" s="311">
        <f t="shared" si="4"/>
        <v>0.66666666666666663</v>
      </c>
      <c r="S32" s="311">
        <f t="shared" si="5"/>
        <v>0.22222222222222221</v>
      </c>
      <c r="U32" s="292">
        <v>0</v>
      </c>
      <c r="V32" s="292">
        <v>7</v>
      </c>
      <c r="W32" s="292">
        <v>8</v>
      </c>
      <c r="X32" s="292">
        <v>2</v>
      </c>
      <c r="Y32" s="292">
        <v>1</v>
      </c>
      <c r="Z32" s="292">
        <v>0</v>
      </c>
      <c r="AA32" s="292">
        <v>0</v>
      </c>
      <c r="AB32" s="292">
        <v>18</v>
      </c>
      <c r="AC32" s="292">
        <f t="shared" si="6"/>
        <v>7</v>
      </c>
      <c r="AD32" s="292">
        <f t="shared" si="7"/>
        <v>8</v>
      </c>
      <c r="AE32" s="292">
        <f t="shared" si="8"/>
        <v>2</v>
      </c>
      <c r="AF32" s="292">
        <f t="shared" si="9"/>
        <v>1</v>
      </c>
      <c r="AG32" s="292">
        <f t="shared" si="10"/>
        <v>0</v>
      </c>
    </row>
    <row r="33" spans="1:33" x14ac:dyDescent="0.3">
      <c r="A33" s="306" t="s">
        <v>71</v>
      </c>
      <c r="B33" s="307" t="s">
        <v>72</v>
      </c>
      <c r="C33" s="313" t="s">
        <v>253</v>
      </c>
      <c r="D33" s="309">
        <v>17</v>
      </c>
      <c r="E33" s="309">
        <v>9</v>
      </c>
      <c r="F33" s="309">
        <v>6</v>
      </c>
      <c r="G33" s="309">
        <v>0</v>
      </c>
      <c r="H33" s="309">
        <v>0</v>
      </c>
      <c r="I33" s="309">
        <v>0</v>
      </c>
      <c r="J33" s="309">
        <v>1</v>
      </c>
      <c r="K33" s="309">
        <v>0</v>
      </c>
      <c r="L33" s="309">
        <v>1</v>
      </c>
      <c r="M33" s="309">
        <v>0</v>
      </c>
      <c r="N33" s="310"/>
      <c r="O33" s="310">
        <f t="shared" si="2"/>
        <v>1</v>
      </c>
      <c r="P33" s="310">
        <f t="shared" si="3"/>
        <v>1</v>
      </c>
      <c r="Q33" s="310"/>
      <c r="R33" s="311">
        <f t="shared" si="4"/>
        <v>0.52941176470588236</v>
      </c>
      <c r="S33" s="311">
        <f t="shared" si="5"/>
        <v>0.35294117647058826</v>
      </c>
      <c r="U33" s="292">
        <v>2</v>
      </c>
      <c r="V33" s="292">
        <v>4</v>
      </c>
      <c r="W33" s="292">
        <v>1</v>
      </c>
      <c r="X33" s="292">
        <v>7</v>
      </c>
      <c r="Y33" s="292">
        <v>3</v>
      </c>
      <c r="Z33" s="292">
        <v>0</v>
      </c>
      <c r="AA33" s="292">
        <v>0</v>
      </c>
      <c r="AB33" s="292">
        <v>17</v>
      </c>
      <c r="AC33" s="292">
        <f t="shared" si="6"/>
        <v>6</v>
      </c>
      <c r="AD33" s="292">
        <f t="shared" si="7"/>
        <v>1</v>
      </c>
      <c r="AE33" s="292">
        <f t="shared" si="8"/>
        <v>7</v>
      </c>
      <c r="AF33" s="292">
        <f t="shared" si="9"/>
        <v>3</v>
      </c>
      <c r="AG33" s="292">
        <f t="shared" si="10"/>
        <v>0</v>
      </c>
    </row>
    <row r="34" spans="1:33" x14ac:dyDescent="0.3">
      <c r="A34" s="306" t="s">
        <v>73</v>
      </c>
      <c r="B34" s="307" t="s">
        <v>74</v>
      </c>
      <c r="C34" s="313" t="s">
        <v>254</v>
      </c>
      <c r="D34" s="309">
        <v>162</v>
      </c>
      <c r="E34" s="309">
        <v>23</v>
      </c>
      <c r="F34" s="309">
        <v>35</v>
      </c>
      <c r="G34" s="309">
        <v>8</v>
      </c>
      <c r="H34" s="309">
        <v>0</v>
      </c>
      <c r="I34" s="309">
        <v>0</v>
      </c>
      <c r="J34" s="309">
        <v>21</v>
      </c>
      <c r="K34" s="309">
        <v>75</v>
      </c>
      <c r="L34" s="309">
        <v>0</v>
      </c>
      <c r="M34" s="309">
        <v>0</v>
      </c>
      <c r="N34" s="310"/>
      <c r="O34" s="310">
        <f t="shared" si="2"/>
        <v>104</v>
      </c>
      <c r="P34" s="310">
        <f t="shared" si="3"/>
        <v>0</v>
      </c>
      <c r="Q34" s="310"/>
      <c r="R34" s="311">
        <f t="shared" si="4"/>
        <v>0.1419753086419753</v>
      </c>
      <c r="S34" s="311">
        <f t="shared" si="5"/>
        <v>0.21604938271604937</v>
      </c>
      <c r="U34" s="292">
        <v>13</v>
      </c>
      <c r="V34" s="292">
        <v>52</v>
      </c>
      <c r="W34" s="292">
        <v>24</v>
      </c>
      <c r="X34" s="292">
        <v>33</v>
      </c>
      <c r="Y34" s="292">
        <v>40</v>
      </c>
      <c r="Z34" s="292">
        <v>0</v>
      </c>
      <c r="AA34" s="292">
        <v>0</v>
      </c>
      <c r="AB34" s="292">
        <v>162</v>
      </c>
      <c r="AC34" s="292">
        <f t="shared" si="6"/>
        <v>65</v>
      </c>
      <c r="AD34" s="292">
        <f t="shared" si="7"/>
        <v>24</v>
      </c>
      <c r="AE34" s="292">
        <f t="shared" si="8"/>
        <v>33</v>
      </c>
      <c r="AF34" s="292">
        <f t="shared" si="9"/>
        <v>40</v>
      </c>
      <c r="AG34" s="292">
        <f t="shared" si="10"/>
        <v>0</v>
      </c>
    </row>
    <row r="35" spans="1:33" x14ac:dyDescent="0.3">
      <c r="A35" s="306" t="s">
        <v>75</v>
      </c>
      <c r="B35" s="307" t="s">
        <v>76</v>
      </c>
      <c r="C35" s="313" t="s">
        <v>254</v>
      </c>
      <c r="D35" s="309">
        <v>40</v>
      </c>
      <c r="E35" s="309">
        <v>18</v>
      </c>
      <c r="F35" s="309">
        <v>9</v>
      </c>
      <c r="G35" s="309">
        <v>0</v>
      </c>
      <c r="H35" s="309">
        <v>0</v>
      </c>
      <c r="I35" s="309">
        <v>0</v>
      </c>
      <c r="J35" s="309">
        <v>8</v>
      </c>
      <c r="K35" s="309">
        <v>4</v>
      </c>
      <c r="L35" s="309">
        <v>1</v>
      </c>
      <c r="M35" s="309">
        <v>0</v>
      </c>
      <c r="N35" s="310"/>
      <c r="O35" s="310">
        <f t="shared" si="2"/>
        <v>12</v>
      </c>
      <c r="P35" s="310">
        <f t="shared" si="3"/>
        <v>1</v>
      </c>
      <c r="Q35" s="310"/>
      <c r="R35" s="311">
        <f t="shared" si="4"/>
        <v>0.45</v>
      </c>
      <c r="S35" s="311">
        <f t="shared" si="5"/>
        <v>0.22500000000000001</v>
      </c>
      <c r="U35" s="292">
        <v>6</v>
      </c>
      <c r="V35" s="292">
        <v>12</v>
      </c>
      <c r="W35" s="292">
        <v>11</v>
      </c>
      <c r="X35" s="292">
        <v>8</v>
      </c>
      <c r="Y35" s="292">
        <v>3</v>
      </c>
      <c r="Z35" s="292">
        <v>0</v>
      </c>
      <c r="AA35" s="292">
        <v>0</v>
      </c>
      <c r="AB35" s="292">
        <v>40</v>
      </c>
      <c r="AC35" s="292">
        <f t="shared" si="6"/>
        <v>18</v>
      </c>
      <c r="AD35" s="292">
        <f t="shared" si="7"/>
        <v>11</v>
      </c>
      <c r="AE35" s="292">
        <f t="shared" si="8"/>
        <v>8</v>
      </c>
      <c r="AF35" s="292">
        <f t="shared" si="9"/>
        <v>3</v>
      </c>
      <c r="AG35" s="292">
        <f t="shared" si="10"/>
        <v>0</v>
      </c>
    </row>
    <row r="36" spans="1:33" x14ac:dyDescent="0.3">
      <c r="A36" s="306" t="s">
        <v>77</v>
      </c>
      <c r="B36" s="307" t="s">
        <v>78</v>
      </c>
      <c r="C36" s="313" t="s">
        <v>255</v>
      </c>
      <c r="D36" s="309">
        <v>19</v>
      </c>
      <c r="E36" s="309">
        <v>16</v>
      </c>
      <c r="F36" s="309">
        <v>0</v>
      </c>
      <c r="G36" s="309">
        <v>0</v>
      </c>
      <c r="H36" s="309">
        <v>0</v>
      </c>
      <c r="I36" s="309">
        <v>0</v>
      </c>
      <c r="J36" s="309">
        <v>1</v>
      </c>
      <c r="K36" s="309">
        <v>2</v>
      </c>
      <c r="L36" s="309">
        <v>0</v>
      </c>
      <c r="M36" s="309">
        <v>0</v>
      </c>
      <c r="N36" s="310"/>
      <c r="O36" s="310">
        <f t="shared" si="2"/>
        <v>3</v>
      </c>
      <c r="P36" s="310">
        <f t="shared" si="3"/>
        <v>0</v>
      </c>
      <c r="Q36" s="310"/>
      <c r="R36" s="311">
        <f t="shared" si="4"/>
        <v>0.84210526315789469</v>
      </c>
      <c r="S36" s="311">
        <f t="shared" si="5"/>
        <v>0</v>
      </c>
      <c r="U36" s="292">
        <v>2</v>
      </c>
      <c r="V36" s="292">
        <v>9</v>
      </c>
      <c r="W36" s="292">
        <v>1</v>
      </c>
      <c r="X36" s="292">
        <v>3</v>
      </c>
      <c r="Y36" s="292">
        <v>4</v>
      </c>
      <c r="Z36" s="292">
        <v>0</v>
      </c>
      <c r="AA36" s="292">
        <v>0</v>
      </c>
      <c r="AB36" s="292">
        <v>19</v>
      </c>
      <c r="AC36" s="292">
        <f t="shared" si="6"/>
        <v>11</v>
      </c>
      <c r="AD36" s="292">
        <f t="shared" si="7"/>
        <v>1</v>
      </c>
      <c r="AE36" s="292">
        <f t="shared" si="8"/>
        <v>3</v>
      </c>
      <c r="AF36" s="292">
        <f t="shared" si="9"/>
        <v>4</v>
      </c>
      <c r="AG36" s="292">
        <f t="shared" si="10"/>
        <v>0</v>
      </c>
    </row>
    <row r="37" spans="1:33" x14ac:dyDescent="0.3">
      <c r="A37" s="306" t="s">
        <v>79</v>
      </c>
      <c r="B37" s="307" t="s">
        <v>80</v>
      </c>
      <c r="C37" s="313" t="s">
        <v>253</v>
      </c>
      <c r="D37" s="309">
        <v>16</v>
      </c>
      <c r="E37" s="309">
        <v>10</v>
      </c>
      <c r="F37" s="309">
        <v>3</v>
      </c>
      <c r="G37" s="309">
        <v>0</v>
      </c>
      <c r="H37" s="309">
        <v>0</v>
      </c>
      <c r="I37" s="309">
        <v>0</v>
      </c>
      <c r="J37" s="309">
        <v>3</v>
      </c>
      <c r="K37" s="309">
        <v>0</v>
      </c>
      <c r="L37" s="309">
        <v>0</v>
      </c>
      <c r="M37" s="309">
        <v>0</v>
      </c>
      <c r="N37" s="310"/>
      <c r="O37" s="310">
        <f t="shared" si="2"/>
        <v>3</v>
      </c>
      <c r="P37" s="310">
        <f t="shared" si="3"/>
        <v>0</v>
      </c>
      <c r="Q37" s="310"/>
      <c r="R37" s="311">
        <f t="shared" si="4"/>
        <v>0.625</v>
      </c>
      <c r="S37" s="311">
        <f t="shared" si="5"/>
        <v>0.1875</v>
      </c>
      <c r="U37" s="292">
        <v>0</v>
      </c>
      <c r="V37" s="292">
        <v>3</v>
      </c>
      <c r="W37" s="292">
        <v>1</v>
      </c>
      <c r="X37" s="292">
        <v>7</v>
      </c>
      <c r="Y37" s="292">
        <v>5</v>
      </c>
      <c r="Z37" s="292">
        <v>0</v>
      </c>
      <c r="AA37" s="292">
        <v>0</v>
      </c>
      <c r="AB37" s="292">
        <v>16</v>
      </c>
      <c r="AC37" s="292">
        <f t="shared" si="6"/>
        <v>3</v>
      </c>
      <c r="AD37" s="292">
        <f t="shared" si="7"/>
        <v>1</v>
      </c>
      <c r="AE37" s="292">
        <f t="shared" si="8"/>
        <v>7</v>
      </c>
      <c r="AF37" s="292">
        <f t="shared" si="9"/>
        <v>5</v>
      </c>
      <c r="AG37" s="292">
        <f t="shared" si="10"/>
        <v>0</v>
      </c>
    </row>
    <row r="38" spans="1:33" x14ac:dyDescent="0.3">
      <c r="A38" s="306" t="s">
        <v>83</v>
      </c>
      <c r="B38" s="307" t="s">
        <v>84</v>
      </c>
      <c r="C38" s="313" t="s">
        <v>252</v>
      </c>
      <c r="D38" s="309">
        <v>76</v>
      </c>
      <c r="E38" s="309">
        <v>58</v>
      </c>
      <c r="F38" s="309">
        <v>3</v>
      </c>
      <c r="G38" s="309">
        <v>0</v>
      </c>
      <c r="H38" s="309">
        <v>0</v>
      </c>
      <c r="I38" s="309">
        <v>0</v>
      </c>
      <c r="J38" s="309">
        <v>4</v>
      </c>
      <c r="K38" s="309">
        <v>10</v>
      </c>
      <c r="L38" s="309">
        <v>1</v>
      </c>
      <c r="M38" s="309">
        <v>0</v>
      </c>
      <c r="N38" s="310"/>
      <c r="O38" s="310">
        <f t="shared" ref="O38:O69" si="11">SUM(G38:K38)</f>
        <v>14</v>
      </c>
      <c r="P38" s="310">
        <f t="shared" ref="P38:P69" si="12">L38+M38</f>
        <v>1</v>
      </c>
      <c r="Q38" s="310"/>
      <c r="R38" s="311">
        <f t="shared" ref="R38:R69" si="13">IF(D38=0,"N/A",+E38/D38)</f>
        <v>0.76315789473684215</v>
      </c>
      <c r="S38" s="311">
        <f t="shared" ref="S38:S69" si="14">IF(D38=0,"N/A",+F38/D38)</f>
        <v>3.9473684210526314E-2</v>
      </c>
      <c r="U38" s="292">
        <v>1</v>
      </c>
      <c r="V38" s="292">
        <v>21</v>
      </c>
      <c r="W38" s="292">
        <v>15</v>
      </c>
      <c r="X38" s="292">
        <v>24</v>
      </c>
      <c r="Y38" s="292">
        <v>15</v>
      </c>
      <c r="Z38" s="292">
        <v>0</v>
      </c>
      <c r="AA38" s="292">
        <v>0</v>
      </c>
      <c r="AB38" s="292">
        <v>76</v>
      </c>
      <c r="AC38" s="292">
        <f t="shared" ref="AC38:AC69" si="15">U38+V38</f>
        <v>22</v>
      </c>
      <c r="AD38" s="292">
        <f t="shared" ref="AD38:AD69" si="16">W38</f>
        <v>15</v>
      </c>
      <c r="AE38" s="292">
        <f t="shared" ref="AE38:AE69" si="17">X38</f>
        <v>24</v>
      </c>
      <c r="AF38" s="292">
        <f t="shared" ref="AF38:AF69" si="18">Y38</f>
        <v>15</v>
      </c>
      <c r="AG38" s="292">
        <f t="shared" ref="AG38:AG69" si="19">Z38</f>
        <v>0</v>
      </c>
    </row>
    <row r="39" spans="1:33" x14ac:dyDescent="0.3">
      <c r="A39" s="306" t="s">
        <v>85</v>
      </c>
      <c r="B39" s="307" t="s">
        <v>86</v>
      </c>
      <c r="C39" s="313" t="s">
        <v>254</v>
      </c>
      <c r="D39" s="309">
        <v>35</v>
      </c>
      <c r="E39" s="309">
        <v>24</v>
      </c>
      <c r="F39" s="309">
        <v>2</v>
      </c>
      <c r="G39" s="309">
        <v>0</v>
      </c>
      <c r="H39" s="309">
        <v>0</v>
      </c>
      <c r="I39" s="309">
        <v>0</v>
      </c>
      <c r="J39" s="309">
        <v>8</v>
      </c>
      <c r="K39" s="309">
        <v>1</v>
      </c>
      <c r="L39" s="309">
        <v>0</v>
      </c>
      <c r="M39" s="309">
        <v>0</v>
      </c>
      <c r="N39" s="310"/>
      <c r="O39" s="310">
        <f t="shared" si="11"/>
        <v>9</v>
      </c>
      <c r="P39" s="310">
        <f t="shared" si="12"/>
        <v>0</v>
      </c>
      <c r="Q39" s="310"/>
      <c r="R39" s="311">
        <f t="shared" si="13"/>
        <v>0.68571428571428572</v>
      </c>
      <c r="S39" s="311">
        <f t="shared" si="14"/>
        <v>5.7142857142857141E-2</v>
      </c>
      <c r="U39" s="292">
        <v>3</v>
      </c>
      <c r="V39" s="292">
        <v>9</v>
      </c>
      <c r="W39" s="292">
        <v>8</v>
      </c>
      <c r="X39" s="292">
        <v>8</v>
      </c>
      <c r="Y39" s="292">
        <v>7</v>
      </c>
      <c r="Z39" s="292">
        <v>0</v>
      </c>
      <c r="AA39" s="292">
        <v>0</v>
      </c>
      <c r="AB39" s="292">
        <v>35</v>
      </c>
      <c r="AC39" s="292">
        <f t="shared" si="15"/>
        <v>12</v>
      </c>
      <c r="AD39" s="292">
        <f t="shared" si="16"/>
        <v>8</v>
      </c>
      <c r="AE39" s="292">
        <f t="shared" si="17"/>
        <v>8</v>
      </c>
      <c r="AF39" s="292">
        <f t="shared" si="18"/>
        <v>7</v>
      </c>
      <c r="AG39" s="292">
        <f t="shared" si="19"/>
        <v>0</v>
      </c>
    </row>
    <row r="40" spans="1:33" x14ac:dyDescent="0.3">
      <c r="A40" s="312" t="s">
        <v>91</v>
      </c>
      <c r="B40" s="307" t="s">
        <v>92</v>
      </c>
      <c r="C40" s="313" t="s">
        <v>255</v>
      </c>
      <c r="D40" s="309">
        <v>29</v>
      </c>
      <c r="E40" s="309">
        <v>29</v>
      </c>
      <c r="F40" s="309">
        <v>0</v>
      </c>
      <c r="G40" s="309">
        <v>0</v>
      </c>
      <c r="H40" s="309">
        <v>0</v>
      </c>
      <c r="I40" s="309">
        <v>0</v>
      </c>
      <c r="J40" s="309">
        <v>0</v>
      </c>
      <c r="K40" s="309">
        <v>0</v>
      </c>
      <c r="L40" s="309">
        <v>0</v>
      </c>
      <c r="M40" s="309">
        <v>0</v>
      </c>
      <c r="N40" s="310"/>
      <c r="O40" s="310">
        <f t="shared" si="11"/>
        <v>0</v>
      </c>
      <c r="P40" s="310">
        <f t="shared" si="12"/>
        <v>0</v>
      </c>
      <c r="Q40" s="310"/>
      <c r="R40" s="311">
        <f t="shared" si="13"/>
        <v>1</v>
      </c>
      <c r="S40" s="311">
        <f t="shared" si="14"/>
        <v>0</v>
      </c>
      <c r="U40" s="292">
        <v>1</v>
      </c>
      <c r="V40" s="292">
        <v>11</v>
      </c>
      <c r="W40" s="292">
        <v>7</v>
      </c>
      <c r="X40" s="292">
        <v>7</v>
      </c>
      <c r="Y40" s="292">
        <v>3</v>
      </c>
      <c r="Z40" s="292">
        <v>0</v>
      </c>
      <c r="AA40" s="292">
        <v>0</v>
      </c>
      <c r="AB40" s="292">
        <v>29</v>
      </c>
      <c r="AC40" s="292">
        <f t="shared" si="15"/>
        <v>12</v>
      </c>
      <c r="AD40" s="292">
        <f t="shared" si="16"/>
        <v>7</v>
      </c>
      <c r="AE40" s="292">
        <f t="shared" si="17"/>
        <v>7</v>
      </c>
      <c r="AF40" s="292">
        <f t="shared" si="18"/>
        <v>3</v>
      </c>
      <c r="AG40" s="292">
        <f t="shared" si="19"/>
        <v>0</v>
      </c>
    </row>
    <row r="41" spans="1:33" x14ac:dyDescent="0.3">
      <c r="A41" s="306" t="s">
        <v>93</v>
      </c>
      <c r="B41" s="307" t="s">
        <v>94</v>
      </c>
      <c r="C41" s="313" t="s">
        <v>251</v>
      </c>
      <c r="D41" s="309">
        <v>31</v>
      </c>
      <c r="E41" s="309">
        <v>14</v>
      </c>
      <c r="F41" s="309">
        <v>0</v>
      </c>
      <c r="G41" s="309">
        <v>0</v>
      </c>
      <c r="H41" s="309">
        <v>0</v>
      </c>
      <c r="I41" s="309">
        <v>0</v>
      </c>
      <c r="J41" s="309">
        <v>16</v>
      </c>
      <c r="K41" s="309">
        <v>1</v>
      </c>
      <c r="L41" s="309">
        <v>0</v>
      </c>
      <c r="M41" s="309">
        <v>0</v>
      </c>
      <c r="N41" s="310"/>
      <c r="O41" s="310">
        <f t="shared" si="11"/>
        <v>17</v>
      </c>
      <c r="P41" s="310">
        <f t="shared" si="12"/>
        <v>0</v>
      </c>
      <c r="Q41" s="310"/>
      <c r="R41" s="311">
        <f t="shared" si="13"/>
        <v>0.45161290322580644</v>
      </c>
      <c r="S41" s="311">
        <f t="shared" si="14"/>
        <v>0</v>
      </c>
      <c r="U41" s="292">
        <v>4</v>
      </c>
      <c r="V41" s="292">
        <v>11</v>
      </c>
      <c r="W41" s="292">
        <v>8</v>
      </c>
      <c r="X41" s="292">
        <v>6</v>
      </c>
      <c r="Y41" s="292">
        <v>2</v>
      </c>
      <c r="Z41" s="292">
        <v>0</v>
      </c>
      <c r="AA41" s="292">
        <v>0</v>
      </c>
      <c r="AB41" s="292">
        <v>31</v>
      </c>
      <c r="AC41" s="292">
        <f t="shared" si="15"/>
        <v>15</v>
      </c>
      <c r="AD41" s="292">
        <f t="shared" si="16"/>
        <v>8</v>
      </c>
      <c r="AE41" s="292">
        <f t="shared" si="17"/>
        <v>6</v>
      </c>
      <c r="AF41" s="292">
        <f t="shared" si="18"/>
        <v>2</v>
      </c>
      <c r="AG41" s="292">
        <f t="shared" si="19"/>
        <v>0</v>
      </c>
    </row>
    <row r="42" spans="1:33" x14ac:dyDescent="0.3">
      <c r="A42" s="306" t="s">
        <v>95</v>
      </c>
      <c r="B42" s="307" t="s">
        <v>96</v>
      </c>
      <c r="C42" s="313" t="s">
        <v>253</v>
      </c>
      <c r="D42" s="309">
        <v>7</v>
      </c>
      <c r="E42" s="309">
        <v>2</v>
      </c>
      <c r="F42" s="309">
        <v>3</v>
      </c>
      <c r="G42" s="309">
        <v>0</v>
      </c>
      <c r="H42" s="309">
        <v>0</v>
      </c>
      <c r="I42" s="309">
        <v>0</v>
      </c>
      <c r="J42" s="309">
        <v>2</v>
      </c>
      <c r="K42" s="309">
        <v>0</v>
      </c>
      <c r="L42" s="309">
        <v>0</v>
      </c>
      <c r="M42" s="309">
        <v>0</v>
      </c>
      <c r="N42" s="310"/>
      <c r="O42" s="310">
        <f t="shared" si="11"/>
        <v>2</v>
      </c>
      <c r="P42" s="310">
        <f t="shared" si="12"/>
        <v>0</v>
      </c>
      <c r="Q42" s="310"/>
      <c r="R42" s="311">
        <f t="shared" si="13"/>
        <v>0.2857142857142857</v>
      </c>
      <c r="S42" s="311">
        <f t="shared" si="14"/>
        <v>0.42857142857142855</v>
      </c>
      <c r="U42" s="292">
        <v>1</v>
      </c>
      <c r="V42" s="292">
        <v>2</v>
      </c>
      <c r="W42" s="292">
        <v>0</v>
      </c>
      <c r="X42" s="292">
        <v>1</v>
      </c>
      <c r="Y42" s="292">
        <v>3</v>
      </c>
      <c r="Z42" s="292">
        <v>0</v>
      </c>
      <c r="AA42" s="292">
        <v>0</v>
      </c>
      <c r="AB42" s="292">
        <v>7</v>
      </c>
      <c r="AC42" s="292">
        <f t="shared" si="15"/>
        <v>3</v>
      </c>
      <c r="AD42" s="292">
        <f t="shared" si="16"/>
        <v>0</v>
      </c>
      <c r="AE42" s="292">
        <f t="shared" si="17"/>
        <v>1</v>
      </c>
      <c r="AF42" s="292">
        <f t="shared" si="18"/>
        <v>3</v>
      </c>
      <c r="AG42" s="292">
        <f t="shared" si="19"/>
        <v>0</v>
      </c>
    </row>
    <row r="43" spans="1:33" x14ac:dyDescent="0.3">
      <c r="A43" s="306" t="s">
        <v>97</v>
      </c>
      <c r="B43" s="307" t="s">
        <v>98</v>
      </c>
      <c r="C43" s="313" t="s">
        <v>255</v>
      </c>
      <c r="D43" s="309">
        <v>23</v>
      </c>
      <c r="E43" s="309">
        <v>19</v>
      </c>
      <c r="F43" s="309">
        <v>1</v>
      </c>
      <c r="G43" s="309">
        <v>0</v>
      </c>
      <c r="H43" s="309">
        <v>0</v>
      </c>
      <c r="I43" s="309">
        <v>0</v>
      </c>
      <c r="J43" s="309">
        <v>1</v>
      </c>
      <c r="K43" s="309">
        <v>2</v>
      </c>
      <c r="L43" s="309">
        <v>0</v>
      </c>
      <c r="M43" s="309">
        <v>0</v>
      </c>
      <c r="N43" s="310"/>
      <c r="O43" s="310">
        <f t="shared" si="11"/>
        <v>3</v>
      </c>
      <c r="P43" s="310">
        <f t="shared" si="12"/>
        <v>0</v>
      </c>
      <c r="Q43" s="310"/>
      <c r="R43" s="311">
        <f t="shared" si="13"/>
        <v>0.82608695652173914</v>
      </c>
      <c r="S43" s="311">
        <f t="shared" si="14"/>
        <v>4.3478260869565216E-2</v>
      </c>
      <c r="U43" s="292">
        <v>2</v>
      </c>
      <c r="V43" s="292">
        <v>10</v>
      </c>
      <c r="W43" s="292">
        <v>6</v>
      </c>
      <c r="X43" s="292">
        <v>2</v>
      </c>
      <c r="Y43" s="292">
        <v>3</v>
      </c>
      <c r="Z43" s="292">
        <v>0</v>
      </c>
      <c r="AA43" s="292">
        <v>0</v>
      </c>
      <c r="AB43" s="292">
        <v>23</v>
      </c>
      <c r="AC43" s="292">
        <f t="shared" si="15"/>
        <v>12</v>
      </c>
      <c r="AD43" s="292">
        <f t="shared" si="16"/>
        <v>6</v>
      </c>
      <c r="AE43" s="292">
        <f t="shared" si="17"/>
        <v>2</v>
      </c>
      <c r="AF43" s="292">
        <f t="shared" si="18"/>
        <v>3</v>
      </c>
      <c r="AG43" s="292">
        <f t="shared" si="19"/>
        <v>0</v>
      </c>
    </row>
    <row r="44" spans="1:33" x14ac:dyDescent="0.3">
      <c r="A44" s="306" t="s">
        <v>99</v>
      </c>
      <c r="B44" s="307" t="s">
        <v>100</v>
      </c>
      <c r="C44" s="313" t="s">
        <v>254</v>
      </c>
      <c r="D44" s="309">
        <v>17</v>
      </c>
      <c r="E44" s="309">
        <v>13</v>
      </c>
      <c r="F44" s="309">
        <v>2</v>
      </c>
      <c r="G44" s="309">
        <v>0</v>
      </c>
      <c r="H44" s="309">
        <v>0</v>
      </c>
      <c r="I44" s="309">
        <v>0</v>
      </c>
      <c r="J44" s="309">
        <v>1</v>
      </c>
      <c r="K44" s="309">
        <v>1</v>
      </c>
      <c r="L44" s="309">
        <v>0</v>
      </c>
      <c r="M44" s="309">
        <v>0</v>
      </c>
      <c r="N44" s="310"/>
      <c r="O44" s="310">
        <f t="shared" si="11"/>
        <v>2</v>
      </c>
      <c r="P44" s="310">
        <f t="shared" si="12"/>
        <v>0</v>
      </c>
      <c r="Q44" s="310"/>
      <c r="R44" s="311">
        <f t="shared" si="13"/>
        <v>0.76470588235294112</v>
      </c>
      <c r="S44" s="311">
        <f t="shared" si="14"/>
        <v>0.11764705882352941</v>
      </c>
      <c r="U44" s="292">
        <v>0</v>
      </c>
      <c r="V44" s="292">
        <v>3</v>
      </c>
      <c r="W44" s="292">
        <v>4</v>
      </c>
      <c r="X44" s="292">
        <v>4</v>
      </c>
      <c r="Y44" s="292">
        <v>6</v>
      </c>
      <c r="Z44" s="292">
        <v>0</v>
      </c>
      <c r="AA44" s="292">
        <v>0</v>
      </c>
      <c r="AB44" s="292">
        <v>17</v>
      </c>
      <c r="AC44" s="292">
        <f t="shared" si="15"/>
        <v>3</v>
      </c>
      <c r="AD44" s="292">
        <f t="shared" si="16"/>
        <v>4</v>
      </c>
      <c r="AE44" s="292">
        <f t="shared" si="17"/>
        <v>4</v>
      </c>
      <c r="AF44" s="292">
        <f t="shared" si="18"/>
        <v>6</v>
      </c>
      <c r="AG44" s="292">
        <f t="shared" si="19"/>
        <v>0</v>
      </c>
    </row>
    <row r="45" spans="1:33" x14ac:dyDescent="0.3">
      <c r="A45" s="306" t="s">
        <v>101</v>
      </c>
      <c r="B45" s="307" t="s">
        <v>263</v>
      </c>
      <c r="C45" s="313" t="s">
        <v>251</v>
      </c>
      <c r="D45" s="309">
        <v>17</v>
      </c>
      <c r="E45" s="309">
        <v>1</v>
      </c>
      <c r="F45" s="309">
        <v>14</v>
      </c>
      <c r="G45" s="309">
        <v>0</v>
      </c>
      <c r="H45" s="309">
        <v>0</v>
      </c>
      <c r="I45" s="309">
        <v>0</v>
      </c>
      <c r="J45" s="309">
        <v>1</v>
      </c>
      <c r="K45" s="309">
        <v>1</v>
      </c>
      <c r="L45" s="309">
        <v>0</v>
      </c>
      <c r="M45" s="309">
        <v>0</v>
      </c>
      <c r="N45" s="310"/>
      <c r="O45" s="310">
        <f t="shared" si="11"/>
        <v>2</v>
      </c>
      <c r="P45" s="310">
        <f t="shared" si="12"/>
        <v>0</v>
      </c>
      <c r="Q45" s="310"/>
      <c r="R45" s="311">
        <f t="shared" si="13"/>
        <v>5.8823529411764705E-2</v>
      </c>
      <c r="S45" s="311">
        <f t="shared" si="14"/>
        <v>0.82352941176470584</v>
      </c>
      <c r="U45" s="292">
        <v>0</v>
      </c>
      <c r="V45" s="292">
        <v>6</v>
      </c>
      <c r="W45" s="292">
        <v>6</v>
      </c>
      <c r="X45" s="292">
        <v>4</v>
      </c>
      <c r="Y45" s="292">
        <v>1</v>
      </c>
      <c r="Z45" s="292">
        <v>0</v>
      </c>
      <c r="AA45" s="292">
        <v>0</v>
      </c>
      <c r="AB45" s="292">
        <v>17</v>
      </c>
      <c r="AC45" s="292">
        <f t="shared" si="15"/>
        <v>6</v>
      </c>
      <c r="AD45" s="292">
        <f t="shared" si="16"/>
        <v>6</v>
      </c>
      <c r="AE45" s="292">
        <f t="shared" si="17"/>
        <v>4</v>
      </c>
      <c r="AF45" s="292">
        <f t="shared" si="18"/>
        <v>1</v>
      </c>
      <c r="AG45" s="292">
        <f t="shared" si="19"/>
        <v>0</v>
      </c>
    </row>
    <row r="46" spans="1:33" x14ac:dyDescent="0.3">
      <c r="A46" s="306" t="s">
        <v>103</v>
      </c>
      <c r="B46" s="307" t="s">
        <v>104</v>
      </c>
      <c r="C46" s="313" t="s">
        <v>252</v>
      </c>
      <c r="D46" s="309">
        <v>27</v>
      </c>
      <c r="E46" s="309">
        <v>11</v>
      </c>
      <c r="F46" s="309">
        <v>12</v>
      </c>
      <c r="G46" s="309">
        <v>0</v>
      </c>
      <c r="H46" s="309">
        <v>0</v>
      </c>
      <c r="I46" s="309">
        <v>0</v>
      </c>
      <c r="J46" s="309">
        <v>2</v>
      </c>
      <c r="K46" s="309">
        <v>2</v>
      </c>
      <c r="L46" s="309">
        <v>0</v>
      </c>
      <c r="M46" s="309">
        <v>0</v>
      </c>
      <c r="N46" s="310"/>
      <c r="O46" s="310">
        <f t="shared" si="11"/>
        <v>4</v>
      </c>
      <c r="P46" s="310">
        <f t="shared" si="12"/>
        <v>0</v>
      </c>
      <c r="Q46" s="310"/>
      <c r="R46" s="311">
        <f t="shared" si="13"/>
        <v>0.40740740740740738</v>
      </c>
      <c r="S46" s="311">
        <f t="shared" si="14"/>
        <v>0.44444444444444442</v>
      </c>
      <c r="U46" s="292">
        <v>0</v>
      </c>
      <c r="V46" s="292">
        <v>6</v>
      </c>
      <c r="W46" s="292">
        <v>6</v>
      </c>
      <c r="X46" s="292">
        <v>9</v>
      </c>
      <c r="Y46" s="292">
        <v>6</v>
      </c>
      <c r="Z46" s="292">
        <v>0</v>
      </c>
      <c r="AA46" s="292">
        <v>0</v>
      </c>
      <c r="AB46" s="292">
        <v>27</v>
      </c>
      <c r="AC46" s="292">
        <f t="shared" si="15"/>
        <v>6</v>
      </c>
      <c r="AD46" s="292">
        <f t="shared" si="16"/>
        <v>6</v>
      </c>
      <c r="AE46" s="292">
        <f t="shared" si="17"/>
        <v>9</v>
      </c>
      <c r="AF46" s="292">
        <f t="shared" si="18"/>
        <v>6</v>
      </c>
      <c r="AG46" s="292">
        <f t="shared" si="19"/>
        <v>0</v>
      </c>
    </row>
    <row r="47" spans="1:33" x14ac:dyDescent="0.3">
      <c r="A47" s="306" t="s">
        <v>107</v>
      </c>
      <c r="B47" s="307" t="s">
        <v>108</v>
      </c>
      <c r="C47" s="313" t="s">
        <v>253</v>
      </c>
      <c r="D47" s="309">
        <v>32</v>
      </c>
      <c r="E47" s="309">
        <v>19</v>
      </c>
      <c r="F47" s="309">
        <v>6</v>
      </c>
      <c r="G47" s="309">
        <v>0</v>
      </c>
      <c r="H47" s="309">
        <v>0</v>
      </c>
      <c r="I47" s="309">
        <v>0</v>
      </c>
      <c r="J47" s="309">
        <v>6</v>
      </c>
      <c r="K47" s="309">
        <v>1</v>
      </c>
      <c r="L47" s="309">
        <v>0</v>
      </c>
      <c r="M47" s="309">
        <v>0</v>
      </c>
      <c r="N47" s="310"/>
      <c r="O47" s="310">
        <f t="shared" si="11"/>
        <v>7</v>
      </c>
      <c r="P47" s="310">
        <f t="shared" si="12"/>
        <v>0</v>
      </c>
      <c r="Q47" s="310"/>
      <c r="R47" s="311">
        <f t="shared" si="13"/>
        <v>0.59375</v>
      </c>
      <c r="S47" s="311">
        <f t="shared" si="14"/>
        <v>0.1875</v>
      </c>
      <c r="U47" s="292">
        <v>1</v>
      </c>
      <c r="V47" s="292">
        <v>3</v>
      </c>
      <c r="W47" s="292">
        <v>6</v>
      </c>
      <c r="X47" s="292">
        <v>11</v>
      </c>
      <c r="Y47" s="292">
        <v>11</v>
      </c>
      <c r="Z47" s="292">
        <v>0</v>
      </c>
      <c r="AA47" s="292">
        <v>0</v>
      </c>
      <c r="AB47" s="292">
        <v>32</v>
      </c>
      <c r="AC47" s="292">
        <f t="shared" si="15"/>
        <v>4</v>
      </c>
      <c r="AD47" s="292">
        <f t="shared" si="16"/>
        <v>6</v>
      </c>
      <c r="AE47" s="292">
        <f t="shared" si="17"/>
        <v>11</v>
      </c>
      <c r="AF47" s="292">
        <f t="shared" si="18"/>
        <v>11</v>
      </c>
      <c r="AG47" s="292">
        <f t="shared" si="19"/>
        <v>0</v>
      </c>
    </row>
    <row r="48" spans="1:33" x14ac:dyDescent="0.3">
      <c r="A48" s="306" t="s">
        <v>109</v>
      </c>
      <c r="B48" s="307" t="s">
        <v>110</v>
      </c>
      <c r="C48" s="313" t="s">
        <v>253</v>
      </c>
      <c r="D48" s="309">
        <v>122</v>
      </c>
      <c r="E48" s="309">
        <v>40</v>
      </c>
      <c r="F48" s="309">
        <v>55</v>
      </c>
      <c r="G48" s="309">
        <v>2</v>
      </c>
      <c r="H48" s="309">
        <v>0</v>
      </c>
      <c r="I48" s="309">
        <v>2</v>
      </c>
      <c r="J48" s="309">
        <v>13</v>
      </c>
      <c r="K48" s="309">
        <v>10</v>
      </c>
      <c r="L48" s="309">
        <v>0</v>
      </c>
      <c r="M48" s="309">
        <v>0</v>
      </c>
      <c r="N48" s="310"/>
      <c r="O48" s="310">
        <f t="shared" si="11"/>
        <v>27</v>
      </c>
      <c r="P48" s="310">
        <f t="shared" si="12"/>
        <v>0</v>
      </c>
      <c r="Q48" s="310"/>
      <c r="R48" s="311">
        <f t="shared" si="13"/>
        <v>0.32786885245901637</v>
      </c>
      <c r="S48" s="311">
        <f t="shared" si="14"/>
        <v>0.45081967213114754</v>
      </c>
      <c r="U48" s="292">
        <v>5</v>
      </c>
      <c r="V48" s="292">
        <v>27</v>
      </c>
      <c r="W48" s="292">
        <v>21</v>
      </c>
      <c r="X48" s="292">
        <v>42</v>
      </c>
      <c r="Y48" s="292">
        <v>27</v>
      </c>
      <c r="Z48" s="292">
        <v>0</v>
      </c>
      <c r="AA48" s="292">
        <v>0</v>
      </c>
      <c r="AB48" s="292">
        <v>122</v>
      </c>
      <c r="AC48" s="292">
        <f t="shared" si="15"/>
        <v>32</v>
      </c>
      <c r="AD48" s="292">
        <f t="shared" si="16"/>
        <v>21</v>
      </c>
      <c r="AE48" s="292">
        <f t="shared" si="17"/>
        <v>42</v>
      </c>
      <c r="AF48" s="292">
        <f t="shared" si="18"/>
        <v>27</v>
      </c>
      <c r="AG48" s="292">
        <f t="shared" si="19"/>
        <v>0</v>
      </c>
    </row>
    <row r="49" spans="1:33" x14ac:dyDescent="0.3">
      <c r="A49" s="306" t="s">
        <v>111</v>
      </c>
      <c r="B49" s="307" t="s">
        <v>112</v>
      </c>
      <c r="C49" s="313" t="s">
        <v>252</v>
      </c>
      <c r="D49" s="309">
        <v>58</v>
      </c>
      <c r="E49" s="309">
        <v>39</v>
      </c>
      <c r="F49" s="309">
        <v>14</v>
      </c>
      <c r="G49" s="309">
        <v>0</v>
      </c>
      <c r="H49" s="309">
        <v>0</v>
      </c>
      <c r="I49" s="309">
        <v>0</v>
      </c>
      <c r="J49" s="309">
        <v>4</v>
      </c>
      <c r="K49" s="309">
        <v>0</v>
      </c>
      <c r="L49" s="309">
        <v>1</v>
      </c>
      <c r="M49" s="309">
        <v>0</v>
      </c>
      <c r="N49" s="310"/>
      <c r="O49" s="310">
        <f t="shared" si="11"/>
        <v>4</v>
      </c>
      <c r="P49" s="310">
        <f t="shared" si="12"/>
        <v>1</v>
      </c>
      <c r="Q49" s="310"/>
      <c r="R49" s="311">
        <f t="shared" si="13"/>
        <v>0.67241379310344829</v>
      </c>
      <c r="S49" s="311">
        <f t="shared" si="14"/>
        <v>0.2413793103448276</v>
      </c>
      <c r="U49" s="292">
        <v>2</v>
      </c>
      <c r="V49" s="292">
        <v>14</v>
      </c>
      <c r="W49" s="292">
        <v>12</v>
      </c>
      <c r="X49" s="292">
        <v>18</v>
      </c>
      <c r="Y49" s="292">
        <v>12</v>
      </c>
      <c r="Z49" s="292">
        <v>0</v>
      </c>
      <c r="AA49" s="292">
        <v>0</v>
      </c>
      <c r="AB49" s="292">
        <v>58</v>
      </c>
      <c r="AC49" s="292">
        <f t="shared" si="15"/>
        <v>16</v>
      </c>
      <c r="AD49" s="292">
        <f t="shared" si="16"/>
        <v>12</v>
      </c>
      <c r="AE49" s="292">
        <f t="shared" si="17"/>
        <v>18</v>
      </c>
      <c r="AF49" s="292">
        <f t="shared" si="18"/>
        <v>12</v>
      </c>
      <c r="AG49" s="292">
        <f t="shared" si="19"/>
        <v>0</v>
      </c>
    </row>
    <row r="50" spans="1:33" x14ac:dyDescent="0.3">
      <c r="A50" s="312" t="s">
        <v>113</v>
      </c>
      <c r="B50" s="307" t="s">
        <v>114</v>
      </c>
      <c r="C50" s="313" t="s">
        <v>252</v>
      </c>
      <c r="D50" s="309">
        <v>0</v>
      </c>
      <c r="E50" s="309">
        <v>0</v>
      </c>
      <c r="F50" s="309">
        <v>0</v>
      </c>
      <c r="G50" s="309">
        <v>0</v>
      </c>
      <c r="H50" s="309">
        <v>0</v>
      </c>
      <c r="I50" s="309">
        <v>0</v>
      </c>
      <c r="J50" s="309">
        <v>0</v>
      </c>
      <c r="K50" s="309">
        <v>0</v>
      </c>
      <c r="L50" s="309">
        <v>0</v>
      </c>
      <c r="M50" s="309">
        <v>0</v>
      </c>
      <c r="N50" s="310"/>
      <c r="O50" s="310">
        <f t="shared" si="11"/>
        <v>0</v>
      </c>
      <c r="P50" s="310">
        <f t="shared" si="12"/>
        <v>0</v>
      </c>
      <c r="Q50" s="310"/>
      <c r="R50" s="311" t="str">
        <f t="shared" si="13"/>
        <v>N/A</v>
      </c>
      <c r="S50" s="311" t="str">
        <f t="shared" si="14"/>
        <v>N/A</v>
      </c>
      <c r="U50" s="292">
        <v>0</v>
      </c>
      <c r="V50" s="292">
        <v>0</v>
      </c>
      <c r="W50" s="292">
        <v>0</v>
      </c>
      <c r="X50" s="292">
        <v>0</v>
      </c>
      <c r="Y50" s="292">
        <v>0</v>
      </c>
      <c r="Z50" s="292">
        <v>0</v>
      </c>
      <c r="AA50" s="292">
        <v>0</v>
      </c>
      <c r="AB50" s="292">
        <v>0</v>
      </c>
      <c r="AC50" s="292">
        <f t="shared" si="15"/>
        <v>0</v>
      </c>
      <c r="AD50" s="292">
        <f t="shared" si="16"/>
        <v>0</v>
      </c>
      <c r="AE50" s="292">
        <f t="shared" si="17"/>
        <v>0</v>
      </c>
      <c r="AF50" s="292">
        <f t="shared" si="18"/>
        <v>0</v>
      </c>
      <c r="AG50" s="292">
        <f t="shared" si="19"/>
        <v>0</v>
      </c>
    </row>
    <row r="51" spans="1:33" x14ac:dyDescent="0.3">
      <c r="A51" s="306" t="s">
        <v>117</v>
      </c>
      <c r="B51" s="307" t="s">
        <v>118</v>
      </c>
      <c r="C51" s="313" t="s">
        <v>251</v>
      </c>
      <c r="D51" s="309">
        <v>8</v>
      </c>
      <c r="E51" s="309">
        <v>7</v>
      </c>
      <c r="F51" s="309">
        <v>0</v>
      </c>
      <c r="G51" s="309">
        <v>0</v>
      </c>
      <c r="H51" s="309">
        <v>0</v>
      </c>
      <c r="I51" s="309">
        <v>0</v>
      </c>
      <c r="J51" s="309">
        <v>1</v>
      </c>
      <c r="K51" s="309">
        <v>0</v>
      </c>
      <c r="L51" s="309">
        <v>0</v>
      </c>
      <c r="M51" s="309">
        <v>0</v>
      </c>
      <c r="N51" s="310"/>
      <c r="O51" s="310">
        <f t="shared" si="11"/>
        <v>1</v>
      </c>
      <c r="P51" s="310">
        <f t="shared" si="12"/>
        <v>0</v>
      </c>
      <c r="Q51" s="310"/>
      <c r="R51" s="311">
        <f t="shared" si="13"/>
        <v>0.875</v>
      </c>
      <c r="S51" s="311">
        <f t="shared" si="14"/>
        <v>0</v>
      </c>
      <c r="U51" s="292">
        <v>0</v>
      </c>
      <c r="V51" s="292">
        <v>2</v>
      </c>
      <c r="W51" s="292">
        <v>2</v>
      </c>
      <c r="X51" s="292">
        <v>2</v>
      </c>
      <c r="Y51" s="292">
        <v>2</v>
      </c>
      <c r="Z51" s="292">
        <v>0</v>
      </c>
      <c r="AA51" s="292">
        <v>0</v>
      </c>
      <c r="AB51" s="292">
        <v>8</v>
      </c>
      <c r="AC51" s="292">
        <f t="shared" si="15"/>
        <v>2</v>
      </c>
      <c r="AD51" s="292">
        <f t="shared" si="16"/>
        <v>2</v>
      </c>
      <c r="AE51" s="292">
        <f t="shared" si="17"/>
        <v>2</v>
      </c>
      <c r="AF51" s="292">
        <f t="shared" si="18"/>
        <v>2</v>
      </c>
      <c r="AG51" s="292">
        <f t="shared" si="19"/>
        <v>0</v>
      </c>
    </row>
    <row r="52" spans="1:33" x14ac:dyDescent="0.3">
      <c r="A52" s="306" t="s">
        <v>119</v>
      </c>
      <c r="B52" s="307" t="s">
        <v>120</v>
      </c>
      <c r="C52" s="313" t="s">
        <v>251</v>
      </c>
      <c r="D52" s="309">
        <v>15</v>
      </c>
      <c r="E52" s="309">
        <v>5</v>
      </c>
      <c r="F52" s="309">
        <v>5</v>
      </c>
      <c r="G52" s="309">
        <v>0</v>
      </c>
      <c r="H52" s="309">
        <v>0</v>
      </c>
      <c r="I52" s="309">
        <v>0</v>
      </c>
      <c r="J52" s="309">
        <v>3</v>
      </c>
      <c r="K52" s="309">
        <v>2</v>
      </c>
      <c r="L52" s="309">
        <v>0</v>
      </c>
      <c r="M52" s="309">
        <v>0</v>
      </c>
      <c r="N52" s="310"/>
      <c r="O52" s="310">
        <f t="shared" si="11"/>
        <v>5</v>
      </c>
      <c r="P52" s="310">
        <f t="shared" si="12"/>
        <v>0</v>
      </c>
      <c r="Q52" s="310"/>
      <c r="R52" s="311">
        <f t="shared" si="13"/>
        <v>0.33333333333333331</v>
      </c>
      <c r="S52" s="311">
        <f t="shared" si="14"/>
        <v>0.33333333333333331</v>
      </c>
      <c r="U52" s="292">
        <v>3</v>
      </c>
      <c r="V52" s="292">
        <v>4</v>
      </c>
      <c r="W52" s="292">
        <v>1</v>
      </c>
      <c r="X52" s="292">
        <v>5</v>
      </c>
      <c r="Y52" s="292">
        <v>2</v>
      </c>
      <c r="Z52" s="292">
        <v>0</v>
      </c>
      <c r="AA52" s="292">
        <v>0</v>
      </c>
      <c r="AB52" s="292">
        <v>15</v>
      </c>
      <c r="AC52" s="292">
        <f t="shared" si="15"/>
        <v>7</v>
      </c>
      <c r="AD52" s="292">
        <f t="shared" si="16"/>
        <v>1</v>
      </c>
      <c r="AE52" s="292">
        <f t="shared" si="17"/>
        <v>5</v>
      </c>
      <c r="AF52" s="292">
        <f t="shared" si="18"/>
        <v>2</v>
      </c>
      <c r="AG52" s="292">
        <f t="shared" si="19"/>
        <v>0</v>
      </c>
    </row>
    <row r="53" spans="1:33" x14ac:dyDescent="0.3">
      <c r="A53" s="306" t="s">
        <v>121</v>
      </c>
      <c r="B53" s="307" t="s">
        <v>122</v>
      </c>
      <c r="C53" s="313" t="s">
        <v>253</v>
      </c>
      <c r="D53" s="309">
        <v>0</v>
      </c>
      <c r="E53" s="309">
        <v>0</v>
      </c>
      <c r="F53" s="309">
        <v>0</v>
      </c>
      <c r="G53" s="309">
        <v>0</v>
      </c>
      <c r="H53" s="309">
        <v>0</v>
      </c>
      <c r="I53" s="309">
        <v>0</v>
      </c>
      <c r="J53" s="309">
        <v>0</v>
      </c>
      <c r="K53" s="309">
        <v>0</v>
      </c>
      <c r="L53" s="309">
        <v>0</v>
      </c>
      <c r="M53" s="309">
        <v>0</v>
      </c>
      <c r="N53" s="310"/>
      <c r="O53" s="310">
        <f t="shared" si="11"/>
        <v>0</v>
      </c>
      <c r="P53" s="310">
        <f t="shared" si="12"/>
        <v>0</v>
      </c>
      <c r="Q53" s="310"/>
      <c r="R53" s="311" t="str">
        <f t="shared" si="13"/>
        <v>N/A</v>
      </c>
      <c r="S53" s="311" t="str">
        <f t="shared" si="14"/>
        <v>N/A</v>
      </c>
      <c r="U53" s="292">
        <v>0</v>
      </c>
      <c r="V53" s="292">
        <v>0</v>
      </c>
      <c r="W53" s="292">
        <v>0</v>
      </c>
      <c r="X53" s="292">
        <v>0</v>
      </c>
      <c r="Y53" s="292">
        <v>0</v>
      </c>
      <c r="Z53" s="292">
        <v>0</v>
      </c>
      <c r="AA53" s="292">
        <v>0</v>
      </c>
      <c r="AB53" s="292">
        <v>0</v>
      </c>
      <c r="AC53" s="292">
        <f t="shared" si="15"/>
        <v>0</v>
      </c>
      <c r="AD53" s="292">
        <f t="shared" si="16"/>
        <v>0</v>
      </c>
      <c r="AE53" s="292">
        <f t="shared" si="17"/>
        <v>0</v>
      </c>
      <c r="AF53" s="292">
        <f t="shared" si="18"/>
        <v>0</v>
      </c>
      <c r="AG53" s="292">
        <f t="shared" si="19"/>
        <v>0</v>
      </c>
    </row>
    <row r="54" spans="1:33" x14ac:dyDescent="0.3">
      <c r="A54" s="306" t="s">
        <v>123</v>
      </c>
      <c r="B54" s="307" t="s">
        <v>124</v>
      </c>
      <c r="C54" s="313" t="s">
        <v>254</v>
      </c>
      <c r="D54" s="309">
        <v>8</v>
      </c>
      <c r="E54" s="309">
        <v>6</v>
      </c>
      <c r="F54" s="309">
        <v>1</v>
      </c>
      <c r="G54" s="309">
        <v>0</v>
      </c>
      <c r="H54" s="309">
        <v>0</v>
      </c>
      <c r="I54" s="309">
        <v>0</v>
      </c>
      <c r="J54" s="309">
        <v>0</v>
      </c>
      <c r="K54" s="309">
        <v>0</v>
      </c>
      <c r="L54" s="309">
        <v>1</v>
      </c>
      <c r="M54" s="309">
        <v>0</v>
      </c>
      <c r="N54" s="310"/>
      <c r="O54" s="310">
        <f t="shared" si="11"/>
        <v>0</v>
      </c>
      <c r="P54" s="310">
        <f t="shared" si="12"/>
        <v>1</v>
      </c>
      <c r="Q54" s="310"/>
      <c r="R54" s="311">
        <f t="shared" si="13"/>
        <v>0.75</v>
      </c>
      <c r="S54" s="311">
        <f t="shared" si="14"/>
        <v>0.125</v>
      </c>
      <c r="U54" s="292">
        <v>0</v>
      </c>
      <c r="V54" s="292">
        <v>2</v>
      </c>
      <c r="W54" s="292">
        <v>0</v>
      </c>
      <c r="X54" s="292">
        <v>2</v>
      </c>
      <c r="Y54" s="292">
        <v>4</v>
      </c>
      <c r="Z54" s="292">
        <v>0</v>
      </c>
      <c r="AA54" s="292">
        <v>0</v>
      </c>
      <c r="AB54" s="292">
        <v>8</v>
      </c>
      <c r="AC54" s="292">
        <f t="shared" si="15"/>
        <v>2</v>
      </c>
      <c r="AD54" s="292">
        <f t="shared" si="16"/>
        <v>0</v>
      </c>
      <c r="AE54" s="292">
        <f t="shared" si="17"/>
        <v>2</v>
      </c>
      <c r="AF54" s="292">
        <f t="shared" si="18"/>
        <v>4</v>
      </c>
      <c r="AG54" s="292">
        <f t="shared" si="19"/>
        <v>0</v>
      </c>
    </row>
    <row r="55" spans="1:33" x14ac:dyDescent="0.3">
      <c r="A55" s="306" t="s">
        <v>125</v>
      </c>
      <c r="B55" s="307" t="s">
        <v>126</v>
      </c>
      <c r="C55" s="313" t="s">
        <v>253</v>
      </c>
      <c r="D55" s="309">
        <v>1</v>
      </c>
      <c r="E55" s="309">
        <v>1</v>
      </c>
      <c r="F55" s="309">
        <v>0</v>
      </c>
      <c r="G55" s="309">
        <v>0</v>
      </c>
      <c r="H55" s="309">
        <v>0</v>
      </c>
      <c r="I55" s="309">
        <v>0</v>
      </c>
      <c r="J55" s="309">
        <v>0</v>
      </c>
      <c r="K55" s="309">
        <v>0</v>
      </c>
      <c r="L55" s="309">
        <v>0</v>
      </c>
      <c r="M55" s="309">
        <v>0</v>
      </c>
      <c r="N55" s="310"/>
      <c r="O55" s="310">
        <f t="shared" si="11"/>
        <v>0</v>
      </c>
      <c r="P55" s="310">
        <f t="shared" si="12"/>
        <v>0</v>
      </c>
      <c r="Q55" s="310"/>
      <c r="R55" s="311">
        <f t="shared" si="13"/>
        <v>1</v>
      </c>
      <c r="S55" s="311">
        <f t="shared" si="14"/>
        <v>0</v>
      </c>
      <c r="U55" s="292">
        <v>0</v>
      </c>
      <c r="V55" s="292">
        <v>0</v>
      </c>
      <c r="W55" s="292">
        <v>0</v>
      </c>
      <c r="X55" s="292">
        <v>1</v>
      </c>
      <c r="Y55" s="292">
        <v>0</v>
      </c>
      <c r="Z55" s="292">
        <v>0</v>
      </c>
      <c r="AA55" s="292">
        <v>0</v>
      </c>
      <c r="AB55" s="292">
        <v>1</v>
      </c>
      <c r="AC55" s="292">
        <f t="shared" si="15"/>
        <v>0</v>
      </c>
      <c r="AD55" s="292">
        <f t="shared" si="16"/>
        <v>0</v>
      </c>
      <c r="AE55" s="292">
        <f t="shared" si="17"/>
        <v>1</v>
      </c>
      <c r="AF55" s="292">
        <f t="shared" si="18"/>
        <v>0</v>
      </c>
      <c r="AG55" s="292">
        <f t="shared" si="19"/>
        <v>0</v>
      </c>
    </row>
    <row r="56" spans="1:33" x14ac:dyDescent="0.3">
      <c r="A56" s="306" t="s">
        <v>127</v>
      </c>
      <c r="B56" s="307" t="s">
        <v>128</v>
      </c>
      <c r="C56" s="313" t="s">
        <v>253</v>
      </c>
      <c r="D56" s="309">
        <v>6</v>
      </c>
      <c r="E56" s="309">
        <v>6</v>
      </c>
      <c r="F56" s="309">
        <v>0</v>
      </c>
      <c r="G56" s="309">
        <v>0</v>
      </c>
      <c r="H56" s="309">
        <v>0</v>
      </c>
      <c r="I56" s="309">
        <v>0</v>
      </c>
      <c r="J56" s="309">
        <v>0</v>
      </c>
      <c r="K56" s="309">
        <v>0</v>
      </c>
      <c r="L56" s="309">
        <v>0</v>
      </c>
      <c r="M56" s="309">
        <v>0</v>
      </c>
      <c r="N56" s="310"/>
      <c r="O56" s="310">
        <f t="shared" si="11"/>
        <v>0</v>
      </c>
      <c r="P56" s="310">
        <f t="shared" si="12"/>
        <v>0</v>
      </c>
      <c r="Q56" s="310"/>
      <c r="R56" s="311">
        <f t="shared" si="13"/>
        <v>1</v>
      </c>
      <c r="S56" s="311">
        <f t="shared" si="14"/>
        <v>0</v>
      </c>
      <c r="U56" s="292">
        <v>0</v>
      </c>
      <c r="V56" s="292">
        <v>0</v>
      </c>
      <c r="W56" s="292">
        <v>0</v>
      </c>
      <c r="X56" s="292">
        <v>1</v>
      </c>
      <c r="Y56" s="292">
        <v>5</v>
      </c>
      <c r="Z56" s="292">
        <v>0</v>
      </c>
      <c r="AA56" s="292">
        <v>0</v>
      </c>
      <c r="AB56" s="292">
        <v>6</v>
      </c>
      <c r="AC56" s="292">
        <f t="shared" si="15"/>
        <v>0</v>
      </c>
      <c r="AD56" s="292">
        <f t="shared" si="16"/>
        <v>0</v>
      </c>
      <c r="AE56" s="292">
        <f t="shared" si="17"/>
        <v>1</v>
      </c>
      <c r="AF56" s="292">
        <f t="shared" si="18"/>
        <v>5</v>
      </c>
      <c r="AG56" s="292">
        <f t="shared" si="19"/>
        <v>0</v>
      </c>
    </row>
    <row r="57" spans="1:33" x14ac:dyDescent="0.3">
      <c r="A57" s="312" t="s">
        <v>129</v>
      </c>
      <c r="B57" s="307" t="s">
        <v>130</v>
      </c>
      <c r="C57" s="313" t="s">
        <v>255</v>
      </c>
      <c r="D57" s="309">
        <v>38</v>
      </c>
      <c r="E57" s="309">
        <v>37</v>
      </c>
      <c r="F57" s="309">
        <v>1</v>
      </c>
      <c r="G57" s="309">
        <v>0</v>
      </c>
      <c r="H57" s="309">
        <v>0</v>
      </c>
      <c r="I57" s="309">
        <v>0</v>
      </c>
      <c r="J57" s="309">
        <v>0</v>
      </c>
      <c r="K57" s="309">
        <v>0</v>
      </c>
      <c r="L57" s="309">
        <v>0</v>
      </c>
      <c r="M57" s="309">
        <v>0</v>
      </c>
      <c r="N57" s="310"/>
      <c r="O57" s="310">
        <f t="shared" si="11"/>
        <v>0</v>
      </c>
      <c r="P57" s="310">
        <f t="shared" si="12"/>
        <v>0</v>
      </c>
      <c r="Q57" s="310"/>
      <c r="R57" s="311">
        <f t="shared" si="13"/>
        <v>0.97368421052631582</v>
      </c>
      <c r="S57" s="311">
        <f t="shared" si="14"/>
        <v>2.6315789473684209E-2</v>
      </c>
      <c r="U57" s="292">
        <v>0</v>
      </c>
      <c r="V57" s="292">
        <v>7</v>
      </c>
      <c r="W57" s="292">
        <v>5</v>
      </c>
      <c r="X57" s="292">
        <v>15</v>
      </c>
      <c r="Y57" s="292">
        <v>11</v>
      </c>
      <c r="Z57" s="292">
        <v>0</v>
      </c>
      <c r="AA57" s="292">
        <v>0</v>
      </c>
      <c r="AB57" s="292">
        <v>38</v>
      </c>
      <c r="AC57" s="292">
        <f t="shared" si="15"/>
        <v>7</v>
      </c>
      <c r="AD57" s="292">
        <f t="shared" si="16"/>
        <v>5</v>
      </c>
      <c r="AE57" s="292">
        <f t="shared" si="17"/>
        <v>15</v>
      </c>
      <c r="AF57" s="292">
        <f t="shared" si="18"/>
        <v>11</v>
      </c>
      <c r="AG57" s="292">
        <f t="shared" si="19"/>
        <v>0</v>
      </c>
    </row>
    <row r="58" spans="1:33" x14ac:dyDescent="0.3">
      <c r="A58" s="306" t="s">
        <v>131</v>
      </c>
      <c r="B58" s="307" t="s">
        <v>132</v>
      </c>
      <c r="C58" s="313" t="s">
        <v>254</v>
      </c>
      <c r="D58" s="309">
        <v>39</v>
      </c>
      <c r="E58" s="309">
        <v>11</v>
      </c>
      <c r="F58" s="309">
        <v>5</v>
      </c>
      <c r="G58" s="309">
        <v>2</v>
      </c>
      <c r="H58" s="309">
        <v>0</v>
      </c>
      <c r="I58" s="309">
        <v>0</v>
      </c>
      <c r="J58" s="309">
        <v>1</v>
      </c>
      <c r="K58" s="309">
        <v>18</v>
      </c>
      <c r="L58" s="309">
        <v>2</v>
      </c>
      <c r="M58" s="309">
        <v>0</v>
      </c>
      <c r="N58" s="310"/>
      <c r="O58" s="310">
        <f t="shared" si="11"/>
        <v>21</v>
      </c>
      <c r="P58" s="310">
        <f t="shared" si="12"/>
        <v>2</v>
      </c>
      <c r="Q58" s="310"/>
      <c r="R58" s="311">
        <f t="shared" si="13"/>
        <v>0.28205128205128205</v>
      </c>
      <c r="S58" s="311">
        <f t="shared" si="14"/>
        <v>0.12820512820512819</v>
      </c>
      <c r="U58" s="292">
        <v>3</v>
      </c>
      <c r="V58" s="292">
        <v>6</v>
      </c>
      <c r="W58" s="292">
        <v>5</v>
      </c>
      <c r="X58" s="292">
        <v>9</v>
      </c>
      <c r="Y58" s="292">
        <v>16</v>
      </c>
      <c r="Z58" s="292">
        <v>0</v>
      </c>
      <c r="AA58" s="292">
        <v>0</v>
      </c>
      <c r="AB58" s="292">
        <v>39</v>
      </c>
      <c r="AC58" s="292">
        <f t="shared" si="15"/>
        <v>9</v>
      </c>
      <c r="AD58" s="292">
        <f t="shared" si="16"/>
        <v>5</v>
      </c>
      <c r="AE58" s="292">
        <f t="shared" si="17"/>
        <v>9</v>
      </c>
      <c r="AF58" s="292">
        <f t="shared" si="18"/>
        <v>16</v>
      </c>
      <c r="AG58" s="292">
        <f t="shared" si="19"/>
        <v>0</v>
      </c>
    </row>
    <row r="59" spans="1:33" x14ac:dyDescent="0.3">
      <c r="A59" s="306" t="s">
        <v>133</v>
      </c>
      <c r="B59" s="307" t="s">
        <v>134</v>
      </c>
      <c r="C59" s="313" t="s">
        <v>254</v>
      </c>
      <c r="D59" s="309">
        <v>25</v>
      </c>
      <c r="E59" s="309">
        <v>21</v>
      </c>
      <c r="F59" s="309">
        <v>1</v>
      </c>
      <c r="G59" s="309">
        <v>0</v>
      </c>
      <c r="H59" s="309">
        <v>0</v>
      </c>
      <c r="I59" s="309">
        <v>0</v>
      </c>
      <c r="J59" s="309">
        <v>3</v>
      </c>
      <c r="K59" s="309">
        <v>0</v>
      </c>
      <c r="L59" s="309">
        <v>0</v>
      </c>
      <c r="M59" s="309">
        <v>0</v>
      </c>
      <c r="N59" s="310"/>
      <c r="O59" s="310">
        <f t="shared" si="11"/>
        <v>3</v>
      </c>
      <c r="P59" s="310">
        <f t="shared" si="12"/>
        <v>0</v>
      </c>
      <c r="Q59" s="310"/>
      <c r="R59" s="311">
        <f t="shared" si="13"/>
        <v>0.84</v>
      </c>
      <c r="S59" s="311">
        <f t="shared" si="14"/>
        <v>0.04</v>
      </c>
      <c r="U59" s="292">
        <v>1</v>
      </c>
      <c r="V59" s="292">
        <v>7</v>
      </c>
      <c r="W59" s="292">
        <v>6</v>
      </c>
      <c r="X59" s="292">
        <v>7</v>
      </c>
      <c r="Y59" s="292">
        <v>4</v>
      </c>
      <c r="Z59" s="292">
        <v>0</v>
      </c>
      <c r="AA59" s="292">
        <v>0</v>
      </c>
      <c r="AB59" s="292">
        <v>25</v>
      </c>
      <c r="AC59" s="292">
        <f t="shared" si="15"/>
        <v>8</v>
      </c>
      <c r="AD59" s="292">
        <f t="shared" si="16"/>
        <v>6</v>
      </c>
      <c r="AE59" s="292">
        <f t="shared" si="17"/>
        <v>7</v>
      </c>
      <c r="AF59" s="292">
        <f t="shared" si="18"/>
        <v>4</v>
      </c>
      <c r="AG59" s="292">
        <f t="shared" si="19"/>
        <v>0</v>
      </c>
    </row>
    <row r="60" spans="1:33" x14ac:dyDescent="0.3">
      <c r="A60" s="306" t="s">
        <v>135</v>
      </c>
      <c r="B60" s="307" t="s">
        <v>136</v>
      </c>
      <c r="C60" s="313" t="s">
        <v>253</v>
      </c>
      <c r="D60" s="309">
        <v>9</v>
      </c>
      <c r="E60" s="309">
        <v>4</v>
      </c>
      <c r="F60" s="309">
        <v>4</v>
      </c>
      <c r="G60" s="309">
        <v>0</v>
      </c>
      <c r="H60" s="309">
        <v>0</v>
      </c>
      <c r="I60" s="309">
        <v>0</v>
      </c>
      <c r="J60" s="309">
        <v>1</v>
      </c>
      <c r="K60" s="309">
        <v>0</v>
      </c>
      <c r="L60" s="309">
        <v>0</v>
      </c>
      <c r="M60" s="309">
        <v>0</v>
      </c>
      <c r="N60" s="310"/>
      <c r="O60" s="310">
        <f t="shared" si="11"/>
        <v>1</v>
      </c>
      <c r="P60" s="310">
        <f t="shared" si="12"/>
        <v>0</v>
      </c>
      <c r="Q60" s="310"/>
      <c r="R60" s="311">
        <f t="shared" si="13"/>
        <v>0.44444444444444442</v>
      </c>
      <c r="S60" s="311">
        <f t="shared" si="14"/>
        <v>0.44444444444444442</v>
      </c>
      <c r="U60" s="292">
        <v>0</v>
      </c>
      <c r="V60" s="292">
        <v>2</v>
      </c>
      <c r="W60" s="292">
        <v>0</v>
      </c>
      <c r="X60" s="292">
        <v>4</v>
      </c>
      <c r="Y60" s="292">
        <v>3</v>
      </c>
      <c r="Z60" s="292">
        <v>0</v>
      </c>
      <c r="AA60" s="292">
        <v>0</v>
      </c>
      <c r="AB60" s="292">
        <v>9</v>
      </c>
      <c r="AC60" s="292">
        <f t="shared" si="15"/>
        <v>2</v>
      </c>
      <c r="AD60" s="292">
        <f t="shared" si="16"/>
        <v>0</v>
      </c>
      <c r="AE60" s="292">
        <f t="shared" si="17"/>
        <v>4</v>
      </c>
      <c r="AF60" s="292">
        <f t="shared" si="18"/>
        <v>3</v>
      </c>
      <c r="AG60" s="292">
        <f t="shared" si="19"/>
        <v>0</v>
      </c>
    </row>
    <row r="61" spans="1:33" x14ac:dyDescent="0.3">
      <c r="A61" s="306" t="s">
        <v>139</v>
      </c>
      <c r="B61" s="307" t="s">
        <v>140</v>
      </c>
      <c r="C61" s="313" t="s">
        <v>254</v>
      </c>
      <c r="D61" s="309">
        <v>38</v>
      </c>
      <c r="E61" s="309">
        <v>29</v>
      </c>
      <c r="F61" s="309">
        <v>3</v>
      </c>
      <c r="G61" s="309">
        <v>0</v>
      </c>
      <c r="H61" s="309">
        <v>0</v>
      </c>
      <c r="I61" s="309">
        <v>0</v>
      </c>
      <c r="J61" s="309">
        <v>3</v>
      </c>
      <c r="K61" s="309">
        <v>2</v>
      </c>
      <c r="L61" s="309">
        <v>0</v>
      </c>
      <c r="M61" s="309">
        <v>1</v>
      </c>
      <c r="N61" s="310"/>
      <c r="O61" s="310">
        <f t="shared" si="11"/>
        <v>5</v>
      </c>
      <c r="P61" s="310">
        <f t="shared" si="12"/>
        <v>1</v>
      </c>
      <c r="Q61" s="310"/>
      <c r="R61" s="311">
        <f t="shared" si="13"/>
        <v>0.76315789473684215</v>
      </c>
      <c r="S61" s="311">
        <f t="shared" si="14"/>
        <v>7.8947368421052627E-2</v>
      </c>
      <c r="U61" s="292">
        <v>1</v>
      </c>
      <c r="V61" s="292">
        <v>15</v>
      </c>
      <c r="W61" s="292">
        <v>7</v>
      </c>
      <c r="X61" s="292">
        <v>8</v>
      </c>
      <c r="Y61" s="292">
        <v>7</v>
      </c>
      <c r="Z61" s="292">
        <v>0</v>
      </c>
      <c r="AA61" s="292">
        <v>0</v>
      </c>
      <c r="AB61" s="292">
        <v>38</v>
      </c>
      <c r="AC61" s="292">
        <f t="shared" si="15"/>
        <v>16</v>
      </c>
      <c r="AD61" s="292">
        <f t="shared" si="16"/>
        <v>7</v>
      </c>
      <c r="AE61" s="292">
        <f t="shared" si="17"/>
        <v>8</v>
      </c>
      <c r="AF61" s="292">
        <f t="shared" si="18"/>
        <v>7</v>
      </c>
      <c r="AG61" s="292">
        <f t="shared" si="19"/>
        <v>0</v>
      </c>
    </row>
    <row r="62" spans="1:33" x14ac:dyDescent="0.3">
      <c r="A62" s="306" t="s">
        <v>145</v>
      </c>
      <c r="B62" s="307" t="s">
        <v>146</v>
      </c>
      <c r="C62" s="313" t="s">
        <v>251</v>
      </c>
      <c r="D62" s="309">
        <v>2</v>
      </c>
      <c r="E62" s="309">
        <v>0</v>
      </c>
      <c r="F62" s="309">
        <v>0</v>
      </c>
      <c r="G62" s="309">
        <v>0</v>
      </c>
      <c r="H62" s="309">
        <v>0</v>
      </c>
      <c r="I62" s="309">
        <v>0</v>
      </c>
      <c r="J62" s="309">
        <v>2</v>
      </c>
      <c r="K62" s="309">
        <v>0</v>
      </c>
      <c r="L62" s="309">
        <v>0</v>
      </c>
      <c r="M62" s="309">
        <v>0</v>
      </c>
      <c r="N62" s="310"/>
      <c r="O62" s="310">
        <f t="shared" si="11"/>
        <v>2</v>
      </c>
      <c r="P62" s="310">
        <f t="shared" si="12"/>
        <v>0</v>
      </c>
      <c r="Q62" s="310"/>
      <c r="R62" s="311">
        <f t="shared" si="13"/>
        <v>0</v>
      </c>
      <c r="S62" s="311">
        <f t="shared" si="14"/>
        <v>0</v>
      </c>
      <c r="U62" s="292">
        <v>0</v>
      </c>
      <c r="V62" s="292">
        <v>0</v>
      </c>
      <c r="W62" s="292">
        <v>1</v>
      </c>
      <c r="X62" s="292">
        <v>0</v>
      </c>
      <c r="Y62" s="292">
        <v>1</v>
      </c>
      <c r="Z62" s="292">
        <v>0</v>
      </c>
      <c r="AA62" s="292">
        <v>0</v>
      </c>
      <c r="AB62" s="292">
        <v>2</v>
      </c>
      <c r="AC62" s="292">
        <f t="shared" si="15"/>
        <v>0</v>
      </c>
      <c r="AD62" s="292">
        <f t="shared" si="16"/>
        <v>1</v>
      </c>
      <c r="AE62" s="292">
        <f t="shared" si="17"/>
        <v>0</v>
      </c>
      <c r="AF62" s="292">
        <f t="shared" si="18"/>
        <v>1</v>
      </c>
      <c r="AG62" s="292">
        <f t="shared" si="19"/>
        <v>0</v>
      </c>
    </row>
    <row r="63" spans="1:33" x14ac:dyDescent="0.3">
      <c r="A63" s="306" t="s">
        <v>147</v>
      </c>
      <c r="B63" s="307" t="s">
        <v>148</v>
      </c>
      <c r="C63" s="313" t="s">
        <v>252</v>
      </c>
      <c r="D63" s="309">
        <v>22</v>
      </c>
      <c r="E63" s="309">
        <v>14</v>
      </c>
      <c r="F63" s="309">
        <v>4</v>
      </c>
      <c r="G63" s="309">
        <v>0</v>
      </c>
      <c r="H63" s="309">
        <v>0</v>
      </c>
      <c r="I63" s="309">
        <v>0</v>
      </c>
      <c r="J63" s="309">
        <v>3</v>
      </c>
      <c r="K63" s="309">
        <v>1</v>
      </c>
      <c r="L63" s="309">
        <v>0</v>
      </c>
      <c r="M63" s="309">
        <v>0</v>
      </c>
      <c r="N63" s="310"/>
      <c r="O63" s="310">
        <f t="shared" si="11"/>
        <v>4</v>
      </c>
      <c r="P63" s="310">
        <f t="shared" si="12"/>
        <v>0</v>
      </c>
      <c r="Q63" s="310"/>
      <c r="R63" s="311">
        <f t="shared" si="13"/>
        <v>0.63636363636363635</v>
      </c>
      <c r="S63" s="311">
        <f t="shared" si="14"/>
        <v>0.18181818181818182</v>
      </c>
      <c r="U63" s="292">
        <v>1</v>
      </c>
      <c r="V63" s="292">
        <v>5</v>
      </c>
      <c r="W63" s="292">
        <v>3</v>
      </c>
      <c r="X63" s="292">
        <v>7</v>
      </c>
      <c r="Y63" s="292">
        <v>6</v>
      </c>
      <c r="Z63" s="292">
        <v>0</v>
      </c>
      <c r="AA63" s="292">
        <v>0</v>
      </c>
      <c r="AB63" s="292">
        <v>22</v>
      </c>
      <c r="AC63" s="292">
        <f t="shared" si="15"/>
        <v>6</v>
      </c>
      <c r="AD63" s="292">
        <f t="shared" si="16"/>
        <v>3</v>
      </c>
      <c r="AE63" s="292">
        <f t="shared" si="17"/>
        <v>7</v>
      </c>
      <c r="AF63" s="292">
        <f t="shared" si="18"/>
        <v>6</v>
      </c>
      <c r="AG63" s="292">
        <f t="shared" si="19"/>
        <v>0</v>
      </c>
    </row>
    <row r="64" spans="1:33" x14ac:dyDescent="0.3">
      <c r="A64" s="306" t="s">
        <v>149</v>
      </c>
      <c r="B64" s="307" t="s">
        <v>150</v>
      </c>
      <c r="C64" s="313" t="s">
        <v>253</v>
      </c>
      <c r="D64" s="309">
        <v>3</v>
      </c>
      <c r="E64" s="309">
        <v>3</v>
      </c>
      <c r="F64" s="309">
        <v>0</v>
      </c>
      <c r="G64" s="309">
        <v>0</v>
      </c>
      <c r="H64" s="309">
        <v>0</v>
      </c>
      <c r="I64" s="309">
        <v>0</v>
      </c>
      <c r="J64" s="309">
        <v>0</v>
      </c>
      <c r="K64" s="309">
        <v>0</v>
      </c>
      <c r="L64" s="309">
        <v>0</v>
      </c>
      <c r="M64" s="309">
        <v>0</v>
      </c>
      <c r="N64" s="310"/>
      <c r="O64" s="310">
        <f t="shared" si="11"/>
        <v>0</v>
      </c>
      <c r="P64" s="310">
        <f t="shared" si="12"/>
        <v>0</v>
      </c>
      <c r="Q64" s="310"/>
      <c r="R64" s="311">
        <f t="shared" si="13"/>
        <v>1</v>
      </c>
      <c r="S64" s="311">
        <f t="shared" si="14"/>
        <v>0</v>
      </c>
      <c r="U64" s="292">
        <v>0</v>
      </c>
      <c r="V64" s="292">
        <v>0</v>
      </c>
      <c r="W64" s="292">
        <v>0</v>
      </c>
      <c r="X64" s="292">
        <v>1</v>
      </c>
      <c r="Y64" s="292">
        <v>2</v>
      </c>
      <c r="Z64" s="292">
        <v>0</v>
      </c>
      <c r="AA64" s="292">
        <v>0</v>
      </c>
      <c r="AB64" s="292">
        <v>3</v>
      </c>
      <c r="AC64" s="292">
        <f t="shared" si="15"/>
        <v>0</v>
      </c>
      <c r="AD64" s="292">
        <f t="shared" si="16"/>
        <v>0</v>
      </c>
      <c r="AE64" s="292">
        <f t="shared" si="17"/>
        <v>1</v>
      </c>
      <c r="AF64" s="292">
        <f t="shared" si="18"/>
        <v>2</v>
      </c>
      <c r="AG64" s="292">
        <f t="shared" si="19"/>
        <v>0</v>
      </c>
    </row>
    <row r="65" spans="1:33" x14ac:dyDescent="0.3">
      <c r="A65" s="306" t="s">
        <v>151</v>
      </c>
      <c r="B65" s="307" t="s">
        <v>152</v>
      </c>
      <c r="C65" s="313" t="s">
        <v>255</v>
      </c>
      <c r="D65" s="309">
        <v>32</v>
      </c>
      <c r="E65" s="309">
        <v>20</v>
      </c>
      <c r="F65" s="309">
        <v>5</v>
      </c>
      <c r="G65" s="309">
        <v>0</v>
      </c>
      <c r="H65" s="309">
        <v>0</v>
      </c>
      <c r="I65" s="309">
        <v>0</v>
      </c>
      <c r="J65" s="309">
        <v>0</v>
      </c>
      <c r="K65" s="309">
        <v>3</v>
      </c>
      <c r="L65" s="309">
        <v>4</v>
      </c>
      <c r="M65" s="309">
        <v>0</v>
      </c>
      <c r="N65" s="310"/>
      <c r="O65" s="310">
        <f t="shared" si="11"/>
        <v>3</v>
      </c>
      <c r="P65" s="310">
        <f t="shared" si="12"/>
        <v>4</v>
      </c>
      <c r="Q65" s="310"/>
      <c r="R65" s="311">
        <f t="shared" si="13"/>
        <v>0.625</v>
      </c>
      <c r="S65" s="311">
        <f t="shared" si="14"/>
        <v>0.15625</v>
      </c>
      <c r="U65" s="292">
        <v>2</v>
      </c>
      <c r="V65" s="292">
        <v>7</v>
      </c>
      <c r="W65" s="292">
        <v>8</v>
      </c>
      <c r="X65" s="292">
        <v>9</v>
      </c>
      <c r="Y65" s="292">
        <v>6</v>
      </c>
      <c r="Z65" s="292">
        <v>0</v>
      </c>
      <c r="AA65" s="292">
        <v>0</v>
      </c>
      <c r="AB65" s="292">
        <v>32</v>
      </c>
      <c r="AC65" s="292">
        <f t="shared" si="15"/>
        <v>9</v>
      </c>
      <c r="AD65" s="292">
        <f t="shared" si="16"/>
        <v>8</v>
      </c>
      <c r="AE65" s="292">
        <f t="shared" si="17"/>
        <v>9</v>
      </c>
      <c r="AF65" s="292">
        <f t="shared" si="18"/>
        <v>6</v>
      </c>
      <c r="AG65" s="292">
        <f t="shared" si="19"/>
        <v>0</v>
      </c>
    </row>
    <row r="66" spans="1:33" x14ac:dyDescent="0.3">
      <c r="A66" s="306" t="s">
        <v>153</v>
      </c>
      <c r="B66" s="307" t="s">
        <v>154</v>
      </c>
      <c r="C66" s="313" t="s">
        <v>252</v>
      </c>
      <c r="D66" s="309">
        <v>25</v>
      </c>
      <c r="E66" s="309">
        <v>19</v>
      </c>
      <c r="F66" s="309">
        <v>0</v>
      </c>
      <c r="G66" s="309">
        <v>0</v>
      </c>
      <c r="H66" s="309">
        <v>0</v>
      </c>
      <c r="I66" s="309">
        <v>0</v>
      </c>
      <c r="J66" s="309">
        <v>5</v>
      </c>
      <c r="K66" s="309">
        <v>0</v>
      </c>
      <c r="L66" s="309">
        <v>1</v>
      </c>
      <c r="M66" s="309">
        <v>0</v>
      </c>
      <c r="N66" s="310"/>
      <c r="O66" s="310">
        <f t="shared" si="11"/>
        <v>5</v>
      </c>
      <c r="P66" s="310">
        <f t="shared" si="12"/>
        <v>1</v>
      </c>
      <c r="Q66" s="310"/>
      <c r="R66" s="311">
        <f t="shared" si="13"/>
        <v>0.76</v>
      </c>
      <c r="S66" s="311">
        <f t="shared" si="14"/>
        <v>0</v>
      </c>
      <c r="U66" s="292">
        <v>1</v>
      </c>
      <c r="V66" s="292">
        <v>9</v>
      </c>
      <c r="W66" s="292">
        <v>6</v>
      </c>
      <c r="X66" s="292">
        <v>5</v>
      </c>
      <c r="Y66" s="292">
        <v>4</v>
      </c>
      <c r="Z66" s="292">
        <v>0</v>
      </c>
      <c r="AA66" s="292">
        <v>0</v>
      </c>
      <c r="AB66" s="292">
        <v>25</v>
      </c>
      <c r="AC66" s="292">
        <f t="shared" si="15"/>
        <v>10</v>
      </c>
      <c r="AD66" s="292">
        <f t="shared" si="16"/>
        <v>6</v>
      </c>
      <c r="AE66" s="292">
        <f t="shared" si="17"/>
        <v>5</v>
      </c>
      <c r="AF66" s="292">
        <f t="shared" si="18"/>
        <v>4</v>
      </c>
      <c r="AG66" s="292">
        <f t="shared" si="19"/>
        <v>0</v>
      </c>
    </row>
    <row r="67" spans="1:33" x14ac:dyDescent="0.3">
      <c r="A67" s="312" t="s">
        <v>155</v>
      </c>
      <c r="B67" s="307" t="s">
        <v>156</v>
      </c>
      <c r="C67" s="313" t="s">
        <v>253</v>
      </c>
      <c r="D67" s="309">
        <v>1</v>
      </c>
      <c r="E67" s="309">
        <v>0</v>
      </c>
      <c r="F67" s="309">
        <v>1</v>
      </c>
      <c r="G67" s="309">
        <v>0</v>
      </c>
      <c r="H67" s="309">
        <v>0</v>
      </c>
      <c r="I67" s="309">
        <v>0</v>
      </c>
      <c r="J67" s="309">
        <v>0</v>
      </c>
      <c r="K67" s="309">
        <v>0</v>
      </c>
      <c r="L67" s="309">
        <v>0</v>
      </c>
      <c r="M67" s="309">
        <v>0</v>
      </c>
      <c r="N67" s="310"/>
      <c r="O67" s="310">
        <f t="shared" si="11"/>
        <v>0</v>
      </c>
      <c r="P67" s="310">
        <f t="shared" si="12"/>
        <v>0</v>
      </c>
      <c r="Q67" s="310"/>
      <c r="R67" s="311">
        <f t="shared" si="13"/>
        <v>0</v>
      </c>
      <c r="S67" s="311">
        <f t="shared" si="14"/>
        <v>1</v>
      </c>
      <c r="U67" s="292">
        <v>0</v>
      </c>
      <c r="V67" s="292">
        <v>0</v>
      </c>
      <c r="W67" s="292">
        <v>1</v>
      </c>
      <c r="X67" s="292">
        <v>0</v>
      </c>
      <c r="Y67" s="292">
        <v>0</v>
      </c>
      <c r="Z67" s="292">
        <v>0</v>
      </c>
      <c r="AA67" s="292">
        <v>0</v>
      </c>
      <c r="AB67" s="292">
        <v>1</v>
      </c>
      <c r="AC67" s="292">
        <f t="shared" si="15"/>
        <v>0</v>
      </c>
      <c r="AD67" s="292">
        <f t="shared" si="16"/>
        <v>1</v>
      </c>
      <c r="AE67" s="292">
        <f t="shared" si="17"/>
        <v>0</v>
      </c>
      <c r="AF67" s="292">
        <f t="shared" si="18"/>
        <v>0</v>
      </c>
      <c r="AG67" s="292">
        <f t="shared" si="19"/>
        <v>0</v>
      </c>
    </row>
    <row r="68" spans="1:33" x14ac:dyDescent="0.3">
      <c r="A68" s="306" t="s">
        <v>161</v>
      </c>
      <c r="B68" s="307" t="s">
        <v>162</v>
      </c>
      <c r="C68" s="313" t="s">
        <v>251</v>
      </c>
      <c r="D68" s="309">
        <v>2</v>
      </c>
      <c r="E68" s="309">
        <v>2</v>
      </c>
      <c r="F68" s="309">
        <v>0</v>
      </c>
      <c r="G68" s="309">
        <v>0</v>
      </c>
      <c r="H68" s="309">
        <v>0</v>
      </c>
      <c r="I68" s="309">
        <v>0</v>
      </c>
      <c r="J68" s="309">
        <v>0</v>
      </c>
      <c r="K68" s="309">
        <v>0</v>
      </c>
      <c r="L68" s="309">
        <v>0</v>
      </c>
      <c r="M68" s="309">
        <v>0</v>
      </c>
      <c r="N68" s="310"/>
      <c r="O68" s="310">
        <f t="shared" si="11"/>
        <v>0</v>
      </c>
      <c r="P68" s="310">
        <f t="shared" si="12"/>
        <v>0</v>
      </c>
      <c r="Q68" s="310"/>
      <c r="R68" s="311">
        <f t="shared" si="13"/>
        <v>1</v>
      </c>
      <c r="S68" s="311">
        <f t="shared" si="14"/>
        <v>0</v>
      </c>
      <c r="U68" s="292">
        <v>0</v>
      </c>
      <c r="V68" s="292">
        <v>0</v>
      </c>
      <c r="W68" s="292">
        <v>0</v>
      </c>
      <c r="X68" s="292">
        <v>2</v>
      </c>
      <c r="Y68" s="292">
        <v>0</v>
      </c>
      <c r="Z68" s="292">
        <v>0</v>
      </c>
      <c r="AA68" s="292">
        <v>0</v>
      </c>
      <c r="AB68" s="292">
        <v>2</v>
      </c>
      <c r="AC68" s="292">
        <f t="shared" si="15"/>
        <v>0</v>
      </c>
      <c r="AD68" s="292">
        <f t="shared" si="16"/>
        <v>0</v>
      </c>
      <c r="AE68" s="292">
        <f t="shared" si="17"/>
        <v>2</v>
      </c>
      <c r="AF68" s="292">
        <f t="shared" si="18"/>
        <v>0</v>
      </c>
      <c r="AG68" s="292">
        <f t="shared" si="19"/>
        <v>0</v>
      </c>
    </row>
    <row r="69" spans="1:33" x14ac:dyDescent="0.3">
      <c r="A69" s="306" t="s">
        <v>163</v>
      </c>
      <c r="B69" s="307" t="s">
        <v>164</v>
      </c>
      <c r="C69" s="313" t="s">
        <v>253</v>
      </c>
      <c r="D69" s="309">
        <v>0</v>
      </c>
      <c r="E69" s="309">
        <v>0</v>
      </c>
      <c r="F69" s="309">
        <v>0</v>
      </c>
      <c r="G69" s="309">
        <v>0</v>
      </c>
      <c r="H69" s="309">
        <v>0</v>
      </c>
      <c r="I69" s="309">
        <v>0</v>
      </c>
      <c r="J69" s="309">
        <v>0</v>
      </c>
      <c r="K69" s="309">
        <v>0</v>
      </c>
      <c r="L69" s="309">
        <v>0</v>
      </c>
      <c r="M69" s="309">
        <v>0</v>
      </c>
      <c r="N69" s="310"/>
      <c r="O69" s="310">
        <f t="shared" si="11"/>
        <v>0</v>
      </c>
      <c r="P69" s="310">
        <f t="shared" si="12"/>
        <v>0</v>
      </c>
      <c r="Q69" s="310"/>
      <c r="R69" s="311" t="str">
        <f t="shared" si="13"/>
        <v>N/A</v>
      </c>
      <c r="S69" s="311" t="str">
        <f t="shared" si="14"/>
        <v>N/A</v>
      </c>
      <c r="U69" s="292">
        <v>0</v>
      </c>
      <c r="V69" s="292">
        <v>0</v>
      </c>
      <c r="W69" s="292">
        <v>0</v>
      </c>
      <c r="X69" s="292">
        <v>0</v>
      </c>
      <c r="Y69" s="292">
        <v>0</v>
      </c>
      <c r="Z69" s="292">
        <v>0</v>
      </c>
      <c r="AA69" s="292">
        <v>0</v>
      </c>
      <c r="AB69" s="292">
        <v>0</v>
      </c>
      <c r="AC69" s="292">
        <f t="shared" si="15"/>
        <v>0</v>
      </c>
      <c r="AD69" s="292">
        <f t="shared" si="16"/>
        <v>0</v>
      </c>
      <c r="AE69" s="292">
        <f t="shared" si="17"/>
        <v>0</v>
      </c>
      <c r="AF69" s="292">
        <f t="shared" si="18"/>
        <v>0</v>
      </c>
      <c r="AG69" s="292">
        <f t="shared" si="19"/>
        <v>0</v>
      </c>
    </row>
    <row r="70" spans="1:33" x14ac:dyDescent="0.3">
      <c r="A70" s="306" t="s">
        <v>167</v>
      </c>
      <c r="B70" s="307" t="s">
        <v>168</v>
      </c>
      <c r="C70" s="313" t="s">
        <v>253</v>
      </c>
      <c r="D70" s="309">
        <v>12</v>
      </c>
      <c r="E70" s="309">
        <v>7</v>
      </c>
      <c r="F70" s="309">
        <v>2</v>
      </c>
      <c r="G70" s="309">
        <v>0</v>
      </c>
      <c r="H70" s="309">
        <v>0</v>
      </c>
      <c r="I70" s="309">
        <v>0</v>
      </c>
      <c r="J70" s="309">
        <v>3</v>
      </c>
      <c r="K70" s="309">
        <v>0</v>
      </c>
      <c r="L70" s="309">
        <v>0</v>
      </c>
      <c r="M70" s="309">
        <v>0</v>
      </c>
      <c r="N70" s="310"/>
      <c r="O70" s="310">
        <f t="shared" ref="O70:O101" si="20">SUM(G70:K70)</f>
        <v>3</v>
      </c>
      <c r="P70" s="310">
        <f t="shared" ref="P70:P101" si="21">L70+M70</f>
        <v>0</v>
      </c>
      <c r="Q70" s="310"/>
      <c r="R70" s="311">
        <f t="shared" ref="R70:R101" si="22">IF(D70=0,"N/A",+E70/D70)</f>
        <v>0.58333333333333337</v>
      </c>
      <c r="S70" s="311">
        <f t="shared" ref="S70:S101" si="23">IF(D70=0,"N/A",+F70/D70)</f>
        <v>0.16666666666666666</v>
      </c>
      <c r="U70" s="292">
        <v>2</v>
      </c>
      <c r="V70" s="292">
        <v>2</v>
      </c>
      <c r="W70" s="292">
        <v>2</v>
      </c>
      <c r="X70" s="292">
        <v>3</v>
      </c>
      <c r="Y70" s="292">
        <v>3</v>
      </c>
      <c r="Z70" s="292">
        <v>0</v>
      </c>
      <c r="AA70" s="292">
        <v>0</v>
      </c>
      <c r="AB70" s="292">
        <v>12</v>
      </c>
      <c r="AC70" s="292">
        <f t="shared" ref="AC70:AC101" si="24">U70+V70</f>
        <v>4</v>
      </c>
      <c r="AD70" s="292">
        <f t="shared" ref="AD70:AD101" si="25">W70</f>
        <v>2</v>
      </c>
      <c r="AE70" s="292">
        <f t="shared" ref="AE70:AE101" si="26">X70</f>
        <v>3</v>
      </c>
      <c r="AF70" s="292">
        <f t="shared" ref="AF70:AF101" si="27">Y70</f>
        <v>3</v>
      </c>
      <c r="AG70" s="292">
        <f t="shared" ref="AG70:AG101" si="28">Z70</f>
        <v>0</v>
      </c>
    </row>
    <row r="71" spans="1:33" x14ac:dyDescent="0.3">
      <c r="A71" s="306" t="s">
        <v>169</v>
      </c>
      <c r="B71" s="307" t="s">
        <v>170</v>
      </c>
      <c r="C71" s="313" t="s">
        <v>254</v>
      </c>
      <c r="D71" s="309">
        <v>18</v>
      </c>
      <c r="E71" s="309">
        <v>16</v>
      </c>
      <c r="F71" s="309">
        <v>0</v>
      </c>
      <c r="G71" s="309">
        <v>0</v>
      </c>
      <c r="H71" s="309">
        <v>0</v>
      </c>
      <c r="I71" s="309">
        <v>0</v>
      </c>
      <c r="J71" s="309">
        <v>1</v>
      </c>
      <c r="K71" s="309">
        <v>1</v>
      </c>
      <c r="L71" s="309">
        <v>0</v>
      </c>
      <c r="M71" s="309">
        <v>0</v>
      </c>
      <c r="N71" s="310"/>
      <c r="O71" s="310">
        <f t="shared" si="20"/>
        <v>2</v>
      </c>
      <c r="P71" s="310">
        <f t="shared" si="21"/>
        <v>0</v>
      </c>
      <c r="Q71" s="310"/>
      <c r="R71" s="311">
        <f t="shared" si="22"/>
        <v>0.88888888888888884</v>
      </c>
      <c r="S71" s="311">
        <f t="shared" si="23"/>
        <v>0</v>
      </c>
      <c r="U71" s="292">
        <v>0</v>
      </c>
      <c r="V71" s="292">
        <v>4</v>
      </c>
      <c r="W71" s="292">
        <v>4</v>
      </c>
      <c r="X71" s="292">
        <v>7</v>
      </c>
      <c r="Y71" s="292">
        <v>3</v>
      </c>
      <c r="Z71" s="292">
        <v>0</v>
      </c>
      <c r="AA71" s="292">
        <v>0</v>
      </c>
      <c r="AB71" s="292">
        <v>18</v>
      </c>
      <c r="AC71" s="292">
        <f t="shared" si="24"/>
        <v>4</v>
      </c>
      <c r="AD71" s="292">
        <f t="shared" si="25"/>
        <v>4</v>
      </c>
      <c r="AE71" s="292">
        <f t="shared" si="26"/>
        <v>7</v>
      </c>
      <c r="AF71" s="292">
        <f t="shared" si="27"/>
        <v>3</v>
      </c>
      <c r="AG71" s="292">
        <f t="shared" si="28"/>
        <v>0</v>
      </c>
    </row>
    <row r="72" spans="1:33" x14ac:dyDescent="0.3">
      <c r="A72" s="312" t="s">
        <v>171</v>
      </c>
      <c r="B72" s="307" t="s">
        <v>172</v>
      </c>
      <c r="C72" s="313" t="s">
        <v>254</v>
      </c>
      <c r="D72" s="309">
        <v>27</v>
      </c>
      <c r="E72" s="309">
        <v>18</v>
      </c>
      <c r="F72" s="309">
        <v>2</v>
      </c>
      <c r="G72" s="309">
        <v>0</v>
      </c>
      <c r="H72" s="309">
        <v>0</v>
      </c>
      <c r="I72" s="309">
        <v>0</v>
      </c>
      <c r="J72" s="309">
        <v>1</v>
      </c>
      <c r="K72" s="309">
        <v>6</v>
      </c>
      <c r="L72" s="309">
        <v>0</v>
      </c>
      <c r="M72" s="309">
        <v>0</v>
      </c>
      <c r="N72" s="310"/>
      <c r="O72" s="310">
        <f t="shared" si="20"/>
        <v>7</v>
      </c>
      <c r="P72" s="310">
        <f t="shared" si="21"/>
        <v>0</v>
      </c>
      <c r="Q72" s="310"/>
      <c r="R72" s="311">
        <f t="shared" si="22"/>
        <v>0.66666666666666663</v>
      </c>
      <c r="S72" s="311">
        <f t="shared" si="23"/>
        <v>7.407407407407407E-2</v>
      </c>
      <c r="U72" s="292">
        <v>1</v>
      </c>
      <c r="V72" s="292">
        <v>9</v>
      </c>
      <c r="W72" s="292">
        <v>4</v>
      </c>
      <c r="X72" s="292">
        <v>6</v>
      </c>
      <c r="Y72" s="292">
        <v>7</v>
      </c>
      <c r="Z72" s="292">
        <v>0</v>
      </c>
      <c r="AA72" s="292">
        <v>0</v>
      </c>
      <c r="AB72" s="292">
        <v>27</v>
      </c>
      <c r="AC72" s="292">
        <f t="shared" si="24"/>
        <v>10</v>
      </c>
      <c r="AD72" s="292">
        <f t="shared" si="25"/>
        <v>4</v>
      </c>
      <c r="AE72" s="292">
        <f t="shared" si="26"/>
        <v>6</v>
      </c>
      <c r="AF72" s="292">
        <f t="shared" si="27"/>
        <v>7</v>
      </c>
      <c r="AG72" s="292">
        <f t="shared" si="28"/>
        <v>0</v>
      </c>
    </row>
    <row r="73" spans="1:33" x14ac:dyDescent="0.3">
      <c r="A73" s="312" t="s">
        <v>173</v>
      </c>
      <c r="B73" s="307" t="s">
        <v>174</v>
      </c>
      <c r="C73" s="313" t="s">
        <v>255</v>
      </c>
      <c r="D73" s="309">
        <v>22</v>
      </c>
      <c r="E73" s="309">
        <v>22</v>
      </c>
      <c r="F73" s="309">
        <v>0</v>
      </c>
      <c r="G73" s="309">
        <v>0</v>
      </c>
      <c r="H73" s="309">
        <v>0</v>
      </c>
      <c r="I73" s="309">
        <v>0</v>
      </c>
      <c r="J73" s="309">
        <v>0</v>
      </c>
      <c r="K73" s="309">
        <v>0</v>
      </c>
      <c r="L73" s="309">
        <v>0</v>
      </c>
      <c r="M73" s="309">
        <v>0</v>
      </c>
      <c r="N73" s="310"/>
      <c r="O73" s="310">
        <f t="shared" si="20"/>
        <v>0</v>
      </c>
      <c r="P73" s="310">
        <f t="shared" si="21"/>
        <v>0</v>
      </c>
      <c r="Q73" s="310"/>
      <c r="R73" s="311">
        <f t="shared" si="22"/>
        <v>1</v>
      </c>
      <c r="S73" s="311">
        <f t="shared" si="23"/>
        <v>0</v>
      </c>
      <c r="U73" s="292">
        <v>1</v>
      </c>
      <c r="V73" s="292">
        <v>8</v>
      </c>
      <c r="W73" s="292">
        <v>7</v>
      </c>
      <c r="X73" s="292">
        <v>6</v>
      </c>
      <c r="Y73" s="292">
        <v>0</v>
      </c>
      <c r="Z73" s="292">
        <v>0</v>
      </c>
      <c r="AA73" s="292">
        <v>0</v>
      </c>
      <c r="AB73" s="292">
        <v>22</v>
      </c>
      <c r="AC73" s="292">
        <f t="shared" si="24"/>
        <v>9</v>
      </c>
      <c r="AD73" s="292">
        <f t="shared" si="25"/>
        <v>7</v>
      </c>
      <c r="AE73" s="292">
        <f t="shared" si="26"/>
        <v>6</v>
      </c>
      <c r="AF73" s="292">
        <f t="shared" si="27"/>
        <v>0</v>
      </c>
      <c r="AG73" s="292">
        <f t="shared" si="28"/>
        <v>0</v>
      </c>
    </row>
    <row r="74" spans="1:33" x14ac:dyDescent="0.3">
      <c r="A74" s="306" t="s">
        <v>177</v>
      </c>
      <c r="B74" s="307" t="s">
        <v>178</v>
      </c>
      <c r="C74" s="313" t="s">
        <v>252</v>
      </c>
      <c r="D74" s="309">
        <v>35</v>
      </c>
      <c r="E74" s="309">
        <v>29</v>
      </c>
      <c r="F74" s="309">
        <v>2</v>
      </c>
      <c r="G74" s="309">
        <v>0</v>
      </c>
      <c r="H74" s="309">
        <v>0</v>
      </c>
      <c r="I74" s="309">
        <v>0</v>
      </c>
      <c r="J74" s="309">
        <v>0</v>
      </c>
      <c r="K74" s="309">
        <v>4</v>
      </c>
      <c r="L74" s="309">
        <v>0</v>
      </c>
      <c r="M74" s="309">
        <v>0</v>
      </c>
      <c r="N74" s="310"/>
      <c r="O74" s="310">
        <f t="shared" si="20"/>
        <v>4</v>
      </c>
      <c r="P74" s="310">
        <f t="shared" si="21"/>
        <v>0</v>
      </c>
      <c r="Q74" s="310"/>
      <c r="R74" s="311">
        <f t="shared" si="22"/>
        <v>0.82857142857142863</v>
      </c>
      <c r="S74" s="311">
        <f t="shared" si="23"/>
        <v>5.7142857142857141E-2</v>
      </c>
      <c r="U74" s="292">
        <v>3</v>
      </c>
      <c r="V74" s="292">
        <v>8</v>
      </c>
      <c r="W74" s="292">
        <v>6</v>
      </c>
      <c r="X74" s="292">
        <v>12</v>
      </c>
      <c r="Y74" s="292">
        <v>6</v>
      </c>
      <c r="Z74" s="292">
        <v>0</v>
      </c>
      <c r="AA74" s="292">
        <v>0</v>
      </c>
      <c r="AB74" s="292">
        <v>35</v>
      </c>
      <c r="AC74" s="292">
        <f t="shared" si="24"/>
        <v>11</v>
      </c>
      <c r="AD74" s="292">
        <f t="shared" si="25"/>
        <v>6</v>
      </c>
      <c r="AE74" s="292">
        <f t="shared" si="26"/>
        <v>12</v>
      </c>
      <c r="AF74" s="292">
        <f t="shared" si="27"/>
        <v>6</v>
      </c>
      <c r="AG74" s="292">
        <f t="shared" si="28"/>
        <v>0</v>
      </c>
    </row>
    <row r="75" spans="1:33" x14ac:dyDescent="0.3">
      <c r="A75" s="306" t="s">
        <v>181</v>
      </c>
      <c r="B75" s="307" t="s">
        <v>182</v>
      </c>
      <c r="C75" s="313" t="s">
        <v>253</v>
      </c>
      <c r="D75" s="309">
        <v>3</v>
      </c>
      <c r="E75" s="309">
        <v>3</v>
      </c>
      <c r="F75" s="309">
        <v>0</v>
      </c>
      <c r="G75" s="309">
        <v>0</v>
      </c>
      <c r="H75" s="309">
        <v>0</v>
      </c>
      <c r="I75" s="309">
        <v>0</v>
      </c>
      <c r="J75" s="309">
        <v>0</v>
      </c>
      <c r="K75" s="309">
        <v>0</v>
      </c>
      <c r="L75" s="309">
        <v>0</v>
      </c>
      <c r="M75" s="309">
        <v>0</v>
      </c>
      <c r="N75" s="310"/>
      <c r="O75" s="310">
        <f t="shared" si="20"/>
        <v>0</v>
      </c>
      <c r="P75" s="310">
        <f t="shared" si="21"/>
        <v>0</v>
      </c>
      <c r="Q75" s="310"/>
      <c r="R75" s="311">
        <f t="shared" si="22"/>
        <v>1</v>
      </c>
      <c r="S75" s="311">
        <f t="shared" si="23"/>
        <v>0</v>
      </c>
      <c r="U75" s="292">
        <v>0</v>
      </c>
      <c r="V75" s="292">
        <v>0</v>
      </c>
      <c r="W75" s="292">
        <v>1</v>
      </c>
      <c r="X75" s="292">
        <v>0</v>
      </c>
      <c r="Y75" s="292">
        <v>2</v>
      </c>
      <c r="Z75" s="292">
        <v>0</v>
      </c>
      <c r="AA75" s="292">
        <v>0</v>
      </c>
      <c r="AB75" s="292">
        <v>3</v>
      </c>
      <c r="AC75" s="292">
        <f t="shared" si="24"/>
        <v>0</v>
      </c>
      <c r="AD75" s="292">
        <f t="shared" si="25"/>
        <v>1</v>
      </c>
      <c r="AE75" s="292">
        <f t="shared" si="26"/>
        <v>0</v>
      </c>
      <c r="AF75" s="292">
        <f t="shared" si="27"/>
        <v>2</v>
      </c>
      <c r="AG75" s="292">
        <f t="shared" si="28"/>
        <v>0</v>
      </c>
    </row>
    <row r="76" spans="1:33" x14ac:dyDescent="0.3">
      <c r="A76" s="306" t="s">
        <v>183</v>
      </c>
      <c r="B76" s="307" t="s">
        <v>184</v>
      </c>
      <c r="C76" s="313" t="s">
        <v>253</v>
      </c>
      <c r="D76" s="309">
        <v>7</v>
      </c>
      <c r="E76" s="309">
        <v>7</v>
      </c>
      <c r="F76" s="309">
        <v>0</v>
      </c>
      <c r="G76" s="309">
        <v>0</v>
      </c>
      <c r="H76" s="309">
        <v>0</v>
      </c>
      <c r="I76" s="309">
        <v>0</v>
      </c>
      <c r="J76" s="309">
        <v>0</v>
      </c>
      <c r="K76" s="309">
        <v>0</v>
      </c>
      <c r="L76" s="309">
        <v>0</v>
      </c>
      <c r="M76" s="309">
        <v>0</v>
      </c>
      <c r="N76" s="310"/>
      <c r="O76" s="310">
        <f t="shared" si="20"/>
        <v>0</v>
      </c>
      <c r="P76" s="310">
        <f t="shared" si="21"/>
        <v>0</v>
      </c>
      <c r="Q76" s="310"/>
      <c r="R76" s="311">
        <f t="shared" si="22"/>
        <v>1</v>
      </c>
      <c r="S76" s="311">
        <f t="shared" si="23"/>
        <v>0</v>
      </c>
      <c r="U76" s="292">
        <v>0</v>
      </c>
      <c r="V76" s="292">
        <v>3</v>
      </c>
      <c r="W76" s="292">
        <v>2</v>
      </c>
      <c r="X76" s="292">
        <v>1</v>
      </c>
      <c r="Y76" s="292">
        <v>1</v>
      </c>
      <c r="Z76" s="292">
        <v>0</v>
      </c>
      <c r="AA76" s="292">
        <v>0</v>
      </c>
      <c r="AB76" s="292">
        <v>7</v>
      </c>
      <c r="AC76" s="292">
        <f t="shared" si="24"/>
        <v>3</v>
      </c>
      <c r="AD76" s="292">
        <f t="shared" si="25"/>
        <v>2</v>
      </c>
      <c r="AE76" s="292">
        <f t="shared" si="26"/>
        <v>1</v>
      </c>
      <c r="AF76" s="292">
        <f t="shared" si="27"/>
        <v>1</v>
      </c>
      <c r="AG76" s="292">
        <f t="shared" si="28"/>
        <v>0</v>
      </c>
    </row>
    <row r="77" spans="1:33" x14ac:dyDescent="0.3">
      <c r="A77" s="306" t="s">
        <v>185</v>
      </c>
      <c r="B77" s="307" t="s">
        <v>186</v>
      </c>
      <c r="C77" s="313" t="s">
        <v>251</v>
      </c>
      <c r="D77" s="309">
        <v>18</v>
      </c>
      <c r="E77" s="309">
        <v>14</v>
      </c>
      <c r="F77" s="309">
        <v>0</v>
      </c>
      <c r="G77" s="309">
        <v>0</v>
      </c>
      <c r="H77" s="309">
        <v>0</v>
      </c>
      <c r="I77" s="309">
        <v>0</v>
      </c>
      <c r="J77" s="309">
        <v>0</v>
      </c>
      <c r="K77" s="309">
        <v>3</v>
      </c>
      <c r="L77" s="309">
        <v>1</v>
      </c>
      <c r="M77" s="309">
        <v>0</v>
      </c>
      <c r="N77" s="310"/>
      <c r="O77" s="310">
        <f t="shared" si="20"/>
        <v>3</v>
      </c>
      <c r="P77" s="310">
        <f t="shared" si="21"/>
        <v>1</v>
      </c>
      <c r="Q77" s="310"/>
      <c r="R77" s="311">
        <f t="shared" si="22"/>
        <v>0.77777777777777779</v>
      </c>
      <c r="S77" s="311">
        <f t="shared" si="23"/>
        <v>0</v>
      </c>
      <c r="U77" s="292">
        <v>0</v>
      </c>
      <c r="V77" s="292">
        <v>6</v>
      </c>
      <c r="W77" s="292">
        <v>3</v>
      </c>
      <c r="X77" s="292">
        <v>7</v>
      </c>
      <c r="Y77" s="292">
        <v>2</v>
      </c>
      <c r="Z77" s="292">
        <v>0</v>
      </c>
      <c r="AA77" s="292">
        <v>0</v>
      </c>
      <c r="AB77" s="292">
        <v>18</v>
      </c>
      <c r="AC77" s="292">
        <f t="shared" si="24"/>
        <v>6</v>
      </c>
      <c r="AD77" s="292">
        <f t="shared" si="25"/>
        <v>3</v>
      </c>
      <c r="AE77" s="292">
        <f t="shared" si="26"/>
        <v>7</v>
      </c>
      <c r="AF77" s="292">
        <f t="shared" si="27"/>
        <v>2</v>
      </c>
      <c r="AG77" s="292">
        <f t="shared" si="28"/>
        <v>0</v>
      </c>
    </row>
    <row r="78" spans="1:33" x14ac:dyDescent="0.3">
      <c r="A78" s="306" t="s">
        <v>187</v>
      </c>
      <c r="B78" s="307" t="s">
        <v>188</v>
      </c>
      <c r="C78" s="313" t="s">
        <v>254</v>
      </c>
      <c r="D78" s="309">
        <v>92</v>
      </c>
      <c r="E78" s="309">
        <v>17</v>
      </c>
      <c r="F78" s="309">
        <v>38</v>
      </c>
      <c r="G78" s="309">
        <v>1</v>
      </c>
      <c r="H78" s="309">
        <v>0</v>
      </c>
      <c r="I78" s="309">
        <v>0</v>
      </c>
      <c r="J78" s="309">
        <v>8</v>
      </c>
      <c r="K78" s="309">
        <v>27</v>
      </c>
      <c r="L78" s="309">
        <v>1</v>
      </c>
      <c r="M78" s="309">
        <v>0</v>
      </c>
      <c r="N78" s="310"/>
      <c r="O78" s="310">
        <f t="shared" si="20"/>
        <v>36</v>
      </c>
      <c r="P78" s="310">
        <f t="shared" si="21"/>
        <v>1</v>
      </c>
      <c r="Q78" s="310"/>
      <c r="R78" s="311">
        <f t="shared" si="22"/>
        <v>0.18478260869565216</v>
      </c>
      <c r="S78" s="311">
        <f t="shared" si="23"/>
        <v>0.41304347826086957</v>
      </c>
      <c r="U78" s="292">
        <v>3</v>
      </c>
      <c r="V78" s="292">
        <v>12</v>
      </c>
      <c r="W78" s="292">
        <v>14</v>
      </c>
      <c r="X78" s="292">
        <v>24</v>
      </c>
      <c r="Y78" s="292">
        <v>39</v>
      </c>
      <c r="Z78" s="292">
        <v>0</v>
      </c>
      <c r="AA78" s="292">
        <v>0</v>
      </c>
      <c r="AB78" s="292">
        <v>92</v>
      </c>
      <c r="AC78" s="292">
        <f t="shared" si="24"/>
        <v>15</v>
      </c>
      <c r="AD78" s="292">
        <f t="shared" si="25"/>
        <v>14</v>
      </c>
      <c r="AE78" s="292">
        <f t="shared" si="26"/>
        <v>24</v>
      </c>
      <c r="AF78" s="292">
        <f t="shared" si="27"/>
        <v>39</v>
      </c>
      <c r="AG78" s="292">
        <f t="shared" si="28"/>
        <v>0</v>
      </c>
    </row>
    <row r="79" spans="1:33" x14ac:dyDescent="0.3">
      <c r="A79" s="306" t="s">
        <v>189</v>
      </c>
      <c r="B79" s="307" t="s">
        <v>190</v>
      </c>
      <c r="C79" s="313" t="s">
        <v>255</v>
      </c>
      <c r="D79" s="309">
        <v>16</v>
      </c>
      <c r="E79" s="309">
        <v>13</v>
      </c>
      <c r="F79" s="309">
        <v>1</v>
      </c>
      <c r="G79" s="309">
        <v>0</v>
      </c>
      <c r="H79" s="309">
        <v>0</v>
      </c>
      <c r="I79" s="309">
        <v>0</v>
      </c>
      <c r="J79" s="309">
        <v>2</v>
      </c>
      <c r="K79" s="309">
        <v>0</v>
      </c>
      <c r="L79" s="309">
        <v>0</v>
      </c>
      <c r="M79" s="309">
        <v>0</v>
      </c>
      <c r="N79" s="310"/>
      <c r="O79" s="310">
        <f t="shared" si="20"/>
        <v>2</v>
      </c>
      <c r="P79" s="310">
        <f t="shared" si="21"/>
        <v>0</v>
      </c>
      <c r="Q79" s="310"/>
      <c r="R79" s="311">
        <f t="shared" si="22"/>
        <v>0.8125</v>
      </c>
      <c r="S79" s="311">
        <f t="shared" si="23"/>
        <v>6.25E-2</v>
      </c>
      <c r="U79" s="292">
        <v>1</v>
      </c>
      <c r="V79" s="292">
        <v>1</v>
      </c>
      <c r="W79" s="292">
        <v>3</v>
      </c>
      <c r="X79" s="292">
        <v>4</v>
      </c>
      <c r="Y79" s="292">
        <v>7</v>
      </c>
      <c r="Z79" s="292">
        <v>0</v>
      </c>
      <c r="AA79" s="292">
        <v>0</v>
      </c>
      <c r="AB79" s="292">
        <v>16</v>
      </c>
      <c r="AC79" s="292">
        <f t="shared" si="24"/>
        <v>2</v>
      </c>
      <c r="AD79" s="292">
        <f t="shared" si="25"/>
        <v>3</v>
      </c>
      <c r="AE79" s="292">
        <f t="shared" si="26"/>
        <v>4</v>
      </c>
      <c r="AF79" s="292">
        <f t="shared" si="27"/>
        <v>7</v>
      </c>
      <c r="AG79" s="292">
        <f t="shared" si="28"/>
        <v>0</v>
      </c>
    </row>
    <row r="80" spans="1:33" x14ac:dyDescent="0.3">
      <c r="A80" s="306" t="s">
        <v>193</v>
      </c>
      <c r="B80" s="307" t="s">
        <v>194</v>
      </c>
      <c r="C80" s="313" t="s">
        <v>254</v>
      </c>
      <c r="D80" s="309">
        <v>17</v>
      </c>
      <c r="E80" s="309">
        <v>16</v>
      </c>
      <c r="F80" s="309">
        <v>0</v>
      </c>
      <c r="G80" s="309">
        <v>0</v>
      </c>
      <c r="H80" s="309">
        <v>0</v>
      </c>
      <c r="I80" s="309">
        <v>0</v>
      </c>
      <c r="J80" s="309">
        <v>1</v>
      </c>
      <c r="K80" s="309">
        <v>0</v>
      </c>
      <c r="L80" s="309">
        <v>0</v>
      </c>
      <c r="M80" s="309">
        <v>0</v>
      </c>
      <c r="N80" s="310"/>
      <c r="O80" s="310">
        <f t="shared" si="20"/>
        <v>1</v>
      </c>
      <c r="P80" s="310">
        <f t="shared" si="21"/>
        <v>0</v>
      </c>
      <c r="Q80" s="310"/>
      <c r="R80" s="311">
        <f t="shared" si="22"/>
        <v>0.94117647058823528</v>
      </c>
      <c r="S80" s="311">
        <f t="shared" si="23"/>
        <v>0</v>
      </c>
      <c r="U80" s="292">
        <v>1</v>
      </c>
      <c r="V80" s="292">
        <v>2</v>
      </c>
      <c r="W80" s="292">
        <v>4</v>
      </c>
      <c r="X80" s="292">
        <v>5</v>
      </c>
      <c r="Y80" s="292">
        <v>5</v>
      </c>
      <c r="Z80" s="292">
        <v>0</v>
      </c>
      <c r="AA80" s="292">
        <v>0</v>
      </c>
      <c r="AB80" s="292">
        <v>17</v>
      </c>
      <c r="AC80" s="292">
        <f t="shared" si="24"/>
        <v>3</v>
      </c>
      <c r="AD80" s="292">
        <f t="shared" si="25"/>
        <v>4</v>
      </c>
      <c r="AE80" s="292">
        <f t="shared" si="26"/>
        <v>5</v>
      </c>
      <c r="AF80" s="292">
        <f t="shared" si="27"/>
        <v>5</v>
      </c>
      <c r="AG80" s="292">
        <f t="shared" si="28"/>
        <v>0</v>
      </c>
    </row>
    <row r="81" spans="1:33" x14ac:dyDescent="0.3">
      <c r="A81" s="306" t="s">
        <v>197</v>
      </c>
      <c r="B81" s="307" t="s">
        <v>259</v>
      </c>
      <c r="C81" s="313" t="s">
        <v>253</v>
      </c>
      <c r="D81" s="309">
        <v>0</v>
      </c>
      <c r="E81" s="309">
        <v>0</v>
      </c>
      <c r="F81" s="309">
        <v>0</v>
      </c>
      <c r="G81" s="309">
        <v>0</v>
      </c>
      <c r="H81" s="309">
        <v>0</v>
      </c>
      <c r="I81" s="309">
        <v>0</v>
      </c>
      <c r="J81" s="309">
        <v>0</v>
      </c>
      <c r="K81" s="309">
        <v>0</v>
      </c>
      <c r="L81" s="309">
        <v>0</v>
      </c>
      <c r="M81" s="309">
        <v>0</v>
      </c>
      <c r="N81" s="310"/>
      <c r="O81" s="310">
        <f t="shared" si="20"/>
        <v>0</v>
      </c>
      <c r="P81" s="310">
        <f t="shared" si="21"/>
        <v>0</v>
      </c>
      <c r="Q81" s="310"/>
      <c r="R81" s="311" t="str">
        <f t="shared" si="22"/>
        <v>N/A</v>
      </c>
      <c r="S81" s="311" t="str">
        <f t="shared" si="23"/>
        <v>N/A</v>
      </c>
      <c r="U81" s="292">
        <v>0</v>
      </c>
      <c r="V81" s="292">
        <v>0</v>
      </c>
      <c r="W81" s="292">
        <v>0</v>
      </c>
      <c r="X81" s="292">
        <v>0</v>
      </c>
      <c r="Y81" s="292">
        <v>0</v>
      </c>
      <c r="Z81" s="292">
        <v>0</v>
      </c>
      <c r="AA81" s="292">
        <v>0</v>
      </c>
      <c r="AB81" s="292">
        <v>0</v>
      </c>
      <c r="AC81" s="292">
        <f t="shared" si="24"/>
        <v>0</v>
      </c>
      <c r="AD81" s="292">
        <f t="shared" si="25"/>
        <v>0</v>
      </c>
      <c r="AE81" s="292">
        <f t="shared" si="26"/>
        <v>0</v>
      </c>
      <c r="AF81" s="292">
        <f t="shared" si="27"/>
        <v>0</v>
      </c>
      <c r="AG81" s="292">
        <f t="shared" si="28"/>
        <v>0</v>
      </c>
    </row>
    <row r="82" spans="1:33" x14ac:dyDescent="0.3">
      <c r="A82" s="306" t="s">
        <v>201</v>
      </c>
      <c r="B82" s="307" t="s">
        <v>264</v>
      </c>
      <c r="C82" s="313" t="s">
        <v>252</v>
      </c>
      <c r="D82" s="309">
        <v>99</v>
      </c>
      <c r="E82" s="309">
        <v>76</v>
      </c>
      <c r="F82" s="309">
        <v>8</v>
      </c>
      <c r="G82" s="309">
        <v>0</v>
      </c>
      <c r="H82" s="309">
        <v>0</v>
      </c>
      <c r="I82" s="309">
        <v>0</v>
      </c>
      <c r="J82" s="309">
        <v>6</v>
      </c>
      <c r="K82" s="309">
        <v>7</v>
      </c>
      <c r="L82" s="309">
        <v>2</v>
      </c>
      <c r="M82" s="309">
        <v>0</v>
      </c>
      <c r="N82" s="310"/>
      <c r="O82" s="310">
        <f t="shared" si="20"/>
        <v>13</v>
      </c>
      <c r="P82" s="310">
        <f t="shared" si="21"/>
        <v>2</v>
      </c>
      <c r="Q82" s="310"/>
      <c r="R82" s="311">
        <f t="shared" si="22"/>
        <v>0.76767676767676762</v>
      </c>
      <c r="S82" s="311">
        <f t="shared" si="23"/>
        <v>8.0808080808080815E-2</v>
      </c>
      <c r="U82" s="292">
        <v>3</v>
      </c>
      <c r="V82" s="292">
        <v>27</v>
      </c>
      <c r="W82" s="292">
        <v>25</v>
      </c>
      <c r="X82" s="292">
        <v>28</v>
      </c>
      <c r="Y82" s="292">
        <v>16</v>
      </c>
      <c r="Z82" s="292">
        <v>0</v>
      </c>
      <c r="AA82" s="292">
        <v>0</v>
      </c>
      <c r="AB82" s="292">
        <v>99</v>
      </c>
      <c r="AC82" s="292">
        <f t="shared" si="24"/>
        <v>30</v>
      </c>
      <c r="AD82" s="292">
        <f t="shared" si="25"/>
        <v>25</v>
      </c>
      <c r="AE82" s="292">
        <f t="shared" si="26"/>
        <v>28</v>
      </c>
      <c r="AF82" s="292">
        <f t="shared" si="27"/>
        <v>16</v>
      </c>
      <c r="AG82" s="292">
        <f t="shared" si="28"/>
        <v>0</v>
      </c>
    </row>
    <row r="83" spans="1:33" x14ac:dyDescent="0.3">
      <c r="A83" s="306" t="s">
        <v>203</v>
      </c>
      <c r="B83" s="307" t="s">
        <v>265</v>
      </c>
      <c r="C83" s="313" t="s">
        <v>252</v>
      </c>
      <c r="D83" s="309">
        <v>36</v>
      </c>
      <c r="E83" s="309">
        <v>27</v>
      </c>
      <c r="F83" s="309">
        <v>2</v>
      </c>
      <c r="G83" s="309">
        <v>0</v>
      </c>
      <c r="H83" s="309">
        <v>0</v>
      </c>
      <c r="I83" s="309">
        <v>0</v>
      </c>
      <c r="J83" s="309">
        <v>4</v>
      </c>
      <c r="K83" s="309">
        <v>3</v>
      </c>
      <c r="L83" s="309">
        <v>0</v>
      </c>
      <c r="M83" s="309">
        <v>0</v>
      </c>
      <c r="N83" s="310"/>
      <c r="O83" s="310">
        <f t="shared" si="20"/>
        <v>7</v>
      </c>
      <c r="P83" s="310">
        <f t="shared" si="21"/>
        <v>0</v>
      </c>
      <c r="Q83" s="310"/>
      <c r="R83" s="311">
        <f t="shared" si="22"/>
        <v>0.75</v>
      </c>
      <c r="S83" s="311">
        <f t="shared" si="23"/>
        <v>5.5555555555555552E-2</v>
      </c>
      <c r="U83" s="292">
        <v>1</v>
      </c>
      <c r="V83" s="292">
        <v>11</v>
      </c>
      <c r="W83" s="292">
        <v>7</v>
      </c>
      <c r="X83" s="292">
        <v>13</v>
      </c>
      <c r="Y83" s="292">
        <v>4</v>
      </c>
      <c r="Z83" s="292">
        <v>0</v>
      </c>
      <c r="AA83" s="292">
        <v>0</v>
      </c>
      <c r="AB83" s="292">
        <v>36</v>
      </c>
      <c r="AC83" s="292">
        <f t="shared" si="24"/>
        <v>12</v>
      </c>
      <c r="AD83" s="292">
        <f t="shared" si="25"/>
        <v>7</v>
      </c>
      <c r="AE83" s="292">
        <f t="shared" si="26"/>
        <v>13</v>
      </c>
      <c r="AF83" s="292">
        <f t="shared" si="27"/>
        <v>4</v>
      </c>
      <c r="AG83" s="292">
        <f t="shared" si="28"/>
        <v>0</v>
      </c>
    </row>
    <row r="84" spans="1:33" x14ac:dyDescent="0.3">
      <c r="A84" s="306" t="s">
        <v>205</v>
      </c>
      <c r="B84" s="307" t="s">
        <v>206</v>
      </c>
      <c r="C84" s="313" t="s">
        <v>254</v>
      </c>
      <c r="D84" s="309">
        <v>165</v>
      </c>
      <c r="E84" s="309">
        <v>104</v>
      </c>
      <c r="F84" s="309">
        <v>12</v>
      </c>
      <c r="G84" s="309">
        <v>0</v>
      </c>
      <c r="H84" s="309">
        <v>0</v>
      </c>
      <c r="I84" s="309">
        <v>0</v>
      </c>
      <c r="J84" s="309">
        <v>17</v>
      </c>
      <c r="K84" s="309">
        <v>29</v>
      </c>
      <c r="L84" s="309">
        <v>3</v>
      </c>
      <c r="M84" s="309">
        <v>0</v>
      </c>
      <c r="N84" s="310"/>
      <c r="O84" s="310">
        <f t="shared" si="20"/>
        <v>46</v>
      </c>
      <c r="P84" s="310">
        <f t="shared" si="21"/>
        <v>3</v>
      </c>
      <c r="Q84" s="310"/>
      <c r="R84" s="311">
        <f t="shared" si="22"/>
        <v>0.63030303030303025</v>
      </c>
      <c r="S84" s="311">
        <f t="shared" si="23"/>
        <v>7.2727272727272724E-2</v>
      </c>
      <c r="U84" s="292">
        <v>10</v>
      </c>
      <c r="V84" s="292">
        <v>43</v>
      </c>
      <c r="W84" s="292">
        <v>43</v>
      </c>
      <c r="X84" s="292">
        <v>40</v>
      </c>
      <c r="Y84" s="292">
        <v>29</v>
      </c>
      <c r="Z84" s="292">
        <v>0</v>
      </c>
      <c r="AA84" s="292">
        <v>0</v>
      </c>
      <c r="AB84" s="292">
        <v>165</v>
      </c>
      <c r="AC84" s="292">
        <f t="shared" si="24"/>
        <v>53</v>
      </c>
      <c r="AD84" s="292">
        <f t="shared" si="25"/>
        <v>43</v>
      </c>
      <c r="AE84" s="292">
        <f t="shared" si="26"/>
        <v>40</v>
      </c>
      <c r="AF84" s="292">
        <f t="shared" si="27"/>
        <v>29</v>
      </c>
      <c r="AG84" s="292">
        <f t="shared" si="28"/>
        <v>0</v>
      </c>
    </row>
    <row r="85" spans="1:33" x14ac:dyDescent="0.3">
      <c r="A85" s="306" t="s">
        <v>207</v>
      </c>
      <c r="B85" s="307" t="s">
        <v>208</v>
      </c>
      <c r="C85" s="313" t="s">
        <v>255</v>
      </c>
      <c r="D85" s="309">
        <v>50</v>
      </c>
      <c r="E85" s="309">
        <v>48</v>
      </c>
      <c r="F85" s="309">
        <v>0</v>
      </c>
      <c r="G85" s="309">
        <v>0</v>
      </c>
      <c r="H85" s="309">
        <v>0</v>
      </c>
      <c r="I85" s="309">
        <v>0</v>
      </c>
      <c r="J85" s="309">
        <v>2</v>
      </c>
      <c r="K85" s="309">
        <v>0</v>
      </c>
      <c r="L85" s="309">
        <v>0</v>
      </c>
      <c r="M85" s="309">
        <v>0</v>
      </c>
      <c r="N85" s="310"/>
      <c r="O85" s="310">
        <f t="shared" si="20"/>
        <v>2</v>
      </c>
      <c r="P85" s="310">
        <f t="shared" si="21"/>
        <v>0</v>
      </c>
      <c r="Q85" s="310"/>
      <c r="R85" s="311">
        <f t="shared" si="22"/>
        <v>0.96</v>
      </c>
      <c r="S85" s="311">
        <f t="shared" si="23"/>
        <v>0</v>
      </c>
      <c r="U85" s="292">
        <v>0</v>
      </c>
      <c r="V85" s="292">
        <v>15</v>
      </c>
      <c r="W85" s="292">
        <v>8</v>
      </c>
      <c r="X85" s="292">
        <v>15</v>
      </c>
      <c r="Y85" s="292">
        <v>12</v>
      </c>
      <c r="Z85" s="292">
        <v>0</v>
      </c>
      <c r="AA85" s="292">
        <v>0</v>
      </c>
      <c r="AB85" s="292">
        <v>50</v>
      </c>
      <c r="AC85" s="292">
        <f t="shared" si="24"/>
        <v>15</v>
      </c>
      <c r="AD85" s="292">
        <f t="shared" si="25"/>
        <v>8</v>
      </c>
      <c r="AE85" s="292">
        <f t="shared" si="26"/>
        <v>15</v>
      </c>
      <c r="AF85" s="292">
        <f t="shared" si="27"/>
        <v>12</v>
      </c>
      <c r="AG85" s="292">
        <f t="shared" si="28"/>
        <v>0</v>
      </c>
    </row>
    <row r="86" spans="1:33" x14ac:dyDescent="0.3">
      <c r="A86" s="312" t="s">
        <v>209</v>
      </c>
      <c r="B86" s="307" t="s">
        <v>210</v>
      </c>
      <c r="C86" s="313" t="s">
        <v>255</v>
      </c>
      <c r="D86" s="309">
        <v>27</v>
      </c>
      <c r="E86" s="309">
        <v>25</v>
      </c>
      <c r="F86" s="309">
        <v>0</v>
      </c>
      <c r="G86" s="309">
        <v>0</v>
      </c>
      <c r="H86" s="309">
        <v>0</v>
      </c>
      <c r="I86" s="309">
        <v>0</v>
      </c>
      <c r="J86" s="309">
        <v>1</v>
      </c>
      <c r="K86" s="309">
        <v>1</v>
      </c>
      <c r="L86" s="309">
        <v>0</v>
      </c>
      <c r="M86" s="309">
        <v>0</v>
      </c>
      <c r="N86" s="310"/>
      <c r="O86" s="310">
        <f t="shared" si="20"/>
        <v>2</v>
      </c>
      <c r="P86" s="310">
        <f t="shared" si="21"/>
        <v>0</v>
      </c>
      <c r="Q86" s="310"/>
      <c r="R86" s="311">
        <f t="shared" si="22"/>
        <v>0.92592592592592593</v>
      </c>
      <c r="S86" s="311">
        <f t="shared" si="23"/>
        <v>0</v>
      </c>
      <c r="U86" s="292">
        <v>1</v>
      </c>
      <c r="V86" s="292">
        <v>1</v>
      </c>
      <c r="W86" s="292">
        <v>3</v>
      </c>
      <c r="X86" s="292">
        <v>10</v>
      </c>
      <c r="Y86" s="292">
        <v>12</v>
      </c>
      <c r="Z86" s="292">
        <v>0</v>
      </c>
      <c r="AA86" s="292">
        <v>0</v>
      </c>
      <c r="AB86" s="292">
        <v>27</v>
      </c>
      <c r="AC86" s="292">
        <f t="shared" si="24"/>
        <v>2</v>
      </c>
      <c r="AD86" s="292">
        <f t="shared" si="25"/>
        <v>3</v>
      </c>
      <c r="AE86" s="292">
        <f t="shared" si="26"/>
        <v>10</v>
      </c>
      <c r="AF86" s="292">
        <f t="shared" si="27"/>
        <v>12</v>
      </c>
      <c r="AG86" s="292">
        <f t="shared" si="28"/>
        <v>0</v>
      </c>
    </row>
    <row r="87" spans="1:33" x14ac:dyDescent="0.3">
      <c r="A87" s="306" t="s">
        <v>211</v>
      </c>
      <c r="B87" s="307" t="s">
        <v>212</v>
      </c>
      <c r="C87" s="313" t="s">
        <v>254</v>
      </c>
      <c r="D87" s="309">
        <v>12</v>
      </c>
      <c r="E87" s="309">
        <v>11</v>
      </c>
      <c r="F87" s="309">
        <v>0</v>
      </c>
      <c r="G87" s="309">
        <v>0</v>
      </c>
      <c r="H87" s="309">
        <v>0</v>
      </c>
      <c r="I87" s="309">
        <v>0</v>
      </c>
      <c r="J87" s="309">
        <v>1</v>
      </c>
      <c r="K87" s="309">
        <v>0</v>
      </c>
      <c r="L87" s="309">
        <v>0</v>
      </c>
      <c r="M87" s="309">
        <v>0</v>
      </c>
      <c r="N87" s="310"/>
      <c r="O87" s="310">
        <f t="shared" si="20"/>
        <v>1</v>
      </c>
      <c r="P87" s="310">
        <f t="shared" si="21"/>
        <v>0</v>
      </c>
      <c r="Q87" s="310"/>
      <c r="R87" s="311">
        <f t="shared" si="22"/>
        <v>0.91666666666666663</v>
      </c>
      <c r="S87" s="311">
        <f t="shared" si="23"/>
        <v>0</v>
      </c>
      <c r="U87" s="292">
        <v>0</v>
      </c>
      <c r="V87" s="292">
        <v>3</v>
      </c>
      <c r="W87" s="292">
        <v>1</v>
      </c>
      <c r="X87" s="292">
        <v>5</v>
      </c>
      <c r="Y87" s="292">
        <v>3</v>
      </c>
      <c r="Z87" s="292">
        <v>0</v>
      </c>
      <c r="AA87" s="292">
        <v>0</v>
      </c>
      <c r="AB87" s="292">
        <v>12</v>
      </c>
      <c r="AC87" s="292">
        <f t="shared" si="24"/>
        <v>3</v>
      </c>
      <c r="AD87" s="292">
        <f t="shared" si="25"/>
        <v>1</v>
      </c>
      <c r="AE87" s="292">
        <f t="shared" si="26"/>
        <v>5</v>
      </c>
      <c r="AF87" s="292">
        <f t="shared" si="27"/>
        <v>3</v>
      </c>
      <c r="AG87" s="292">
        <f t="shared" si="28"/>
        <v>0</v>
      </c>
    </row>
    <row r="88" spans="1:33" x14ac:dyDescent="0.3">
      <c r="A88" s="306" t="s">
        <v>213</v>
      </c>
      <c r="B88" s="307" t="s">
        <v>214</v>
      </c>
      <c r="C88" s="313" t="s">
        <v>255</v>
      </c>
      <c r="D88" s="309">
        <v>62</v>
      </c>
      <c r="E88" s="309">
        <v>53</v>
      </c>
      <c r="F88" s="309">
        <v>0</v>
      </c>
      <c r="G88" s="309">
        <v>0</v>
      </c>
      <c r="H88" s="309">
        <v>0</v>
      </c>
      <c r="I88" s="309">
        <v>0</v>
      </c>
      <c r="J88" s="309">
        <v>6</v>
      </c>
      <c r="K88" s="309">
        <v>3</v>
      </c>
      <c r="L88" s="309">
        <v>0</v>
      </c>
      <c r="M88" s="309">
        <v>0</v>
      </c>
      <c r="N88" s="310"/>
      <c r="O88" s="310">
        <f t="shared" si="20"/>
        <v>9</v>
      </c>
      <c r="P88" s="310">
        <f t="shared" si="21"/>
        <v>0</v>
      </c>
      <c r="Q88" s="310"/>
      <c r="R88" s="311">
        <f t="shared" si="22"/>
        <v>0.85483870967741937</v>
      </c>
      <c r="S88" s="311">
        <f t="shared" si="23"/>
        <v>0</v>
      </c>
      <c r="U88" s="292">
        <v>5</v>
      </c>
      <c r="V88" s="292">
        <v>29</v>
      </c>
      <c r="W88" s="292">
        <v>14</v>
      </c>
      <c r="X88" s="292">
        <v>10</v>
      </c>
      <c r="Y88" s="292">
        <v>4</v>
      </c>
      <c r="Z88" s="292">
        <v>0</v>
      </c>
      <c r="AA88" s="292">
        <v>0</v>
      </c>
      <c r="AB88" s="292">
        <v>62</v>
      </c>
      <c r="AC88" s="292">
        <f t="shared" si="24"/>
        <v>34</v>
      </c>
      <c r="AD88" s="292">
        <f t="shared" si="25"/>
        <v>14</v>
      </c>
      <c r="AE88" s="292">
        <f t="shared" si="26"/>
        <v>10</v>
      </c>
      <c r="AF88" s="292">
        <f t="shared" si="27"/>
        <v>4</v>
      </c>
      <c r="AG88" s="292">
        <f t="shared" si="28"/>
        <v>0</v>
      </c>
    </row>
    <row r="89" spans="1:33" x14ac:dyDescent="0.3">
      <c r="A89" s="306" t="s">
        <v>215</v>
      </c>
      <c r="B89" s="307" t="s">
        <v>216</v>
      </c>
      <c r="C89" s="313" t="s">
        <v>251</v>
      </c>
      <c r="D89" s="309">
        <v>0</v>
      </c>
      <c r="E89" s="309">
        <v>0</v>
      </c>
      <c r="F89" s="309">
        <v>0</v>
      </c>
      <c r="G89" s="309">
        <v>0</v>
      </c>
      <c r="H89" s="309">
        <v>0</v>
      </c>
      <c r="I89" s="309">
        <v>0</v>
      </c>
      <c r="J89" s="309">
        <v>0</v>
      </c>
      <c r="K89" s="309">
        <v>0</v>
      </c>
      <c r="L89" s="309">
        <v>0</v>
      </c>
      <c r="M89" s="309">
        <v>0</v>
      </c>
      <c r="N89" s="310"/>
      <c r="O89" s="310">
        <f t="shared" si="20"/>
        <v>0</v>
      </c>
      <c r="P89" s="310">
        <f t="shared" si="21"/>
        <v>0</v>
      </c>
      <c r="Q89" s="310"/>
      <c r="R89" s="311" t="str">
        <f t="shared" si="22"/>
        <v>N/A</v>
      </c>
      <c r="S89" s="311" t="str">
        <f t="shared" si="23"/>
        <v>N/A</v>
      </c>
      <c r="U89" s="292">
        <v>0</v>
      </c>
      <c r="V89" s="292">
        <v>0</v>
      </c>
      <c r="W89" s="292">
        <v>0</v>
      </c>
      <c r="X89" s="292">
        <v>0</v>
      </c>
      <c r="Y89" s="292">
        <v>0</v>
      </c>
      <c r="Z89" s="292">
        <v>0</v>
      </c>
      <c r="AA89" s="292">
        <v>0</v>
      </c>
      <c r="AB89" s="292">
        <v>0</v>
      </c>
      <c r="AC89" s="292">
        <f t="shared" si="24"/>
        <v>0</v>
      </c>
      <c r="AD89" s="292">
        <f t="shared" si="25"/>
        <v>0</v>
      </c>
      <c r="AE89" s="292">
        <f t="shared" si="26"/>
        <v>0</v>
      </c>
      <c r="AF89" s="292">
        <f t="shared" si="27"/>
        <v>0</v>
      </c>
      <c r="AG89" s="292">
        <f t="shared" si="28"/>
        <v>0</v>
      </c>
    </row>
    <row r="90" spans="1:33" x14ac:dyDescent="0.3">
      <c r="A90" s="306" t="s">
        <v>217</v>
      </c>
      <c r="B90" s="307" t="s">
        <v>218</v>
      </c>
      <c r="C90" s="313" t="s">
        <v>254</v>
      </c>
      <c r="D90" s="309">
        <v>76</v>
      </c>
      <c r="E90" s="309">
        <v>42</v>
      </c>
      <c r="F90" s="309">
        <v>15</v>
      </c>
      <c r="G90" s="309">
        <v>1</v>
      </c>
      <c r="H90" s="309">
        <v>0</v>
      </c>
      <c r="I90" s="309">
        <v>0</v>
      </c>
      <c r="J90" s="309">
        <v>7</v>
      </c>
      <c r="K90" s="309">
        <v>11</v>
      </c>
      <c r="L90" s="309">
        <v>0</v>
      </c>
      <c r="M90" s="309">
        <v>0</v>
      </c>
      <c r="N90" s="310"/>
      <c r="O90" s="310">
        <f t="shared" si="20"/>
        <v>19</v>
      </c>
      <c r="P90" s="310">
        <f t="shared" si="21"/>
        <v>0</v>
      </c>
      <c r="Q90" s="310"/>
      <c r="R90" s="311">
        <f t="shared" si="22"/>
        <v>0.55263157894736847</v>
      </c>
      <c r="S90" s="311">
        <f t="shared" si="23"/>
        <v>0.19736842105263158</v>
      </c>
      <c r="U90" s="292">
        <v>2</v>
      </c>
      <c r="V90" s="292">
        <v>4</v>
      </c>
      <c r="W90" s="292">
        <v>22</v>
      </c>
      <c r="X90" s="292">
        <v>23</v>
      </c>
      <c r="Y90" s="292">
        <v>25</v>
      </c>
      <c r="Z90" s="292">
        <v>0</v>
      </c>
      <c r="AA90" s="292">
        <v>0</v>
      </c>
      <c r="AB90" s="292">
        <v>76</v>
      </c>
      <c r="AC90" s="292">
        <f t="shared" si="24"/>
        <v>6</v>
      </c>
      <c r="AD90" s="292">
        <f t="shared" si="25"/>
        <v>22</v>
      </c>
      <c r="AE90" s="292">
        <f t="shared" si="26"/>
        <v>23</v>
      </c>
      <c r="AF90" s="292">
        <f t="shared" si="27"/>
        <v>25</v>
      </c>
      <c r="AG90" s="292">
        <f t="shared" si="28"/>
        <v>0</v>
      </c>
    </row>
    <row r="91" spans="1:33" x14ac:dyDescent="0.3">
      <c r="A91" s="306" t="s">
        <v>219</v>
      </c>
      <c r="B91" s="307" t="s">
        <v>220</v>
      </c>
      <c r="C91" s="313" t="s">
        <v>254</v>
      </c>
      <c r="D91" s="309">
        <v>35</v>
      </c>
      <c r="E91" s="309">
        <v>16</v>
      </c>
      <c r="F91" s="309">
        <v>11</v>
      </c>
      <c r="G91" s="309">
        <v>0</v>
      </c>
      <c r="H91" s="309">
        <v>0</v>
      </c>
      <c r="I91" s="309">
        <v>0</v>
      </c>
      <c r="J91" s="309">
        <v>7</v>
      </c>
      <c r="K91" s="309">
        <v>0</v>
      </c>
      <c r="L91" s="309">
        <v>1</v>
      </c>
      <c r="M91" s="309">
        <v>0</v>
      </c>
      <c r="N91" s="310"/>
      <c r="O91" s="310">
        <f t="shared" si="20"/>
        <v>7</v>
      </c>
      <c r="P91" s="310">
        <f t="shared" si="21"/>
        <v>1</v>
      </c>
      <c r="Q91" s="310"/>
      <c r="R91" s="311">
        <f t="shared" si="22"/>
        <v>0.45714285714285713</v>
      </c>
      <c r="S91" s="311">
        <f t="shared" si="23"/>
        <v>0.31428571428571428</v>
      </c>
      <c r="U91" s="292">
        <v>0</v>
      </c>
      <c r="V91" s="292">
        <v>14</v>
      </c>
      <c r="W91" s="292">
        <v>10</v>
      </c>
      <c r="X91" s="292">
        <v>8</v>
      </c>
      <c r="Y91" s="292">
        <v>3</v>
      </c>
      <c r="Z91" s="292">
        <v>0</v>
      </c>
      <c r="AA91" s="292">
        <v>0</v>
      </c>
      <c r="AB91" s="292">
        <v>35</v>
      </c>
      <c r="AC91" s="292">
        <f t="shared" si="24"/>
        <v>14</v>
      </c>
      <c r="AD91" s="292">
        <f t="shared" si="25"/>
        <v>10</v>
      </c>
      <c r="AE91" s="292">
        <f t="shared" si="26"/>
        <v>8</v>
      </c>
      <c r="AF91" s="292">
        <f t="shared" si="27"/>
        <v>3</v>
      </c>
      <c r="AG91" s="292">
        <f t="shared" si="28"/>
        <v>0</v>
      </c>
    </row>
    <row r="92" spans="1:33" x14ac:dyDescent="0.3">
      <c r="A92" s="312" t="s">
        <v>223</v>
      </c>
      <c r="B92" s="307" t="s">
        <v>224</v>
      </c>
      <c r="C92" s="313" t="s">
        <v>251</v>
      </c>
      <c r="D92" s="309">
        <v>2</v>
      </c>
      <c r="E92" s="309">
        <v>1</v>
      </c>
      <c r="F92" s="309">
        <v>0</v>
      </c>
      <c r="G92" s="309">
        <v>0</v>
      </c>
      <c r="H92" s="309">
        <v>0</v>
      </c>
      <c r="I92" s="309">
        <v>0</v>
      </c>
      <c r="J92" s="309">
        <v>1</v>
      </c>
      <c r="K92" s="309">
        <v>0</v>
      </c>
      <c r="L92" s="309">
        <v>0</v>
      </c>
      <c r="M92" s="309">
        <v>0</v>
      </c>
      <c r="N92" s="310"/>
      <c r="O92" s="310">
        <f t="shared" si="20"/>
        <v>1</v>
      </c>
      <c r="P92" s="310">
        <f t="shared" si="21"/>
        <v>0</v>
      </c>
      <c r="Q92" s="310"/>
      <c r="R92" s="311">
        <f t="shared" si="22"/>
        <v>0.5</v>
      </c>
      <c r="S92" s="311">
        <f t="shared" si="23"/>
        <v>0</v>
      </c>
      <c r="U92" s="292">
        <v>0</v>
      </c>
      <c r="V92" s="292">
        <v>0</v>
      </c>
      <c r="W92" s="292">
        <v>0</v>
      </c>
      <c r="X92" s="292">
        <v>2</v>
      </c>
      <c r="Y92" s="292">
        <v>0</v>
      </c>
      <c r="Z92" s="292">
        <v>0</v>
      </c>
      <c r="AA92" s="292">
        <v>0</v>
      </c>
      <c r="AB92" s="292">
        <v>2</v>
      </c>
      <c r="AC92" s="292">
        <f t="shared" si="24"/>
        <v>0</v>
      </c>
      <c r="AD92" s="292">
        <f t="shared" si="25"/>
        <v>0</v>
      </c>
      <c r="AE92" s="292">
        <f t="shared" si="26"/>
        <v>2</v>
      </c>
      <c r="AF92" s="292">
        <f t="shared" si="27"/>
        <v>0</v>
      </c>
      <c r="AG92" s="292">
        <f t="shared" si="28"/>
        <v>0</v>
      </c>
    </row>
    <row r="93" spans="1:33" x14ac:dyDescent="0.3">
      <c r="A93" s="306" t="s">
        <v>225</v>
      </c>
      <c r="B93" s="307" t="s">
        <v>226</v>
      </c>
      <c r="C93" s="313" t="s">
        <v>251</v>
      </c>
      <c r="D93" s="309">
        <v>8</v>
      </c>
      <c r="E93" s="309">
        <v>0</v>
      </c>
      <c r="F93" s="309">
        <v>8</v>
      </c>
      <c r="G93" s="309">
        <v>0</v>
      </c>
      <c r="H93" s="309">
        <v>0</v>
      </c>
      <c r="I93" s="309">
        <v>0</v>
      </c>
      <c r="J93" s="309">
        <v>0</v>
      </c>
      <c r="K93" s="309">
        <v>0</v>
      </c>
      <c r="L93" s="309">
        <v>0</v>
      </c>
      <c r="M93" s="309">
        <v>0</v>
      </c>
      <c r="N93" s="310"/>
      <c r="O93" s="310">
        <f t="shared" si="20"/>
        <v>0</v>
      </c>
      <c r="P93" s="310">
        <f t="shared" si="21"/>
        <v>0</v>
      </c>
      <c r="Q93" s="310"/>
      <c r="R93" s="311">
        <f t="shared" si="22"/>
        <v>0</v>
      </c>
      <c r="S93" s="311">
        <f t="shared" si="23"/>
        <v>1</v>
      </c>
      <c r="U93" s="292">
        <v>2</v>
      </c>
      <c r="V93" s="292">
        <v>1</v>
      </c>
      <c r="W93" s="292">
        <v>3</v>
      </c>
      <c r="X93" s="292">
        <v>1</v>
      </c>
      <c r="Y93" s="292">
        <v>1</v>
      </c>
      <c r="Z93" s="292">
        <v>0</v>
      </c>
      <c r="AA93" s="292">
        <v>0</v>
      </c>
      <c r="AB93" s="292">
        <v>8</v>
      </c>
      <c r="AC93" s="292">
        <f t="shared" si="24"/>
        <v>3</v>
      </c>
      <c r="AD93" s="292">
        <f t="shared" si="25"/>
        <v>3</v>
      </c>
      <c r="AE93" s="292">
        <f t="shared" si="26"/>
        <v>1</v>
      </c>
      <c r="AF93" s="292">
        <f t="shared" si="27"/>
        <v>1</v>
      </c>
      <c r="AG93" s="292">
        <f t="shared" si="28"/>
        <v>0</v>
      </c>
    </row>
    <row r="94" spans="1:33" x14ac:dyDescent="0.3">
      <c r="A94" s="306" t="s">
        <v>227</v>
      </c>
      <c r="B94" s="307" t="s">
        <v>228</v>
      </c>
      <c r="C94" s="313" t="s">
        <v>255</v>
      </c>
      <c r="D94" s="309">
        <v>85</v>
      </c>
      <c r="E94" s="309">
        <v>73</v>
      </c>
      <c r="F94" s="309">
        <v>0</v>
      </c>
      <c r="G94" s="309">
        <v>1</v>
      </c>
      <c r="H94" s="309">
        <v>0</v>
      </c>
      <c r="I94" s="309">
        <v>0</v>
      </c>
      <c r="J94" s="309">
        <v>7</v>
      </c>
      <c r="K94" s="309">
        <v>4</v>
      </c>
      <c r="L94" s="309">
        <v>0</v>
      </c>
      <c r="M94" s="309">
        <v>0</v>
      </c>
      <c r="N94" s="310"/>
      <c r="O94" s="310">
        <f t="shared" si="20"/>
        <v>12</v>
      </c>
      <c r="P94" s="310">
        <f t="shared" si="21"/>
        <v>0</v>
      </c>
      <c r="Q94" s="310"/>
      <c r="R94" s="311">
        <f t="shared" si="22"/>
        <v>0.85882352941176465</v>
      </c>
      <c r="S94" s="311">
        <f t="shared" si="23"/>
        <v>0</v>
      </c>
      <c r="U94" s="292">
        <v>6</v>
      </c>
      <c r="V94" s="292">
        <v>30</v>
      </c>
      <c r="W94" s="292">
        <v>15</v>
      </c>
      <c r="X94" s="292">
        <v>15</v>
      </c>
      <c r="Y94" s="292">
        <v>19</v>
      </c>
      <c r="Z94" s="292">
        <v>0</v>
      </c>
      <c r="AA94" s="292">
        <v>0</v>
      </c>
      <c r="AB94" s="292">
        <v>85</v>
      </c>
      <c r="AC94" s="292">
        <f t="shared" si="24"/>
        <v>36</v>
      </c>
      <c r="AD94" s="292">
        <f t="shared" si="25"/>
        <v>15</v>
      </c>
      <c r="AE94" s="292">
        <f t="shared" si="26"/>
        <v>15</v>
      </c>
      <c r="AF94" s="292">
        <f t="shared" si="27"/>
        <v>19</v>
      </c>
      <c r="AG94" s="292">
        <f t="shared" si="28"/>
        <v>0</v>
      </c>
    </row>
    <row r="95" spans="1:33" x14ac:dyDescent="0.3">
      <c r="A95" s="306" t="s">
        <v>231</v>
      </c>
      <c r="B95" s="307" t="s">
        <v>232</v>
      </c>
      <c r="C95" s="313" t="s">
        <v>254</v>
      </c>
      <c r="D95" s="309">
        <v>26</v>
      </c>
      <c r="E95" s="309">
        <v>19</v>
      </c>
      <c r="F95" s="309">
        <v>3</v>
      </c>
      <c r="G95" s="309">
        <v>0</v>
      </c>
      <c r="H95" s="309">
        <v>0</v>
      </c>
      <c r="I95" s="309">
        <v>0</v>
      </c>
      <c r="J95" s="309">
        <v>0</v>
      </c>
      <c r="K95" s="309">
        <v>4</v>
      </c>
      <c r="L95" s="309">
        <v>0</v>
      </c>
      <c r="M95" s="309">
        <v>0</v>
      </c>
      <c r="N95" s="310"/>
      <c r="O95" s="310">
        <f t="shared" si="20"/>
        <v>4</v>
      </c>
      <c r="P95" s="310">
        <f t="shared" si="21"/>
        <v>0</v>
      </c>
      <c r="Q95" s="310"/>
      <c r="R95" s="311">
        <f t="shared" si="22"/>
        <v>0.73076923076923073</v>
      </c>
      <c r="S95" s="311">
        <f t="shared" si="23"/>
        <v>0.11538461538461539</v>
      </c>
      <c r="U95" s="292">
        <v>1</v>
      </c>
      <c r="V95" s="292">
        <v>4</v>
      </c>
      <c r="W95" s="292">
        <v>8</v>
      </c>
      <c r="X95" s="292">
        <v>10</v>
      </c>
      <c r="Y95" s="292">
        <v>3</v>
      </c>
      <c r="Z95" s="292">
        <v>0</v>
      </c>
      <c r="AA95" s="292">
        <v>0</v>
      </c>
      <c r="AB95" s="292">
        <v>26</v>
      </c>
      <c r="AC95" s="292">
        <f t="shared" si="24"/>
        <v>5</v>
      </c>
      <c r="AD95" s="292">
        <f t="shared" si="25"/>
        <v>8</v>
      </c>
      <c r="AE95" s="292">
        <f t="shared" si="26"/>
        <v>10</v>
      </c>
      <c r="AF95" s="292">
        <f t="shared" si="27"/>
        <v>3</v>
      </c>
      <c r="AG95" s="292">
        <f t="shared" si="28"/>
        <v>0</v>
      </c>
    </row>
    <row r="96" spans="1:33" x14ac:dyDescent="0.3">
      <c r="A96" s="306" t="s">
        <v>233</v>
      </c>
      <c r="B96" s="307" t="s">
        <v>234</v>
      </c>
      <c r="C96" s="313" t="s">
        <v>255</v>
      </c>
      <c r="D96" s="309">
        <v>52</v>
      </c>
      <c r="E96" s="309">
        <v>48</v>
      </c>
      <c r="F96" s="309">
        <v>0</v>
      </c>
      <c r="G96" s="309">
        <v>0</v>
      </c>
      <c r="H96" s="309">
        <v>0</v>
      </c>
      <c r="I96" s="309">
        <v>0</v>
      </c>
      <c r="J96" s="309">
        <v>3</v>
      </c>
      <c r="K96" s="309">
        <v>1</v>
      </c>
      <c r="L96" s="309">
        <v>0</v>
      </c>
      <c r="M96" s="309">
        <v>0</v>
      </c>
      <c r="N96" s="310"/>
      <c r="O96" s="310">
        <f t="shared" si="20"/>
        <v>4</v>
      </c>
      <c r="P96" s="310">
        <f t="shared" si="21"/>
        <v>0</v>
      </c>
      <c r="Q96" s="310"/>
      <c r="R96" s="311">
        <f t="shared" si="22"/>
        <v>0.92307692307692313</v>
      </c>
      <c r="S96" s="311">
        <f t="shared" si="23"/>
        <v>0</v>
      </c>
      <c r="U96" s="292">
        <v>2</v>
      </c>
      <c r="V96" s="292">
        <v>11</v>
      </c>
      <c r="W96" s="292">
        <v>12</v>
      </c>
      <c r="X96" s="292">
        <v>12</v>
      </c>
      <c r="Y96" s="292">
        <v>15</v>
      </c>
      <c r="Z96" s="292">
        <v>0</v>
      </c>
      <c r="AA96" s="292">
        <v>0</v>
      </c>
      <c r="AB96" s="292">
        <v>52</v>
      </c>
      <c r="AC96" s="292">
        <f t="shared" si="24"/>
        <v>13</v>
      </c>
      <c r="AD96" s="292">
        <f t="shared" si="25"/>
        <v>12</v>
      </c>
      <c r="AE96" s="292">
        <f t="shared" si="26"/>
        <v>12</v>
      </c>
      <c r="AF96" s="292">
        <f t="shared" si="27"/>
        <v>15</v>
      </c>
      <c r="AG96" s="292">
        <f t="shared" si="28"/>
        <v>0</v>
      </c>
    </row>
    <row r="97" spans="1:33" x14ac:dyDescent="0.3">
      <c r="A97" s="306" t="s">
        <v>235</v>
      </c>
      <c r="B97" s="307" t="s">
        <v>236</v>
      </c>
      <c r="C97" s="313" t="s">
        <v>253</v>
      </c>
      <c r="D97" s="309">
        <v>9</v>
      </c>
      <c r="E97" s="309">
        <v>4</v>
      </c>
      <c r="F97" s="309">
        <v>4</v>
      </c>
      <c r="G97" s="309">
        <v>0</v>
      </c>
      <c r="H97" s="309">
        <v>0</v>
      </c>
      <c r="I97" s="309">
        <v>0</v>
      </c>
      <c r="J97" s="309">
        <v>0</v>
      </c>
      <c r="K97" s="309">
        <v>1</v>
      </c>
      <c r="L97" s="309">
        <v>0</v>
      </c>
      <c r="M97" s="309">
        <v>0</v>
      </c>
      <c r="N97" s="310"/>
      <c r="O97" s="310">
        <f t="shared" si="20"/>
        <v>1</v>
      </c>
      <c r="P97" s="310">
        <f t="shared" si="21"/>
        <v>0</v>
      </c>
      <c r="Q97" s="310"/>
      <c r="R97" s="311">
        <f t="shared" si="22"/>
        <v>0.44444444444444442</v>
      </c>
      <c r="S97" s="311">
        <f t="shared" si="23"/>
        <v>0.44444444444444442</v>
      </c>
      <c r="U97" s="292">
        <v>0</v>
      </c>
      <c r="V97" s="292">
        <v>2</v>
      </c>
      <c r="W97" s="292">
        <v>3</v>
      </c>
      <c r="X97" s="292">
        <v>2</v>
      </c>
      <c r="Y97" s="292">
        <v>2</v>
      </c>
      <c r="Z97" s="292">
        <v>0</v>
      </c>
      <c r="AA97" s="292">
        <v>0</v>
      </c>
      <c r="AB97" s="292">
        <v>9</v>
      </c>
      <c r="AC97" s="292">
        <f t="shared" si="24"/>
        <v>2</v>
      </c>
      <c r="AD97" s="292">
        <f t="shared" si="25"/>
        <v>3</v>
      </c>
      <c r="AE97" s="292">
        <f t="shared" si="26"/>
        <v>2</v>
      </c>
      <c r="AF97" s="292">
        <f t="shared" si="27"/>
        <v>2</v>
      </c>
      <c r="AG97" s="292">
        <f t="shared" si="28"/>
        <v>0</v>
      </c>
    </row>
    <row r="98" spans="1:33" x14ac:dyDescent="0.3">
      <c r="A98" s="306" t="s">
        <v>241</v>
      </c>
      <c r="B98" s="307" t="s">
        <v>242</v>
      </c>
      <c r="C98" s="313" t="s">
        <v>255</v>
      </c>
      <c r="D98" s="309">
        <v>55</v>
      </c>
      <c r="E98" s="309">
        <v>48</v>
      </c>
      <c r="F98" s="309">
        <v>2</v>
      </c>
      <c r="G98" s="309">
        <v>0</v>
      </c>
      <c r="H98" s="309">
        <v>0</v>
      </c>
      <c r="I98" s="309">
        <v>0</v>
      </c>
      <c r="J98" s="309">
        <v>3</v>
      </c>
      <c r="K98" s="309">
        <v>2</v>
      </c>
      <c r="L98" s="309">
        <v>0</v>
      </c>
      <c r="M98" s="309">
        <v>0</v>
      </c>
      <c r="N98" s="310"/>
      <c r="O98" s="310">
        <f t="shared" si="20"/>
        <v>5</v>
      </c>
      <c r="P98" s="310">
        <f t="shared" si="21"/>
        <v>0</v>
      </c>
      <c r="Q98" s="310"/>
      <c r="R98" s="311">
        <f t="shared" si="22"/>
        <v>0.87272727272727268</v>
      </c>
      <c r="S98" s="311">
        <f t="shared" si="23"/>
        <v>3.6363636363636362E-2</v>
      </c>
      <c r="U98" s="292">
        <v>6</v>
      </c>
      <c r="V98" s="292">
        <v>14</v>
      </c>
      <c r="W98" s="292">
        <v>12</v>
      </c>
      <c r="X98" s="292">
        <v>10</v>
      </c>
      <c r="Y98" s="292">
        <v>13</v>
      </c>
      <c r="Z98" s="292">
        <v>0</v>
      </c>
      <c r="AA98" s="292">
        <v>0</v>
      </c>
      <c r="AB98" s="292">
        <v>55</v>
      </c>
      <c r="AC98" s="292">
        <f t="shared" si="24"/>
        <v>20</v>
      </c>
      <c r="AD98" s="292">
        <f t="shared" si="25"/>
        <v>12</v>
      </c>
      <c r="AE98" s="292">
        <f t="shared" si="26"/>
        <v>10</v>
      </c>
      <c r="AF98" s="292">
        <f t="shared" si="27"/>
        <v>13</v>
      </c>
      <c r="AG98" s="292">
        <f t="shared" si="28"/>
        <v>0</v>
      </c>
    </row>
    <row r="99" spans="1:33" x14ac:dyDescent="0.3">
      <c r="A99" s="306" t="s">
        <v>243</v>
      </c>
      <c r="B99" s="307" t="s">
        <v>244</v>
      </c>
      <c r="C99" s="313" t="s">
        <v>255</v>
      </c>
      <c r="D99" s="309">
        <v>34</v>
      </c>
      <c r="E99" s="309">
        <v>24</v>
      </c>
      <c r="F99" s="309">
        <v>2</v>
      </c>
      <c r="G99" s="309">
        <v>0</v>
      </c>
      <c r="H99" s="309">
        <v>0</v>
      </c>
      <c r="I99" s="309">
        <v>0</v>
      </c>
      <c r="J99" s="309">
        <v>5</v>
      </c>
      <c r="K99" s="309">
        <v>3</v>
      </c>
      <c r="L99" s="309">
        <v>0</v>
      </c>
      <c r="M99" s="309">
        <v>0</v>
      </c>
      <c r="N99" s="310"/>
      <c r="O99" s="310">
        <f t="shared" si="20"/>
        <v>8</v>
      </c>
      <c r="P99" s="310">
        <f t="shared" si="21"/>
        <v>0</v>
      </c>
      <c r="Q99" s="310"/>
      <c r="R99" s="311">
        <f t="shared" si="22"/>
        <v>0.70588235294117652</v>
      </c>
      <c r="S99" s="311">
        <f t="shared" si="23"/>
        <v>5.8823529411764705E-2</v>
      </c>
      <c r="U99" s="292">
        <v>3</v>
      </c>
      <c r="V99" s="292">
        <v>11</v>
      </c>
      <c r="W99" s="292">
        <v>5</v>
      </c>
      <c r="X99" s="292">
        <v>7</v>
      </c>
      <c r="Y99" s="292">
        <v>8</v>
      </c>
      <c r="Z99" s="292">
        <v>0</v>
      </c>
      <c r="AA99" s="292">
        <v>0</v>
      </c>
      <c r="AB99" s="292">
        <v>34</v>
      </c>
      <c r="AC99" s="292">
        <f t="shared" si="24"/>
        <v>14</v>
      </c>
      <c r="AD99" s="292">
        <f t="shared" si="25"/>
        <v>5</v>
      </c>
      <c r="AE99" s="292">
        <f t="shared" si="26"/>
        <v>7</v>
      </c>
      <c r="AF99" s="292">
        <f t="shared" si="27"/>
        <v>8</v>
      </c>
      <c r="AG99" s="292">
        <f t="shared" si="28"/>
        <v>0</v>
      </c>
    </row>
    <row r="100" spans="1:33" x14ac:dyDescent="0.3">
      <c r="A100" s="626" t="s">
        <v>245</v>
      </c>
      <c r="B100" s="627" t="s">
        <v>246</v>
      </c>
      <c r="C100" s="313" t="s">
        <v>251</v>
      </c>
      <c r="D100" s="628">
        <v>7</v>
      </c>
      <c r="E100" s="628">
        <v>1</v>
      </c>
      <c r="F100" s="628">
        <v>2</v>
      </c>
      <c r="G100" s="628">
        <v>0</v>
      </c>
      <c r="H100" s="628">
        <v>0</v>
      </c>
      <c r="I100" s="628">
        <v>0</v>
      </c>
      <c r="J100" s="628">
        <v>2</v>
      </c>
      <c r="K100" s="628">
        <v>1</v>
      </c>
      <c r="L100" s="628">
        <v>1</v>
      </c>
      <c r="M100" s="628">
        <v>0</v>
      </c>
      <c r="N100" s="629"/>
      <c r="O100" s="629">
        <f t="shared" si="20"/>
        <v>3</v>
      </c>
      <c r="P100" s="629">
        <f t="shared" si="21"/>
        <v>1</v>
      </c>
      <c r="Q100" s="629"/>
      <c r="R100" s="311">
        <f t="shared" si="22"/>
        <v>0.14285714285714285</v>
      </c>
      <c r="S100" s="311">
        <f t="shared" si="23"/>
        <v>0.2857142857142857</v>
      </c>
      <c r="U100" s="292">
        <v>0</v>
      </c>
      <c r="V100" s="292">
        <v>4</v>
      </c>
      <c r="W100" s="292">
        <v>0</v>
      </c>
      <c r="X100" s="292">
        <v>2</v>
      </c>
      <c r="Y100" s="292">
        <v>1</v>
      </c>
      <c r="Z100" s="292">
        <v>0</v>
      </c>
      <c r="AA100" s="292">
        <v>0</v>
      </c>
      <c r="AB100" s="292">
        <v>7</v>
      </c>
      <c r="AC100" s="292">
        <f t="shared" si="24"/>
        <v>4</v>
      </c>
      <c r="AD100" s="292">
        <f t="shared" si="25"/>
        <v>0</v>
      </c>
      <c r="AE100" s="292">
        <f t="shared" si="26"/>
        <v>2</v>
      </c>
      <c r="AF100" s="292">
        <f t="shared" si="27"/>
        <v>1</v>
      </c>
      <c r="AG100" s="292">
        <f t="shared" si="28"/>
        <v>0</v>
      </c>
    </row>
    <row r="101" spans="1:33" x14ac:dyDescent="0.3">
      <c r="A101" s="306" t="s">
        <v>13</v>
      </c>
      <c r="B101" s="307" t="s">
        <v>14</v>
      </c>
      <c r="C101" s="313" t="s">
        <v>254</v>
      </c>
      <c r="D101" s="309">
        <v>91</v>
      </c>
      <c r="E101" s="309">
        <v>7</v>
      </c>
      <c r="F101" s="309">
        <v>39</v>
      </c>
      <c r="G101" s="309">
        <v>0</v>
      </c>
      <c r="H101" s="309">
        <v>0</v>
      </c>
      <c r="I101" s="309">
        <v>0</v>
      </c>
      <c r="J101" s="309">
        <v>11</v>
      </c>
      <c r="K101" s="309">
        <v>34</v>
      </c>
      <c r="L101" s="309">
        <v>0</v>
      </c>
      <c r="M101" s="309">
        <v>0</v>
      </c>
      <c r="N101" s="310"/>
      <c r="O101" s="310">
        <f t="shared" si="20"/>
        <v>45</v>
      </c>
      <c r="P101" s="310">
        <f t="shared" si="21"/>
        <v>0</v>
      </c>
      <c r="Q101" s="310"/>
      <c r="R101" s="311">
        <f t="shared" si="22"/>
        <v>7.6923076923076927E-2</v>
      </c>
      <c r="S101" s="311">
        <f t="shared" si="23"/>
        <v>0.42857142857142855</v>
      </c>
      <c r="U101" s="292">
        <v>7</v>
      </c>
      <c r="V101" s="292">
        <v>26</v>
      </c>
      <c r="W101" s="292">
        <v>19</v>
      </c>
      <c r="X101" s="292">
        <v>19</v>
      </c>
      <c r="Y101" s="292">
        <v>20</v>
      </c>
      <c r="Z101" s="292">
        <v>0</v>
      </c>
      <c r="AA101" s="292">
        <v>0</v>
      </c>
      <c r="AB101" s="292">
        <v>91</v>
      </c>
      <c r="AC101" s="292">
        <f t="shared" si="24"/>
        <v>33</v>
      </c>
      <c r="AD101" s="292">
        <f t="shared" si="25"/>
        <v>19</v>
      </c>
      <c r="AE101" s="292">
        <f t="shared" si="26"/>
        <v>19</v>
      </c>
      <c r="AF101" s="292">
        <f t="shared" si="27"/>
        <v>20</v>
      </c>
      <c r="AG101" s="292">
        <f t="shared" si="28"/>
        <v>0</v>
      </c>
    </row>
    <row r="102" spans="1:33" x14ac:dyDescent="0.3">
      <c r="A102" s="306" t="s">
        <v>33</v>
      </c>
      <c r="B102" s="307" t="s">
        <v>34</v>
      </c>
      <c r="C102" s="313" t="s">
        <v>255</v>
      </c>
      <c r="D102" s="309">
        <v>57</v>
      </c>
      <c r="E102" s="309">
        <v>40</v>
      </c>
      <c r="F102" s="309">
        <v>1</v>
      </c>
      <c r="G102" s="309">
        <v>0</v>
      </c>
      <c r="H102" s="309">
        <v>0</v>
      </c>
      <c r="I102" s="309">
        <v>1</v>
      </c>
      <c r="J102" s="309">
        <v>8</v>
      </c>
      <c r="K102" s="309">
        <v>7</v>
      </c>
      <c r="L102" s="309">
        <v>0</v>
      </c>
      <c r="M102" s="309">
        <v>0</v>
      </c>
      <c r="N102" s="310"/>
      <c r="O102" s="310">
        <f t="shared" ref="O102:O125" si="29">SUM(G102:K102)</f>
        <v>16</v>
      </c>
      <c r="P102" s="310">
        <f t="shared" ref="P102:P125" si="30">L102+M102</f>
        <v>0</v>
      </c>
      <c r="Q102" s="310"/>
      <c r="R102" s="311">
        <f t="shared" ref="R102:R125" si="31">IF(D102=0,"N/A",+E102/D102)</f>
        <v>0.70175438596491224</v>
      </c>
      <c r="S102" s="311">
        <f t="shared" ref="S102:S125" si="32">IF(D102=0,"N/A",+F102/D102)</f>
        <v>1.7543859649122806E-2</v>
      </c>
      <c r="U102" s="292">
        <v>2</v>
      </c>
      <c r="V102" s="292">
        <v>12</v>
      </c>
      <c r="W102" s="292">
        <v>21</v>
      </c>
      <c r="X102" s="292">
        <v>18</v>
      </c>
      <c r="Y102" s="292">
        <v>4</v>
      </c>
      <c r="Z102" s="292">
        <v>0</v>
      </c>
      <c r="AA102" s="292">
        <v>0</v>
      </c>
      <c r="AB102" s="292">
        <v>57</v>
      </c>
      <c r="AC102" s="292">
        <f t="shared" ref="AC102:AC125" si="33">U102+V102</f>
        <v>14</v>
      </c>
      <c r="AD102" s="292">
        <f t="shared" ref="AD102:AD125" si="34">W102</f>
        <v>21</v>
      </c>
      <c r="AE102" s="292">
        <f t="shared" ref="AE102:AE125" si="35">X102</f>
        <v>18</v>
      </c>
      <c r="AF102" s="292">
        <f t="shared" ref="AF102:AF125" si="36">Y102</f>
        <v>4</v>
      </c>
      <c r="AG102" s="292">
        <f t="shared" ref="AG102:AG125" si="37">Z102</f>
        <v>0</v>
      </c>
    </row>
    <row r="103" spans="1:33" x14ac:dyDescent="0.3">
      <c r="A103" s="306" t="s">
        <v>51</v>
      </c>
      <c r="B103" s="307" t="s">
        <v>52</v>
      </c>
      <c r="C103" s="313" t="s">
        <v>252</v>
      </c>
      <c r="D103" s="309">
        <v>80</v>
      </c>
      <c r="E103" s="309">
        <v>13</v>
      </c>
      <c r="F103" s="309">
        <v>44</v>
      </c>
      <c r="G103" s="309">
        <v>3</v>
      </c>
      <c r="H103" s="309">
        <v>0</v>
      </c>
      <c r="I103" s="309">
        <v>0</v>
      </c>
      <c r="J103" s="309">
        <v>14</v>
      </c>
      <c r="K103" s="309">
        <v>5</v>
      </c>
      <c r="L103" s="309">
        <v>1</v>
      </c>
      <c r="M103" s="309">
        <v>0</v>
      </c>
      <c r="N103" s="310"/>
      <c r="O103" s="310">
        <f t="shared" si="29"/>
        <v>22</v>
      </c>
      <c r="P103" s="310">
        <f t="shared" si="30"/>
        <v>1</v>
      </c>
      <c r="Q103" s="310"/>
      <c r="R103" s="311">
        <f t="shared" si="31"/>
        <v>0.16250000000000001</v>
      </c>
      <c r="S103" s="311">
        <f t="shared" si="32"/>
        <v>0.55000000000000004</v>
      </c>
      <c r="U103" s="292">
        <v>4</v>
      </c>
      <c r="V103" s="292">
        <v>35</v>
      </c>
      <c r="W103" s="292">
        <v>9</v>
      </c>
      <c r="X103" s="292">
        <v>19</v>
      </c>
      <c r="Y103" s="292">
        <v>13</v>
      </c>
      <c r="Z103" s="292">
        <v>0</v>
      </c>
      <c r="AA103" s="292">
        <v>0</v>
      </c>
      <c r="AB103" s="292">
        <v>80</v>
      </c>
      <c r="AC103" s="292">
        <f t="shared" si="33"/>
        <v>39</v>
      </c>
      <c r="AD103" s="292">
        <f t="shared" si="34"/>
        <v>9</v>
      </c>
      <c r="AE103" s="292">
        <f t="shared" si="35"/>
        <v>19</v>
      </c>
      <c r="AF103" s="292">
        <f t="shared" si="36"/>
        <v>13</v>
      </c>
      <c r="AG103" s="292">
        <f t="shared" si="37"/>
        <v>0</v>
      </c>
    </row>
    <row r="104" spans="1:33" x14ac:dyDescent="0.3">
      <c r="A104" s="306" t="s">
        <v>53</v>
      </c>
      <c r="B104" s="307" t="s">
        <v>54</v>
      </c>
      <c r="C104" s="313" t="s">
        <v>251</v>
      </c>
      <c r="D104" s="309">
        <v>59</v>
      </c>
      <c r="E104" s="309">
        <v>23</v>
      </c>
      <c r="F104" s="309">
        <v>25</v>
      </c>
      <c r="G104" s="309">
        <v>0</v>
      </c>
      <c r="H104" s="309">
        <v>0</v>
      </c>
      <c r="I104" s="309">
        <v>0</v>
      </c>
      <c r="J104" s="309">
        <v>8</v>
      </c>
      <c r="K104" s="309">
        <v>3</v>
      </c>
      <c r="L104" s="309">
        <v>0</v>
      </c>
      <c r="M104" s="309">
        <v>0</v>
      </c>
      <c r="N104" s="310"/>
      <c r="O104" s="310">
        <f t="shared" si="29"/>
        <v>11</v>
      </c>
      <c r="P104" s="310">
        <f t="shared" si="30"/>
        <v>0</v>
      </c>
      <c r="Q104" s="310"/>
      <c r="R104" s="311">
        <f t="shared" si="31"/>
        <v>0.38983050847457629</v>
      </c>
      <c r="S104" s="311">
        <f t="shared" si="32"/>
        <v>0.42372881355932202</v>
      </c>
      <c r="U104" s="292">
        <v>2</v>
      </c>
      <c r="V104" s="292">
        <v>22</v>
      </c>
      <c r="W104" s="292">
        <v>12</v>
      </c>
      <c r="X104" s="292">
        <v>13</v>
      </c>
      <c r="Y104" s="292">
        <v>10</v>
      </c>
      <c r="Z104" s="292">
        <v>0</v>
      </c>
      <c r="AA104" s="292">
        <v>0</v>
      </c>
      <c r="AB104" s="292">
        <v>59</v>
      </c>
      <c r="AC104" s="292">
        <f t="shared" si="33"/>
        <v>24</v>
      </c>
      <c r="AD104" s="292">
        <f t="shared" si="34"/>
        <v>12</v>
      </c>
      <c r="AE104" s="292">
        <f t="shared" si="35"/>
        <v>13</v>
      </c>
      <c r="AF104" s="292">
        <f t="shared" si="36"/>
        <v>10</v>
      </c>
      <c r="AG104" s="292">
        <f t="shared" si="37"/>
        <v>0</v>
      </c>
    </row>
    <row r="105" spans="1:33" x14ac:dyDescent="0.3">
      <c r="A105" s="306" t="s">
        <v>65</v>
      </c>
      <c r="B105" s="307" t="s">
        <v>66</v>
      </c>
      <c r="C105" s="313" t="s">
        <v>252</v>
      </c>
      <c r="D105" s="309">
        <v>31</v>
      </c>
      <c r="E105" s="309">
        <v>7</v>
      </c>
      <c r="F105" s="309">
        <v>19</v>
      </c>
      <c r="G105" s="309">
        <v>0</v>
      </c>
      <c r="H105" s="309">
        <v>0</v>
      </c>
      <c r="I105" s="309">
        <v>0</v>
      </c>
      <c r="J105" s="309">
        <v>5</v>
      </c>
      <c r="K105" s="309">
        <v>0</v>
      </c>
      <c r="L105" s="309">
        <v>0</v>
      </c>
      <c r="M105" s="309">
        <v>0</v>
      </c>
      <c r="N105" s="310"/>
      <c r="O105" s="310">
        <f t="shared" si="29"/>
        <v>5</v>
      </c>
      <c r="P105" s="310">
        <f t="shared" si="30"/>
        <v>0</v>
      </c>
      <c r="Q105" s="310"/>
      <c r="R105" s="311">
        <f t="shared" si="31"/>
        <v>0.22580645161290322</v>
      </c>
      <c r="S105" s="311">
        <f t="shared" si="32"/>
        <v>0.61290322580645162</v>
      </c>
      <c r="U105" s="292">
        <v>0</v>
      </c>
      <c r="V105" s="292">
        <v>6</v>
      </c>
      <c r="W105" s="292">
        <v>8</v>
      </c>
      <c r="X105" s="292">
        <v>11</v>
      </c>
      <c r="Y105" s="292">
        <v>6</v>
      </c>
      <c r="Z105" s="292">
        <v>0</v>
      </c>
      <c r="AA105" s="292">
        <v>0</v>
      </c>
      <c r="AB105" s="292">
        <v>31</v>
      </c>
      <c r="AC105" s="292">
        <f t="shared" si="33"/>
        <v>6</v>
      </c>
      <c r="AD105" s="292">
        <f t="shared" si="34"/>
        <v>8</v>
      </c>
      <c r="AE105" s="292">
        <f t="shared" si="35"/>
        <v>11</v>
      </c>
      <c r="AF105" s="292">
        <f t="shared" si="36"/>
        <v>6</v>
      </c>
      <c r="AG105" s="292">
        <f t="shared" si="37"/>
        <v>0</v>
      </c>
    </row>
    <row r="106" spans="1:33" x14ac:dyDescent="0.3">
      <c r="A106" s="306" t="s">
        <v>81</v>
      </c>
      <c r="B106" s="307" t="s">
        <v>82</v>
      </c>
      <c r="C106" s="313" t="s">
        <v>251</v>
      </c>
      <c r="D106" s="309">
        <v>9</v>
      </c>
      <c r="E106" s="309">
        <v>1</v>
      </c>
      <c r="F106" s="309">
        <v>2</v>
      </c>
      <c r="G106" s="309">
        <v>0</v>
      </c>
      <c r="H106" s="309">
        <v>3</v>
      </c>
      <c r="I106" s="309">
        <v>0</v>
      </c>
      <c r="J106" s="309">
        <v>3</v>
      </c>
      <c r="K106" s="309">
        <v>0</v>
      </c>
      <c r="L106" s="309">
        <v>0</v>
      </c>
      <c r="M106" s="309">
        <v>0</v>
      </c>
      <c r="N106" s="310"/>
      <c r="O106" s="310">
        <f t="shared" si="29"/>
        <v>6</v>
      </c>
      <c r="P106" s="310">
        <f t="shared" si="30"/>
        <v>0</v>
      </c>
      <c r="Q106" s="310"/>
      <c r="R106" s="311">
        <f t="shared" si="31"/>
        <v>0.1111111111111111</v>
      </c>
      <c r="S106" s="311">
        <f t="shared" si="32"/>
        <v>0.22222222222222221</v>
      </c>
      <c r="U106" s="292">
        <v>1</v>
      </c>
      <c r="V106" s="292">
        <v>3</v>
      </c>
      <c r="W106" s="292">
        <v>2</v>
      </c>
      <c r="X106" s="292">
        <v>2</v>
      </c>
      <c r="Y106" s="292">
        <v>1</v>
      </c>
      <c r="Z106" s="292">
        <v>0</v>
      </c>
      <c r="AA106" s="292">
        <v>0</v>
      </c>
      <c r="AB106" s="292">
        <v>9</v>
      </c>
      <c r="AC106" s="292">
        <f t="shared" si="33"/>
        <v>4</v>
      </c>
      <c r="AD106" s="292">
        <f t="shared" si="34"/>
        <v>2</v>
      </c>
      <c r="AE106" s="292">
        <f t="shared" si="35"/>
        <v>2</v>
      </c>
      <c r="AF106" s="292">
        <f t="shared" si="36"/>
        <v>1</v>
      </c>
      <c r="AG106" s="292">
        <f t="shared" si="37"/>
        <v>0</v>
      </c>
    </row>
    <row r="107" spans="1:33" x14ac:dyDescent="0.3">
      <c r="A107" s="306" t="s">
        <v>87</v>
      </c>
      <c r="B107" s="307" t="s">
        <v>88</v>
      </c>
      <c r="C107" s="313" t="s">
        <v>254</v>
      </c>
      <c r="D107" s="309">
        <v>26</v>
      </c>
      <c r="E107" s="309">
        <v>7</v>
      </c>
      <c r="F107" s="309">
        <v>6</v>
      </c>
      <c r="G107" s="309">
        <v>2</v>
      </c>
      <c r="H107" s="309">
        <v>0</v>
      </c>
      <c r="I107" s="309">
        <v>0</v>
      </c>
      <c r="J107" s="309">
        <v>7</v>
      </c>
      <c r="K107" s="309">
        <v>3</v>
      </c>
      <c r="L107" s="309">
        <v>1</v>
      </c>
      <c r="M107" s="309">
        <v>0</v>
      </c>
      <c r="N107" s="310"/>
      <c r="O107" s="310">
        <f t="shared" si="29"/>
        <v>12</v>
      </c>
      <c r="P107" s="310">
        <f t="shared" si="30"/>
        <v>1</v>
      </c>
      <c r="Q107" s="310"/>
      <c r="R107" s="311">
        <f t="shared" si="31"/>
        <v>0.26923076923076922</v>
      </c>
      <c r="S107" s="311">
        <f t="shared" si="32"/>
        <v>0.23076923076923078</v>
      </c>
      <c r="U107" s="292">
        <v>1</v>
      </c>
      <c r="V107" s="292">
        <v>7</v>
      </c>
      <c r="W107" s="292">
        <v>5</v>
      </c>
      <c r="X107" s="292">
        <v>9</v>
      </c>
      <c r="Y107" s="292">
        <v>4</v>
      </c>
      <c r="Z107" s="292">
        <v>0</v>
      </c>
      <c r="AA107" s="292">
        <v>0</v>
      </c>
      <c r="AB107" s="292">
        <v>26</v>
      </c>
      <c r="AC107" s="292">
        <f t="shared" si="33"/>
        <v>8</v>
      </c>
      <c r="AD107" s="292">
        <f t="shared" si="34"/>
        <v>5</v>
      </c>
      <c r="AE107" s="292">
        <f t="shared" si="35"/>
        <v>9</v>
      </c>
      <c r="AF107" s="292">
        <f t="shared" si="36"/>
        <v>4</v>
      </c>
      <c r="AG107" s="292">
        <f t="shared" si="37"/>
        <v>0</v>
      </c>
    </row>
    <row r="108" spans="1:33" x14ac:dyDescent="0.3">
      <c r="A108" s="312" t="s">
        <v>89</v>
      </c>
      <c r="B108" s="307" t="s">
        <v>90</v>
      </c>
      <c r="C108" s="313" t="s">
        <v>255</v>
      </c>
      <c r="D108" s="309">
        <v>50</v>
      </c>
      <c r="E108" s="309">
        <v>27</v>
      </c>
      <c r="F108" s="309">
        <v>4</v>
      </c>
      <c r="G108" s="309">
        <v>0</v>
      </c>
      <c r="H108" s="309">
        <v>0</v>
      </c>
      <c r="I108" s="309">
        <v>0</v>
      </c>
      <c r="J108" s="309">
        <v>1</v>
      </c>
      <c r="K108" s="309">
        <v>18</v>
      </c>
      <c r="L108" s="309">
        <v>0</v>
      </c>
      <c r="M108" s="309">
        <v>0</v>
      </c>
      <c r="N108" s="310"/>
      <c r="O108" s="310">
        <f t="shared" si="29"/>
        <v>19</v>
      </c>
      <c r="P108" s="310">
        <f t="shared" si="30"/>
        <v>0</v>
      </c>
      <c r="Q108" s="310"/>
      <c r="R108" s="311">
        <f t="shared" si="31"/>
        <v>0.54</v>
      </c>
      <c r="S108" s="311">
        <f t="shared" si="32"/>
        <v>0.08</v>
      </c>
      <c r="U108" s="292">
        <v>1</v>
      </c>
      <c r="V108" s="292">
        <v>12</v>
      </c>
      <c r="W108" s="292">
        <v>15</v>
      </c>
      <c r="X108" s="292">
        <v>13</v>
      </c>
      <c r="Y108" s="292">
        <v>9</v>
      </c>
      <c r="Z108" s="292">
        <v>0</v>
      </c>
      <c r="AA108" s="292">
        <v>0</v>
      </c>
      <c r="AB108" s="292">
        <v>50</v>
      </c>
      <c r="AC108" s="292">
        <f t="shared" si="33"/>
        <v>13</v>
      </c>
      <c r="AD108" s="292">
        <f t="shared" si="34"/>
        <v>15</v>
      </c>
      <c r="AE108" s="292">
        <f t="shared" si="35"/>
        <v>13</v>
      </c>
      <c r="AF108" s="292">
        <f t="shared" si="36"/>
        <v>9</v>
      </c>
      <c r="AG108" s="292">
        <f t="shared" si="37"/>
        <v>0</v>
      </c>
    </row>
    <row r="109" spans="1:33" x14ac:dyDescent="0.3">
      <c r="A109" s="306" t="s">
        <v>105</v>
      </c>
      <c r="B109" s="307" t="s">
        <v>106</v>
      </c>
      <c r="C109" s="313" t="s">
        <v>251</v>
      </c>
      <c r="D109" s="309">
        <v>59</v>
      </c>
      <c r="E109" s="309">
        <v>14</v>
      </c>
      <c r="F109" s="309">
        <v>20</v>
      </c>
      <c r="G109" s="309">
        <v>0</v>
      </c>
      <c r="H109" s="309">
        <v>0</v>
      </c>
      <c r="I109" s="309">
        <v>0</v>
      </c>
      <c r="J109" s="309">
        <v>15</v>
      </c>
      <c r="K109" s="309">
        <v>8</v>
      </c>
      <c r="L109" s="309">
        <v>1</v>
      </c>
      <c r="M109" s="309">
        <v>1</v>
      </c>
      <c r="N109" s="310"/>
      <c r="O109" s="310">
        <f t="shared" si="29"/>
        <v>23</v>
      </c>
      <c r="P109" s="310">
        <f t="shared" si="30"/>
        <v>2</v>
      </c>
      <c r="Q109" s="310"/>
      <c r="R109" s="311">
        <f t="shared" si="31"/>
        <v>0.23728813559322035</v>
      </c>
      <c r="S109" s="311">
        <f t="shared" si="32"/>
        <v>0.33898305084745761</v>
      </c>
      <c r="U109" s="292">
        <v>6</v>
      </c>
      <c r="V109" s="292">
        <v>15</v>
      </c>
      <c r="W109" s="292">
        <v>14</v>
      </c>
      <c r="X109" s="292">
        <v>13</v>
      </c>
      <c r="Y109" s="292">
        <v>11</v>
      </c>
      <c r="Z109" s="292">
        <v>0</v>
      </c>
      <c r="AA109" s="292">
        <v>0</v>
      </c>
      <c r="AB109" s="292">
        <v>59</v>
      </c>
      <c r="AC109" s="292">
        <f t="shared" si="33"/>
        <v>21</v>
      </c>
      <c r="AD109" s="292">
        <f t="shared" si="34"/>
        <v>14</v>
      </c>
      <c r="AE109" s="292">
        <f t="shared" si="35"/>
        <v>13</v>
      </c>
      <c r="AF109" s="292">
        <f t="shared" si="36"/>
        <v>11</v>
      </c>
      <c r="AG109" s="292">
        <f t="shared" si="37"/>
        <v>0</v>
      </c>
    </row>
    <row r="110" spans="1:33" x14ac:dyDescent="0.3">
      <c r="A110" s="306" t="s">
        <v>115</v>
      </c>
      <c r="B110" s="307" t="s">
        <v>116</v>
      </c>
      <c r="C110" s="313" t="s">
        <v>253</v>
      </c>
      <c r="D110" s="309">
        <v>24</v>
      </c>
      <c r="E110" s="309">
        <v>6</v>
      </c>
      <c r="F110" s="309">
        <v>12</v>
      </c>
      <c r="G110" s="309">
        <v>0</v>
      </c>
      <c r="H110" s="309">
        <v>0</v>
      </c>
      <c r="I110" s="309">
        <v>0</v>
      </c>
      <c r="J110" s="309">
        <v>2</v>
      </c>
      <c r="K110" s="309">
        <v>4</v>
      </c>
      <c r="L110" s="309">
        <v>0</v>
      </c>
      <c r="M110" s="309">
        <v>0</v>
      </c>
      <c r="N110" s="310"/>
      <c r="O110" s="310">
        <f t="shared" si="29"/>
        <v>6</v>
      </c>
      <c r="P110" s="310">
        <f t="shared" si="30"/>
        <v>0</v>
      </c>
      <c r="Q110" s="310"/>
      <c r="R110" s="311">
        <f t="shared" si="31"/>
        <v>0.25</v>
      </c>
      <c r="S110" s="311">
        <f t="shared" si="32"/>
        <v>0.5</v>
      </c>
      <c r="U110" s="292">
        <v>1</v>
      </c>
      <c r="V110" s="292">
        <v>10</v>
      </c>
      <c r="W110" s="292">
        <v>7</v>
      </c>
      <c r="X110" s="292">
        <v>3</v>
      </c>
      <c r="Y110" s="292">
        <v>3</v>
      </c>
      <c r="Z110" s="292">
        <v>0</v>
      </c>
      <c r="AA110" s="292">
        <v>0</v>
      </c>
      <c r="AB110" s="292">
        <v>24</v>
      </c>
      <c r="AC110" s="292">
        <f t="shared" si="33"/>
        <v>11</v>
      </c>
      <c r="AD110" s="292">
        <f t="shared" si="34"/>
        <v>7</v>
      </c>
      <c r="AE110" s="292">
        <f t="shared" si="35"/>
        <v>3</v>
      </c>
      <c r="AF110" s="292">
        <f t="shared" si="36"/>
        <v>3</v>
      </c>
      <c r="AG110" s="292">
        <f t="shared" si="37"/>
        <v>0</v>
      </c>
    </row>
    <row r="111" spans="1:33" x14ac:dyDescent="0.3">
      <c r="A111" s="306" t="s">
        <v>137</v>
      </c>
      <c r="B111" s="307" t="s">
        <v>138</v>
      </c>
      <c r="C111" s="313" t="s">
        <v>252</v>
      </c>
      <c r="D111" s="309">
        <v>165</v>
      </c>
      <c r="E111" s="309">
        <v>70</v>
      </c>
      <c r="F111" s="309">
        <v>65</v>
      </c>
      <c r="G111" s="309">
        <v>2</v>
      </c>
      <c r="H111" s="309">
        <v>0</v>
      </c>
      <c r="I111" s="309">
        <v>0</v>
      </c>
      <c r="J111" s="309">
        <v>23</v>
      </c>
      <c r="K111" s="309">
        <v>4</v>
      </c>
      <c r="L111" s="309">
        <v>1</v>
      </c>
      <c r="M111" s="309">
        <v>0</v>
      </c>
      <c r="N111" s="310"/>
      <c r="O111" s="310">
        <f t="shared" si="29"/>
        <v>29</v>
      </c>
      <c r="P111" s="310">
        <f t="shared" si="30"/>
        <v>1</v>
      </c>
      <c r="Q111" s="310"/>
      <c r="R111" s="311">
        <f t="shared" si="31"/>
        <v>0.42424242424242425</v>
      </c>
      <c r="S111" s="311">
        <f t="shared" si="32"/>
        <v>0.39393939393939392</v>
      </c>
      <c r="U111" s="292">
        <v>9</v>
      </c>
      <c r="V111" s="292">
        <v>66</v>
      </c>
      <c r="W111" s="292">
        <v>34</v>
      </c>
      <c r="X111" s="292">
        <v>33</v>
      </c>
      <c r="Y111" s="292">
        <v>23</v>
      </c>
      <c r="Z111" s="292">
        <v>0</v>
      </c>
      <c r="AA111" s="292">
        <v>0</v>
      </c>
      <c r="AB111" s="292">
        <v>165</v>
      </c>
      <c r="AC111" s="292">
        <f t="shared" si="33"/>
        <v>75</v>
      </c>
      <c r="AD111" s="292">
        <f t="shared" si="34"/>
        <v>34</v>
      </c>
      <c r="AE111" s="292">
        <f t="shared" si="35"/>
        <v>33</v>
      </c>
      <c r="AF111" s="292">
        <f t="shared" si="36"/>
        <v>23</v>
      </c>
      <c r="AG111" s="292">
        <f t="shared" si="37"/>
        <v>0</v>
      </c>
    </row>
    <row r="112" spans="1:33" x14ac:dyDescent="0.3">
      <c r="A112" s="306" t="s">
        <v>141</v>
      </c>
      <c r="B112" s="307" t="s">
        <v>142</v>
      </c>
      <c r="C112" s="313" t="s">
        <v>254</v>
      </c>
      <c r="D112" s="309">
        <v>13</v>
      </c>
      <c r="E112" s="309">
        <v>2</v>
      </c>
      <c r="F112" s="309">
        <v>1</v>
      </c>
      <c r="G112" s="309">
        <v>0</v>
      </c>
      <c r="H112" s="309">
        <v>0</v>
      </c>
      <c r="I112" s="309">
        <v>0</v>
      </c>
      <c r="J112" s="309">
        <v>1</v>
      </c>
      <c r="K112" s="309">
        <v>9</v>
      </c>
      <c r="L112" s="309">
        <v>0</v>
      </c>
      <c r="M112" s="309">
        <v>0</v>
      </c>
      <c r="N112" s="310"/>
      <c r="O112" s="310">
        <f t="shared" si="29"/>
        <v>10</v>
      </c>
      <c r="P112" s="310">
        <f t="shared" si="30"/>
        <v>0</v>
      </c>
      <c r="Q112" s="310"/>
      <c r="R112" s="311">
        <f t="shared" si="31"/>
        <v>0.15384615384615385</v>
      </c>
      <c r="S112" s="311">
        <f t="shared" si="32"/>
        <v>7.6923076923076927E-2</v>
      </c>
      <c r="U112" s="292">
        <v>1</v>
      </c>
      <c r="V112" s="292">
        <v>4</v>
      </c>
      <c r="W112" s="292">
        <v>1</v>
      </c>
      <c r="X112" s="292">
        <v>3</v>
      </c>
      <c r="Y112" s="292">
        <v>4</v>
      </c>
      <c r="Z112" s="292">
        <v>0</v>
      </c>
      <c r="AA112" s="292">
        <v>0</v>
      </c>
      <c r="AB112" s="292">
        <v>13</v>
      </c>
      <c r="AC112" s="292">
        <f t="shared" si="33"/>
        <v>5</v>
      </c>
      <c r="AD112" s="292">
        <f t="shared" si="34"/>
        <v>1</v>
      </c>
      <c r="AE112" s="292">
        <f t="shared" si="35"/>
        <v>3</v>
      </c>
      <c r="AF112" s="292">
        <f t="shared" si="36"/>
        <v>4</v>
      </c>
      <c r="AG112" s="292">
        <f t="shared" si="37"/>
        <v>0</v>
      </c>
    </row>
    <row r="113" spans="1:33" x14ac:dyDescent="0.3">
      <c r="A113" s="312" t="s">
        <v>143</v>
      </c>
      <c r="B113" s="307" t="s">
        <v>144</v>
      </c>
      <c r="C113" s="313" t="s">
        <v>254</v>
      </c>
      <c r="D113" s="309">
        <v>10</v>
      </c>
      <c r="E113" s="309">
        <v>6</v>
      </c>
      <c r="F113" s="309">
        <v>1</v>
      </c>
      <c r="G113" s="309">
        <v>1</v>
      </c>
      <c r="H113" s="309">
        <v>0</v>
      </c>
      <c r="I113" s="309">
        <v>0</v>
      </c>
      <c r="J113" s="309">
        <v>0</v>
      </c>
      <c r="K113" s="309">
        <v>2</v>
      </c>
      <c r="L113" s="309">
        <v>0</v>
      </c>
      <c r="M113" s="309">
        <v>0</v>
      </c>
      <c r="N113" s="310"/>
      <c r="O113" s="310">
        <f t="shared" si="29"/>
        <v>3</v>
      </c>
      <c r="P113" s="310">
        <f t="shared" si="30"/>
        <v>0</v>
      </c>
      <c r="Q113" s="310"/>
      <c r="R113" s="311">
        <f t="shared" si="31"/>
        <v>0.6</v>
      </c>
      <c r="S113" s="311">
        <f t="shared" si="32"/>
        <v>0.1</v>
      </c>
      <c r="U113" s="292">
        <v>2</v>
      </c>
      <c r="V113" s="292">
        <v>1</v>
      </c>
      <c r="W113" s="292">
        <v>3</v>
      </c>
      <c r="X113" s="292">
        <v>2</v>
      </c>
      <c r="Y113" s="292">
        <v>2</v>
      </c>
      <c r="Z113" s="292">
        <v>0</v>
      </c>
      <c r="AA113" s="292">
        <v>0</v>
      </c>
      <c r="AB113" s="292">
        <v>10</v>
      </c>
      <c r="AC113" s="292">
        <f t="shared" si="33"/>
        <v>3</v>
      </c>
      <c r="AD113" s="292">
        <f t="shared" si="34"/>
        <v>3</v>
      </c>
      <c r="AE113" s="292">
        <f t="shared" si="35"/>
        <v>2</v>
      </c>
      <c r="AF113" s="292">
        <f t="shared" si="36"/>
        <v>2</v>
      </c>
      <c r="AG113" s="292">
        <f t="shared" si="37"/>
        <v>0</v>
      </c>
    </row>
    <row r="114" spans="1:33" x14ac:dyDescent="0.3">
      <c r="A114" s="306" t="s">
        <v>157</v>
      </c>
      <c r="B114" s="307" t="s">
        <v>158</v>
      </c>
      <c r="C114" s="313" t="s">
        <v>251</v>
      </c>
      <c r="D114" s="309">
        <v>129</v>
      </c>
      <c r="E114" s="309">
        <v>23</v>
      </c>
      <c r="F114" s="309">
        <v>68</v>
      </c>
      <c r="G114" s="309">
        <v>0</v>
      </c>
      <c r="H114" s="309">
        <v>0</v>
      </c>
      <c r="I114" s="309">
        <v>0</v>
      </c>
      <c r="J114" s="309">
        <v>20</v>
      </c>
      <c r="K114" s="309">
        <v>15</v>
      </c>
      <c r="L114" s="309">
        <v>3</v>
      </c>
      <c r="M114" s="309">
        <v>0</v>
      </c>
      <c r="N114" s="310"/>
      <c r="O114" s="310">
        <f t="shared" si="29"/>
        <v>35</v>
      </c>
      <c r="P114" s="310">
        <f t="shared" si="30"/>
        <v>3</v>
      </c>
      <c r="Q114" s="310"/>
      <c r="R114" s="311">
        <f t="shared" si="31"/>
        <v>0.17829457364341086</v>
      </c>
      <c r="S114" s="311">
        <f t="shared" si="32"/>
        <v>0.52713178294573648</v>
      </c>
      <c r="U114" s="292">
        <v>3</v>
      </c>
      <c r="V114" s="292">
        <v>39</v>
      </c>
      <c r="W114" s="292">
        <v>28</v>
      </c>
      <c r="X114" s="292">
        <v>24</v>
      </c>
      <c r="Y114" s="292">
        <v>35</v>
      </c>
      <c r="Z114" s="292">
        <v>0</v>
      </c>
      <c r="AA114" s="292">
        <v>0</v>
      </c>
      <c r="AB114" s="292">
        <v>129</v>
      </c>
      <c r="AC114" s="292">
        <f t="shared" si="33"/>
        <v>42</v>
      </c>
      <c r="AD114" s="292">
        <f t="shared" si="34"/>
        <v>28</v>
      </c>
      <c r="AE114" s="292">
        <f t="shared" si="35"/>
        <v>24</v>
      </c>
      <c r="AF114" s="292">
        <f t="shared" si="36"/>
        <v>35</v>
      </c>
      <c r="AG114" s="292">
        <f t="shared" si="37"/>
        <v>0</v>
      </c>
    </row>
    <row r="115" spans="1:33" x14ac:dyDescent="0.3">
      <c r="A115" s="306" t="s">
        <v>159</v>
      </c>
      <c r="B115" s="307" t="s">
        <v>160</v>
      </c>
      <c r="C115" s="313" t="s">
        <v>251</v>
      </c>
      <c r="D115" s="309">
        <v>184</v>
      </c>
      <c r="E115" s="309">
        <v>41</v>
      </c>
      <c r="F115" s="309">
        <v>120</v>
      </c>
      <c r="G115" s="309">
        <v>0</v>
      </c>
      <c r="H115" s="309">
        <v>1</v>
      </c>
      <c r="I115" s="309">
        <v>0</v>
      </c>
      <c r="J115" s="309">
        <v>12</v>
      </c>
      <c r="K115" s="309">
        <v>10</v>
      </c>
      <c r="L115" s="309">
        <v>0</v>
      </c>
      <c r="M115" s="309">
        <v>0</v>
      </c>
      <c r="N115" s="310"/>
      <c r="O115" s="310">
        <f t="shared" si="29"/>
        <v>23</v>
      </c>
      <c r="P115" s="310">
        <f t="shared" si="30"/>
        <v>0</v>
      </c>
      <c r="Q115" s="310"/>
      <c r="R115" s="311">
        <f t="shared" si="31"/>
        <v>0.22282608695652173</v>
      </c>
      <c r="S115" s="311">
        <f t="shared" si="32"/>
        <v>0.65217391304347827</v>
      </c>
      <c r="U115" s="292">
        <v>13</v>
      </c>
      <c r="V115" s="292">
        <v>61</v>
      </c>
      <c r="W115" s="292">
        <v>35</v>
      </c>
      <c r="X115" s="292">
        <v>35</v>
      </c>
      <c r="Y115" s="292">
        <v>40</v>
      </c>
      <c r="Z115" s="292">
        <v>0</v>
      </c>
      <c r="AA115" s="292">
        <v>0</v>
      </c>
      <c r="AB115" s="292">
        <v>184</v>
      </c>
      <c r="AC115" s="292">
        <f t="shared" si="33"/>
        <v>74</v>
      </c>
      <c r="AD115" s="292">
        <f t="shared" si="34"/>
        <v>35</v>
      </c>
      <c r="AE115" s="292">
        <f t="shared" si="35"/>
        <v>35</v>
      </c>
      <c r="AF115" s="292">
        <f t="shared" si="36"/>
        <v>40</v>
      </c>
      <c r="AG115" s="292">
        <f t="shared" si="37"/>
        <v>0</v>
      </c>
    </row>
    <row r="116" spans="1:33" x14ac:dyDescent="0.3">
      <c r="A116" s="306" t="s">
        <v>165</v>
      </c>
      <c r="B116" s="307" t="s">
        <v>166</v>
      </c>
      <c r="C116" s="313" t="s">
        <v>255</v>
      </c>
      <c r="D116" s="309">
        <v>7</v>
      </c>
      <c r="E116" s="309">
        <v>7</v>
      </c>
      <c r="F116" s="309">
        <v>0</v>
      </c>
      <c r="G116" s="309">
        <v>0</v>
      </c>
      <c r="H116" s="309">
        <v>0</v>
      </c>
      <c r="I116" s="309">
        <v>0</v>
      </c>
      <c r="J116" s="309">
        <v>0</v>
      </c>
      <c r="K116" s="309">
        <v>0</v>
      </c>
      <c r="L116" s="309">
        <v>0</v>
      </c>
      <c r="M116" s="309">
        <v>0</v>
      </c>
      <c r="N116" s="310"/>
      <c r="O116" s="310">
        <f t="shared" si="29"/>
        <v>0</v>
      </c>
      <c r="P116" s="310">
        <f t="shared" si="30"/>
        <v>0</v>
      </c>
      <c r="Q116" s="310"/>
      <c r="R116" s="311">
        <f t="shared" si="31"/>
        <v>1</v>
      </c>
      <c r="S116" s="311">
        <f t="shared" si="32"/>
        <v>0</v>
      </c>
      <c r="U116" s="292">
        <v>0</v>
      </c>
      <c r="V116" s="292">
        <v>4</v>
      </c>
      <c r="W116" s="292">
        <v>2</v>
      </c>
      <c r="X116" s="292">
        <v>0</v>
      </c>
      <c r="Y116" s="292">
        <v>1</v>
      </c>
      <c r="Z116" s="292">
        <v>0</v>
      </c>
      <c r="AA116" s="292">
        <v>0</v>
      </c>
      <c r="AB116" s="292">
        <v>7</v>
      </c>
      <c r="AC116" s="292">
        <f t="shared" si="33"/>
        <v>4</v>
      </c>
      <c r="AD116" s="292">
        <f t="shared" si="34"/>
        <v>2</v>
      </c>
      <c r="AE116" s="292">
        <f t="shared" si="35"/>
        <v>0</v>
      </c>
      <c r="AF116" s="292">
        <f t="shared" si="36"/>
        <v>1</v>
      </c>
      <c r="AG116" s="292">
        <f t="shared" si="37"/>
        <v>0</v>
      </c>
    </row>
    <row r="117" spans="1:33" x14ac:dyDescent="0.3">
      <c r="A117" s="306" t="s">
        <v>175</v>
      </c>
      <c r="B117" s="307" t="s">
        <v>176</v>
      </c>
      <c r="C117" s="313" t="s">
        <v>253</v>
      </c>
      <c r="D117" s="309">
        <v>39</v>
      </c>
      <c r="E117" s="309">
        <v>9</v>
      </c>
      <c r="F117" s="309">
        <v>24</v>
      </c>
      <c r="G117" s="309">
        <v>0</v>
      </c>
      <c r="H117" s="309">
        <v>0</v>
      </c>
      <c r="I117" s="309">
        <v>0</v>
      </c>
      <c r="J117" s="309">
        <v>3</v>
      </c>
      <c r="K117" s="309">
        <v>3</v>
      </c>
      <c r="L117" s="309">
        <v>0</v>
      </c>
      <c r="M117" s="309">
        <v>0</v>
      </c>
      <c r="N117" s="310"/>
      <c r="O117" s="310">
        <f t="shared" si="29"/>
        <v>6</v>
      </c>
      <c r="P117" s="310">
        <f t="shared" si="30"/>
        <v>0</v>
      </c>
      <c r="Q117" s="310"/>
      <c r="R117" s="311">
        <f t="shared" si="31"/>
        <v>0.23076923076923078</v>
      </c>
      <c r="S117" s="311">
        <f t="shared" si="32"/>
        <v>0.61538461538461542</v>
      </c>
      <c r="U117" s="292">
        <v>5</v>
      </c>
      <c r="V117" s="292">
        <v>15</v>
      </c>
      <c r="W117" s="292">
        <v>11</v>
      </c>
      <c r="X117" s="292">
        <v>4</v>
      </c>
      <c r="Y117" s="292">
        <v>4</v>
      </c>
      <c r="Z117" s="292">
        <v>0</v>
      </c>
      <c r="AA117" s="292">
        <v>0</v>
      </c>
      <c r="AB117" s="292">
        <v>39</v>
      </c>
      <c r="AC117" s="292">
        <f t="shared" si="33"/>
        <v>20</v>
      </c>
      <c r="AD117" s="292">
        <f t="shared" si="34"/>
        <v>11</v>
      </c>
      <c r="AE117" s="292">
        <f t="shared" si="35"/>
        <v>4</v>
      </c>
      <c r="AF117" s="292">
        <f t="shared" si="36"/>
        <v>4</v>
      </c>
      <c r="AG117" s="292">
        <f t="shared" si="37"/>
        <v>0</v>
      </c>
    </row>
    <row r="118" spans="1:33" x14ac:dyDescent="0.3">
      <c r="A118" s="306" t="s">
        <v>179</v>
      </c>
      <c r="B118" s="307" t="s">
        <v>180</v>
      </c>
      <c r="C118" s="313" t="s">
        <v>251</v>
      </c>
      <c r="D118" s="309">
        <v>21</v>
      </c>
      <c r="E118" s="309">
        <v>2</v>
      </c>
      <c r="F118" s="309">
        <v>17</v>
      </c>
      <c r="G118" s="309">
        <v>0</v>
      </c>
      <c r="H118" s="309">
        <v>0</v>
      </c>
      <c r="I118" s="309">
        <v>0</v>
      </c>
      <c r="J118" s="309">
        <v>1</v>
      </c>
      <c r="K118" s="309">
        <v>1</v>
      </c>
      <c r="L118" s="309">
        <v>0</v>
      </c>
      <c r="M118" s="309">
        <v>0</v>
      </c>
      <c r="N118" s="310"/>
      <c r="O118" s="310">
        <f t="shared" si="29"/>
        <v>2</v>
      </c>
      <c r="P118" s="310">
        <f t="shared" si="30"/>
        <v>0</v>
      </c>
      <c r="Q118" s="310"/>
      <c r="R118" s="311">
        <f t="shared" si="31"/>
        <v>9.5238095238095233E-2</v>
      </c>
      <c r="S118" s="311">
        <f t="shared" si="32"/>
        <v>0.80952380952380953</v>
      </c>
      <c r="U118" s="292">
        <v>1</v>
      </c>
      <c r="V118" s="292">
        <v>1</v>
      </c>
      <c r="W118" s="292">
        <v>1</v>
      </c>
      <c r="X118" s="292">
        <v>5</v>
      </c>
      <c r="Y118" s="292">
        <v>13</v>
      </c>
      <c r="Z118" s="292">
        <v>0</v>
      </c>
      <c r="AA118" s="292">
        <v>0</v>
      </c>
      <c r="AB118" s="292">
        <v>21</v>
      </c>
      <c r="AC118" s="292">
        <f t="shared" si="33"/>
        <v>2</v>
      </c>
      <c r="AD118" s="292">
        <f t="shared" si="34"/>
        <v>1</v>
      </c>
      <c r="AE118" s="292">
        <f t="shared" si="35"/>
        <v>5</v>
      </c>
      <c r="AF118" s="292">
        <f t="shared" si="36"/>
        <v>13</v>
      </c>
      <c r="AG118" s="292">
        <f t="shared" si="37"/>
        <v>0</v>
      </c>
    </row>
    <row r="119" spans="1:33" x14ac:dyDescent="0.3">
      <c r="A119" s="306" t="s">
        <v>191</v>
      </c>
      <c r="B119" s="307" t="s">
        <v>192</v>
      </c>
      <c r="C119" s="313" t="s">
        <v>255</v>
      </c>
      <c r="D119" s="309">
        <v>21</v>
      </c>
      <c r="E119" s="309">
        <v>16</v>
      </c>
      <c r="F119" s="309">
        <v>3</v>
      </c>
      <c r="G119" s="309">
        <v>0</v>
      </c>
      <c r="H119" s="309">
        <v>0</v>
      </c>
      <c r="I119" s="309">
        <v>0</v>
      </c>
      <c r="J119" s="309">
        <v>0</v>
      </c>
      <c r="K119" s="309">
        <v>2</v>
      </c>
      <c r="L119" s="309">
        <v>0</v>
      </c>
      <c r="M119" s="309">
        <v>0</v>
      </c>
      <c r="N119" s="310"/>
      <c r="O119" s="310">
        <f t="shared" si="29"/>
        <v>2</v>
      </c>
      <c r="P119" s="310">
        <f t="shared" si="30"/>
        <v>0</v>
      </c>
      <c r="Q119" s="310"/>
      <c r="R119" s="311">
        <f t="shared" si="31"/>
        <v>0.76190476190476186</v>
      </c>
      <c r="S119" s="311">
        <f t="shared" si="32"/>
        <v>0.14285714285714285</v>
      </c>
      <c r="U119" s="292">
        <v>0</v>
      </c>
      <c r="V119" s="292">
        <v>7</v>
      </c>
      <c r="W119" s="292">
        <v>9</v>
      </c>
      <c r="X119" s="292">
        <v>5</v>
      </c>
      <c r="Y119" s="292">
        <v>0</v>
      </c>
      <c r="Z119" s="292">
        <v>0</v>
      </c>
      <c r="AA119" s="292">
        <v>0</v>
      </c>
      <c r="AB119" s="292">
        <v>21</v>
      </c>
      <c r="AC119" s="292">
        <f t="shared" si="33"/>
        <v>7</v>
      </c>
      <c r="AD119" s="292">
        <f t="shared" si="34"/>
        <v>9</v>
      </c>
      <c r="AE119" s="292">
        <f t="shared" si="35"/>
        <v>5</v>
      </c>
      <c r="AF119" s="292">
        <f t="shared" si="36"/>
        <v>0</v>
      </c>
      <c r="AG119" s="292">
        <f t="shared" si="37"/>
        <v>0</v>
      </c>
    </row>
    <row r="120" spans="1:33" x14ac:dyDescent="0.3">
      <c r="A120" s="306" t="s">
        <v>195</v>
      </c>
      <c r="B120" s="307" t="s">
        <v>196</v>
      </c>
      <c r="C120" s="313" t="s">
        <v>253</v>
      </c>
      <c r="D120" s="309">
        <v>194</v>
      </c>
      <c r="E120" s="309">
        <v>9</v>
      </c>
      <c r="F120" s="309">
        <v>164</v>
      </c>
      <c r="G120" s="309">
        <v>0</v>
      </c>
      <c r="H120" s="309">
        <v>0</v>
      </c>
      <c r="I120" s="309">
        <v>0</v>
      </c>
      <c r="J120" s="309">
        <v>4</v>
      </c>
      <c r="K120" s="309">
        <v>12</v>
      </c>
      <c r="L120" s="309">
        <v>5</v>
      </c>
      <c r="M120" s="309">
        <v>0</v>
      </c>
      <c r="N120" s="310"/>
      <c r="O120" s="310">
        <f t="shared" si="29"/>
        <v>16</v>
      </c>
      <c r="P120" s="310">
        <f t="shared" si="30"/>
        <v>5</v>
      </c>
      <c r="Q120" s="310"/>
      <c r="R120" s="311">
        <f t="shared" si="31"/>
        <v>4.6391752577319589E-2</v>
      </c>
      <c r="S120" s="311">
        <f t="shared" si="32"/>
        <v>0.84536082474226804</v>
      </c>
      <c r="U120" s="292">
        <v>6</v>
      </c>
      <c r="V120" s="292">
        <v>50</v>
      </c>
      <c r="W120" s="292">
        <v>44</v>
      </c>
      <c r="X120" s="292">
        <v>46</v>
      </c>
      <c r="Y120" s="292">
        <v>48</v>
      </c>
      <c r="Z120" s="292">
        <v>0</v>
      </c>
      <c r="AA120" s="292">
        <v>0</v>
      </c>
      <c r="AB120" s="292">
        <v>194</v>
      </c>
      <c r="AC120" s="292">
        <f t="shared" si="33"/>
        <v>56</v>
      </c>
      <c r="AD120" s="292">
        <f t="shared" si="34"/>
        <v>44</v>
      </c>
      <c r="AE120" s="292">
        <f t="shared" si="35"/>
        <v>46</v>
      </c>
      <c r="AF120" s="292">
        <f t="shared" si="36"/>
        <v>48</v>
      </c>
      <c r="AG120" s="292">
        <f t="shared" si="37"/>
        <v>0</v>
      </c>
    </row>
    <row r="121" spans="1:33" x14ac:dyDescent="0.3">
      <c r="A121" s="306" t="s">
        <v>199</v>
      </c>
      <c r="B121" s="307" t="s">
        <v>200</v>
      </c>
      <c r="C121" s="313" t="s">
        <v>252</v>
      </c>
      <c r="D121" s="309">
        <v>203</v>
      </c>
      <c r="E121" s="309">
        <v>93</v>
      </c>
      <c r="F121" s="309">
        <v>52</v>
      </c>
      <c r="G121" s="309">
        <v>6</v>
      </c>
      <c r="H121" s="309">
        <v>0</v>
      </c>
      <c r="I121" s="309">
        <v>0</v>
      </c>
      <c r="J121" s="309">
        <v>33</v>
      </c>
      <c r="K121" s="309">
        <v>12</v>
      </c>
      <c r="L121" s="309">
        <v>7</v>
      </c>
      <c r="M121" s="309">
        <v>0</v>
      </c>
      <c r="N121" s="310"/>
      <c r="O121" s="310">
        <f t="shared" si="29"/>
        <v>51</v>
      </c>
      <c r="P121" s="310">
        <f t="shared" si="30"/>
        <v>7</v>
      </c>
      <c r="Q121" s="310"/>
      <c r="R121" s="311">
        <f t="shared" si="31"/>
        <v>0.45812807881773399</v>
      </c>
      <c r="S121" s="311">
        <f t="shared" si="32"/>
        <v>0.25615763546798032</v>
      </c>
      <c r="U121" s="292">
        <v>20</v>
      </c>
      <c r="V121" s="292">
        <v>48</v>
      </c>
      <c r="W121" s="292">
        <v>27</v>
      </c>
      <c r="X121" s="292">
        <v>62</v>
      </c>
      <c r="Y121" s="292">
        <v>46</v>
      </c>
      <c r="Z121" s="292">
        <v>0</v>
      </c>
      <c r="AA121" s="292">
        <v>0</v>
      </c>
      <c r="AB121" s="292">
        <v>203</v>
      </c>
      <c r="AC121" s="292">
        <f t="shared" si="33"/>
        <v>68</v>
      </c>
      <c r="AD121" s="292">
        <f t="shared" si="34"/>
        <v>27</v>
      </c>
      <c r="AE121" s="292">
        <f t="shared" si="35"/>
        <v>62</v>
      </c>
      <c r="AF121" s="292">
        <f t="shared" si="36"/>
        <v>46</v>
      </c>
      <c r="AG121" s="292">
        <f t="shared" si="37"/>
        <v>0</v>
      </c>
    </row>
    <row r="122" spans="1:33" x14ac:dyDescent="0.3">
      <c r="A122" s="306" t="s">
        <v>221</v>
      </c>
      <c r="B122" s="307" t="s">
        <v>222</v>
      </c>
      <c r="C122" s="313" t="s">
        <v>251</v>
      </c>
      <c r="D122" s="309">
        <v>38</v>
      </c>
      <c r="E122" s="309">
        <v>10</v>
      </c>
      <c r="F122" s="309">
        <v>19</v>
      </c>
      <c r="G122" s="309">
        <v>0</v>
      </c>
      <c r="H122" s="309">
        <v>0</v>
      </c>
      <c r="I122" s="309">
        <v>0</v>
      </c>
      <c r="J122" s="309">
        <v>8</v>
      </c>
      <c r="K122" s="309">
        <v>1</v>
      </c>
      <c r="L122" s="309">
        <v>0</v>
      </c>
      <c r="M122" s="309">
        <v>0</v>
      </c>
      <c r="N122" s="310"/>
      <c r="O122" s="310">
        <f t="shared" si="29"/>
        <v>9</v>
      </c>
      <c r="P122" s="310">
        <f t="shared" si="30"/>
        <v>0</v>
      </c>
      <c r="Q122" s="310"/>
      <c r="R122" s="311">
        <f t="shared" si="31"/>
        <v>0.26315789473684209</v>
      </c>
      <c r="S122" s="311">
        <f t="shared" si="32"/>
        <v>0.5</v>
      </c>
      <c r="U122" s="292">
        <v>4</v>
      </c>
      <c r="V122" s="292">
        <v>9</v>
      </c>
      <c r="W122" s="292">
        <v>8</v>
      </c>
      <c r="X122" s="292">
        <v>11</v>
      </c>
      <c r="Y122" s="292">
        <v>6</v>
      </c>
      <c r="Z122" s="292">
        <v>0</v>
      </c>
      <c r="AA122" s="292">
        <v>0</v>
      </c>
      <c r="AB122" s="292">
        <v>38</v>
      </c>
      <c r="AC122" s="292">
        <f t="shared" si="33"/>
        <v>13</v>
      </c>
      <c r="AD122" s="292">
        <f t="shared" si="34"/>
        <v>8</v>
      </c>
      <c r="AE122" s="292">
        <f t="shared" si="35"/>
        <v>11</v>
      </c>
      <c r="AF122" s="292">
        <f t="shared" si="36"/>
        <v>6</v>
      </c>
      <c r="AG122" s="292">
        <f t="shared" si="37"/>
        <v>0</v>
      </c>
    </row>
    <row r="123" spans="1:33" x14ac:dyDescent="0.3">
      <c r="A123" s="306" t="s">
        <v>229</v>
      </c>
      <c r="B123" s="307" t="s">
        <v>230</v>
      </c>
      <c r="C123" s="313" t="s">
        <v>251</v>
      </c>
      <c r="D123" s="309">
        <v>187</v>
      </c>
      <c r="E123" s="309">
        <v>87</v>
      </c>
      <c r="F123" s="309">
        <v>60</v>
      </c>
      <c r="G123" s="309">
        <v>2</v>
      </c>
      <c r="H123" s="309">
        <v>0</v>
      </c>
      <c r="I123" s="309">
        <v>1</v>
      </c>
      <c r="J123" s="309">
        <v>13</v>
      </c>
      <c r="K123" s="309">
        <v>19</v>
      </c>
      <c r="L123" s="309">
        <v>5</v>
      </c>
      <c r="M123" s="309">
        <v>0</v>
      </c>
      <c r="N123" s="310"/>
      <c r="O123" s="310">
        <f t="shared" si="29"/>
        <v>35</v>
      </c>
      <c r="P123" s="310">
        <f t="shared" si="30"/>
        <v>5</v>
      </c>
      <c r="Q123" s="310"/>
      <c r="R123" s="311">
        <f t="shared" si="31"/>
        <v>0.46524064171122997</v>
      </c>
      <c r="S123" s="311">
        <f t="shared" si="32"/>
        <v>0.32085561497326204</v>
      </c>
      <c r="U123" s="292">
        <v>10</v>
      </c>
      <c r="V123" s="292">
        <v>56</v>
      </c>
      <c r="W123" s="292">
        <v>42</v>
      </c>
      <c r="X123" s="292">
        <v>49</v>
      </c>
      <c r="Y123" s="292">
        <v>30</v>
      </c>
      <c r="Z123" s="292">
        <v>0</v>
      </c>
      <c r="AA123" s="292">
        <v>0</v>
      </c>
      <c r="AB123" s="292">
        <v>187</v>
      </c>
      <c r="AC123" s="292">
        <f t="shared" si="33"/>
        <v>66</v>
      </c>
      <c r="AD123" s="292">
        <f t="shared" si="34"/>
        <v>42</v>
      </c>
      <c r="AE123" s="292">
        <f t="shared" si="35"/>
        <v>49</v>
      </c>
      <c r="AF123" s="292">
        <f t="shared" si="36"/>
        <v>30</v>
      </c>
      <c r="AG123" s="292">
        <f t="shared" si="37"/>
        <v>0</v>
      </c>
    </row>
    <row r="124" spans="1:33" x14ac:dyDescent="0.3">
      <c r="A124" s="306" t="s">
        <v>237</v>
      </c>
      <c r="B124" s="307" t="s">
        <v>238</v>
      </c>
      <c r="C124" s="313" t="s">
        <v>251</v>
      </c>
      <c r="D124" s="309">
        <v>3</v>
      </c>
      <c r="E124" s="309">
        <v>1</v>
      </c>
      <c r="F124" s="309">
        <v>0</v>
      </c>
      <c r="G124" s="309">
        <v>0</v>
      </c>
      <c r="H124" s="309">
        <v>0</v>
      </c>
      <c r="I124" s="309">
        <v>0</v>
      </c>
      <c r="J124" s="309">
        <v>1</v>
      </c>
      <c r="K124" s="309">
        <v>1</v>
      </c>
      <c r="L124" s="309">
        <v>0</v>
      </c>
      <c r="M124" s="309">
        <v>0</v>
      </c>
      <c r="N124" s="310"/>
      <c r="O124" s="310">
        <f t="shared" si="29"/>
        <v>2</v>
      </c>
      <c r="P124" s="310">
        <f t="shared" si="30"/>
        <v>0</v>
      </c>
      <c r="Q124" s="310"/>
      <c r="R124" s="311">
        <f t="shared" si="31"/>
        <v>0.33333333333333331</v>
      </c>
      <c r="S124" s="311">
        <f t="shared" si="32"/>
        <v>0</v>
      </c>
      <c r="U124" s="292">
        <v>0</v>
      </c>
      <c r="V124" s="292">
        <v>0</v>
      </c>
      <c r="W124" s="292">
        <v>1</v>
      </c>
      <c r="X124" s="292">
        <v>1</v>
      </c>
      <c r="Y124" s="292">
        <v>1</v>
      </c>
      <c r="Z124" s="292">
        <v>0</v>
      </c>
      <c r="AA124" s="292">
        <v>0</v>
      </c>
      <c r="AB124" s="292">
        <v>3</v>
      </c>
      <c r="AC124" s="292">
        <f t="shared" si="33"/>
        <v>0</v>
      </c>
      <c r="AD124" s="292">
        <f t="shared" si="34"/>
        <v>1</v>
      </c>
      <c r="AE124" s="292">
        <f t="shared" si="35"/>
        <v>1</v>
      </c>
      <c r="AF124" s="292">
        <f t="shared" si="36"/>
        <v>1</v>
      </c>
      <c r="AG124" s="292">
        <f t="shared" si="37"/>
        <v>0</v>
      </c>
    </row>
    <row r="125" spans="1:33" x14ac:dyDescent="0.3">
      <c r="A125" s="314" t="s">
        <v>239</v>
      </c>
      <c r="B125" s="315" t="s">
        <v>240</v>
      </c>
      <c r="C125" s="321" t="s">
        <v>254</v>
      </c>
      <c r="D125" s="631">
        <v>49</v>
      </c>
      <c r="E125" s="631">
        <v>22</v>
      </c>
      <c r="F125" s="631">
        <v>3</v>
      </c>
      <c r="G125" s="631">
        <v>0</v>
      </c>
      <c r="H125" s="965">
        <v>0</v>
      </c>
      <c r="I125" s="631">
        <v>0</v>
      </c>
      <c r="J125" s="631">
        <v>11</v>
      </c>
      <c r="K125" s="631">
        <v>9</v>
      </c>
      <c r="L125" s="631">
        <v>4</v>
      </c>
      <c r="M125" s="965">
        <v>0</v>
      </c>
      <c r="N125" s="316"/>
      <c r="O125" s="1417">
        <f t="shared" si="29"/>
        <v>20</v>
      </c>
      <c r="P125" s="1417">
        <f t="shared" si="30"/>
        <v>4</v>
      </c>
      <c r="Q125" s="629"/>
      <c r="R125" s="311">
        <f t="shared" si="31"/>
        <v>0.44897959183673469</v>
      </c>
      <c r="S125" s="311">
        <f t="shared" si="32"/>
        <v>6.1224489795918366E-2</v>
      </c>
      <c r="U125" s="292">
        <v>1</v>
      </c>
      <c r="V125" s="292">
        <v>19</v>
      </c>
      <c r="W125" s="292">
        <v>12</v>
      </c>
      <c r="X125" s="292">
        <v>8</v>
      </c>
      <c r="Y125" s="292">
        <v>9</v>
      </c>
      <c r="Z125" s="292">
        <v>0</v>
      </c>
      <c r="AA125" s="292">
        <v>0</v>
      </c>
      <c r="AB125" s="292">
        <v>49</v>
      </c>
      <c r="AC125" s="292">
        <f t="shared" si="33"/>
        <v>20</v>
      </c>
      <c r="AD125" s="292">
        <f t="shared" si="34"/>
        <v>12</v>
      </c>
      <c r="AE125" s="292">
        <f t="shared" si="35"/>
        <v>8</v>
      </c>
      <c r="AF125" s="292">
        <f t="shared" si="36"/>
        <v>9</v>
      </c>
      <c r="AG125" s="292">
        <f t="shared" si="37"/>
        <v>0</v>
      </c>
    </row>
    <row r="127" spans="1:33" ht="31.5" customHeight="1" x14ac:dyDescent="0.3">
      <c r="A127" s="2560" t="s">
        <v>921</v>
      </c>
      <c r="B127" s="2560"/>
      <c r="C127" s="2560"/>
      <c r="D127" s="2560"/>
      <c r="E127" s="2560"/>
      <c r="F127" s="2560"/>
      <c r="G127" s="2560"/>
      <c r="H127" s="2560"/>
      <c r="I127" s="2560"/>
      <c r="J127" s="2560"/>
      <c r="K127" s="2560"/>
      <c r="L127" s="2560"/>
      <c r="M127" s="2560"/>
      <c r="N127" s="2560"/>
      <c r="O127" s="2560"/>
      <c r="P127" s="2560"/>
      <c r="Q127" s="2560"/>
      <c r="R127" s="2560"/>
      <c r="S127" s="2560"/>
    </row>
    <row r="128" spans="1:33" ht="15" customHeight="1" x14ac:dyDescent="0.3">
      <c r="A128" s="320"/>
      <c r="B128" s="320"/>
      <c r="C128" s="320"/>
      <c r="D128" s="320"/>
      <c r="E128" s="320"/>
      <c r="F128" s="320"/>
      <c r="G128" s="623"/>
      <c r="H128" s="959"/>
      <c r="I128" s="623"/>
      <c r="J128" s="624"/>
      <c r="K128" s="624"/>
      <c r="L128" s="320"/>
      <c r="M128" s="1409"/>
      <c r="N128" s="320"/>
      <c r="O128" s="623"/>
      <c r="P128" s="1409"/>
      <c r="Q128" s="623"/>
      <c r="R128" s="320"/>
      <c r="S128" s="320"/>
    </row>
    <row r="129" spans="1:19" ht="15" customHeight="1" x14ac:dyDescent="0.3">
      <c r="A129" s="2561" t="s">
        <v>247</v>
      </c>
      <c r="B129" s="2561"/>
      <c r="C129" s="2561"/>
      <c r="D129" s="2561"/>
      <c r="E129" s="2561"/>
      <c r="F129" s="2561"/>
      <c r="G129" s="2561"/>
      <c r="H129" s="2561"/>
      <c r="I129" s="2561"/>
      <c r="J129" s="2561"/>
      <c r="K129" s="2561"/>
      <c r="L129" s="2561"/>
      <c r="M129" s="2561"/>
      <c r="N129" s="2561"/>
      <c r="O129" s="2561"/>
      <c r="P129" s="2561"/>
      <c r="Q129" s="2561"/>
      <c r="R129" s="2561"/>
      <c r="S129" s="2561"/>
    </row>
    <row r="130" spans="1:19" ht="15" customHeight="1" x14ac:dyDescent="0.3">
      <c r="A130" s="317" t="s">
        <v>248</v>
      </c>
      <c r="B130" s="318" t="s">
        <v>249</v>
      </c>
      <c r="C130" s="318"/>
      <c r="D130" s="319"/>
      <c r="E130" s="319"/>
      <c r="F130" s="319"/>
      <c r="G130" s="319"/>
      <c r="H130" s="319"/>
      <c r="I130" s="319"/>
      <c r="J130" s="319"/>
      <c r="K130" s="319"/>
      <c r="L130" s="319"/>
      <c r="M130" s="319"/>
      <c r="N130" s="319"/>
      <c r="O130" s="319"/>
      <c r="P130" s="319"/>
      <c r="Q130" s="319"/>
      <c r="R130" s="319"/>
      <c r="S130" s="319"/>
    </row>
  </sheetData>
  <autoFilter ref="A4:C4"/>
  <sortState ref="A6:AG125">
    <sortCondition ref="A6:A125"/>
  </sortState>
  <mergeCells count="4">
    <mergeCell ref="R3:S3"/>
    <mergeCell ref="A127:S127"/>
    <mergeCell ref="A129:S129"/>
    <mergeCell ref="D3:M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130"/>
  <sheetViews>
    <sheetView workbookViewId="0">
      <pane xSplit="3" ySplit="4" topLeftCell="O5" activePane="bottomRight" state="frozen"/>
      <selection pane="topRight" activeCell="D1" sqref="D1"/>
      <selection pane="bottomLeft" activeCell="A5" sqref="A5"/>
      <selection pane="bottomRight" activeCell="V5" sqref="V5:V124"/>
    </sheetView>
  </sheetViews>
  <sheetFormatPr defaultColWidth="9" defaultRowHeight="15.6" x14ac:dyDescent="0.3"/>
  <cols>
    <col min="1" max="1" width="11" style="173" customWidth="1"/>
    <col min="2" max="2" width="32" style="173" customWidth="1"/>
    <col min="3" max="3" width="14.19921875" style="173" customWidth="1"/>
    <col min="4" max="9" width="7.5" style="173" customWidth="1"/>
    <col min="10" max="12" width="10.09765625" style="173" customWidth="1"/>
    <col min="13" max="13" width="12.19921875" style="173" customWidth="1"/>
    <col min="14" max="14" width="4.796875" style="173" customWidth="1"/>
    <col min="15" max="17" width="12.19921875" style="173" customWidth="1"/>
    <col min="18" max="18" width="11.5" style="173" customWidth="1"/>
    <col min="19" max="19" width="11.09765625" style="173" customWidth="1"/>
    <col min="20" max="20" width="11.5" style="173" customWidth="1"/>
    <col min="21" max="23" width="9" style="173"/>
    <col min="24" max="25" width="10" style="173" customWidth="1"/>
    <col min="26" max="26" width="9.69921875" style="173" customWidth="1"/>
    <col min="27" max="16384" width="9" style="173"/>
  </cols>
  <sheetData>
    <row r="1" spans="1:27" x14ac:dyDescent="0.3">
      <c r="A1" s="88" t="s">
        <v>919</v>
      </c>
    </row>
    <row r="3" spans="1:27" ht="32.25" customHeight="1" x14ac:dyDescent="0.3">
      <c r="A3" s="353" t="s">
        <v>4</v>
      </c>
      <c r="B3" s="354" t="s">
        <v>5</v>
      </c>
      <c r="C3" s="1053" t="s">
        <v>250</v>
      </c>
      <c r="D3" s="1055" t="s">
        <v>262</v>
      </c>
      <c r="E3" s="1056" t="s">
        <v>2</v>
      </c>
      <c r="F3" s="1056" t="s">
        <v>298</v>
      </c>
      <c r="G3" s="1056" t="s">
        <v>379</v>
      </c>
      <c r="H3" s="1056" t="s">
        <v>499</v>
      </c>
      <c r="I3" s="1056" t="s">
        <v>471</v>
      </c>
      <c r="J3" s="1056" t="s">
        <v>530</v>
      </c>
      <c r="K3" s="1056" t="s">
        <v>383</v>
      </c>
      <c r="L3" s="1057" t="s">
        <v>814</v>
      </c>
      <c r="M3" s="834" t="s">
        <v>631</v>
      </c>
      <c r="N3" s="359"/>
      <c r="O3" s="834" t="s">
        <v>719</v>
      </c>
      <c r="P3" s="834" t="s">
        <v>718</v>
      </c>
      <c r="Q3" s="834" t="s">
        <v>619</v>
      </c>
      <c r="R3" s="835" t="s">
        <v>620</v>
      </c>
      <c r="S3" s="835" t="s">
        <v>621</v>
      </c>
      <c r="T3" s="835" t="s">
        <v>622</v>
      </c>
      <c r="U3" s="88" t="s">
        <v>500</v>
      </c>
      <c r="W3" s="88" t="s">
        <v>618</v>
      </c>
      <c r="X3" s="88" t="s">
        <v>619</v>
      </c>
      <c r="Y3" s="88" t="s">
        <v>620</v>
      </c>
      <c r="Z3" s="88" t="s">
        <v>621</v>
      </c>
      <c r="AA3" s="88" t="s">
        <v>622</v>
      </c>
    </row>
    <row r="4" spans="1:27" x14ac:dyDescent="0.3">
      <c r="A4" s="360">
        <v>999</v>
      </c>
      <c r="B4" s="361" t="s">
        <v>8</v>
      </c>
      <c r="C4" s="361"/>
      <c r="D4" s="1050">
        <f t="shared" ref="D4:M4" si="0">SUM(D5:D124)</f>
        <v>843</v>
      </c>
      <c r="E4" s="1058">
        <f t="shared" si="0"/>
        <v>455</v>
      </c>
      <c r="F4" s="1058">
        <f t="shared" si="0"/>
        <v>198</v>
      </c>
      <c r="G4" s="1058">
        <f t="shared" si="0"/>
        <v>2</v>
      </c>
      <c r="H4" s="1058">
        <f t="shared" si="0"/>
        <v>0</v>
      </c>
      <c r="I4" s="1058">
        <f t="shared" si="0"/>
        <v>0</v>
      </c>
      <c r="J4" s="1058">
        <f t="shared" si="0"/>
        <v>109</v>
      </c>
      <c r="K4" s="1058">
        <f t="shared" si="0"/>
        <v>78</v>
      </c>
      <c r="L4" s="1059">
        <f t="shared" si="0"/>
        <v>1</v>
      </c>
      <c r="M4" s="1054">
        <f t="shared" si="0"/>
        <v>189</v>
      </c>
      <c r="N4" s="359"/>
      <c r="O4" s="362">
        <f t="shared" ref="O4:AA4" si="1">SUM(O5:O124)</f>
        <v>11</v>
      </c>
      <c r="P4" s="362">
        <f t="shared" si="1"/>
        <v>366</v>
      </c>
      <c r="Q4" s="362">
        <f t="shared" si="1"/>
        <v>239</v>
      </c>
      <c r="R4" s="362">
        <f t="shared" si="1"/>
        <v>178</v>
      </c>
      <c r="S4" s="362">
        <f t="shared" si="1"/>
        <v>49</v>
      </c>
      <c r="T4" s="362">
        <f t="shared" si="1"/>
        <v>0</v>
      </c>
      <c r="U4" s="362">
        <f t="shared" si="1"/>
        <v>0</v>
      </c>
      <c r="W4" s="88">
        <f t="shared" si="1"/>
        <v>377</v>
      </c>
      <c r="X4" s="88">
        <f t="shared" si="1"/>
        <v>239</v>
      </c>
      <c r="Y4" s="88">
        <f t="shared" si="1"/>
        <v>178</v>
      </c>
      <c r="Z4" s="88">
        <f t="shared" si="1"/>
        <v>49</v>
      </c>
      <c r="AA4" s="88">
        <f t="shared" si="1"/>
        <v>0</v>
      </c>
    </row>
    <row r="5" spans="1:27" s="963" customFormat="1" ht="16.5" customHeight="1" x14ac:dyDescent="0.3">
      <c r="A5" s="1051" t="s">
        <v>9</v>
      </c>
      <c r="B5" s="1052" t="s">
        <v>10</v>
      </c>
      <c r="C5" s="308" t="s">
        <v>251</v>
      </c>
      <c r="D5" s="1060">
        <v>5</v>
      </c>
      <c r="E5" s="1061">
        <v>4</v>
      </c>
      <c r="F5" s="1061">
        <v>1</v>
      </c>
      <c r="G5" s="1061">
        <v>0</v>
      </c>
      <c r="H5" s="1061">
        <v>0</v>
      </c>
      <c r="I5" s="1061">
        <v>0</v>
      </c>
      <c r="J5" s="1061">
        <v>0</v>
      </c>
      <c r="K5" s="1061">
        <v>0</v>
      </c>
      <c r="L5" s="1062">
        <v>0</v>
      </c>
      <c r="M5" s="636">
        <f t="shared" ref="M5:M36" si="2">G5+H5+I5+J5+K5</f>
        <v>0</v>
      </c>
      <c r="N5" s="373"/>
      <c r="O5" s="636">
        <v>0</v>
      </c>
      <c r="P5" s="636">
        <v>1</v>
      </c>
      <c r="Q5" s="636">
        <v>3</v>
      </c>
      <c r="R5" s="636">
        <v>0</v>
      </c>
      <c r="S5" s="963">
        <v>1</v>
      </c>
      <c r="T5" s="963">
        <v>0</v>
      </c>
      <c r="U5" s="963">
        <v>0</v>
      </c>
      <c r="W5" s="636">
        <f t="shared" ref="W5:W36" si="3">O5+P5</f>
        <v>1</v>
      </c>
      <c r="X5" s="636">
        <f t="shared" ref="X5:X36" si="4">Q5</f>
        <v>3</v>
      </c>
      <c r="Y5" s="636">
        <f t="shared" ref="Y5:Y36" si="5">R5</f>
        <v>0</v>
      </c>
      <c r="Z5" s="636">
        <f t="shared" ref="Z5:Z36" si="6">S5</f>
        <v>1</v>
      </c>
      <c r="AA5" s="963">
        <f t="shared" ref="AA5:AA36" si="7">T5</f>
        <v>0</v>
      </c>
    </row>
    <row r="6" spans="1:27" s="963" customFormat="1" ht="16.5" customHeight="1" x14ac:dyDescent="0.3">
      <c r="A6" s="1051" t="s">
        <v>11</v>
      </c>
      <c r="B6" s="1052" t="s">
        <v>12</v>
      </c>
      <c r="C6" s="308" t="s">
        <v>252</v>
      </c>
      <c r="D6" s="1060">
        <v>14</v>
      </c>
      <c r="E6" s="1061">
        <v>3</v>
      </c>
      <c r="F6" s="1061">
        <v>7</v>
      </c>
      <c r="G6" s="1061">
        <v>0</v>
      </c>
      <c r="H6" s="1061">
        <v>0</v>
      </c>
      <c r="I6" s="1061">
        <v>0</v>
      </c>
      <c r="J6" s="1061">
        <v>4</v>
      </c>
      <c r="K6" s="1061">
        <v>0</v>
      </c>
      <c r="L6" s="1062">
        <v>0</v>
      </c>
      <c r="M6" s="636">
        <f t="shared" si="2"/>
        <v>4</v>
      </c>
      <c r="N6" s="373"/>
      <c r="O6" s="636">
        <v>0</v>
      </c>
      <c r="P6" s="636">
        <v>8</v>
      </c>
      <c r="Q6" s="636">
        <v>5</v>
      </c>
      <c r="R6" s="636">
        <v>1</v>
      </c>
      <c r="S6" s="963">
        <v>0</v>
      </c>
      <c r="T6" s="963">
        <v>0</v>
      </c>
      <c r="U6" s="963">
        <v>0</v>
      </c>
      <c r="W6" s="636">
        <f t="shared" si="3"/>
        <v>8</v>
      </c>
      <c r="X6" s="636">
        <f t="shared" si="4"/>
        <v>5</v>
      </c>
      <c r="Y6" s="636">
        <f t="shared" si="5"/>
        <v>1</v>
      </c>
      <c r="Z6" s="636">
        <f t="shared" si="6"/>
        <v>0</v>
      </c>
      <c r="AA6" s="963">
        <f t="shared" si="7"/>
        <v>0</v>
      </c>
    </row>
    <row r="7" spans="1:27" s="963" customFormat="1" ht="16.5" customHeight="1" x14ac:dyDescent="0.3">
      <c r="A7" s="1051" t="s">
        <v>15</v>
      </c>
      <c r="B7" s="1052" t="s">
        <v>273</v>
      </c>
      <c r="C7" s="308" t="s">
        <v>252</v>
      </c>
      <c r="D7" s="1060">
        <v>0</v>
      </c>
      <c r="E7" s="1061">
        <v>0</v>
      </c>
      <c r="F7" s="1061">
        <v>0</v>
      </c>
      <c r="G7" s="1061">
        <v>0</v>
      </c>
      <c r="H7" s="1061">
        <v>0</v>
      </c>
      <c r="I7" s="1061">
        <v>0</v>
      </c>
      <c r="J7" s="1061">
        <v>0</v>
      </c>
      <c r="K7" s="1061">
        <v>0</v>
      </c>
      <c r="L7" s="1062">
        <v>0</v>
      </c>
      <c r="M7" s="636">
        <f t="shared" si="2"/>
        <v>0</v>
      </c>
      <c r="N7" s="373"/>
      <c r="O7" s="636">
        <v>0</v>
      </c>
      <c r="P7" s="636">
        <v>0</v>
      </c>
      <c r="Q7" s="373">
        <v>0</v>
      </c>
      <c r="R7" s="636">
        <v>0</v>
      </c>
      <c r="S7" s="963">
        <v>0</v>
      </c>
      <c r="T7" s="963">
        <v>0</v>
      </c>
      <c r="U7" s="963">
        <v>0</v>
      </c>
      <c r="W7" s="636">
        <f t="shared" si="3"/>
        <v>0</v>
      </c>
      <c r="X7" s="636">
        <f t="shared" si="4"/>
        <v>0</v>
      </c>
      <c r="Y7" s="636">
        <f t="shared" si="5"/>
        <v>0</v>
      </c>
      <c r="Z7" s="636">
        <f t="shared" si="6"/>
        <v>0</v>
      </c>
      <c r="AA7" s="963">
        <f t="shared" si="7"/>
        <v>0</v>
      </c>
    </row>
    <row r="8" spans="1:27" s="963" customFormat="1" ht="16.5" customHeight="1" x14ac:dyDescent="0.3">
      <c r="A8" s="1051" t="s">
        <v>17</v>
      </c>
      <c r="B8" s="1052" t="s">
        <v>18</v>
      </c>
      <c r="C8" s="308" t="s">
        <v>253</v>
      </c>
      <c r="D8" s="1060">
        <v>0</v>
      </c>
      <c r="E8" s="1061">
        <v>0</v>
      </c>
      <c r="F8" s="1061">
        <v>0</v>
      </c>
      <c r="G8" s="1061">
        <v>0</v>
      </c>
      <c r="H8" s="1061">
        <v>0</v>
      </c>
      <c r="I8" s="1061">
        <v>0</v>
      </c>
      <c r="J8" s="1061">
        <v>0</v>
      </c>
      <c r="K8" s="1061">
        <v>0</v>
      </c>
      <c r="L8" s="1062">
        <v>0</v>
      </c>
      <c r="M8" s="636">
        <f t="shared" si="2"/>
        <v>0</v>
      </c>
      <c r="N8" s="373"/>
      <c r="O8" s="636">
        <v>0</v>
      </c>
      <c r="P8" s="636">
        <v>0</v>
      </c>
      <c r="Q8" s="636">
        <v>0</v>
      </c>
      <c r="R8" s="636">
        <v>0</v>
      </c>
      <c r="S8" s="963">
        <v>0</v>
      </c>
      <c r="T8" s="963">
        <v>0</v>
      </c>
      <c r="U8" s="963">
        <v>0</v>
      </c>
      <c r="W8" s="636">
        <f t="shared" si="3"/>
        <v>0</v>
      </c>
      <c r="X8" s="636">
        <f t="shared" si="4"/>
        <v>0</v>
      </c>
      <c r="Y8" s="636">
        <f t="shared" si="5"/>
        <v>0</v>
      </c>
      <c r="Z8" s="636">
        <f t="shared" si="6"/>
        <v>0</v>
      </c>
      <c r="AA8" s="963">
        <f t="shared" si="7"/>
        <v>0</v>
      </c>
    </row>
    <row r="9" spans="1:27" s="963" customFormat="1" ht="16.5" customHeight="1" x14ac:dyDescent="0.3">
      <c r="A9" s="1051" t="s">
        <v>19</v>
      </c>
      <c r="B9" s="1052" t="s">
        <v>20</v>
      </c>
      <c r="C9" s="308" t="s">
        <v>252</v>
      </c>
      <c r="D9" s="1060">
        <v>9</v>
      </c>
      <c r="E9" s="1061">
        <v>7</v>
      </c>
      <c r="F9" s="1061">
        <v>2</v>
      </c>
      <c r="G9" s="1061">
        <v>0</v>
      </c>
      <c r="H9" s="1061">
        <v>0</v>
      </c>
      <c r="I9" s="1061">
        <v>0</v>
      </c>
      <c r="J9" s="1061">
        <v>0</v>
      </c>
      <c r="K9" s="1061">
        <v>0</v>
      </c>
      <c r="L9" s="1062">
        <v>0</v>
      </c>
      <c r="M9" s="636">
        <f t="shared" si="2"/>
        <v>0</v>
      </c>
      <c r="N9" s="636"/>
      <c r="O9" s="636">
        <v>0</v>
      </c>
      <c r="P9" s="636">
        <v>7</v>
      </c>
      <c r="Q9" s="636">
        <v>1</v>
      </c>
      <c r="R9" s="636">
        <v>1</v>
      </c>
      <c r="S9" s="963">
        <v>0</v>
      </c>
      <c r="T9" s="963">
        <v>0</v>
      </c>
      <c r="U9" s="963">
        <v>0</v>
      </c>
      <c r="W9" s="636">
        <f t="shared" si="3"/>
        <v>7</v>
      </c>
      <c r="X9" s="636">
        <f t="shared" si="4"/>
        <v>1</v>
      </c>
      <c r="Y9" s="636">
        <f t="shared" si="5"/>
        <v>1</v>
      </c>
      <c r="Z9" s="636">
        <f t="shared" si="6"/>
        <v>0</v>
      </c>
      <c r="AA9" s="963">
        <f t="shared" si="7"/>
        <v>0</v>
      </c>
    </row>
    <row r="10" spans="1:27" s="963" customFormat="1" ht="16.5" customHeight="1" x14ac:dyDescent="0.3">
      <c r="A10" s="1051" t="s">
        <v>21</v>
      </c>
      <c r="B10" s="1052" t="s">
        <v>22</v>
      </c>
      <c r="C10" s="308" t="s">
        <v>252</v>
      </c>
      <c r="D10" s="1060">
        <v>2</v>
      </c>
      <c r="E10" s="1061">
        <v>2</v>
      </c>
      <c r="F10" s="1061">
        <v>0</v>
      </c>
      <c r="G10" s="1061">
        <v>0</v>
      </c>
      <c r="H10" s="1061">
        <v>0</v>
      </c>
      <c r="I10" s="1061">
        <v>0</v>
      </c>
      <c r="J10" s="1061">
        <v>0</v>
      </c>
      <c r="K10" s="1061">
        <v>0</v>
      </c>
      <c r="L10" s="1062">
        <v>0</v>
      </c>
      <c r="M10" s="636">
        <f t="shared" si="2"/>
        <v>0</v>
      </c>
      <c r="N10" s="373"/>
      <c r="O10" s="636">
        <v>0</v>
      </c>
      <c r="P10" s="636">
        <v>1</v>
      </c>
      <c r="Q10" s="636">
        <v>0</v>
      </c>
      <c r="R10" s="636">
        <v>1</v>
      </c>
      <c r="S10" s="963">
        <v>0</v>
      </c>
      <c r="T10" s="963">
        <v>0</v>
      </c>
      <c r="U10" s="963">
        <v>0</v>
      </c>
      <c r="W10" s="636">
        <f t="shared" si="3"/>
        <v>1</v>
      </c>
      <c r="X10" s="636">
        <f t="shared" si="4"/>
        <v>0</v>
      </c>
      <c r="Y10" s="636">
        <f t="shared" si="5"/>
        <v>1</v>
      </c>
      <c r="Z10" s="636">
        <f t="shared" si="6"/>
        <v>0</v>
      </c>
      <c r="AA10" s="963">
        <f t="shared" si="7"/>
        <v>0</v>
      </c>
    </row>
    <row r="11" spans="1:27" s="963" customFormat="1" ht="16.5" customHeight="1" x14ac:dyDescent="0.3">
      <c r="A11" s="1051" t="s">
        <v>23</v>
      </c>
      <c r="B11" s="1052" t="s">
        <v>24</v>
      </c>
      <c r="C11" s="308" t="s">
        <v>254</v>
      </c>
      <c r="D11" s="1060">
        <v>8</v>
      </c>
      <c r="E11" s="1061">
        <v>1</v>
      </c>
      <c r="F11" s="1061">
        <v>3</v>
      </c>
      <c r="G11" s="1061">
        <v>1</v>
      </c>
      <c r="H11" s="1061">
        <v>0</v>
      </c>
      <c r="I11" s="1061">
        <v>0</v>
      </c>
      <c r="J11" s="1061">
        <v>0</v>
      </c>
      <c r="K11" s="1061">
        <v>3</v>
      </c>
      <c r="L11" s="1062">
        <v>0</v>
      </c>
      <c r="M11" s="636">
        <f t="shared" si="2"/>
        <v>4</v>
      </c>
      <c r="N11" s="636"/>
      <c r="O11" s="636">
        <v>0</v>
      </c>
      <c r="P11" s="636">
        <v>5</v>
      </c>
      <c r="Q11" s="636">
        <v>1</v>
      </c>
      <c r="R11" s="636">
        <v>1</v>
      </c>
      <c r="S11" s="963">
        <v>1</v>
      </c>
      <c r="T11" s="963">
        <v>0</v>
      </c>
      <c r="U11" s="963">
        <v>0</v>
      </c>
      <c r="W11" s="636">
        <f t="shared" si="3"/>
        <v>5</v>
      </c>
      <c r="X11" s="636">
        <f t="shared" si="4"/>
        <v>1</v>
      </c>
      <c r="Y11" s="636">
        <f t="shared" si="5"/>
        <v>1</v>
      </c>
      <c r="Z11" s="636">
        <f t="shared" si="6"/>
        <v>1</v>
      </c>
      <c r="AA11" s="963">
        <f t="shared" si="7"/>
        <v>0</v>
      </c>
    </row>
    <row r="12" spans="1:27" s="963" customFormat="1" ht="16.5" customHeight="1" x14ac:dyDescent="0.3">
      <c r="A12" s="1051" t="s">
        <v>25</v>
      </c>
      <c r="B12" s="1052" t="s">
        <v>444</v>
      </c>
      <c r="C12" s="308" t="s">
        <v>252</v>
      </c>
      <c r="D12" s="1060">
        <v>21</v>
      </c>
      <c r="E12" s="1061">
        <v>20</v>
      </c>
      <c r="F12" s="1061">
        <v>0</v>
      </c>
      <c r="G12" s="1061">
        <v>0</v>
      </c>
      <c r="H12" s="1061">
        <v>0</v>
      </c>
      <c r="I12" s="1061">
        <v>0</v>
      </c>
      <c r="J12" s="1061">
        <v>1</v>
      </c>
      <c r="K12" s="1061">
        <v>0</v>
      </c>
      <c r="L12" s="1062">
        <v>0</v>
      </c>
      <c r="M12" s="636">
        <f t="shared" si="2"/>
        <v>1</v>
      </c>
      <c r="N12" s="373"/>
      <c r="O12" s="636">
        <v>0</v>
      </c>
      <c r="P12" s="636">
        <v>3</v>
      </c>
      <c r="Q12" s="373">
        <v>12</v>
      </c>
      <c r="R12" s="636">
        <v>5</v>
      </c>
      <c r="S12" s="963">
        <v>1</v>
      </c>
      <c r="T12" s="963">
        <v>0</v>
      </c>
      <c r="U12" s="963">
        <v>0</v>
      </c>
      <c r="W12" s="636">
        <f t="shared" si="3"/>
        <v>3</v>
      </c>
      <c r="X12" s="636">
        <f t="shared" si="4"/>
        <v>12</v>
      </c>
      <c r="Y12" s="636">
        <f t="shared" si="5"/>
        <v>5</v>
      </c>
      <c r="Z12" s="636">
        <f t="shared" si="6"/>
        <v>1</v>
      </c>
      <c r="AA12" s="963">
        <f t="shared" si="7"/>
        <v>0</v>
      </c>
    </row>
    <row r="13" spans="1:27" s="963" customFormat="1" ht="16.5" customHeight="1" x14ac:dyDescent="0.3">
      <c r="A13" s="1051" t="s">
        <v>26</v>
      </c>
      <c r="B13" s="1052" t="s">
        <v>27</v>
      </c>
      <c r="C13" s="313" t="s">
        <v>252</v>
      </c>
      <c r="D13" s="1060">
        <v>0</v>
      </c>
      <c r="E13" s="1061">
        <v>0</v>
      </c>
      <c r="F13" s="1063">
        <v>0</v>
      </c>
      <c r="G13" s="1063">
        <v>0</v>
      </c>
      <c r="H13" s="1063">
        <v>0</v>
      </c>
      <c r="I13" s="1063">
        <v>0</v>
      </c>
      <c r="J13" s="1064">
        <v>0</v>
      </c>
      <c r="K13" s="1064">
        <v>0</v>
      </c>
      <c r="L13" s="1065">
        <v>0</v>
      </c>
      <c r="M13" s="636">
        <f t="shared" si="2"/>
        <v>0</v>
      </c>
      <c r="N13" s="373"/>
      <c r="O13" s="636">
        <v>0</v>
      </c>
      <c r="P13" s="636">
        <v>0</v>
      </c>
      <c r="Q13" s="636">
        <v>0</v>
      </c>
      <c r="R13" s="636">
        <v>0</v>
      </c>
      <c r="S13" s="963">
        <v>0</v>
      </c>
      <c r="T13" s="963">
        <v>0</v>
      </c>
      <c r="U13" s="963">
        <v>0</v>
      </c>
      <c r="W13" s="636">
        <f t="shared" si="3"/>
        <v>0</v>
      </c>
      <c r="X13" s="636">
        <f t="shared" si="4"/>
        <v>0</v>
      </c>
      <c r="Y13" s="636">
        <f t="shared" si="5"/>
        <v>0</v>
      </c>
      <c r="Z13" s="636">
        <f t="shared" si="6"/>
        <v>0</v>
      </c>
      <c r="AA13" s="963">
        <f t="shared" si="7"/>
        <v>0</v>
      </c>
    </row>
    <row r="14" spans="1:27" s="963" customFormat="1" ht="16.5" customHeight="1" x14ac:dyDescent="0.3">
      <c r="A14" s="1051" t="s">
        <v>28</v>
      </c>
      <c r="B14" s="1052" t="s">
        <v>568</v>
      </c>
      <c r="C14" s="313" t="s">
        <v>252</v>
      </c>
      <c r="D14" s="1060">
        <v>7</v>
      </c>
      <c r="E14" s="1061">
        <v>5</v>
      </c>
      <c r="F14" s="1061">
        <v>0</v>
      </c>
      <c r="G14" s="1061">
        <v>0</v>
      </c>
      <c r="H14" s="1061">
        <v>0</v>
      </c>
      <c r="I14" s="1061">
        <v>0</v>
      </c>
      <c r="J14" s="1061">
        <v>1</v>
      </c>
      <c r="K14" s="1061">
        <v>1</v>
      </c>
      <c r="L14" s="1062">
        <v>0</v>
      </c>
      <c r="M14" s="636">
        <f t="shared" si="2"/>
        <v>2</v>
      </c>
      <c r="N14" s="373"/>
      <c r="O14" s="636">
        <v>1</v>
      </c>
      <c r="P14" s="636">
        <v>2</v>
      </c>
      <c r="Q14" s="636">
        <v>1</v>
      </c>
      <c r="R14" s="636">
        <v>2</v>
      </c>
      <c r="S14" s="963">
        <v>1</v>
      </c>
      <c r="T14" s="963">
        <v>0</v>
      </c>
      <c r="U14" s="963">
        <v>0</v>
      </c>
      <c r="W14" s="636">
        <f t="shared" si="3"/>
        <v>3</v>
      </c>
      <c r="X14" s="636">
        <f t="shared" si="4"/>
        <v>1</v>
      </c>
      <c r="Y14" s="636">
        <f t="shared" si="5"/>
        <v>2</v>
      </c>
      <c r="Z14" s="636">
        <f t="shared" si="6"/>
        <v>1</v>
      </c>
      <c r="AA14" s="963">
        <f t="shared" si="7"/>
        <v>0</v>
      </c>
    </row>
    <row r="15" spans="1:27" s="963" customFormat="1" ht="16.5" customHeight="1" x14ac:dyDescent="0.3">
      <c r="A15" s="1051" t="s">
        <v>29</v>
      </c>
      <c r="B15" s="1052" t="s">
        <v>30</v>
      </c>
      <c r="C15" s="313" t="s">
        <v>255</v>
      </c>
      <c r="D15" s="1060">
        <v>0</v>
      </c>
      <c r="E15" s="1061">
        <v>0</v>
      </c>
      <c r="F15" s="1061">
        <v>0</v>
      </c>
      <c r="G15" s="1061">
        <v>0</v>
      </c>
      <c r="H15" s="1061">
        <v>0</v>
      </c>
      <c r="I15" s="1061">
        <v>0</v>
      </c>
      <c r="J15" s="1061">
        <v>0</v>
      </c>
      <c r="K15" s="1061">
        <v>0</v>
      </c>
      <c r="L15" s="1062">
        <v>0</v>
      </c>
      <c r="M15" s="373">
        <f t="shared" si="2"/>
        <v>0</v>
      </c>
      <c r="N15" s="373"/>
      <c r="O15" s="636">
        <v>0</v>
      </c>
      <c r="P15" s="636">
        <v>0</v>
      </c>
      <c r="Q15" s="636">
        <v>0</v>
      </c>
      <c r="R15" s="636">
        <v>0</v>
      </c>
      <c r="S15" s="963">
        <v>0</v>
      </c>
      <c r="T15" s="963">
        <v>0</v>
      </c>
      <c r="U15" s="963">
        <v>0</v>
      </c>
      <c r="W15" s="636">
        <f t="shared" si="3"/>
        <v>0</v>
      </c>
      <c r="X15" s="636">
        <f t="shared" si="4"/>
        <v>0</v>
      </c>
      <c r="Y15" s="636">
        <f t="shared" si="5"/>
        <v>0</v>
      </c>
      <c r="Z15" s="636">
        <f t="shared" si="6"/>
        <v>0</v>
      </c>
      <c r="AA15" s="963">
        <f t="shared" si="7"/>
        <v>0</v>
      </c>
    </row>
    <row r="16" spans="1:27" s="963" customFormat="1" ht="16.5" customHeight="1" x14ac:dyDescent="0.3">
      <c r="A16" s="1051" t="s">
        <v>31</v>
      </c>
      <c r="B16" s="1052" t="s">
        <v>32</v>
      </c>
      <c r="C16" s="313" t="s">
        <v>252</v>
      </c>
      <c r="D16" s="1060">
        <v>0</v>
      </c>
      <c r="E16" s="1061">
        <v>0</v>
      </c>
      <c r="F16" s="1061">
        <v>0</v>
      </c>
      <c r="G16" s="1061">
        <v>0</v>
      </c>
      <c r="H16" s="1061">
        <v>0</v>
      </c>
      <c r="I16" s="1061">
        <v>0</v>
      </c>
      <c r="J16" s="1061">
        <v>0</v>
      </c>
      <c r="K16" s="1061">
        <v>0</v>
      </c>
      <c r="L16" s="1062">
        <v>0</v>
      </c>
      <c r="M16" s="636">
        <f t="shared" si="2"/>
        <v>0</v>
      </c>
      <c r="N16" s="373"/>
      <c r="O16" s="636">
        <v>0</v>
      </c>
      <c r="P16" s="636">
        <v>0</v>
      </c>
      <c r="Q16" s="636">
        <v>0</v>
      </c>
      <c r="R16" s="636">
        <v>0</v>
      </c>
      <c r="S16" s="963">
        <v>0</v>
      </c>
      <c r="T16" s="963">
        <v>0</v>
      </c>
      <c r="U16" s="963">
        <v>0</v>
      </c>
      <c r="W16" s="636">
        <f t="shared" si="3"/>
        <v>0</v>
      </c>
      <c r="X16" s="636">
        <f t="shared" si="4"/>
        <v>0</v>
      </c>
      <c r="Y16" s="636">
        <f t="shared" si="5"/>
        <v>0</v>
      </c>
      <c r="Z16" s="636">
        <f t="shared" si="6"/>
        <v>0</v>
      </c>
      <c r="AA16" s="963">
        <f t="shared" si="7"/>
        <v>0</v>
      </c>
    </row>
    <row r="17" spans="1:27" s="963" customFormat="1" ht="16.5" customHeight="1" x14ac:dyDescent="0.3">
      <c r="A17" s="1051" t="s">
        <v>35</v>
      </c>
      <c r="B17" s="1052" t="s">
        <v>36</v>
      </c>
      <c r="C17" s="313" t="s">
        <v>251</v>
      </c>
      <c r="D17" s="1060">
        <v>1</v>
      </c>
      <c r="E17" s="1061">
        <v>1</v>
      </c>
      <c r="F17" s="1061">
        <v>0</v>
      </c>
      <c r="G17" s="1061">
        <v>0</v>
      </c>
      <c r="H17" s="1061">
        <v>0</v>
      </c>
      <c r="I17" s="1061">
        <v>0</v>
      </c>
      <c r="J17" s="1061">
        <v>0</v>
      </c>
      <c r="K17" s="1061">
        <v>0</v>
      </c>
      <c r="L17" s="1062">
        <v>0</v>
      </c>
      <c r="M17" s="636">
        <f t="shared" si="2"/>
        <v>0</v>
      </c>
      <c r="N17" s="636"/>
      <c r="O17" s="636">
        <v>0</v>
      </c>
      <c r="P17" s="636">
        <v>0</v>
      </c>
      <c r="Q17" s="636">
        <v>1</v>
      </c>
      <c r="R17" s="636">
        <v>0</v>
      </c>
      <c r="S17" s="963">
        <v>0</v>
      </c>
      <c r="T17" s="963">
        <v>0</v>
      </c>
      <c r="U17" s="963">
        <v>0</v>
      </c>
      <c r="W17" s="636">
        <f t="shared" si="3"/>
        <v>0</v>
      </c>
      <c r="X17" s="636">
        <f t="shared" si="4"/>
        <v>1</v>
      </c>
      <c r="Y17" s="636">
        <f t="shared" si="5"/>
        <v>0</v>
      </c>
      <c r="Z17" s="636">
        <f t="shared" si="6"/>
        <v>0</v>
      </c>
      <c r="AA17" s="963">
        <f t="shared" si="7"/>
        <v>0</v>
      </c>
    </row>
    <row r="18" spans="1:27" s="963" customFormat="1" ht="16.5" customHeight="1" x14ac:dyDescent="0.3">
      <c r="A18" s="1051" t="s">
        <v>37</v>
      </c>
      <c r="B18" s="1052" t="s">
        <v>38</v>
      </c>
      <c r="C18" s="313" t="s">
        <v>255</v>
      </c>
      <c r="D18" s="1060">
        <v>4</v>
      </c>
      <c r="E18" s="1061">
        <v>4</v>
      </c>
      <c r="F18" s="1061">
        <v>0</v>
      </c>
      <c r="G18" s="1061">
        <v>0</v>
      </c>
      <c r="H18" s="1061">
        <v>0</v>
      </c>
      <c r="I18" s="1061">
        <v>0</v>
      </c>
      <c r="J18" s="1061">
        <v>0</v>
      </c>
      <c r="K18" s="1061">
        <v>0</v>
      </c>
      <c r="L18" s="1062">
        <v>0</v>
      </c>
      <c r="M18" s="636">
        <f t="shared" si="2"/>
        <v>0</v>
      </c>
      <c r="N18" s="373"/>
      <c r="O18" s="636">
        <v>0</v>
      </c>
      <c r="P18" s="636">
        <v>3</v>
      </c>
      <c r="Q18" s="636">
        <v>0</v>
      </c>
      <c r="R18" s="636">
        <v>1</v>
      </c>
      <c r="S18" s="963">
        <v>0</v>
      </c>
      <c r="T18" s="963">
        <v>0</v>
      </c>
      <c r="U18" s="963">
        <v>0</v>
      </c>
      <c r="W18" s="636">
        <f t="shared" si="3"/>
        <v>3</v>
      </c>
      <c r="X18" s="636">
        <f t="shared" si="4"/>
        <v>0</v>
      </c>
      <c r="Y18" s="636">
        <f t="shared" si="5"/>
        <v>1</v>
      </c>
      <c r="Z18" s="636">
        <f t="shared" si="6"/>
        <v>0</v>
      </c>
      <c r="AA18" s="963">
        <f t="shared" si="7"/>
        <v>0</v>
      </c>
    </row>
    <row r="19" spans="1:27" s="963" customFormat="1" ht="16.5" customHeight="1" x14ac:dyDescent="0.3">
      <c r="A19" s="1051" t="s">
        <v>39</v>
      </c>
      <c r="B19" s="1052" t="s">
        <v>40</v>
      </c>
      <c r="C19" s="313" t="s">
        <v>253</v>
      </c>
      <c r="D19" s="1060">
        <v>1</v>
      </c>
      <c r="E19" s="1061">
        <v>0</v>
      </c>
      <c r="F19" s="1061">
        <v>1</v>
      </c>
      <c r="G19" s="1061">
        <v>0</v>
      </c>
      <c r="H19" s="1061">
        <v>0</v>
      </c>
      <c r="I19" s="1061">
        <v>0</v>
      </c>
      <c r="J19" s="1061">
        <v>0</v>
      </c>
      <c r="K19" s="1061">
        <v>0</v>
      </c>
      <c r="L19" s="1062">
        <v>0</v>
      </c>
      <c r="M19" s="636">
        <f t="shared" si="2"/>
        <v>0</v>
      </c>
      <c r="N19" s="636"/>
      <c r="O19" s="636">
        <v>0</v>
      </c>
      <c r="P19" s="636">
        <v>0</v>
      </c>
      <c r="Q19" s="636">
        <v>0</v>
      </c>
      <c r="R19" s="636">
        <v>1</v>
      </c>
      <c r="S19" s="963">
        <v>0</v>
      </c>
      <c r="T19" s="963">
        <v>0</v>
      </c>
      <c r="U19" s="963">
        <v>0</v>
      </c>
      <c r="W19" s="636">
        <f t="shared" si="3"/>
        <v>0</v>
      </c>
      <c r="X19" s="636">
        <f t="shared" si="4"/>
        <v>0</v>
      </c>
      <c r="Y19" s="636">
        <f t="shared" si="5"/>
        <v>1</v>
      </c>
      <c r="Z19" s="636">
        <f t="shared" si="6"/>
        <v>0</v>
      </c>
      <c r="AA19" s="963">
        <f t="shared" si="7"/>
        <v>0</v>
      </c>
    </row>
    <row r="20" spans="1:27" s="963" customFormat="1" ht="16.5" customHeight="1" x14ac:dyDescent="0.3">
      <c r="A20" s="1051" t="s">
        <v>41</v>
      </c>
      <c r="B20" s="1052" t="s">
        <v>42</v>
      </c>
      <c r="C20" s="313" t="s">
        <v>252</v>
      </c>
      <c r="D20" s="1060">
        <v>8</v>
      </c>
      <c r="E20" s="1061">
        <v>8</v>
      </c>
      <c r="F20" s="1061">
        <v>0</v>
      </c>
      <c r="G20" s="1061">
        <v>0</v>
      </c>
      <c r="H20" s="1061">
        <v>0</v>
      </c>
      <c r="I20" s="1061">
        <v>0</v>
      </c>
      <c r="J20" s="1061">
        <v>0</v>
      </c>
      <c r="K20" s="1061">
        <v>0</v>
      </c>
      <c r="L20" s="1062">
        <v>0</v>
      </c>
      <c r="M20" s="636">
        <f t="shared" si="2"/>
        <v>0</v>
      </c>
      <c r="N20" s="373"/>
      <c r="O20" s="636">
        <v>0</v>
      </c>
      <c r="P20" s="636">
        <v>3</v>
      </c>
      <c r="Q20" s="636">
        <v>3</v>
      </c>
      <c r="R20" s="636">
        <v>1</v>
      </c>
      <c r="S20" s="963">
        <v>1</v>
      </c>
      <c r="T20" s="963">
        <v>0</v>
      </c>
      <c r="U20" s="963">
        <v>0</v>
      </c>
      <c r="W20" s="636">
        <f t="shared" si="3"/>
        <v>3</v>
      </c>
      <c r="X20" s="636">
        <f t="shared" si="4"/>
        <v>3</v>
      </c>
      <c r="Y20" s="636">
        <f t="shared" si="5"/>
        <v>1</v>
      </c>
      <c r="Z20" s="636">
        <f t="shared" si="6"/>
        <v>1</v>
      </c>
      <c r="AA20" s="963">
        <f t="shared" si="7"/>
        <v>0</v>
      </c>
    </row>
    <row r="21" spans="1:27" s="963" customFormat="1" ht="16.5" customHeight="1" x14ac:dyDescent="0.3">
      <c r="A21" s="1051" t="s">
        <v>43</v>
      </c>
      <c r="B21" s="1052" t="s">
        <v>44</v>
      </c>
      <c r="C21" s="313" t="s">
        <v>253</v>
      </c>
      <c r="D21" s="1060">
        <v>5</v>
      </c>
      <c r="E21" s="1061">
        <v>3</v>
      </c>
      <c r="F21" s="1061">
        <v>0</v>
      </c>
      <c r="G21" s="1061">
        <v>0</v>
      </c>
      <c r="H21" s="1061">
        <v>0</v>
      </c>
      <c r="I21" s="1061">
        <v>0</v>
      </c>
      <c r="J21" s="1061">
        <v>2</v>
      </c>
      <c r="K21" s="1061">
        <v>0</v>
      </c>
      <c r="L21" s="1062">
        <v>0</v>
      </c>
      <c r="M21" s="636">
        <f t="shared" si="2"/>
        <v>2</v>
      </c>
      <c r="N21" s="636"/>
      <c r="O21" s="636">
        <v>0</v>
      </c>
      <c r="P21" s="636">
        <v>1</v>
      </c>
      <c r="Q21" s="636">
        <v>0</v>
      </c>
      <c r="R21" s="636">
        <v>2</v>
      </c>
      <c r="S21" s="963">
        <v>2</v>
      </c>
      <c r="T21" s="963">
        <v>0</v>
      </c>
      <c r="U21" s="963">
        <v>0</v>
      </c>
      <c r="W21" s="636">
        <f t="shared" si="3"/>
        <v>1</v>
      </c>
      <c r="X21" s="636">
        <f t="shared" si="4"/>
        <v>0</v>
      </c>
      <c r="Y21" s="636">
        <f t="shared" si="5"/>
        <v>2</v>
      </c>
      <c r="Z21" s="636">
        <f t="shared" si="6"/>
        <v>2</v>
      </c>
      <c r="AA21" s="963">
        <f t="shared" si="7"/>
        <v>0</v>
      </c>
    </row>
    <row r="22" spans="1:27" s="963" customFormat="1" ht="16.5" customHeight="1" x14ac:dyDescent="0.3">
      <c r="A22" s="1051" t="s">
        <v>45</v>
      </c>
      <c r="B22" s="1052" t="s">
        <v>46</v>
      </c>
      <c r="C22" s="313" t="s">
        <v>255</v>
      </c>
      <c r="D22" s="1060">
        <v>25</v>
      </c>
      <c r="E22" s="1061">
        <v>25</v>
      </c>
      <c r="F22" s="1061">
        <v>0</v>
      </c>
      <c r="G22" s="1061">
        <v>0</v>
      </c>
      <c r="H22" s="1061">
        <v>0</v>
      </c>
      <c r="I22" s="1061">
        <v>0</v>
      </c>
      <c r="J22" s="1061">
        <v>0</v>
      </c>
      <c r="K22" s="1061">
        <v>0</v>
      </c>
      <c r="L22" s="1062">
        <v>0</v>
      </c>
      <c r="M22" s="373">
        <f t="shared" si="2"/>
        <v>0</v>
      </c>
      <c r="N22" s="373"/>
      <c r="O22" s="636">
        <v>1</v>
      </c>
      <c r="P22" s="636">
        <v>14</v>
      </c>
      <c r="Q22" s="636">
        <v>5</v>
      </c>
      <c r="R22" s="636">
        <v>2</v>
      </c>
      <c r="S22" s="963">
        <v>3</v>
      </c>
      <c r="T22" s="963">
        <v>0</v>
      </c>
      <c r="U22" s="963">
        <v>0</v>
      </c>
      <c r="W22" s="636">
        <f t="shared" si="3"/>
        <v>15</v>
      </c>
      <c r="X22" s="636">
        <f t="shared" si="4"/>
        <v>5</v>
      </c>
      <c r="Y22" s="636">
        <f t="shared" si="5"/>
        <v>2</v>
      </c>
      <c r="Z22" s="636">
        <f t="shared" si="6"/>
        <v>3</v>
      </c>
      <c r="AA22" s="963">
        <f t="shared" si="7"/>
        <v>0</v>
      </c>
    </row>
    <row r="23" spans="1:27" s="963" customFormat="1" ht="16.5" customHeight="1" x14ac:dyDescent="0.3">
      <c r="A23" s="1051" t="s">
        <v>47</v>
      </c>
      <c r="B23" s="1052" t="s">
        <v>256</v>
      </c>
      <c r="C23" s="313" t="s">
        <v>253</v>
      </c>
      <c r="D23" s="1060">
        <v>0</v>
      </c>
      <c r="E23" s="1061">
        <v>0</v>
      </c>
      <c r="F23" s="1063">
        <v>0</v>
      </c>
      <c r="G23" s="1063">
        <v>0</v>
      </c>
      <c r="H23" s="1063">
        <v>0</v>
      </c>
      <c r="I23" s="1063">
        <v>0</v>
      </c>
      <c r="J23" s="1064">
        <v>0</v>
      </c>
      <c r="K23" s="1064">
        <v>0</v>
      </c>
      <c r="L23" s="1065">
        <v>0</v>
      </c>
      <c r="M23" s="636">
        <f t="shared" si="2"/>
        <v>0</v>
      </c>
      <c r="N23" s="373"/>
      <c r="O23" s="636">
        <v>0</v>
      </c>
      <c r="P23" s="636">
        <v>0</v>
      </c>
      <c r="Q23" s="636">
        <v>0</v>
      </c>
      <c r="R23" s="636">
        <v>0</v>
      </c>
      <c r="S23" s="963">
        <v>0</v>
      </c>
      <c r="T23" s="963">
        <v>0</v>
      </c>
      <c r="U23" s="963">
        <v>0</v>
      </c>
      <c r="W23" s="636">
        <f t="shared" si="3"/>
        <v>0</v>
      </c>
      <c r="X23" s="636">
        <f t="shared" si="4"/>
        <v>0</v>
      </c>
      <c r="Y23" s="636">
        <f t="shared" si="5"/>
        <v>0</v>
      </c>
      <c r="Z23" s="636">
        <f t="shared" si="6"/>
        <v>0</v>
      </c>
      <c r="AA23" s="963">
        <f t="shared" si="7"/>
        <v>0</v>
      </c>
    </row>
    <row r="24" spans="1:27" s="963" customFormat="1" ht="16.5" customHeight="1" x14ac:dyDescent="0.3">
      <c r="A24" s="1051" t="s">
        <v>49</v>
      </c>
      <c r="B24" s="1052" t="s">
        <v>50</v>
      </c>
      <c r="C24" s="313" t="s">
        <v>252</v>
      </c>
      <c r="D24" s="1060">
        <v>3</v>
      </c>
      <c r="E24" s="1061">
        <v>2</v>
      </c>
      <c r="F24" s="1061">
        <v>1</v>
      </c>
      <c r="G24" s="1061">
        <v>0</v>
      </c>
      <c r="H24" s="1061">
        <v>0</v>
      </c>
      <c r="I24" s="1061">
        <v>0</v>
      </c>
      <c r="J24" s="1061">
        <v>0</v>
      </c>
      <c r="K24" s="1061">
        <v>0</v>
      </c>
      <c r="L24" s="1062">
        <v>0</v>
      </c>
      <c r="M24" s="636">
        <f t="shared" si="2"/>
        <v>0</v>
      </c>
      <c r="N24" s="373"/>
      <c r="O24" s="636">
        <v>0</v>
      </c>
      <c r="P24" s="636">
        <v>0</v>
      </c>
      <c r="Q24" s="636">
        <v>1</v>
      </c>
      <c r="R24" s="636">
        <v>2</v>
      </c>
      <c r="S24" s="963">
        <v>0</v>
      </c>
      <c r="T24" s="963">
        <v>0</v>
      </c>
      <c r="U24" s="963">
        <v>0</v>
      </c>
      <c r="W24" s="636">
        <f t="shared" si="3"/>
        <v>0</v>
      </c>
      <c r="X24" s="636">
        <f t="shared" si="4"/>
        <v>1</v>
      </c>
      <c r="Y24" s="636">
        <f t="shared" si="5"/>
        <v>2</v>
      </c>
      <c r="Z24" s="636">
        <f t="shared" si="6"/>
        <v>0</v>
      </c>
      <c r="AA24" s="963">
        <f t="shared" si="7"/>
        <v>0</v>
      </c>
    </row>
    <row r="25" spans="1:27" s="963" customFormat="1" ht="16.5" customHeight="1" x14ac:dyDescent="0.3">
      <c r="A25" s="1051" t="s">
        <v>55</v>
      </c>
      <c r="B25" s="1052" t="s">
        <v>271</v>
      </c>
      <c r="C25" s="313" t="s">
        <v>253</v>
      </c>
      <c r="D25" s="1060">
        <v>9</v>
      </c>
      <c r="E25" s="1061">
        <v>5</v>
      </c>
      <c r="F25" s="1061">
        <v>3</v>
      </c>
      <c r="G25" s="1061">
        <v>0</v>
      </c>
      <c r="H25" s="1061">
        <v>0</v>
      </c>
      <c r="I25" s="1061">
        <v>0</v>
      </c>
      <c r="J25" s="1061">
        <v>1</v>
      </c>
      <c r="K25" s="1061">
        <v>0</v>
      </c>
      <c r="L25" s="1062">
        <v>0</v>
      </c>
      <c r="M25" s="636">
        <f t="shared" si="2"/>
        <v>1</v>
      </c>
      <c r="N25" s="636"/>
      <c r="O25" s="636">
        <v>0</v>
      </c>
      <c r="P25" s="636">
        <v>4</v>
      </c>
      <c r="Q25" s="636">
        <v>2</v>
      </c>
      <c r="R25" s="636">
        <v>2</v>
      </c>
      <c r="S25" s="963">
        <v>1</v>
      </c>
      <c r="T25" s="963">
        <v>0</v>
      </c>
      <c r="U25" s="963">
        <v>0</v>
      </c>
      <c r="W25" s="636">
        <f t="shared" si="3"/>
        <v>4</v>
      </c>
      <c r="X25" s="636">
        <f t="shared" si="4"/>
        <v>2</v>
      </c>
      <c r="Y25" s="636">
        <f t="shared" si="5"/>
        <v>2</v>
      </c>
      <c r="Z25" s="636">
        <f t="shared" si="6"/>
        <v>1</v>
      </c>
      <c r="AA25" s="963">
        <f t="shared" si="7"/>
        <v>0</v>
      </c>
    </row>
    <row r="26" spans="1:27" s="963" customFormat="1" ht="16.5" customHeight="1" x14ac:dyDescent="0.3">
      <c r="A26" s="1051" t="s">
        <v>57</v>
      </c>
      <c r="B26" s="1052" t="s">
        <v>58</v>
      </c>
      <c r="C26" s="313" t="s">
        <v>254</v>
      </c>
      <c r="D26" s="1066">
        <v>1</v>
      </c>
      <c r="E26" s="1063">
        <v>1</v>
      </c>
      <c r="F26" s="1063">
        <v>0</v>
      </c>
      <c r="G26" s="1063">
        <v>0</v>
      </c>
      <c r="H26" s="1063">
        <v>0</v>
      </c>
      <c r="I26" s="1063">
        <v>0</v>
      </c>
      <c r="J26" s="1064">
        <v>0</v>
      </c>
      <c r="K26" s="1064">
        <v>0</v>
      </c>
      <c r="L26" s="1065">
        <v>0</v>
      </c>
      <c r="M26" s="636">
        <f t="shared" si="2"/>
        <v>0</v>
      </c>
      <c r="N26" s="373"/>
      <c r="O26" s="636">
        <v>0</v>
      </c>
      <c r="P26" s="636">
        <v>0</v>
      </c>
      <c r="Q26" s="636">
        <v>1</v>
      </c>
      <c r="R26" s="636">
        <v>0</v>
      </c>
      <c r="S26" s="963">
        <v>0</v>
      </c>
      <c r="T26" s="963">
        <v>0</v>
      </c>
      <c r="U26" s="963">
        <v>0</v>
      </c>
      <c r="W26" s="636">
        <f t="shared" si="3"/>
        <v>0</v>
      </c>
      <c r="X26" s="636">
        <f t="shared" si="4"/>
        <v>1</v>
      </c>
      <c r="Y26" s="636">
        <f t="shared" si="5"/>
        <v>0</v>
      </c>
      <c r="Z26" s="636">
        <f t="shared" si="6"/>
        <v>0</v>
      </c>
      <c r="AA26" s="963">
        <f t="shared" si="7"/>
        <v>0</v>
      </c>
    </row>
    <row r="27" spans="1:27" s="963" customFormat="1" ht="16.5" customHeight="1" x14ac:dyDescent="0.3">
      <c r="A27" s="1051" t="s">
        <v>59</v>
      </c>
      <c r="B27" s="1052" t="s">
        <v>60</v>
      </c>
      <c r="C27" s="313" t="s">
        <v>252</v>
      </c>
      <c r="D27" s="1066">
        <v>10</v>
      </c>
      <c r="E27" s="1063">
        <v>10</v>
      </c>
      <c r="F27" s="1063">
        <v>0</v>
      </c>
      <c r="G27" s="1063">
        <v>0</v>
      </c>
      <c r="H27" s="1063">
        <v>0</v>
      </c>
      <c r="I27" s="1063">
        <v>0</v>
      </c>
      <c r="J27" s="1064">
        <v>0</v>
      </c>
      <c r="K27" s="1064">
        <v>0</v>
      </c>
      <c r="L27" s="1065">
        <v>0</v>
      </c>
      <c r="M27" s="636">
        <f t="shared" si="2"/>
        <v>0</v>
      </c>
      <c r="N27" s="373"/>
      <c r="O27" s="636">
        <v>0</v>
      </c>
      <c r="P27" s="636">
        <v>3</v>
      </c>
      <c r="Q27" s="636">
        <v>5</v>
      </c>
      <c r="R27" s="636">
        <v>1</v>
      </c>
      <c r="S27" s="963">
        <v>1</v>
      </c>
      <c r="T27" s="963">
        <v>0</v>
      </c>
      <c r="U27" s="963">
        <v>0</v>
      </c>
      <c r="W27" s="636">
        <f t="shared" si="3"/>
        <v>3</v>
      </c>
      <c r="X27" s="636">
        <f t="shared" si="4"/>
        <v>5</v>
      </c>
      <c r="Y27" s="636">
        <f t="shared" si="5"/>
        <v>1</v>
      </c>
      <c r="Z27" s="636">
        <f t="shared" si="6"/>
        <v>1</v>
      </c>
      <c r="AA27" s="963">
        <f t="shared" si="7"/>
        <v>0</v>
      </c>
    </row>
    <row r="28" spans="1:27" s="963" customFormat="1" ht="16.5" customHeight="1" x14ac:dyDescent="0.3">
      <c r="A28" s="1051" t="s">
        <v>61</v>
      </c>
      <c r="B28" s="1052" t="s">
        <v>62</v>
      </c>
      <c r="C28" s="313" t="s">
        <v>254</v>
      </c>
      <c r="D28" s="1060">
        <v>11</v>
      </c>
      <c r="E28" s="1061">
        <v>2</v>
      </c>
      <c r="F28" s="1061">
        <v>4</v>
      </c>
      <c r="G28" s="1061">
        <v>0</v>
      </c>
      <c r="H28" s="1061">
        <v>0</v>
      </c>
      <c r="I28" s="1061">
        <v>0</v>
      </c>
      <c r="J28" s="1061">
        <v>1</v>
      </c>
      <c r="K28" s="1061">
        <v>4</v>
      </c>
      <c r="L28" s="1062">
        <v>0</v>
      </c>
      <c r="M28" s="636">
        <f t="shared" si="2"/>
        <v>5</v>
      </c>
      <c r="N28" s="373"/>
      <c r="O28" s="636">
        <v>0</v>
      </c>
      <c r="P28" s="636">
        <v>2</v>
      </c>
      <c r="Q28" s="636">
        <v>3</v>
      </c>
      <c r="R28" s="636">
        <v>4</v>
      </c>
      <c r="S28" s="963">
        <v>2</v>
      </c>
      <c r="T28" s="963">
        <v>0</v>
      </c>
      <c r="U28" s="963">
        <v>0</v>
      </c>
      <c r="W28" s="636">
        <f t="shared" si="3"/>
        <v>2</v>
      </c>
      <c r="X28" s="636">
        <f t="shared" si="4"/>
        <v>3</v>
      </c>
      <c r="Y28" s="636">
        <f t="shared" si="5"/>
        <v>4</v>
      </c>
      <c r="Z28" s="636">
        <f t="shared" si="6"/>
        <v>2</v>
      </c>
      <c r="AA28" s="963">
        <f t="shared" si="7"/>
        <v>0</v>
      </c>
    </row>
    <row r="29" spans="1:27" s="963" customFormat="1" ht="16.5" customHeight="1" x14ac:dyDescent="0.3">
      <c r="A29" s="1051" t="s">
        <v>63</v>
      </c>
      <c r="B29" s="1052" t="s">
        <v>64</v>
      </c>
      <c r="C29" s="313" t="s">
        <v>253</v>
      </c>
      <c r="D29" s="1060">
        <v>0</v>
      </c>
      <c r="E29" s="1061">
        <v>0</v>
      </c>
      <c r="F29" s="1061">
        <v>0</v>
      </c>
      <c r="G29" s="1061">
        <v>0</v>
      </c>
      <c r="H29" s="1061">
        <v>0</v>
      </c>
      <c r="I29" s="1061">
        <v>0</v>
      </c>
      <c r="J29" s="1061">
        <v>0</v>
      </c>
      <c r="K29" s="1061">
        <v>0</v>
      </c>
      <c r="L29" s="1062">
        <v>0</v>
      </c>
      <c r="M29" s="636">
        <f t="shared" si="2"/>
        <v>0</v>
      </c>
      <c r="N29" s="373"/>
      <c r="O29" s="636">
        <v>0</v>
      </c>
      <c r="P29" s="636">
        <v>0</v>
      </c>
      <c r="Q29" s="373">
        <v>0</v>
      </c>
      <c r="R29" s="636">
        <v>0</v>
      </c>
      <c r="S29" s="963">
        <v>0</v>
      </c>
      <c r="T29" s="963">
        <v>0</v>
      </c>
      <c r="U29" s="963">
        <v>0</v>
      </c>
      <c r="W29" s="636">
        <f t="shared" si="3"/>
        <v>0</v>
      </c>
      <c r="X29" s="636">
        <f t="shared" si="4"/>
        <v>0</v>
      </c>
      <c r="Y29" s="636">
        <f t="shared" si="5"/>
        <v>0</v>
      </c>
      <c r="Z29" s="636">
        <f t="shared" si="6"/>
        <v>0</v>
      </c>
      <c r="AA29" s="963">
        <f t="shared" si="7"/>
        <v>0</v>
      </c>
    </row>
    <row r="30" spans="1:27" s="963" customFormat="1" ht="16.5" customHeight="1" x14ac:dyDescent="0.3">
      <c r="A30" s="1051" t="s">
        <v>67</v>
      </c>
      <c r="B30" s="1052" t="s">
        <v>68</v>
      </c>
      <c r="C30" s="313" t="s">
        <v>255</v>
      </c>
      <c r="D30" s="1060">
        <v>7</v>
      </c>
      <c r="E30" s="1061">
        <v>7</v>
      </c>
      <c r="F30" s="1061">
        <v>0</v>
      </c>
      <c r="G30" s="1061">
        <v>0</v>
      </c>
      <c r="H30" s="1061">
        <v>0</v>
      </c>
      <c r="I30" s="1061">
        <v>0</v>
      </c>
      <c r="J30" s="1061">
        <v>0</v>
      </c>
      <c r="K30" s="1061">
        <v>0</v>
      </c>
      <c r="L30" s="1062">
        <v>0</v>
      </c>
      <c r="M30" s="636">
        <f t="shared" si="2"/>
        <v>0</v>
      </c>
      <c r="N30" s="636"/>
      <c r="O30" s="636">
        <v>0</v>
      </c>
      <c r="P30" s="636">
        <v>1</v>
      </c>
      <c r="Q30" s="636">
        <v>1</v>
      </c>
      <c r="R30" s="636">
        <v>3</v>
      </c>
      <c r="S30" s="963">
        <v>2</v>
      </c>
      <c r="T30" s="963">
        <v>0</v>
      </c>
      <c r="U30" s="963">
        <v>0</v>
      </c>
      <c r="W30" s="636">
        <f t="shared" si="3"/>
        <v>1</v>
      </c>
      <c r="X30" s="636">
        <f t="shared" si="4"/>
        <v>1</v>
      </c>
      <c r="Y30" s="636">
        <f t="shared" si="5"/>
        <v>3</v>
      </c>
      <c r="Z30" s="636">
        <f t="shared" si="6"/>
        <v>2</v>
      </c>
      <c r="AA30" s="963">
        <f t="shared" si="7"/>
        <v>0</v>
      </c>
    </row>
    <row r="31" spans="1:27" s="963" customFormat="1" ht="16.5" customHeight="1" x14ac:dyDescent="0.3">
      <c r="A31" s="1051" t="s">
        <v>69</v>
      </c>
      <c r="B31" s="1052" t="s">
        <v>70</v>
      </c>
      <c r="C31" s="313" t="s">
        <v>251</v>
      </c>
      <c r="D31" s="1060">
        <v>0</v>
      </c>
      <c r="E31" s="1061">
        <v>0</v>
      </c>
      <c r="F31" s="1061">
        <v>0</v>
      </c>
      <c r="G31" s="1061">
        <v>0</v>
      </c>
      <c r="H31" s="1061">
        <v>0</v>
      </c>
      <c r="I31" s="1061">
        <v>0</v>
      </c>
      <c r="J31" s="1061">
        <v>0</v>
      </c>
      <c r="K31" s="1061">
        <v>0</v>
      </c>
      <c r="L31" s="1062">
        <v>0</v>
      </c>
      <c r="M31" s="636">
        <f t="shared" si="2"/>
        <v>0</v>
      </c>
      <c r="N31" s="636"/>
      <c r="O31" s="636">
        <v>0</v>
      </c>
      <c r="P31" s="636">
        <v>0</v>
      </c>
      <c r="Q31" s="636">
        <v>0</v>
      </c>
      <c r="R31" s="636">
        <v>0</v>
      </c>
      <c r="S31" s="963">
        <v>0</v>
      </c>
      <c r="T31" s="963">
        <v>0</v>
      </c>
      <c r="U31" s="963">
        <v>0</v>
      </c>
      <c r="W31" s="636">
        <f t="shared" si="3"/>
        <v>0</v>
      </c>
      <c r="X31" s="636">
        <f t="shared" si="4"/>
        <v>0</v>
      </c>
      <c r="Y31" s="636">
        <f t="shared" si="5"/>
        <v>0</v>
      </c>
      <c r="Z31" s="636">
        <f t="shared" si="6"/>
        <v>0</v>
      </c>
      <c r="AA31" s="963">
        <f t="shared" si="7"/>
        <v>0</v>
      </c>
    </row>
    <row r="32" spans="1:27" s="963" customFormat="1" ht="16.5" customHeight="1" x14ac:dyDescent="0.3">
      <c r="A32" s="1051" t="s">
        <v>71</v>
      </c>
      <c r="B32" s="1052" t="s">
        <v>72</v>
      </c>
      <c r="C32" s="313" t="s">
        <v>253</v>
      </c>
      <c r="D32" s="1060">
        <v>1</v>
      </c>
      <c r="E32" s="1061">
        <v>0</v>
      </c>
      <c r="F32" s="1063">
        <v>0</v>
      </c>
      <c r="G32" s="1063">
        <v>0</v>
      </c>
      <c r="H32" s="1063">
        <v>0</v>
      </c>
      <c r="I32" s="1063">
        <v>0</v>
      </c>
      <c r="J32" s="1064">
        <v>0</v>
      </c>
      <c r="K32" s="1064">
        <v>0</v>
      </c>
      <c r="L32" s="1065">
        <v>1</v>
      </c>
      <c r="M32" s="636">
        <f t="shared" si="2"/>
        <v>0</v>
      </c>
      <c r="N32" s="373"/>
      <c r="O32" s="636">
        <v>0</v>
      </c>
      <c r="P32" s="636">
        <v>1</v>
      </c>
      <c r="Q32" s="636">
        <v>0</v>
      </c>
      <c r="R32" s="636">
        <v>0</v>
      </c>
      <c r="S32" s="963">
        <v>0</v>
      </c>
      <c r="T32" s="963">
        <v>0</v>
      </c>
      <c r="U32" s="963">
        <v>0</v>
      </c>
      <c r="W32" s="636">
        <f t="shared" si="3"/>
        <v>1</v>
      </c>
      <c r="X32" s="636">
        <f t="shared" si="4"/>
        <v>0</v>
      </c>
      <c r="Y32" s="636">
        <f t="shared" si="5"/>
        <v>0</v>
      </c>
      <c r="Z32" s="636">
        <f t="shared" si="6"/>
        <v>0</v>
      </c>
      <c r="AA32" s="963">
        <f t="shared" si="7"/>
        <v>0</v>
      </c>
    </row>
    <row r="33" spans="1:27" s="963" customFormat="1" ht="16.5" customHeight="1" x14ac:dyDescent="0.3">
      <c r="A33" s="1051" t="s">
        <v>73</v>
      </c>
      <c r="B33" s="1052" t="s">
        <v>277</v>
      </c>
      <c r="C33" s="313" t="s">
        <v>254</v>
      </c>
      <c r="D33" s="1060">
        <v>42</v>
      </c>
      <c r="E33" s="1061">
        <v>7</v>
      </c>
      <c r="F33" s="1061">
        <v>12</v>
      </c>
      <c r="G33" s="1061">
        <v>1</v>
      </c>
      <c r="H33" s="1061">
        <v>0</v>
      </c>
      <c r="I33" s="1061">
        <v>0</v>
      </c>
      <c r="J33" s="1061">
        <v>7</v>
      </c>
      <c r="K33" s="1061">
        <v>15</v>
      </c>
      <c r="L33" s="1062">
        <v>0</v>
      </c>
      <c r="M33" s="636">
        <f t="shared" si="2"/>
        <v>23</v>
      </c>
      <c r="N33" s="636"/>
      <c r="O33" s="636">
        <v>0</v>
      </c>
      <c r="P33" s="636">
        <v>22</v>
      </c>
      <c r="Q33" s="636">
        <v>9</v>
      </c>
      <c r="R33" s="636">
        <v>8</v>
      </c>
      <c r="S33" s="963">
        <v>3</v>
      </c>
      <c r="T33" s="963">
        <v>0</v>
      </c>
      <c r="U33" s="963">
        <v>0</v>
      </c>
      <c r="W33" s="636">
        <f t="shared" si="3"/>
        <v>22</v>
      </c>
      <c r="X33" s="636">
        <f t="shared" si="4"/>
        <v>9</v>
      </c>
      <c r="Y33" s="636">
        <f t="shared" si="5"/>
        <v>8</v>
      </c>
      <c r="Z33" s="636">
        <f t="shared" si="6"/>
        <v>3</v>
      </c>
      <c r="AA33" s="963">
        <f t="shared" si="7"/>
        <v>0</v>
      </c>
    </row>
    <row r="34" spans="1:27" s="963" customFormat="1" ht="16.5" customHeight="1" x14ac:dyDescent="0.3">
      <c r="A34" s="1051" t="s">
        <v>75</v>
      </c>
      <c r="B34" s="1052" t="s">
        <v>76</v>
      </c>
      <c r="C34" s="313" t="s">
        <v>254</v>
      </c>
      <c r="D34" s="1060">
        <v>12</v>
      </c>
      <c r="E34" s="1061">
        <v>3</v>
      </c>
      <c r="F34" s="1061">
        <v>2</v>
      </c>
      <c r="G34" s="1061">
        <v>0</v>
      </c>
      <c r="H34" s="1061">
        <v>0</v>
      </c>
      <c r="I34" s="1061">
        <v>0</v>
      </c>
      <c r="J34" s="1061">
        <v>6</v>
      </c>
      <c r="K34" s="1061">
        <v>1</v>
      </c>
      <c r="L34" s="1062">
        <v>0</v>
      </c>
      <c r="M34" s="636">
        <f t="shared" si="2"/>
        <v>7</v>
      </c>
      <c r="N34" s="373"/>
      <c r="O34" s="636">
        <v>0</v>
      </c>
      <c r="P34" s="636">
        <v>10</v>
      </c>
      <c r="Q34" s="636">
        <v>1</v>
      </c>
      <c r="R34" s="636">
        <v>1</v>
      </c>
      <c r="S34" s="963">
        <v>0</v>
      </c>
      <c r="T34" s="963">
        <v>0</v>
      </c>
      <c r="U34" s="963">
        <v>0</v>
      </c>
      <c r="W34" s="636">
        <f t="shared" si="3"/>
        <v>10</v>
      </c>
      <c r="X34" s="636">
        <f t="shared" si="4"/>
        <v>1</v>
      </c>
      <c r="Y34" s="636">
        <f t="shared" si="5"/>
        <v>1</v>
      </c>
      <c r="Z34" s="636">
        <f t="shared" si="6"/>
        <v>0</v>
      </c>
      <c r="AA34" s="963">
        <f t="shared" si="7"/>
        <v>0</v>
      </c>
    </row>
    <row r="35" spans="1:27" s="963" customFormat="1" ht="16.5" customHeight="1" x14ac:dyDescent="0.3">
      <c r="A35" s="1051" t="s">
        <v>77</v>
      </c>
      <c r="B35" s="1052" t="s">
        <v>78</v>
      </c>
      <c r="C35" s="313" t="s">
        <v>255</v>
      </c>
      <c r="D35" s="1060">
        <v>1</v>
      </c>
      <c r="E35" s="1061">
        <v>1</v>
      </c>
      <c r="F35" s="1061">
        <v>0</v>
      </c>
      <c r="G35" s="1061">
        <v>0</v>
      </c>
      <c r="H35" s="1061">
        <v>0</v>
      </c>
      <c r="I35" s="1061">
        <v>0</v>
      </c>
      <c r="J35" s="1061">
        <v>0</v>
      </c>
      <c r="K35" s="1061">
        <v>0</v>
      </c>
      <c r="L35" s="1062">
        <v>0</v>
      </c>
      <c r="M35" s="636">
        <f t="shared" si="2"/>
        <v>0</v>
      </c>
      <c r="N35" s="636"/>
      <c r="O35" s="636">
        <v>1</v>
      </c>
      <c r="P35" s="636">
        <v>0</v>
      </c>
      <c r="Q35" s="636">
        <v>0</v>
      </c>
      <c r="R35" s="636">
        <v>0</v>
      </c>
      <c r="S35" s="963">
        <v>0</v>
      </c>
      <c r="T35" s="963">
        <v>0</v>
      </c>
      <c r="U35" s="963">
        <v>0</v>
      </c>
      <c r="W35" s="636">
        <f t="shared" si="3"/>
        <v>1</v>
      </c>
      <c r="X35" s="636">
        <f t="shared" si="4"/>
        <v>0</v>
      </c>
      <c r="Y35" s="636">
        <f t="shared" si="5"/>
        <v>0</v>
      </c>
      <c r="Z35" s="636">
        <f t="shared" si="6"/>
        <v>0</v>
      </c>
      <c r="AA35" s="963">
        <f t="shared" si="7"/>
        <v>0</v>
      </c>
    </row>
    <row r="36" spans="1:27" s="963" customFormat="1" ht="16.5" customHeight="1" x14ac:dyDescent="0.3">
      <c r="A36" s="1051" t="s">
        <v>79</v>
      </c>
      <c r="B36" s="1052" t="s">
        <v>80</v>
      </c>
      <c r="C36" s="313" t="s">
        <v>253</v>
      </c>
      <c r="D36" s="1060">
        <v>4</v>
      </c>
      <c r="E36" s="1061">
        <v>3</v>
      </c>
      <c r="F36" s="1061">
        <v>1</v>
      </c>
      <c r="G36" s="1061">
        <v>0</v>
      </c>
      <c r="H36" s="1061">
        <v>0</v>
      </c>
      <c r="I36" s="1061">
        <v>0</v>
      </c>
      <c r="J36" s="1061">
        <v>0</v>
      </c>
      <c r="K36" s="1061">
        <v>0</v>
      </c>
      <c r="L36" s="1062">
        <v>0</v>
      </c>
      <c r="M36" s="636">
        <f t="shared" si="2"/>
        <v>0</v>
      </c>
      <c r="N36" s="373"/>
      <c r="O36" s="636">
        <v>0</v>
      </c>
      <c r="P36" s="636">
        <v>0</v>
      </c>
      <c r="Q36" s="636">
        <v>0</v>
      </c>
      <c r="R36" s="636">
        <v>4</v>
      </c>
      <c r="S36" s="963">
        <v>0</v>
      </c>
      <c r="T36" s="963">
        <v>0</v>
      </c>
      <c r="U36" s="963">
        <v>0</v>
      </c>
      <c r="W36" s="636">
        <f t="shared" si="3"/>
        <v>0</v>
      </c>
      <c r="X36" s="636">
        <f t="shared" si="4"/>
        <v>0</v>
      </c>
      <c r="Y36" s="636">
        <f t="shared" si="5"/>
        <v>4</v>
      </c>
      <c r="Z36" s="636">
        <f t="shared" si="6"/>
        <v>0</v>
      </c>
      <c r="AA36" s="963">
        <f t="shared" si="7"/>
        <v>0</v>
      </c>
    </row>
    <row r="37" spans="1:27" s="963" customFormat="1" ht="16.5" customHeight="1" x14ac:dyDescent="0.3">
      <c r="A37" s="1051" t="s">
        <v>83</v>
      </c>
      <c r="B37" s="1052" t="s">
        <v>281</v>
      </c>
      <c r="C37" s="313" t="s">
        <v>252</v>
      </c>
      <c r="D37" s="1060">
        <v>13</v>
      </c>
      <c r="E37" s="1061">
        <v>11</v>
      </c>
      <c r="F37" s="1061">
        <v>0</v>
      </c>
      <c r="G37" s="1061">
        <v>0</v>
      </c>
      <c r="H37" s="1061">
        <v>0</v>
      </c>
      <c r="I37" s="1061">
        <v>0</v>
      </c>
      <c r="J37" s="1061">
        <v>0</v>
      </c>
      <c r="K37" s="1061">
        <v>2</v>
      </c>
      <c r="L37" s="1062">
        <v>0</v>
      </c>
      <c r="M37" s="636">
        <f t="shared" ref="M37:M68" si="8">G37+H37+I37+J37+K37</f>
        <v>2</v>
      </c>
      <c r="N37" s="636"/>
      <c r="O37" s="636">
        <v>0</v>
      </c>
      <c r="P37" s="636">
        <v>4</v>
      </c>
      <c r="Q37" s="373">
        <v>3</v>
      </c>
      <c r="R37" s="636">
        <v>5</v>
      </c>
      <c r="S37" s="963">
        <v>1</v>
      </c>
      <c r="T37" s="963">
        <v>0</v>
      </c>
      <c r="U37" s="963">
        <v>0</v>
      </c>
      <c r="W37" s="636">
        <f t="shared" ref="W37:W68" si="9">O37+P37</f>
        <v>4</v>
      </c>
      <c r="X37" s="636">
        <f t="shared" ref="X37:X68" si="10">Q37</f>
        <v>3</v>
      </c>
      <c r="Y37" s="636">
        <f t="shared" ref="Y37:Y68" si="11">R37</f>
        <v>5</v>
      </c>
      <c r="Z37" s="636">
        <f t="shared" ref="Z37:Z68" si="12">S37</f>
        <v>1</v>
      </c>
      <c r="AA37" s="963">
        <f t="shared" ref="AA37:AA68" si="13">T37</f>
        <v>0</v>
      </c>
    </row>
    <row r="38" spans="1:27" s="963" customFormat="1" ht="16.5" customHeight="1" x14ac:dyDescent="0.3">
      <c r="A38" s="1051" t="s">
        <v>85</v>
      </c>
      <c r="B38" s="1052" t="s">
        <v>86</v>
      </c>
      <c r="C38" s="313" t="s">
        <v>254</v>
      </c>
      <c r="D38" s="1060">
        <v>6</v>
      </c>
      <c r="E38" s="1061">
        <v>5</v>
      </c>
      <c r="F38" s="1061">
        <v>1</v>
      </c>
      <c r="G38" s="1061">
        <v>0</v>
      </c>
      <c r="H38" s="1061">
        <v>0</v>
      </c>
      <c r="I38" s="1061">
        <v>0</v>
      </c>
      <c r="J38" s="1061">
        <v>0</v>
      </c>
      <c r="K38" s="1061">
        <v>0</v>
      </c>
      <c r="L38" s="1062">
        <v>0</v>
      </c>
      <c r="M38" s="373">
        <f t="shared" si="8"/>
        <v>0</v>
      </c>
      <c r="N38" s="373"/>
      <c r="O38" s="373">
        <v>0</v>
      </c>
      <c r="P38" s="373">
        <v>3</v>
      </c>
      <c r="Q38" s="373">
        <v>0</v>
      </c>
      <c r="R38" s="636">
        <v>2</v>
      </c>
      <c r="S38" s="963">
        <v>1</v>
      </c>
      <c r="T38" s="963">
        <v>0</v>
      </c>
      <c r="U38" s="963">
        <v>0</v>
      </c>
      <c r="W38" s="636">
        <f t="shared" si="9"/>
        <v>3</v>
      </c>
      <c r="X38" s="636">
        <f t="shared" si="10"/>
        <v>0</v>
      </c>
      <c r="Y38" s="636">
        <f t="shared" si="11"/>
        <v>2</v>
      </c>
      <c r="Z38" s="636">
        <f t="shared" si="12"/>
        <v>1</v>
      </c>
      <c r="AA38" s="963">
        <f t="shared" si="13"/>
        <v>0</v>
      </c>
    </row>
    <row r="39" spans="1:27" s="963" customFormat="1" ht="16.5" customHeight="1" x14ac:dyDescent="0.3">
      <c r="A39" s="1051" t="s">
        <v>91</v>
      </c>
      <c r="B39" s="1052" t="s">
        <v>92</v>
      </c>
      <c r="C39" s="313" t="s">
        <v>255</v>
      </c>
      <c r="D39" s="1060">
        <v>11</v>
      </c>
      <c r="E39" s="1061">
        <v>10</v>
      </c>
      <c r="F39" s="1061">
        <v>0</v>
      </c>
      <c r="G39" s="1061">
        <v>0</v>
      </c>
      <c r="H39" s="1061">
        <v>0</v>
      </c>
      <c r="I39" s="1061">
        <v>0</v>
      </c>
      <c r="J39" s="1061">
        <v>1</v>
      </c>
      <c r="K39" s="1061">
        <v>0</v>
      </c>
      <c r="L39" s="1062">
        <v>0</v>
      </c>
      <c r="M39" s="636">
        <f t="shared" si="8"/>
        <v>1</v>
      </c>
      <c r="N39" s="373"/>
      <c r="O39" s="636">
        <v>0</v>
      </c>
      <c r="P39" s="636">
        <v>7</v>
      </c>
      <c r="Q39" s="636">
        <v>2</v>
      </c>
      <c r="R39" s="636">
        <v>1</v>
      </c>
      <c r="S39" s="963">
        <v>1</v>
      </c>
      <c r="T39" s="963">
        <v>0</v>
      </c>
      <c r="U39" s="963">
        <v>0</v>
      </c>
      <c r="W39" s="636">
        <f t="shared" si="9"/>
        <v>7</v>
      </c>
      <c r="X39" s="636">
        <f t="shared" si="10"/>
        <v>2</v>
      </c>
      <c r="Y39" s="636">
        <f t="shared" si="11"/>
        <v>1</v>
      </c>
      <c r="Z39" s="636">
        <f t="shared" si="12"/>
        <v>1</v>
      </c>
      <c r="AA39" s="963">
        <f t="shared" si="13"/>
        <v>0</v>
      </c>
    </row>
    <row r="40" spans="1:27" s="963" customFormat="1" ht="16.5" customHeight="1" x14ac:dyDescent="0.3">
      <c r="A40" s="1051" t="s">
        <v>93</v>
      </c>
      <c r="B40" s="1052" t="s">
        <v>94</v>
      </c>
      <c r="C40" s="313" t="s">
        <v>251</v>
      </c>
      <c r="D40" s="1060">
        <v>7</v>
      </c>
      <c r="E40" s="1061">
        <v>6</v>
      </c>
      <c r="F40" s="1061">
        <v>1</v>
      </c>
      <c r="G40" s="1061">
        <v>0</v>
      </c>
      <c r="H40" s="1061">
        <v>0</v>
      </c>
      <c r="I40" s="1061">
        <v>0</v>
      </c>
      <c r="J40" s="1061">
        <v>0</v>
      </c>
      <c r="K40" s="1061">
        <v>0</v>
      </c>
      <c r="L40" s="1062">
        <v>0</v>
      </c>
      <c r="M40" s="636">
        <f t="shared" si="8"/>
        <v>0</v>
      </c>
      <c r="N40" s="636"/>
      <c r="O40" s="636">
        <v>0</v>
      </c>
      <c r="P40" s="636">
        <v>3</v>
      </c>
      <c r="Q40" s="636">
        <v>2</v>
      </c>
      <c r="R40" s="636">
        <v>1</v>
      </c>
      <c r="S40" s="963">
        <v>1</v>
      </c>
      <c r="T40" s="963">
        <v>0</v>
      </c>
      <c r="U40" s="963">
        <v>0</v>
      </c>
      <c r="W40" s="636">
        <f t="shared" si="9"/>
        <v>3</v>
      </c>
      <c r="X40" s="636">
        <f t="shared" si="10"/>
        <v>2</v>
      </c>
      <c r="Y40" s="636">
        <f t="shared" si="11"/>
        <v>1</v>
      </c>
      <c r="Z40" s="636">
        <f t="shared" si="12"/>
        <v>1</v>
      </c>
      <c r="AA40" s="963">
        <f t="shared" si="13"/>
        <v>0</v>
      </c>
    </row>
    <row r="41" spans="1:27" s="963" customFormat="1" ht="16.5" customHeight="1" x14ac:dyDescent="0.3">
      <c r="A41" s="1051" t="s">
        <v>95</v>
      </c>
      <c r="B41" s="1052" t="s">
        <v>96</v>
      </c>
      <c r="C41" s="313" t="s">
        <v>253</v>
      </c>
      <c r="D41" s="1060">
        <v>1</v>
      </c>
      <c r="E41" s="1061">
        <v>0</v>
      </c>
      <c r="F41" s="1061">
        <v>0</v>
      </c>
      <c r="G41" s="1061">
        <v>0</v>
      </c>
      <c r="H41" s="1061">
        <v>0</v>
      </c>
      <c r="I41" s="1061">
        <v>0</v>
      </c>
      <c r="J41" s="1061">
        <v>1</v>
      </c>
      <c r="K41" s="1061">
        <v>0</v>
      </c>
      <c r="L41" s="1062">
        <v>0</v>
      </c>
      <c r="M41" s="636">
        <f t="shared" si="8"/>
        <v>1</v>
      </c>
      <c r="N41" s="636"/>
      <c r="O41" s="636">
        <v>0</v>
      </c>
      <c r="P41" s="636">
        <v>1</v>
      </c>
      <c r="Q41" s="636">
        <v>0</v>
      </c>
      <c r="R41" s="636">
        <v>0</v>
      </c>
      <c r="S41" s="963">
        <v>0</v>
      </c>
      <c r="T41" s="963">
        <v>0</v>
      </c>
      <c r="U41" s="963">
        <v>0</v>
      </c>
      <c r="W41" s="636">
        <f t="shared" si="9"/>
        <v>1</v>
      </c>
      <c r="X41" s="636">
        <f t="shared" si="10"/>
        <v>0</v>
      </c>
      <c r="Y41" s="636">
        <f t="shared" si="11"/>
        <v>0</v>
      </c>
      <c r="Z41" s="636">
        <f t="shared" si="12"/>
        <v>0</v>
      </c>
      <c r="AA41" s="963">
        <f t="shared" si="13"/>
        <v>0</v>
      </c>
    </row>
    <row r="42" spans="1:27" s="963" customFormat="1" ht="16.5" customHeight="1" x14ac:dyDescent="0.3">
      <c r="A42" s="1051" t="s">
        <v>97</v>
      </c>
      <c r="B42" s="1052" t="s">
        <v>98</v>
      </c>
      <c r="C42" s="313" t="s">
        <v>255</v>
      </c>
      <c r="D42" s="1060">
        <v>5</v>
      </c>
      <c r="E42" s="1061">
        <v>4</v>
      </c>
      <c r="F42" s="1061">
        <v>0</v>
      </c>
      <c r="G42" s="1061">
        <v>0</v>
      </c>
      <c r="H42" s="1061">
        <v>0</v>
      </c>
      <c r="I42" s="1061">
        <v>0</v>
      </c>
      <c r="J42" s="1061">
        <v>1</v>
      </c>
      <c r="K42" s="1061">
        <v>0</v>
      </c>
      <c r="L42" s="1062">
        <v>0</v>
      </c>
      <c r="M42" s="636">
        <f t="shared" si="8"/>
        <v>1</v>
      </c>
      <c r="N42" s="636"/>
      <c r="O42" s="636">
        <v>0</v>
      </c>
      <c r="P42" s="636">
        <v>3</v>
      </c>
      <c r="Q42" s="636">
        <v>2</v>
      </c>
      <c r="R42" s="636">
        <v>0</v>
      </c>
      <c r="S42" s="963">
        <v>0</v>
      </c>
      <c r="T42" s="963">
        <v>0</v>
      </c>
      <c r="U42" s="963">
        <v>0</v>
      </c>
      <c r="W42" s="636">
        <f t="shared" si="9"/>
        <v>3</v>
      </c>
      <c r="X42" s="636">
        <f t="shared" si="10"/>
        <v>2</v>
      </c>
      <c r="Y42" s="636">
        <f t="shared" si="11"/>
        <v>0</v>
      </c>
      <c r="Z42" s="636">
        <f t="shared" si="12"/>
        <v>0</v>
      </c>
      <c r="AA42" s="963">
        <f t="shared" si="13"/>
        <v>0</v>
      </c>
    </row>
    <row r="43" spans="1:27" s="963" customFormat="1" ht="16.5" customHeight="1" x14ac:dyDescent="0.3">
      <c r="A43" s="1051" t="s">
        <v>99</v>
      </c>
      <c r="B43" s="1052" t="s">
        <v>100</v>
      </c>
      <c r="C43" s="313" t="s">
        <v>254</v>
      </c>
      <c r="D43" s="1060">
        <v>0</v>
      </c>
      <c r="E43" s="1061">
        <v>0</v>
      </c>
      <c r="F43" s="1061">
        <v>0</v>
      </c>
      <c r="G43" s="1061">
        <v>0</v>
      </c>
      <c r="H43" s="1061">
        <v>0</v>
      </c>
      <c r="I43" s="1061">
        <v>0</v>
      </c>
      <c r="J43" s="1061">
        <v>0</v>
      </c>
      <c r="K43" s="1061">
        <v>0</v>
      </c>
      <c r="L43" s="1062">
        <v>0</v>
      </c>
      <c r="M43" s="636">
        <f t="shared" si="8"/>
        <v>0</v>
      </c>
      <c r="N43" s="373"/>
      <c r="O43" s="636">
        <v>0</v>
      </c>
      <c r="P43" s="636">
        <v>0</v>
      </c>
      <c r="Q43" s="636">
        <v>0</v>
      </c>
      <c r="R43" s="636">
        <v>0</v>
      </c>
      <c r="S43" s="963">
        <v>0</v>
      </c>
      <c r="T43" s="963">
        <v>0</v>
      </c>
      <c r="U43" s="963">
        <v>0</v>
      </c>
      <c r="W43" s="636">
        <f t="shared" si="9"/>
        <v>0</v>
      </c>
      <c r="X43" s="636">
        <f t="shared" si="10"/>
        <v>0</v>
      </c>
      <c r="Y43" s="636">
        <f t="shared" si="11"/>
        <v>0</v>
      </c>
      <c r="Z43" s="636">
        <f t="shared" si="12"/>
        <v>0</v>
      </c>
      <c r="AA43" s="963">
        <f t="shared" si="13"/>
        <v>0</v>
      </c>
    </row>
    <row r="44" spans="1:27" s="963" customFormat="1" ht="16.5" customHeight="1" x14ac:dyDescent="0.3">
      <c r="A44" s="1051" t="s">
        <v>101</v>
      </c>
      <c r="B44" s="1052" t="s">
        <v>102</v>
      </c>
      <c r="C44" s="313" t="s">
        <v>251</v>
      </c>
      <c r="D44" s="1060">
        <v>0</v>
      </c>
      <c r="E44" s="1061">
        <v>0</v>
      </c>
      <c r="F44" s="1063">
        <v>0</v>
      </c>
      <c r="G44" s="1063">
        <v>0</v>
      </c>
      <c r="H44" s="1063">
        <v>0</v>
      </c>
      <c r="I44" s="1063">
        <v>0</v>
      </c>
      <c r="J44" s="1064">
        <v>0</v>
      </c>
      <c r="K44" s="1064">
        <v>0</v>
      </c>
      <c r="L44" s="1065">
        <v>0</v>
      </c>
      <c r="M44" s="636">
        <f t="shared" si="8"/>
        <v>0</v>
      </c>
      <c r="N44" s="373"/>
      <c r="O44" s="636">
        <v>0</v>
      </c>
      <c r="P44" s="636">
        <v>0</v>
      </c>
      <c r="Q44" s="373">
        <v>0</v>
      </c>
      <c r="R44" s="636">
        <v>0</v>
      </c>
      <c r="S44" s="963">
        <v>0</v>
      </c>
      <c r="T44" s="963">
        <v>0</v>
      </c>
      <c r="U44" s="963">
        <v>0</v>
      </c>
      <c r="W44" s="636">
        <f t="shared" si="9"/>
        <v>0</v>
      </c>
      <c r="X44" s="636">
        <f t="shared" si="10"/>
        <v>0</v>
      </c>
      <c r="Y44" s="636">
        <f t="shared" si="11"/>
        <v>0</v>
      </c>
      <c r="Z44" s="636">
        <f t="shared" si="12"/>
        <v>0</v>
      </c>
      <c r="AA44" s="963">
        <f t="shared" si="13"/>
        <v>0</v>
      </c>
    </row>
    <row r="45" spans="1:27" s="963" customFormat="1" ht="16.5" customHeight="1" x14ac:dyDescent="0.3">
      <c r="A45" s="1051" t="s">
        <v>103</v>
      </c>
      <c r="B45" s="1052" t="s">
        <v>282</v>
      </c>
      <c r="C45" s="313" t="s">
        <v>252</v>
      </c>
      <c r="D45" s="1060">
        <v>6</v>
      </c>
      <c r="E45" s="1061">
        <v>1</v>
      </c>
      <c r="F45" s="1061">
        <v>1</v>
      </c>
      <c r="G45" s="1061">
        <v>0</v>
      </c>
      <c r="H45" s="1061">
        <v>0</v>
      </c>
      <c r="I45" s="1061">
        <v>0</v>
      </c>
      <c r="J45" s="1061">
        <v>4</v>
      </c>
      <c r="K45" s="1061">
        <v>0</v>
      </c>
      <c r="L45" s="1062">
        <v>0</v>
      </c>
      <c r="M45" s="636">
        <f t="shared" si="8"/>
        <v>4</v>
      </c>
      <c r="N45" s="373"/>
      <c r="O45" s="636">
        <v>0</v>
      </c>
      <c r="P45" s="636">
        <v>5</v>
      </c>
      <c r="Q45" s="373">
        <v>1</v>
      </c>
      <c r="R45" s="636">
        <v>0</v>
      </c>
      <c r="S45" s="963">
        <v>0</v>
      </c>
      <c r="T45" s="963">
        <v>0</v>
      </c>
      <c r="U45" s="963">
        <v>0</v>
      </c>
      <c r="W45" s="636">
        <f t="shared" si="9"/>
        <v>5</v>
      </c>
      <c r="X45" s="636">
        <f t="shared" si="10"/>
        <v>1</v>
      </c>
      <c r="Y45" s="636">
        <f t="shared" si="11"/>
        <v>0</v>
      </c>
      <c r="Z45" s="636">
        <f t="shared" si="12"/>
        <v>0</v>
      </c>
      <c r="AA45" s="963">
        <f t="shared" si="13"/>
        <v>0</v>
      </c>
    </row>
    <row r="46" spans="1:27" s="963" customFormat="1" ht="16.5" customHeight="1" x14ac:dyDescent="0.3">
      <c r="A46" s="1051" t="s">
        <v>107</v>
      </c>
      <c r="B46" s="1052" t="s">
        <v>108</v>
      </c>
      <c r="C46" s="313" t="s">
        <v>253</v>
      </c>
      <c r="D46" s="1060">
        <v>1</v>
      </c>
      <c r="E46" s="1061">
        <v>0</v>
      </c>
      <c r="F46" s="1061">
        <v>1</v>
      </c>
      <c r="G46" s="1061">
        <v>0</v>
      </c>
      <c r="H46" s="1061">
        <v>0</v>
      </c>
      <c r="I46" s="1061">
        <v>0</v>
      </c>
      <c r="J46" s="1061">
        <v>0</v>
      </c>
      <c r="K46" s="1061">
        <v>0</v>
      </c>
      <c r="L46" s="1062">
        <v>0</v>
      </c>
      <c r="M46" s="636">
        <f t="shared" si="8"/>
        <v>0</v>
      </c>
      <c r="N46" s="636"/>
      <c r="O46" s="636">
        <v>0</v>
      </c>
      <c r="P46" s="636">
        <v>1</v>
      </c>
      <c r="Q46" s="636">
        <v>0</v>
      </c>
      <c r="R46" s="636">
        <v>0</v>
      </c>
      <c r="S46" s="963">
        <v>0</v>
      </c>
      <c r="T46" s="963">
        <v>0</v>
      </c>
      <c r="U46" s="963">
        <v>0</v>
      </c>
      <c r="W46" s="636">
        <f t="shared" si="9"/>
        <v>1</v>
      </c>
      <c r="X46" s="636">
        <f t="shared" si="10"/>
        <v>0</v>
      </c>
      <c r="Y46" s="636">
        <f t="shared" si="11"/>
        <v>0</v>
      </c>
      <c r="Z46" s="636">
        <f t="shared" si="12"/>
        <v>0</v>
      </c>
      <c r="AA46" s="963">
        <f t="shared" si="13"/>
        <v>0</v>
      </c>
    </row>
    <row r="47" spans="1:27" s="963" customFormat="1" ht="16.5" customHeight="1" x14ac:dyDescent="0.3">
      <c r="A47" s="1051" t="s">
        <v>109</v>
      </c>
      <c r="B47" s="1052" t="s">
        <v>110</v>
      </c>
      <c r="C47" s="313" t="s">
        <v>253</v>
      </c>
      <c r="D47" s="1060">
        <v>8</v>
      </c>
      <c r="E47" s="1061">
        <v>5</v>
      </c>
      <c r="F47" s="1061">
        <v>2</v>
      </c>
      <c r="G47" s="1061">
        <v>0</v>
      </c>
      <c r="H47" s="1061">
        <v>0</v>
      </c>
      <c r="I47" s="1061">
        <v>0</v>
      </c>
      <c r="J47" s="1061">
        <v>1</v>
      </c>
      <c r="K47" s="1061">
        <v>0</v>
      </c>
      <c r="L47" s="1062">
        <v>0</v>
      </c>
      <c r="M47" s="636">
        <f t="shared" si="8"/>
        <v>1</v>
      </c>
      <c r="N47" s="636"/>
      <c r="O47" s="636">
        <v>0</v>
      </c>
      <c r="P47" s="636">
        <v>1</v>
      </c>
      <c r="Q47" s="636">
        <v>1</v>
      </c>
      <c r="R47" s="636">
        <v>4</v>
      </c>
      <c r="S47" s="963">
        <v>2</v>
      </c>
      <c r="T47" s="963">
        <v>0</v>
      </c>
      <c r="U47" s="963">
        <v>0</v>
      </c>
      <c r="W47" s="636">
        <f t="shared" si="9"/>
        <v>1</v>
      </c>
      <c r="X47" s="636">
        <f t="shared" si="10"/>
        <v>1</v>
      </c>
      <c r="Y47" s="636">
        <f t="shared" si="11"/>
        <v>4</v>
      </c>
      <c r="Z47" s="636">
        <f t="shared" si="12"/>
        <v>2</v>
      </c>
      <c r="AA47" s="963">
        <f t="shared" si="13"/>
        <v>0</v>
      </c>
    </row>
    <row r="48" spans="1:27" s="963" customFormat="1" ht="16.5" customHeight="1" x14ac:dyDescent="0.3">
      <c r="A48" s="1051" t="s">
        <v>111</v>
      </c>
      <c r="B48" s="1052" t="s">
        <v>275</v>
      </c>
      <c r="C48" s="313" t="s">
        <v>252</v>
      </c>
      <c r="D48" s="1060">
        <v>7</v>
      </c>
      <c r="E48" s="1061">
        <v>6</v>
      </c>
      <c r="F48" s="1061">
        <v>1</v>
      </c>
      <c r="G48" s="1061">
        <v>0</v>
      </c>
      <c r="H48" s="1061">
        <v>0</v>
      </c>
      <c r="I48" s="1061">
        <v>0</v>
      </c>
      <c r="J48" s="1061">
        <v>0</v>
      </c>
      <c r="K48" s="1061">
        <v>0</v>
      </c>
      <c r="L48" s="1062">
        <v>0</v>
      </c>
      <c r="M48" s="636">
        <f t="shared" si="8"/>
        <v>0</v>
      </c>
      <c r="N48" s="373"/>
      <c r="O48" s="636">
        <v>0</v>
      </c>
      <c r="P48" s="636">
        <v>3</v>
      </c>
      <c r="Q48" s="636">
        <v>2</v>
      </c>
      <c r="R48" s="636">
        <v>1</v>
      </c>
      <c r="S48" s="963">
        <v>1</v>
      </c>
      <c r="T48" s="963">
        <v>0</v>
      </c>
      <c r="U48" s="963">
        <v>0</v>
      </c>
      <c r="W48" s="636">
        <f t="shared" si="9"/>
        <v>3</v>
      </c>
      <c r="X48" s="636">
        <f t="shared" si="10"/>
        <v>2</v>
      </c>
      <c r="Y48" s="636">
        <f t="shared" si="11"/>
        <v>1</v>
      </c>
      <c r="Z48" s="636">
        <f t="shared" si="12"/>
        <v>1</v>
      </c>
      <c r="AA48" s="963">
        <f t="shared" si="13"/>
        <v>0</v>
      </c>
    </row>
    <row r="49" spans="1:27" s="963" customFormat="1" ht="16.5" customHeight="1" x14ac:dyDescent="0.3">
      <c r="A49" s="1051" t="s">
        <v>113</v>
      </c>
      <c r="B49" s="1052" t="s">
        <v>114</v>
      </c>
      <c r="C49" s="313" t="s">
        <v>252</v>
      </c>
      <c r="D49" s="1066">
        <v>2</v>
      </c>
      <c r="E49" s="1063">
        <v>2</v>
      </c>
      <c r="F49" s="1063">
        <v>0</v>
      </c>
      <c r="G49" s="1063">
        <v>0</v>
      </c>
      <c r="H49" s="1063">
        <v>0</v>
      </c>
      <c r="I49" s="1063">
        <v>0</v>
      </c>
      <c r="J49" s="1064">
        <v>0</v>
      </c>
      <c r="K49" s="1064">
        <v>0</v>
      </c>
      <c r="L49" s="1065">
        <v>0</v>
      </c>
      <c r="M49" s="636">
        <f t="shared" si="8"/>
        <v>0</v>
      </c>
      <c r="N49" s="636"/>
      <c r="O49" s="636">
        <v>0</v>
      </c>
      <c r="P49" s="636">
        <v>0</v>
      </c>
      <c r="Q49" s="636">
        <v>2</v>
      </c>
      <c r="R49" s="636">
        <v>0</v>
      </c>
      <c r="S49" s="963">
        <v>0</v>
      </c>
      <c r="T49" s="963">
        <v>0</v>
      </c>
      <c r="U49" s="963">
        <v>0</v>
      </c>
      <c r="W49" s="636">
        <f t="shared" si="9"/>
        <v>0</v>
      </c>
      <c r="X49" s="636">
        <f t="shared" si="10"/>
        <v>2</v>
      </c>
      <c r="Y49" s="636">
        <f t="shared" si="11"/>
        <v>0</v>
      </c>
      <c r="Z49" s="636">
        <f t="shared" si="12"/>
        <v>0</v>
      </c>
      <c r="AA49" s="963">
        <f t="shared" si="13"/>
        <v>0</v>
      </c>
    </row>
    <row r="50" spans="1:27" s="963" customFormat="1" ht="16.5" customHeight="1" x14ac:dyDescent="0.3">
      <c r="A50" s="1051" t="s">
        <v>117</v>
      </c>
      <c r="B50" s="1052" t="s">
        <v>118</v>
      </c>
      <c r="C50" s="313" t="s">
        <v>251</v>
      </c>
      <c r="D50" s="1060">
        <v>0</v>
      </c>
      <c r="E50" s="1061">
        <v>0</v>
      </c>
      <c r="F50" s="1061">
        <v>0</v>
      </c>
      <c r="G50" s="1061">
        <v>0</v>
      </c>
      <c r="H50" s="1061">
        <v>0</v>
      </c>
      <c r="I50" s="1061">
        <v>0</v>
      </c>
      <c r="J50" s="1061">
        <v>0</v>
      </c>
      <c r="K50" s="1061">
        <v>0</v>
      </c>
      <c r="L50" s="1062">
        <v>0</v>
      </c>
      <c r="M50" s="636">
        <f t="shared" si="8"/>
        <v>0</v>
      </c>
      <c r="N50" s="373"/>
      <c r="O50" s="636">
        <v>0</v>
      </c>
      <c r="P50" s="636">
        <v>0</v>
      </c>
      <c r="Q50" s="373">
        <v>0</v>
      </c>
      <c r="R50" s="636">
        <v>0</v>
      </c>
      <c r="S50" s="963">
        <v>0</v>
      </c>
      <c r="T50" s="963">
        <v>0</v>
      </c>
      <c r="U50" s="963">
        <v>0</v>
      </c>
      <c r="W50" s="636">
        <f t="shared" si="9"/>
        <v>0</v>
      </c>
      <c r="X50" s="636">
        <f t="shared" si="10"/>
        <v>0</v>
      </c>
      <c r="Y50" s="636">
        <f t="shared" si="11"/>
        <v>0</v>
      </c>
      <c r="Z50" s="636">
        <f t="shared" si="12"/>
        <v>0</v>
      </c>
      <c r="AA50" s="963">
        <f t="shared" si="13"/>
        <v>0</v>
      </c>
    </row>
    <row r="51" spans="1:27" s="963" customFormat="1" ht="16.5" customHeight="1" x14ac:dyDescent="0.3">
      <c r="A51" s="1051" t="s">
        <v>119</v>
      </c>
      <c r="B51" s="1052" t="s">
        <v>120</v>
      </c>
      <c r="C51" s="313" t="s">
        <v>251</v>
      </c>
      <c r="D51" s="1060">
        <v>3</v>
      </c>
      <c r="E51" s="1061">
        <v>2</v>
      </c>
      <c r="F51" s="1061">
        <v>0</v>
      </c>
      <c r="G51" s="1061">
        <v>0</v>
      </c>
      <c r="H51" s="1061">
        <v>0</v>
      </c>
      <c r="I51" s="1061">
        <v>0</v>
      </c>
      <c r="J51" s="1061">
        <v>1</v>
      </c>
      <c r="K51" s="1061">
        <v>0</v>
      </c>
      <c r="L51" s="1062">
        <v>0</v>
      </c>
      <c r="M51" s="636">
        <f t="shared" si="8"/>
        <v>1</v>
      </c>
      <c r="N51" s="373"/>
      <c r="O51" s="636">
        <v>0</v>
      </c>
      <c r="P51" s="636">
        <v>3</v>
      </c>
      <c r="Q51" s="636">
        <v>0</v>
      </c>
      <c r="R51" s="636">
        <v>0</v>
      </c>
      <c r="S51" s="963">
        <v>0</v>
      </c>
      <c r="T51" s="963">
        <v>0</v>
      </c>
      <c r="U51" s="963">
        <v>0</v>
      </c>
      <c r="W51" s="636">
        <f t="shared" si="9"/>
        <v>3</v>
      </c>
      <c r="X51" s="636">
        <f t="shared" si="10"/>
        <v>0</v>
      </c>
      <c r="Y51" s="636">
        <f t="shared" si="11"/>
        <v>0</v>
      </c>
      <c r="Z51" s="636">
        <f t="shared" si="12"/>
        <v>0</v>
      </c>
      <c r="AA51" s="963">
        <f t="shared" si="13"/>
        <v>0</v>
      </c>
    </row>
    <row r="52" spans="1:27" s="963" customFormat="1" ht="16.5" customHeight="1" x14ac:dyDescent="0.3">
      <c r="A52" s="1051" t="s">
        <v>121</v>
      </c>
      <c r="B52" s="1052" t="s">
        <v>258</v>
      </c>
      <c r="C52" s="313" t="s">
        <v>253</v>
      </c>
      <c r="D52" s="1060">
        <v>0</v>
      </c>
      <c r="E52" s="1061">
        <v>0</v>
      </c>
      <c r="F52" s="1061">
        <v>0</v>
      </c>
      <c r="G52" s="1061">
        <v>0</v>
      </c>
      <c r="H52" s="1061">
        <v>0</v>
      </c>
      <c r="I52" s="1061">
        <v>0</v>
      </c>
      <c r="J52" s="1061">
        <v>0</v>
      </c>
      <c r="K52" s="1061">
        <v>0</v>
      </c>
      <c r="L52" s="1062">
        <v>0</v>
      </c>
      <c r="M52" s="636">
        <f t="shared" si="8"/>
        <v>0</v>
      </c>
      <c r="N52" s="636"/>
      <c r="O52" s="636">
        <v>0</v>
      </c>
      <c r="P52" s="636">
        <v>0</v>
      </c>
      <c r="Q52" s="636">
        <v>0</v>
      </c>
      <c r="R52" s="636">
        <v>0</v>
      </c>
      <c r="S52" s="963">
        <v>0</v>
      </c>
      <c r="T52" s="963">
        <v>0</v>
      </c>
      <c r="U52" s="963">
        <v>0</v>
      </c>
      <c r="W52" s="636">
        <f t="shared" si="9"/>
        <v>0</v>
      </c>
      <c r="X52" s="636">
        <f t="shared" si="10"/>
        <v>0</v>
      </c>
      <c r="Y52" s="636">
        <f t="shared" si="11"/>
        <v>0</v>
      </c>
      <c r="Z52" s="636">
        <f t="shared" si="12"/>
        <v>0</v>
      </c>
      <c r="AA52" s="963">
        <f t="shared" si="13"/>
        <v>0</v>
      </c>
    </row>
    <row r="53" spans="1:27" s="963" customFormat="1" ht="16.5" customHeight="1" x14ac:dyDescent="0.3">
      <c r="A53" s="1051" t="s">
        <v>123</v>
      </c>
      <c r="B53" s="1052" t="s">
        <v>124</v>
      </c>
      <c r="C53" s="313" t="s">
        <v>254</v>
      </c>
      <c r="D53" s="1060">
        <v>1</v>
      </c>
      <c r="E53" s="1061">
        <v>1</v>
      </c>
      <c r="F53" s="1061">
        <v>0</v>
      </c>
      <c r="G53" s="1061">
        <v>0</v>
      </c>
      <c r="H53" s="1061">
        <v>0</v>
      </c>
      <c r="I53" s="1061">
        <v>0</v>
      </c>
      <c r="J53" s="1061">
        <v>0</v>
      </c>
      <c r="K53" s="1061">
        <v>0</v>
      </c>
      <c r="L53" s="1062">
        <v>0</v>
      </c>
      <c r="M53" s="636">
        <f t="shared" si="8"/>
        <v>0</v>
      </c>
      <c r="N53" s="373"/>
      <c r="O53" s="636">
        <v>0</v>
      </c>
      <c r="P53" s="636">
        <v>0</v>
      </c>
      <c r="Q53" s="636">
        <v>1</v>
      </c>
      <c r="R53" s="636">
        <v>0</v>
      </c>
      <c r="S53" s="963">
        <v>0</v>
      </c>
      <c r="T53" s="963">
        <v>0</v>
      </c>
      <c r="U53" s="963">
        <v>0</v>
      </c>
      <c r="W53" s="636">
        <f t="shared" si="9"/>
        <v>0</v>
      </c>
      <c r="X53" s="636">
        <f t="shared" si="10"/>
        <v>1</v>
      </c>
      <c r="Y53" s="636">
        <f t="shared" si="11"/>
        <v>0</v>
      </c>
      <c r="Z53" s="636">
        <f t="shared" si="12"/>
        <v>0</v>
      </c>
      <c r="AA53" s="963">
        <f t="shared" si="13"/>
        <v>0</v>
      </c>
    </row>
    <row r="54" spans="1:27" s="963" customFormat="1" ht="16.5" customHeight="1" x14ac:dyDescent="0.3">
      <c r="A54" s="1051" t="s">
        <v>125</v>
      </c>
      <c r="B54" s="1052" t="s">
        <v>126</v>
      </c>
      <c r="C54" s="313" t="s">
        <v>253</v>
      </c>
      <c r="D54" s="1060">
        <v>0</v>
      </c>
      <c r="E54" s="1061">
        <v>0</v>
      </c>
      <c r="F54" s="1061">
        <v>0</v>
      </c>
      <c r="G54" s="1061">
        <v>0</v>
      </c>
      <c r="H54" s="1061">
        <v>0</v>
      </c>
      <c r="I54" s="1061">
        <v>0</v>
      </c>
      <c r="J54" s="1061">
        <v>0</v>
      </c>
      <c r="K54" s="1061">
        <v>0</v>
      </c>
      <c r="L54" s="1062">
        <v>0</v>
      </c>
      <c r="M54" s="636">
        <f t="shared" si="8"/>
        <v>0</v>
      </c>
      <c r="N54" s="373"/>
      <c r="O54" s="636">
        <v>0</v>
      </c>
      <c r="P54" s="636">
        <v>0</v>
      </c>
      <c r="Q54" s="636">
        <v>0</v>
      </c>
      <c r="R54" s="636">
        <v>0</v>
      </c>
      <c r="S54" s="963">
        <v>0</v>
      </c>
      <c r="T54" s="963">
        <v>0</v>
      </c>
      <c r="U54" s="963">
        <v>0</v>
      </c>
      <c r="W54" s="636">
        <f t="shared" si="9"/>
        <v>0</v>
      </c>
      <c r="X54" s="636">
        <f t="shared" si="10"/>
        <v>0</v>
      </c>
      <c r="Y54" s="636">
        <f t="shared" si="11"/>
        <v>0</v>
      </c>
      <c r="Z54" s="636">
        <f t="shared" si="12"/>
        <v>0</v>
      </c>
      <c r="AA54" s="963">
        <f t="shared" si="13"/>
        <v>0</v>
      </c>
    </row>
    <row r="55" spans="1:27" s="963" customFormat="1" ht="16.5" customHeight="1" x14ac:dyDescent="0.3">
      <c r="A55" s="1051" t="s">
        <v>127</v>
      </c>
      <c r="B55" s="1052" t="s">
        <v>128</v>
      </c>
      <c r="C55" s="313" t="s">
        <v>253</v>
      </c>
      <c r="D55" s="1060">
        <v>0</v>
      </c>
      <c r="E55" s="1061">
        <v>0</v>
      </c>
      <c r="F55" s="1061">
        <v>0</v>
      </c>
      <c r="G55" s="1061">
        <v>0</v>
      </c>
      <c r="H55" s="1061">
        <v>0</v>
      </c>
      <c r="I55" s="1061">
        <v>0</v>
      </c>
      <c r="J55" s="1061">
        <v>0</v>
      </c>
      <c r="K55" s="1061">
        <v>0</v>
      </c>
      <c r="L55" s="1062">
        <v>0</v>
      </c>
      <c r="M55" s="636">
        <f t="shared" si="8"/>
        <v>0</v>
      </c>
      <c r="N55" s="373"/>
      <c r="O55" s="636">
        <v>0</v>
      </c>
      <c r="P55" s="636">
        <v>0</v>
      </c>
      <c r="Q55" s="636">
        <v>0</v>
      </c>
      <c r="R55" s="636">
        <v>0</v>
      </c>
      <c r="S55" s="963">
        <v>0</v>
      </c>
      <c r="T55" s="963">
        <v>0</v>
      </c>
      <c r="U55" s="963">
        <v>0</v>
      </c>
      <c r="W55" s="636">
        <f t="shared" si="9"/>
        <v>0</v>
      </c>
      <c r="X55" s="636">
        <f t="shared" si="10"/>
        <v>0</v>
      </c>
      <c r="Y55" s="636">
        <f t="shared" si="11"/>
        <v>0</v>
      </c>
      <c r="Z55" s="636">
        <f t="shared" si="12"/>
        <v>0</v>
      </c>
      <c r="AA55" s="963">
        <f t="shared" si="13"/>
        <v>0</v>
      </c>
    </row>
    <row r="56" spans="1:27" s="963" customFormat="1" ht="16.5" customHeight="1" x14ac:dyDescent="0.3">
      <c r="A56" s="1051" t="s">
        <v>129</v>
      </c>
      <c r="B56" s="1052" t="s">
        <v>130</v>
      </c>
      <c r="C56" s="313" t="s">
        <v>255</v>
      </c>
      <c r="D56" s="1060">
        <v>4</v>
      </c>
      <c r="E56" s="1061">
        <v>3</v>
      </c>
      <c r="F56" s="1061">
        <v>0</v>
      </c>
      <c r="G56" s="1061">
        <v>0</v>
      </c>
      <c r="H56" s="1061">
        <v>0</v>
      </c>
      <c r="I56" s="1061">
        <v>0</v>
      </c>
      <c r="J56" s="1061">
        <v>1</v>
      </c>
      <c r="K56" s="1061">
        <v>0</v>
      </c>
      <c r="L56" s="1062">
        <v>0</v>
      </c>
      <c r="M56" s="636">
        <f t="shared" si="8"/>
        <v>1</v>
      </c>
      <c r="N56" s="373"/>
      <c r="O56" s="636">
        <v>0</v>
      </c>
      <c r="P56" s="636">
        <v>2</v>
      </c>
      <c r="Q56" s="636">
        <v>0</v>
      </c>
      <c r="R56" s="636">
        <v>1</v>
      </c>
      <c r="S56" s="963">
        <v>1</v>
      </c>
      <c r="T56" s="963">
        <v>0</v>
      </c>
      <c r="U56" s="963">
        <v>0</v>
      </c>
      <c r="W56" s="636">
        <f t="shared" si="9"/>
        <v>2</v>
      </c>
      <c r="X56" s="636">
        <f t="shared" si="10"/>
        <v>0</v>
      </c>
      <c r="Y56" s="636">
        <f t="shared" si="11"/>
        <v>1</v>
      </c>
      <c r="Z56" s="636">
        <f t="shared" si="12"/>
        <v>1</v>
      </c>
      <c r="AA56" s="963">
        <f t="shared" si="13"/>
        <v>0</v>
      </c>
    </row>
    <row r="57" spans="1:27" s="963" customFormat="1" ht="16.5" customHeight="1" x14ac:dyDescent="0.3">
      <c r="A57" s="1051" t="s">
        <v>131</v>
      </c>
      <c r="B57" s="1052" t="s">
        <v>132</v>
      </c>
      <c r="C57" s="313" t="s">
        <v>254</v>
      </c>
      <c r="D57" s="1060">
        <v>12</v>
      </c>
      <c r="E57" s="1061">
        <v>3</v>
      </c>
      <c r="F57" s="1061">
        <v>6</v>
      </c>
      <c r="G57" s="1061">
        <v>0</v>
      </c>
      <c r="H57" s="1061">
        <v>0</v>
      </c>
      <c r="I57" s="1061">
        <v>0</v>
      </c>
      <c r="J57" s="1061">
        <v>0</v>
      </c>
      <c r="K57" s="1061">
        <v>3</v>
      </c>
      <c r="L57" s="1062">
        <v>0</v>
      </c>
      <c r="M57" s="636">
        <f t="shared" si="8"/>
        <v>3</v>
      </c>
      <c r="N57" s="373"/>
      <c r="O57" s="636">
        <v>0</v>
      </c>
      <c r="P57" s="636">
        <v>0</v>
      </c>
      <c r="Q57" s="636">
        <v>6</v>
      </c>
      <c r="R57" s="636">
        <v>6</v>
      </c>
      <c r="S57" s="963">
        <v>0</v>
      </c>
      <c r="T57" s="963">
        <v>0</v>
      </c>
      <c r="U57" s="963">
        <v>0</v>
      </c>
      <c r="W57" s="636">
        <f t="shared" si="9"/>
        <v>0</v>
      </c>
      <c r="X57" s="636">
        <f t="shared" si="10"/>
        <v>6</v>
      </c>
      <c r="Y57" s="636">
        <f t="shared" si="11"/>
        <v>6</v>
      </c>
      <c r="Z57" s="636">
        <f t="shared" si="12"/>
        <v>0</v>
      </c>
      <c r="AA57" s="963">
        <f t="shared" si="13"/>
        <v>0</v>
      </c>
    </row>
    <row r="58" spans="1:27" s="963" customFormat="1" ht="16.5" customHeight="1" x14ac:dyDescent="0.3">
      <c r="A58" s="1051" t="s">
        <v>133</v>
      </c>
      <c r="B58" s="1052" t="s">
        <v>134</v>
      </c>
      <c r="C58" s="313" t="s">
        <v>254</v>
      </c>
      <c r="D58" s="1060">
        <v>5</v>
      </c>
      <c r="E58" s="1061">
        <v>1</v>
      </c>
      <c r="F58" s="1061">
        <v>4</v>
      </c>
      <c r="G58" s="1061">
        <v>0</v>
      </c>
      <c r="H58" s="1061">
        <v>0</v>
      </c>
      <c r="I58" s="1061">
        <v>0</v>
      </c>
      <c r="J58" s="1061">
        <v>0</v>
      </c>
      <c r="K58" s="1061">
        <v>0</v>
      </c>
      <c r="L58" s="1062">
        <v>0</v>
      </c>
      <c r="M58" s="636">
        <f t="shared" si="8"/>
        <v>0</v>
      </c>
      <c r="N58" s="636"/>
      <c r="O58" s="636">
        <v>0</v>
      </c>
      <c r="P58" s="636">
        <v>3</v>
      </c>
      <c r="Q58" s="636">
        <v>1</v>
      </c>
      <c r="R58" s="636">
        <v>0</v>
      </c>
      <c r="S58" s="963">
        <v>1</v>
      </c>
      <c r="T58" s="963">
        <v>0</v>
      </c>
      <c r="U58" s="963">
        <v>0</v>
      </c>
      <c r="W58" s="636">
        <f t="shared" si="9"/>
        <v>3</v>
      </c>
      <c r="X58" s="636">
        <f t="shared" si="10"/>
        <v>1</v>
      </c>
      <c r="Y58" s="636">
        <f t="shared" si="11"/>
        <v>0</v>
      </c>
      <c r="Z58" s="636">
        <f t="shared" si="12"/>
        <v>1</v>
      </c>
      <c r="AA58" s="963">
        <f t="shared" si="13"/>
        <v>0</v>
      </c>
    </row>
    <row r="59" spans="1:27" s="963" customFormat="1" ht="16.5" customHeight="1" x14ac:dyDescent="0.3">
      <c r="A59" s="1051" t="s">
        <v>135</v>
      </c>
      <c r="B59" s="1052" t="s">
        <v>136</v>
      </c>
      <c r="C59" s="313" t="s">
        <v>253</v>
      </c>
      <c r="D59" s="1060">
        <v>3</v>
      </c>
      <c r="E59" s="1061">
        <v>0</v>
      </c>
      <c r="F59" s="1063">
        <v>3</v>
      </c>
      <c r="G59" s="1063">
        <v>0</v>
      </c>
      <c r="H59" s="1063">
        <v>0</v>
      </c>
      <c r="I59" s="1063">
        <v>0</v>
      </c>
      <c r="J59" s="1064">
        <v>0</v>
      </c>
      <c r="K59" s="1064">
        <v>0</v>
      </c>
      <c r="L59" s="1065">
        <v>0</v>
      </c>
      <c r="M59" s="636">
        <f t="shared" si="8"/>
        <v>0</v>
      </c>
      <c r="N59" s="636"/>
      <c r="O59" s="636">
        <v>0</v>
      </c>
      <c r="P59" s="636">
        <v>2</v>
      </c>
      <c r="Q59" s="636">
        <v>1</v>
      </c>
      <c r="R59" s="636">
        <v>0</v>
      </c>
      <c r="S59" s="963">
        <v>0</v>
      </c>
      <c r="T59" s="963">
        <v>0</v>
      </c>
      <c r="U59" s="963">
        <v>0</v>
      </c>
      <c r="W59" s="636">
        <f t="shared" si="9"/>
        <v>2</v>
      </c>
      <c r="X59" s="636">
        <f t="shared" si="10"/>
        <v>1</v>
      </c>
      <c r="Y59" s="636">
        <f t="shared" si="11"/>
        <v>0</v>
      </c>
      <c r="Z59" s="636">
        <f t="shared" si="12"/>
        <v>0</v>
      </c>
      <c r="AA59" s="963">
        <f t="shared" si="13"/>
        <v>0</v>
      </c>
    </row>
    <row r="60" spans="1:27" s="963" customFormat="1" ht="16.5" customHeight="1" x14ac:dyDescent="0.3">
      <c r="A60" s="1051" t="s">
        <v>139</v>
      </c>
      <c r="B60" s="1052" t="s">
        <v>140</v>
      </c>
      <c r="C60" s="313" t="s">
        <v>254</v>
      </c>
      <c r="D60" s="1060">
        <v>5</v>
      </c>
      <c r="E60" s="1061">
        <v>4</v>
      </c>
      <c r="F60" s="1061">
        <v>1</v>
      </c>
      <c r="G60" s="1061">
        <v>0</v>
      </c>
      <c r="H60" s="1061">
        <v>0</v>
      </c>
      <c r="I60" s="1061">
        <v>0</v>
      </c>
      <c r="J60" s="1061">
        <v>0</v>
      </c>
      <c r="K60" s="1061">
        <v>0</v>
      </c>
      <c r="L60" s="1062">
        <v>0</v>
      </c>
      <c r="M60" s="636">
        <f t="shared" si="8"/>
        <v>0</v>
      </c>
      <c r="N60" s="636"/>
      <c r="O60" s="636">
        <v>0</v>
      </c>
      <c r="P60" s="636">
        <v>3</v>
      </c>
      <c r="Q60" s="636">
        <v>1</v>
      </c>
      <c r="R60" s="636">
        <v>0</v>
      </c>
      <c r="S60" s="963">
        <v>1</v>
      </c>
      <c r="T60" s="963">
        <v>0</v>
      </c>
      <c r="U60" s="963">
        <v>0</v>
      </c>
      <c r="W60" s="636">
        <f t="shared" si="9"/>
        <v>3</v>
      </c>
      <c r="X60" s="636">
        <f t="shared" si="10"/>
        <v>1</v>
      </c>
      <c r="Y60" s="636">
        <f t="shared" si="11"/>
        <v>0</v>
      </c>
      <c r="Z60" s="636">
        <f t="shared" si="12"/>
        <v>1</v>
      </c>
      <c r="AA60" s="963">
        <f t="shared" si="13"/>
        <v>0</v>
      </c>
    </row>
    <row r="61" spans="1:27" s="963" customFormat="1" ht="16.5" customHeight="1" x14ac:dyDescent="0.3">
      <c r="A61" s="1051" t="s">
        <v>145</v>
      </c>
      <c r="B61" s="1052" t="s">
        <v>146</v>
      </c>
      <c r="C61" s="313" t="s">
        <v>251</v>
      </c>
      <c r="D61" s="1060">
        <v>4</v>
      </c>
      <c r="E61" s="1061">
        <v>4</v>
      </c>
      <c r="F61" s="1061">
        <v>0</v>
      </c>
      <c r="G61" s="1061">
        <v>0</v>
      </c>
      <c r="H61" s="1061">
        <v>0</v>
      </c>
      <c r="I61" s="1061">
        <v>0</v>
      </c>
      <c r="J61" s="1061">
        <v>0</v>
      </c>
      <c r="K61" s="1061">
        <v>0</v>
      </c>
      <c r="L61" s="1062">
        <v>0</v>
      </c>
      <c r="M61" s="636">
        <f t="shared" si="8"/>
        <v>0</v>
      </c>
      <c r="N61" s="373"/>
      <c r="O61" s="636">
        <v>0</v>
      </c>
      <c r="P61" s="636">
        <v>2</v>
      </c>
      <c r="Q61" s="636">
        <v>2</v>
      </c>
      <c r="R61" s="636">
        <v>0</v>
      </c>
      <c r="S61" s="963">
        <v>0</v>
      </c>
      <c r="T61" s="963">
        <v>0</v>
      </c>
      <c r="U61" s="963">
        <v>0</v>
      </c>
      <c r="W61" s="636">
        <f t="shared" si="9"/>
        <v>2</v>
      </c>
      <c r="X61" s="636">
        <f t="shared" si="10"/>
        <v>2</v>
      </c>
      <c r="Y61" s="636">
        <f t="shared" si="11"/>
        <v>0</v>
      </c>
      <c r="Z61" s="636">
        <f t="shared" si="12"/>
        <v>0</v>
      </c>
      <c r="AA61" s="963">
        <f t="shared" si="13"/>
        <v>0</v>
      </c>
    </row>
    <row r="62" spans="1:27" s="963" customFormat="1" ht="16.5" customHeight="1" x14ac:dyDescent="0.3">
      <c r="A62" s="1051" t="s">
        <v>147</v>
      </c>
      <c r="B62" s="1052" t="s">
        <v>148</v>
      </c>
      <c r="C62" s="313" t="s">
        <v>252</v>
      </c>
      <c r="D62" s="1060">
        <v>2</v>
      </c>
      <c r="E62" s="1061">
        <v>1</v>
      </c>
      <c r="F62" s="1061">
        <v>0</v>
      </c>
      <c r="G62" s="1061">
        <v>0</v>
      </c>
      <c r="H62" s="1061">
        <v>0</v>
      </c>
      <c r="I62" s="1061">
        <v>0</v>
      </c>
      <c r="J62" s="1061">
        <v>1</v>
      </c>
      <c r="K62" s="1061">
        <v>0</v>
      </c>
      <c r="L62" s="1062">
        <v>0</v>
      </c>
      <c r="M62" s="636">
        <f t="shared" si="8"/>
        <v>1</v>
      </c>
      <c r="N62" s="636"/>
      <c r="O62" s="636">
        <v>0</v>
      </c>
      <c r="P62" s="636">
        <v>0</v>
      </c>
      <c r="Q62" s="636">
        <v>0</v>
      </c>
      <c r="R62" s="636">
        <v>2</v>
      </c>
      <c r="S62" s="963">
        <v>0</v>
      </c>
      <c r="T62" s="963">
        <v>0</v>
      </c>
      <c r="U62" s="963">
        <v>0</v>
      </c>
      <c r="W62" s="636">
        <f t="shared" si="9"/>
        <v>0</v>
      </c>
      <c r="X62" s="636">
        <f t="shared" si="10"/>
        <v>0</v>
      </c>
      <c r="Y62" s="636">
        <f t="shared" si="11"/>
        <v>2</v>
      </c>
      <c r="Z62" s="636">
        <f t="shared" si="12"/>
        <v>0</v>
      </c>
      <c r="AA62" s="963">
        <f t="shared" si="13"/>
        <v>0</v>
      </c>
    </row>
    <row r="63" spans="1:27" s="963" customFormat="1" ht="16.5" customHeight="1" x14ac:dyDescent="0.3">
      <c r="A63" s="1051" t="s">
        <v>149</v>
      </c>
      <c r="B63" s="1052" t="s">
        <v>150</v>
      </c>
      <c r="C63" s="313" t="s">
        <v>253</v>
      </c>
      <c r="D63" s="1060">
        <v>3</v>
      </c>
      <c r="E63" s="1061">
        <v>3</v>
      </c>
      <c r="F63" s="1063">
        <v>0</v>
      </c>
      <c r="G63" s="1063">
        <v>0</v>
      </c>
      <c r="H63" s="1063">
        <v>0</v>
      </c>
      <c r="I63" s="1063">
        <v>0</v>
      </c>
      <c r="J63" s="1064">
        <v>0</v>
      </c>
      <c r="K63" s="1064">
        <v>0</v>
      </c>
      <c r="L63" s="1065">
        <v>0</v>
      </c>
      <c r="M63" s="636">
        <f t="shared" si="8"/>
        <v>0</v>
      </c>
      <c r="N63" s="636"/>
      <c r="O63" s="636">
        <v>0</v>
      </c>
      <c r="P63" s="636">
        <v>3</v>
      </c>
      <c r="Q63" s="636">
        <v>0</v>
      </c>
      <c r="R63" s="636">
        <v>0</v>
      </c>
      <c r="S63" s="963">
        <v>0</v>
      </c>
      <c r="T63" s="963">
        <v>0</v>
      </c>
      <c r="U63" s="963">
        <v>0</v>
      </c>
      <c r="W63" s="636">
        <f t="shared" si="9"/>
        <v>3</v>
      </c>
      <c r="X63" s="636">
        <f t="shared" si="10"/>
        <v>0</v>
      </c>
      <c r="Y63" s="636">
        <f t="shared" si="11"/>
        <v>0</v>
      </c>
      <c r="Z63" s="636">
        <f t="shared" si="12"/>
        <v>0</v>
      </c>
      <c r="AA63" s="963">
        <f t="shared" si="13"/>
        <v>0</v>
      </c>
    </row>
    <row r="64" spans="1:27" s="963" customFormat="1" ht="16.5" customHeight="1" x14ac:dyDescent="0.3">
      <c r="A64" s="1051" t="s">
        <v>151</v>
      </c>
      <c r="B64" s="1052" t="s">
        <v>152</v>
      </c>
      <c r="C64" s="313" t="s">
        <v>255</v>
      </c>
      <c r="D64" s="1060">
        <v>18</v>
      </c>
      <c r="E64" s="1061">
        <v>15</v>
      </c>
      <c r="F64" s="1061">
        <v>1</v>
      </c>
      <c r="G64" s="1061">
        <v>0</v>
      </c>
      <c r="H64" s="1061">
        <v>0</v>
      </c>
      <c r="I64" s="1061">
        <v>0</v>
      </c>
      <c r="J64" s="1061">
        <v>2</v>
      </c>
      <c r="K64" s="1061">
        <v>0</v>
      </c>
      <c r="L64" s="1062">
        <v>0</v>
      </c>
      <c r="M64" s="636">
        <f t="shared" si="8"/>
        <v>2</v>
      </c>
      <c r="N64" s="636"/>
      <c r="O64" s="636">
        <v>2</v>
      </c>
      <c r="P64" s="636">
        <v>7</v>
      </c>
      <c r="Q64" s="636">
        <v>5</v>
      </c>
      <c r="R64" s="636">
        <v>4</v>
      </c>
      <c r="S64" s="963">
        <v>0</v>
      </c>
      <c r="T64" s="963">
        <v>0</v>
      </c>
      <c r="U64" s="963">
        <v>0</v>
      </c>
      <c r="W64" s="636">
        <f t="shared" si="9"/>
        <v>9</v>
      </c>
      <c r="X64" s="636">
        <f t="shared" si="10"/>
        <v>5</v>
      </c>
      <c r="Y64" s="636">
        <f t="shared" si="11"/>
        <v>4</v>
      </c>
      <c r="Z64" s="636">
        <f t="shared" si="12"/>
        <v>0</v>
      </c>
      <c r="AA64" s="963">
        <f t="shared" si="13"/>
        <v>0</v>
      </c>
    </row>
    <row r="65" spans="1:27" s="963" customFormat="1" ht="16.5" customHeight="1" x14ac:dyDescent="0.3">
      <c r="A65" s="1051" t="s">
        <v>153</v>
      </c>
      <c r="B65" s="1052" t="s">
        <v>154</v>
      </c>
      <c r="C65" s="313" t="s">
        <v>252</v>
      </c>
      <c r="D65" s="1066">
        <v>1</v>
      </c>
      <c r="E65" s="1063">
        <v>1</v>
      </c>
      <c r="F65" s="1063">
        <v>0</v>
      </c>
      <c r="G65" s="1063">
        <v>0</v>
      </c>
      <c r="H65" s="1063">
        <v>0</v>
      </c>
      <c r="I65" s="1063">
        <v>0</v>
      </c>
      <c r="J65" s="1064">
        <v>0</v>
      </c>
      <c r="K65" s="1064">
        <v>0</v>
      </c>
      <c r="L65" s="1065">
        <v>0</v>
      </c>
      <c r="M65" s="636">
        <f t="shared" si="8"/>
        <v>0</v>
      </c>
      <c r="N65" s="636"/>
      <c r="O65" s="636">
        <v>0</v>
      </c>
      <c r="P65" s="636">
        <v>0</v>
      </c>
      <c r="Q65" s="636">
        <v>0</v>
      </c>
      <c r="R65" s="636">
        <v>1</v>
      </c>
      <c r="S65" s="963">
        <v>0</v>
      </c>
      <c r="T65" s="963">
        <v>0</v>
      </c>
      <c r="U65" s="963">
        <v>0</v>
      </c>
      <c r="W65" s="636">
        <f t="shared" si="9"/>
        <v>0</v>
      </c>
      <c r="X65" s="636">
        <f t="shared" si="10"/>
        <v>0</v>
      </c>
      <c r="Y65" s="636">
        <f t="shared" si="11"/>
        <v>1</v>
      </c>
      <c r="Z65" s="636">
        <f t="shared" si="12"/>
        <v>0</v>
      </c>
      <c r="AA65" s="963">
        <f t="shared" si="13"/>
        <v>0</v>
      </c>
    </row>
    <row r="66" spans="1:27" s="963" customFormat="1" ht="16.5" customHeight="1" x14ac:dyDescent="0.3">
      <c r="A66" s="1051" t="s">
        <v>155</v>
      </c>
      <c r="B66" s="1052" t="s">
        <v>156</v>
      </c>
      <c r="C66" s="313" t="s">
        <v>253</v>
      </c>
      <c r="D66" s="1060">
        <v>0</v>
      </c>
      <c r="E66" s="1061">
        <v>0</v>
      </c>
      <c r="F66" s="1061">
        <v>0</v>
      </c>
      <c r="G66" s="1061">
        <v>0</v>
      </c>
      <c r="H66" s="1061">
        <v>0</v>
      </c>
      <c r="I66" s="1061">
        <v>0</v>
      </c>
      <c r="J66" s="1061">
        <v>0</v>
      </c>
      <c r="K66" s="1061">
        <v>0</v>
      </c>
      <c r="L66" s="1062">
        <v>0</v>
      </c>
      <c r="M66" s="636">
        <f t="shared" si="8"/>
        <v>0</v>
      </c>
      <c r="N66" s="373"/>
      <c r="O66" s="636">
        <v>0</v>
      </c>
      <c r="P66" s="636">
        <v>0</v>
      </c>
      <c r="Q66" s="636">
        <v>0</v>
      </c>
      <c r="R66" s="636">
        <v>0</v>
      </c>
      <c r="S66" s="963">
        <v>0</v>
      </c>
      <c r="T66" s="963">
        <v>0</v>
      </c>
      <c r="U66" s="963">
        <v>0</v>
      </c>
      <c r="W66" s="636">
        <f t="shared" si="9"/>
        <v>0</v>
      </c>
      <c r="X66" s="636">
        <f t="shared" si="10"/>
        <v>0</v>
      </c>
      <c r="Y66" s="636">
        <f t="shared" si="11"/>
        <v>0</v>
      </c>
      <c r="Z66" s="636">
        <f t="shared" si="12"/>
        <v>0</v>
      </c>
      <c r="AA66" s="963">
        <f t="shared" si="13"/>
        <v>0</v>
      </c>
    </row>
    <row r="67" spans="1:27" s="963" customFormat="1" ht="16.5" customHeight="1" x14ac:dyDescent="0.3">
      <c r="A67" s="1051" t="s">
        <v>161</v>
      </c>
      <c r="B67" s="1052" t="s">
        <v>162</v>
      </c>
      <c r="C67" s="313" t="s">
        <v>251</v>
      </c>
      <c r="D67" s="1060">
        <v>0</v>
      </c>
      <c r="E67" s="1061">
        <v>0</v>
      </c>
      <c r="F67" s="1061">
        <v>0</v>
      </c>
      <c r="G67" s="1061">
        <v>0</v>
      </c>
      <c r="H67" s="1061">
        <v>0</v>
      </c>
      <c r="I67" s="1061">
        <v>0</v>
      </c>
      <c r="J67" s="1061">
        <v>0</v>
      </c>
      <c r="K67" s="1061">
        <v>0</v>
      </c>
      <c r="L67" s="1062">
        <v>0</v>
      </c>
      <c r="M67" s="373">
        <f t="shared" si="8"/>
        <v>0</v>
      </c>
      <c r="N67" s="373"/>
      <c r="O67" s="636">
        <v>0</v>
      </c>
      <c r="P67" s="636">
        <v>0</v>
      </c>
      <c r="Q67" s="636">
        <v>0</v>
      </c>
      <c r="R67" s="636">
        <v>0</v>
      </c>
      <c r="S67" s="963">
        <v>0</v>
      </c>
      <c r="T67" s="963">
        <v>0</v>
      </c>
      <c r="U67" s="963">
        <v>0</v>
      </c>
      <c r="W67" s="636">
        <f t="shared" si="9"/>
        <v>0</v>
      </c>
      <c r="X67" s="636">
        <f t="shared" si="10"/>
        <v>0</v>
      </c>
      <c r="Y67" s="636">
        <f t="shared" si="11"/>
        <v>0</v>
      </c>
      <c r="Z67" s="636">
        <f t="shared" si="12"/>
        <v>0</v>
      </c>
      <c r="AA67" s="963">
        <f t="shared" si="13"/>
        <v>0</v>
      </c>
    </row>
    <row r="68" spans="1:27" s="963" customFormat="1" ht="16.5" customHeight="1" x14ac:dyDescent="0.3">
      <c r="A68" s="1051" t="s">
        <v>163</v>
      </c>
      <c r="B68" s="1052" t="s">
        <v>164</v>
      </c>
      <c r="C68" s="313" t="s">
        <v>253</v>
      </c>
      <c r="D68" s="1060">
        <v>0</v>
      </c>
      <c r="E68" s="1061">
        <v>0</v>
      </c>
      <c r="F68" s="1061">
        <v>0</v>
      </c>
      <c r="G68" s="1061">
        <v>0</v>
      </c>
      <c r="H68" s="1061">
        <v>0</v>
      </c>
      <c r="I68" s="1061">
        <v>0</v>
      </c>
      <c r="J68" s="1061">
        <v>0</v>
      </c>
      <c r="K68" s="1061">
        <v>0</v>
      </c>
      <c r="L68" s="1062">
        <v>0</v>
      </c>
      <c r="M68" s="636">
        <f t="shared" si="8"/>
        <v>0</v>
      </c>
      <c r="N68" s="373"/>
      <c r="O68" s="636">
        <v>0</v>
      </c>
      <c r="P68" s="636">
        <v>0</v>
      </c>
      <c r="Q68" s="636">
        <v>0</v>
      </c>
      <c r="R68" s="636">
        <v>0</v>
      </c>
      <c r="S68" s="963">
        <v>0</v>
      </c>
      <c r="T68" s="963">
        <v>0</v>
      </c>
      <c r="U68" s="963">
        <v>0</v>
      </c>
      <c r="W68" s="636">
        <f t="shared" si="9"/>
        <v>0</v>
      </c>
      <c r="X68" s="636">
        <f t="shared" si="10"/>
        <v>0</v>
      </c>
      <c r="Y68" s="636">
        <f t="shared" si="11"/>
        <v>0</v>
      </c>
      <c r="Z68" s="636">
        <f t="shared" si="12"/>
        <v>0</v>
      </c>
      <c r="AA68" s="963">
        <f t="shared" si="13"/>
        <v>0</v>
      </c>
    </row>
    <row r="69" spans="1:27" s="963" customFormat="1" ht="16.5" customHeight="1" x14ac:dyDescent="0.3">
      <c r="A69" s="1051" t="s">
        <v>167</v>
      </c>
      <c r="B69" s="1052" t="s">
        <v>168</v>
      </c>
      <c r="C69" s="313" t="s">
        <v>253</v>
      </c>
      <c r="D69" s="1060">
        <v>1</v>
      </c>
      <c r="E69" s="1061">
        <v>0</v>
      </c>
      <c r="F69" s="1061">
        <v>1</v>
      </c>
      <c r="G69" s="1061">
        <v>0</v>
      </c>
      <c r="H69" s="1061">
        <v>0</v>
      </c>
      <c r="I69" s="1061">
        <v>0</v>
      </c>
      <c r="J69" s="1061">
        <v>0</v>
      </c>
      <c r="K69" s="1061">
        <v>0</v>
      </c>
      <c r="L69" s="1062">
        <v>0</v>
      </c>
      <c r="M69" s="636">
        <f t="shared" ref="M69:M100" si="14">G69+H69+I69+J69+K69</f>
        <v>0</v>
      </c>
      <c r="N69" s="373"/>
      <c r="O69" s="636">
        <v>0</v>
      </c>
      <c r="P69" s="636">
        <v>1</v>
      </c>
      <c r="Q69" s="636">
        <v>0</v>
      </c>
      <c r="R69" s="636">
        <v>0</v>
      </c>
      <c r="S69" s="963">
        <v>0</v>
      </c>
      <c r="T69" s="963">
        <v>0</v>
      </c>
      <c r="U69" s="963">
        <v>0</v>
      </c>
      <c r="W69" s="636">
        <f t="shared" ref="W69:W100" si="15">O69+P69</f>
        <v>1</v>
      </c>
      <c r="X69" s="636">
        <f t="shared" ref="X69:X100" si="16">Q69</f>
        <v>0</v>
      </c>
      <c r="Y69" s="636">
        <f t="shared" ref="Y69:Y100" si="17">R69</f>
        <v>0</v>
      </c>
      <c r="Z69" s="636">
        <f t="shared" ref="Z69:Z100" si="18">S69</f>
        <v>0</v>
      </c>
      <c r="AA69" s="963">
        <f t="shared" ref="AA69:AA100" si="19">T69</f>
        <v>0</v>
      </c>
    </row>
    <row r="70" spans="1:27" s="963" customFormat="1" ht="16.5" customHeight="1" x14ac:dyDescent="0.3">
      <c r="A70" s="1051" t="s">
        <v>169</v>
      </c>
      <c r="B70" s="1052" t="s">
        <v>170</v>
      </c>
      <c r="C70" s="313" t="s">
        <v>254</v>
      </c>
      <c r="D70" s="1060">
        <v>2</v>
      </c>
      <c r="E70" s="1061">
        <v>0</v>
      </c>
      <c r="F70" s="1061">
        <v>0</v>
      </c>
      <c r="G70" s="1061">
        <v>0</v>
      </c>
      <c r="H70" s="1061">
        <v>0</v>
      </c>
      <c r="I70" s="1061">
        <v>0</v>
      </c>
      <c r="J70" s="1061">
        <v>2</v>
      </c>
      <c r="K70" s="1061">
        <v>0</v>
      </c>
      <c r="L70" s="1062">
        <v>0</v>
      </c>
      <c r="M70" s="636">
        <f t="shared" si="14"/>
        <v>2</v>
      </c>
      <c r="N70" s="373"/>
      <c r="O70" s="636">
        <v>0</v>
      </c>
      <c r="P70" s="636">
        <v>1</v>
      </c>
      <c r="Q70" s="373">
        <v>1</v>
      </c>
      <c r="R70" s="636">
        <v>0</v>
      </c>
      <c r="S70" s="963">
        <v>0</v>
      </c>
      <c r="T70" s="963">
        <v>0</v>
      </c>
      <c r="U70" s="963">
        <v>0</v>
      </c>
      <c r="W70" s="636">
        <f t="shared" si="15"/>
        <v>1</v>
      </c>
      <c r="X70" s="636">
        <f t="shared" si="16"/>
        <v>1</v>
      </c>
      <c r="Y70" s="636">
        <f t="shared" si="17"/>
        <v>0</v>
      </c>
      <c r="Z70" s="636">
        <f t="shared" si="18"/>
        <v>0</v>
      </c>
      <c r="AA70" s="963">
        <f t="shared" si="19"/>
        <v>0</v>
      </c>
    </row>
    <row r="71" spans="1:27" s="963" customFormat="1" ht="16.5" customHeight="1" x14ac:dyDescent="0.3">
      <c r="A71" s="1051" t="s">
        <v>171</v>
      </c>
      <c r="B71" s="1052" t="s">
        <v>172</v>
      </c>
      <c r="C71" s="313" t="s">
        <v>254</v>
      </c>
      <c r="D71" s="1060">
        <v>3</v>
      </c>
      <c r="E71" s="1061">
        <v>3</v>
      </c>
      <c r="F71" s="1061">
        <v>0</v>
      </c>
      <c r="G71" s="1061">
        <v>0</v>
      </c>
      <c r="H71" s="1061">
        <v>0</v>
      </c>
      <c r="I71" s="1061">
        <v>0</v>
      </c>
      <c r="J71" s="1061">
        <v>0</v>
      </c>
      <c r="K71" s="1061">
        <v>0</v>
      </c>
      <c r="L71" s="1062">
        <v>0</v>
      </c>
      <c r="M71" s="636">
        <f t="shared" si="14"/>
        <v>0</v>
      </c>
      <c r="N71" s="636"/>
      <c r="O71" s="636">
        <v>0</v>
      </c>
      <c r="P71" s="636">
        <v>0</v>
      </c>
      <c r="Q71" s="636">
        <v>2</v>
      </c>
      <c r="R71" s="636">
        <v>1</v>
      </c>
      <c r="S71" s="963">
        <v>0</v>
      </c>
      <c r="T71" s="963">
        <v>0</v>
      </c>
      <c r="U71" s="963">
        <v>0</v>
      </c>
      <c r="W71" s="636">
        <f t="shared" si="15"/>
        <v>0</v>
      </c>
      <c r="X71" s="636">
        <f t="shared" si="16"/>
        <v>2</v>
      </c>
      <c r="Y71" s="636">
        <f t="shared" si="17"/>
        <v>1</v>
      </c>
      <c r="Z71" s="636">
        <f t="shared" si="18"/>
        <v>0</v>
      </c>
      <c r="AA71" s="963">
        <f t="shared" si="19"/>
        <v>0</v>
      </c>
    </row>
    <row r="72" spans="1:27" s="963" customFormat="1" ht="16.5" customHeight="1" x14ac:dyDescent="0.3">
      <c r="A72" s="1051" t="s">
        <v>173</v>
      </c>
      <c r="B72" s="1052" t="s">
        <v>174</v>
      </c>
      <c r="C72" s="313" t="s">
        <v>255</v>
      </c>
      <c r="D72" s="1060">
        <v>8</v>
      </c>
      <c r="E72" s="1061">
        <v>8</v>
      </c>
      <c r="F72" s="1061">
        <v>0</v>
      </c>
      <c r="G72" s="1061">
        <v>0</v>
      </c>
      <c r="H72" s="1061">
        <v>0</v>
      </c>
      <c r="I72" s="1061">
        <v>0</v>
      </c>
      <c r="J72" s="1061">
        <v>0</v>
      </c>
      <c r="K72" s="1061">
        <v>0</v>
      </c>
      <c r="L72" s="1062">
        <v>0</v>
      </c>
      <c r="M72" s="636">
        <f t="shared" si="14"/>
        <v>0</v>
      </c>
      <c r="N72" s="636"/>
      <c r="O72" s="636">
        <v>0</v>
      </c>
      <c r="P72" s="636">
        <v>2</v>
      </c>
      <c r="Q72" s="636">
        <v>0</v>
      </c>
      <c r="R72" s="636">
        <v>6</v>
      </c>
      <c r="S72" s="963">
        <v>0</v>
      </c>
      <c r="T72" s="963">
        <v>0</v>
      </c>
      <c r="U72" s="963">
        <v>0</v>
      </c>
      <c r="W72" s="636">
        <f t="shared" si="15"/>
        <v>2</v>
      </c>
      <c r="X72" s="636">
        <f t="shared" si="16"/>
        <v>0</v>
      </c>
      <c r="Y72" s="636">
        <f t="shared" si="17"/>
        <v>6</v>
      </c>
      <c r="Z72" s="636">
        <f t="shared" si="18"/>
        <v>0</v>
      </c>
      <c r="AA72" s="963">
        <f t="shared" si="19"/>
        <v>0</v>
      </c>
    </row>
    <row r="73" spans="1:27" s="963" customFormat="1" ht="16.5" customHeight="1" x14ac:dyDescent="0.3">
      <c r="A73" s="1051" t="s">
        <v>177</v>
      </c>
      <c r="B73" s="1052" t="s">
        <v>178</v>
      </c>
      <c r="C73" s="313" t="s">
        <v>252</v>
      </c>
      <c r="D73" s="1060">
        <v>0</v>
      </c>
      <c r="E73" s="1061">
        <v>0</v>
      </c>
      <c r="F73" s="1061">
        <v>0</v>
      </c>
      <c r="G73" s="1061">
        <v>0</v>
      </c>
      <c r="H73" s="1061">
        <v>0</v>
      </c>
      <c r="I73" s="1061">
        <v>0</v>
      </c>
      <c r="J73" s="1061">
        <v>0</v>
      </c>
      <c r="K73" s="1061">
        <v>0</v>
      </c>
      <c r="L73" s="1062">
        <v>0</v>
      </c>
      <c r="M73" s="636">
        <f t="shared" si="14"/>
        <v>0</v>
      </c>
      <c r="N73" s="636"/>
      <c r="O73" s="636">
        <v>0</v>
      </c>
      <c r="P73" s="636">
        <v>0</v>
      </c>
      <c r="Q73" s="636">
        <v>0</v>
      </c>
      <c r="R73" s="636">
        <v>0</v>
      </c>
      <c r="S73" s="963">
        <v>0</v>
      </c>
      <c r="T73" s="963">
        <v>0</v>
      </c>
      <c r="U73" s="963">
        <v>0</v>
      </c>
      <c r="W73" s="636">
        <f t="shared" si="15"/>
        <v>0</v>
      </c>
      <c r="X73" s="636">
        <f t="shared" si="16"/>
        <v>0</v>
      </c>
      <c r="Y73" s="636">
        <f t="shared" si="17"/>
        <v>0</v>
      </c>
      <c r="Z73" s="636">
        <f t="shared" si="18"/>
        <v>0</v>
      </c>
      <c r="AA73" s="963">
        <f t="shared" si="19"/>
        <v>0</v>
      </c>
    </row>
    <row r="74" spans="1:27" s="963" customFormat="1" ht="16.5" customHeight="1" x14ac:dyDescent="0.3">
      <c r="A74" s="1051" t="s">
        <v>181</v>
      </c>
      <c r="B74" s="1052" t="s">
        <v>182</v>
      </c>
      <c r="C74" s="313" t="s">
        <v>253</v>
      </c>
      <c r="D74" s="1060">
        <v>0</v>
      </c>
      <c r="E74" s="1061">
        <v>0</v>
      </c>
      <c r="F74" s="1061">
        <v>0</v>
      </c>
      <c r="G74" s="1061">
        <v>0</v>
      </c>
      <c r="H74" s="1061">
        <v>0</v>
      </c>
      <c r="I74" s="1061">
        <v>0</v>
      </c>
      <c r="J74" s="1061">
        <v>0</v>
      </c>
      <c r="K74" s="1061">
        <v>0</v>
      </c>
      <c r="L74" s="1062">
        <v>0</v>
      </c>
      <c r="M74" s="636">
        <f t="shared" si="14"/>
        <v>0</v>
      </c>
      <c r="N74" s="636"/>
      <c r="O74" s="636">
        <v>0</v>
      </c>
      <c r="P74" s="636">
        <v>0</v>
      </c>
      <c r="Q74" s="636">
        <v>0</v>
      </c>
      <c r="R74" s="636">
        <v>0</v>
      </c>
      <c r="S74" s="963">
        <v>0</v>
      </c>
      <c r="T74" s="963">
        <v>0</v>
      </c>
      <c r="U74" s="963">
        <v>0</v>
      </c>
      <c r="W74" s="636">
        <f t="shared" si="15"/>
        <v>0</v>
      </c>
      <c r="X74" s="636">
        <f t="shared" si="16"/>
        <v>0</v>
      </c>
      <c r="Y74" s="636">
        <f t="shared" si="17"/>
        <v>0</v>
      </c>
      <c r="Z74" s="636">
        <f t="shared" si="18"/>
        <v>0</v>
      </c>
      <c r="AA74" s="963">
        <f t="shared" si="19"/>
        <v>0</v>
      </c>
    </row>
    <row r="75" spans="1:27" s="963" customFormat="1" ht="16.5" customHeight="1" x14ac:dyDescent="0.3">
      <c r="A75" s="1051" t="s">
        <v>183</v>
      </c>
      <c r="B75" s="1052" t="s">
        <v>184</v>
      </c>
      <c r="C75" s="313" t="s">
        <v>253</v>
      </c>
      <c r="D75" s="1060">
        <v>0</v>
      </c>
      <c r="E75" s="1061">
        <v>0</v>
      </c>
      <c r="F75" s="1061">
        <v>0</v>
      </c>
      <c r="G75" s="1061">
        <v>0</v>
      </c>
      <c r="H75" s="1061">
        <v>0</v>
      </c>
      <c r="I75" s="1061">
        <v>0</v>
      </c>
      <c r="J75" s="1061">
        <v>0</v>
      </c>
      <c r="K75" s="1061">
        <v>0</v>
      </c>
      <c r="L75" s="1062">
        <v>0</v>
      </c>
      <c r="M75" s="636">
        <f t="shared" si="14"/>
        <v>0</v>
      </c>
      <c r="N75" s="373"/>
      <c r="O75" s="636">
        <v>0</v>
      </c>
      <c r="P75" s="636">
        <v>0</v>
      </c>
      <c r="Q75" s="636">
        <v>0</v>
      </c>
      <c r="R75" s="636">
        <v>0</v>
      </c>
      <c r="S75" s="963">
        <v>0</v>
      </c>
      <c r="T75" s="963">
        <v>0</v>
      </c>
      <c r="U75" s="963">
        <v>0</v>
      </c>
      <c r="W75" s="636">
        <f t="shared" si="15"/>
        <v>0</v>
      </c>
      <c r="X75" s="636">
        <f t="shared" si="16"/>
        <v>0</v>
      </c>
      <c r="Y75" s="636">
        <f t="shared" si="17"/>
        <v>0</v>
      </c>
      <c r="Z75" s="636">
        <f t="shared" si="18"/>
        <v>0</v>
      </c>
      <c r="AA75" s="963">
        <f t="shared" si="19"/>
        <v>0</v>
      </c>
    </row>
    <row r="76" spans="1:27" s="963" customFormat="1" ht="16.5" customHeight="1" x14ac:dyDescent="0.3">
      <c r="A76" s="1051" t="s">
        <v>185</v>
      </c>
      <c r="B76" s="1052" t="s">
        <v>186</v>
      </c>
      <c r="C76" s="313" t="s">
        <v>251</v>
      </c>
      <c r="D76" s="1060">
        <v>4</v>
      </c>
      <c r="E76" s="1061">
        <v>1</v>
      </c>
      <c r="F76" s="1061">
        <v>1</v>
      </c>
      <c r="G76" s="1061">
        <v>0</v>
      </c>
      <c r="H76" s="1061">
        <v>0</v>
      </c>
      <c r="I76" s="1061">
        <v>0</v>
      </c>
      <c r="J76" s="1061">
        <v>2</v>
      </c>
      <c r="K76" s="1061">
        <v>0</v>
      </c>
      <c r="L76" s="1062">
        <v>0</v>
      </c>
      <c r="M76" s="636">
        <f t="shared" si="14"/>
        <v>2</v>
      </c>
      <c r="N76" s="373"/>
      <c r="O76" s="636">
        <v>0</v>
      </c>
      <c r="P76" s="636">
        <v>3</v>
      </c>
      <c r="Q76" s="636">
        <v>1</v>
      </c>
      <c r="R76" s="636">
        <v>0</v>
      </c>
      <c r="S76" s="963">
        <v>0</v>
      </c>
      <c r="T76" s="963">
        <v>0</v>
      </c>
      <c r="U76" s="963">
        <v>0</v>
      </c>
      <c r="W76" s="636">
        <f t="shared" si="15"/>
        <v>3</v>
      </c>
      <c r="X76" s="636">
        <f t="shared" si="16"/>
        <v>1</v>
      </c>
      <c r="Y76" s="636">
        <f t="shared" si="17"/>
        <v>0</v>
      </c>
      <c r="Z76" s="636">
        <f t="shared" si="18"/>
        <v>0</v>
      </c>
      <c r="AA76" s="963">
        <f t="shared" si="19"/>
        <v>0</v>
      </c>
    </row>
    <row r="77" spans="1:27" s="963" customFormat="1" ht="16.5" customHeight="1" x14ac:dyDescent="0.3">
      <c r="A77" s="1051" t="s">
        <v>187</v>
      </c>
      <c r="B77" s="1052" t="s">
        <v>188</v>
      </c>
      <c r="C77" s="313" t="s">
        <v>254</v>
      </c>
      <c r="D77" s="1060">
        <v>7</v>
      </c>
      <c r="E77" s="1061">
        <v>3</v>
      </c>
      <c r="F77" s="1061">
        <v>1</v>
      </c>
      <c r="G77" s="1061">
        <v>0</v>
      </c>
      <c r="H77" s="1061">
        <v>0</v>
      </c>
      <c r="I77" s="1061">
        <v>0</v>
      </c>
      <c r="J77" s="1061">
        <v>2</v>
      </c>
      <c r="K77" s="1061">
        <v>1</v>
      </c>
      <c r="L77" s="1062">
        <v>0</v>
      </c>
      <c r="M77" s="636">
        <f t="shared" si="14"/>
        <v>3</v>
      </c>
      <c r="N77" s="636"/>
      <c r="O77" s="636">
        <v>0</v>
      </c>
      <c r="P77" s="636">
        <v>2</v>
      </c>
      <c r="Q77" s="373">
        <v>2</v>
      </c>
      <c r="R77" s="636">
        <v>2</v>
      </c>
      <c r="S77" s="963">
        <v>1</v>
      </c>
      <c r="T77" s="963">
        <v>0</v>
      </c>
      <c r="U77" s="963">
        <v>0</v>
      </c>
      <c r="W77" s="636">
        <f t="shared" si="15"/>
        <v>2</v>
      </c>
      <c r="X77" s="636">
        <f t="shared" si="16"/>
        <v>2</v>
      </c>
      <c r="Y77" s="636">
        <f t="shared" si="17"/>
        <v>2</v>
      </c>
      <c r="Z77" s="636">
        <f t="shared" si="18"/>
        <v>1</v>
      </c>
      <c r="AA77" s="963">
        <f t="shared" si="19"/>
        <v>0</v>
      </c>
    </row>
    <row r="78" spans="1:27" s="963" customFormat="1" ht="16.5" customHeight="1" x14ac:dyDescent="0.3">
      <c r="A78" s="1051" t="s">
        <v>189</v>
      </c>
      <c r="B78" s="1052" t="s">
        <v>190</v>
      </c>
      <c r="C78" s="313" t="s">
        <v>255</v>
      </c>
      <c r="D78" s="1060">
        <v>9</v>
      </c>
      <c r="E78" s="1061">
        <v>6</v>
      </c>
      <c r="F78" s="1061">
        <v>0</v>
      </c>
      <c r="G78" s="1061">
        <v>0</v>
      </c>
      <c r="H78" s="1061">
        <v>0</v>
      </c>
      <c r="I78" s="1061">
        <v>0</v>
      </c>
      <c r="J78" s="1061">
        <v>3</v>
      </c>
      <c r="K78" s="1061">
        <v>0</v>
      </c>
      <c r="L78" s="1062">
        <v>0</v>
      </c>
      <c r="M78" s="636">
        <f t="shared" si="14"/>
        <v>3</v>
      </c>
      <c r="N78" s="636"/>
      <c r="O78" s="636">
        <v>0</v>
      </c>
      <c r="P78" s="636">
        <v>3</v>
      </c>
      <c r="Q78" s="636">
        <v>5</v>
      </c>
      <c r="R78" s="636">
        <v>0</v>
      </c>
      <c r="S78" s="963">
        <v>1</v>
      </c>
      <c r="T78" s="963">
        <v>0</v>
      </c>
      <c r="U78" s="963">
        <v>0</v>
      </c>
      <c r="W78" s="636">
        <f t="shared" si="15"/>
        <v>3</v>
      </c>
      <c r="X78" s="636">
        <f t="shared" si="16"/>
        <v>5</v>
      </c>
      <c r="Y78" s="636">
        <f t="shared" si="17"/>
        <v>0</v>
      </c>
      <c r="Z78" s="636">
        <f t="shared" si="18"/>
        <v>1</v>
      </c>
      <c r="AA78" s="963">
        <f t="shared" si="19"/>
        <v>0</v>
      </c>
    </row>
    <row r="79" spans="1:27" s="963" customFormat="1" ht="16.5" customHeight="1" x14ac:dyDescent="0.3">
      <c r="A79" s="1051" t="s">
        <v>193</v>
      </c>
      <c r="B79" s="1052" t="s">
        <v>194</v>
      </c>
      <c r="C79" s="313" t="s">
        <v>254</v>
      </c>
      <c r="D79" s="1060">
        <v>4</v>
      </c>
      <c r="E79" s="1061">
        <v>3</v>
      </c>
      <c r="F79" s="1061">
        <v>0</v>
      </c>
      <c r="G79" s="1061">
        <v>0</v>
      </c>
      <c r="H79" s="1061">
        <v>0</v>
      </c>
      <c r="I79" s="1061">
        <v>0</v>
      </c>
      <c r="J79" s="1061">
        <v>1</v>
      </c>
      <c r="K79" s="1061">
        <v>0</v>
      </c>
      <c r="L79" s="1062">
        <v>0</v>
      </c>
      <c r="M79" s="636">
        <f t="shared" si="14"/>
        <v>1</v>
      </c>
      <c r="N79" s="636"/>
      <c r="O79" s="636">
        <v>0</v>
      </c>
      <c r="P79" s="636">
        <v>3</v>
      </c>
      <c r="Q79" s="636">
        <v>0</v>
      </c>
      <c r="R79" s="636">
        <v>1</v>
      </c>
      <c r="S79" s="963">
        <v>0</v>
      </c>
      <c r="T79" s="963">
        <v>0</v>
      </c>
      <c r="U79" s="963">
        <v>0</v>
      </c>
      <c r="W79" s="636">
        <f t="shared" si="15"/>
        <v>3</v>
      </c>
      <c r="X79" s="636">
        <f t="shared" si="16"/>
        <v>0</v>
      </c>
      <c r="Y79" s="636">
        <f t="shared" si="17"/>
        <v>1</v>
      </c>
      <c r="Z79" s="636">
        <f t="shared" si="18"/>
        <v>0</v>
      </c>
      <c r="AA79" s="963">
        <f t="shared" si="19"/>
        <v>0</v>
      </c>
    </row>
    <row r="80" spans="1:27" s="963" customFormat="1" ht="16.5" customHeight="1" x14ac:dyDescent="0.3">
      <c r="A80" s="1051" t="s">
        <v>197</v>
      </c>
      <c r="B80" s="1052" t="s">
        <v>198</v>
      </c>
      <c r="C80" s="313" t="s">
        <v>253</v>
      </c>
      <c r="D80" s="1060">
        <v>0</v>
      </c>
      <c r="E80" s="1061">
        <v>0</v>
      </c>
      <c r="F80" s="1061">
        <v>0</v>
      </c>
      <c r="G80" s="1061">
        <v>0</v>
      </c>
      <c r="H80" s="1061">
        <v>0</v>
      </c>
      <c r="I80" s="1061">
        <v>0</v>
      </c>
      <c r="J80" s="1061">
        <v>0</v>
      </c>
      <c r="K80" s="1061">
        <v>0</v>
      </c>
      <c r="L80" s="1062">
        <v>0</v>
      </c>
      <c r="M80" s="636">
        <f t="shared" si="14"/>
        <v>0</v>
      </c>
      <c r="N80" s="373"/>
      <c r="O80" s="636">
        <v>0</v>
      </c>
      <c r="P80" s="636">
        <v>0</v>
      </c>
      <c r="Q80" s="636">
        <v>0</v>
      </c>
      <c r="R80" s="636">
        <v>0</v>
      </c>
      <c r="S80" s="963">
        <v>0</v>
      </c>
      <c r="T80" s="963">
        <v>0</v>
      </c>
      <c r="U80" s="963">
        <v>0</v>
      </c>
      <c r="W80" s="636">
        <f t="shared" si="15"/>
        <v>0</v>
      </c>
      <c r="X80" s="636">
        <f t="shared" si="16"/>
        <v>0</v>
      </c>
      <c r="Y80" s="636">
        <f t="shared" si="17"/>
        <v>0</v>
      </c>
      <c r="Z80" s="636">
        <f t="shared" si="18"/>
        <v>0</v>
      </c>
      <c r="AA80" s="963">
        <f t="shared" si="19"/>
        <v>0</v>
      </c>
    </row>
    <row r="81" spans="1:27" s="963" customFormat="1" ht="16.5" customHeight="1" x14ac:dyDescent="0.3">
      <c r="A81" s="1051" t="s">
        <v>201</v>
      </c>
      <c r="B81" s="1052" t="s">
        <v>202</v>
      </c>
      <c r="C81" s="313" t="s">
        <v>252</v>
      </c>
      <c r="D81" s="1060">
        <v>28</v>
      </c>
      <c r="E81" s="1061">
        <v>17</v>
      </c>
      <c r="F81" s="1061">
        <v>5</v>
      </c>
      <c r="G81" s="1061">
        <v>0</v>
      </c>
      <c r="H81" s="1061">
        <v>0</v>
      </c>
      <c r="I81" s="1061">
        <v>0</v>
      </c>
      <c r="J81" s="1061">
        <v>6</v>
      </c>
      <c r="K81" s="1061">
        <v>0</v>
      </c>
      <c r="L81" s="1062">
        <v>0</v>
      </c>
      <c r="M81" s="636">
        <f t="shared" si="14"/>
        <v>6</v>
      </c>
      <c r="N81" s="373"/>
      <c r="O81" s="373">
        <v>0</v>
      </c>
      <c r="P81" s="373">
        <v>11</v>
      </c>
      <c r="Q81" s="636">
        <v>7</v>
      </c>
      <c r="R81" s="636">
        <v>8</v>
      </c>
      <c r="S81" s="963">
        <v>2</v>
      </c>
      <c r="T81" s="963">
        <v>0</v>
      </c>
      <c r="U81" s="963">
        <v>0</v>
      </c>
      <c r="W81" s="636">
        <f t="shared" si="15"/>
        <v>11</v>
      </c>
      <c r="X81" s="636">
        <f t="shared" si="16"/>
        <v>7</v>
      </c>
      <c r="Y81" s="636">
        <f t="shared" si="17"/>
        <v>8</v>
      </c>
      <c r="Z81" s="636">
        <f t="shared" si="18"/>
        <v>2</v>
      </c>
      <c r="AA81" s="963">
        <f t="shared" si="19"/>
        <v>0</v>
      </c>
    </row>
    <row r="82" spans="1:27" s="963" customFormat="1" ht="16.5" customHeight="1" x14ac:dyDescent="0.3">
      <c r="A82" s="1051" t="s">
        <v>203</v>
      </c>
      <c r="B82" s="1052" t="s">
        <v>204</v>
      </c>
      <c r="C82" s="313" t="s">
        <v>252</v>
      </c>
      <c r="D82" s="1060">
        <v>8</v>
      </c>
      <c r="E82" s="1061">
        <v>4</v>
      </c>
      <c r="F82" s="1061">
        <v>0</v>
      </c>
      <c r="G82" s="1061">
        <v>0</v>
      </c>
      <c r="H82" s="1061">
        <v>0</v>
      </c>
      <c r="I82" s="1061">
        <v>0</v>
      </c>
      <c r="J82" s="1061">
        <v>2</v>
      </c>
      <c r="K82" s="1061">
        <v>2</v>
      </c>
      <c r="L82" s="1062">
        <v>0</v>
      </c>
      <c r="M82" s="636">
        <f t="shared" si="14"/>
        <v>4</v>
      </c>
      <c r="N82" s="636"/>
      <c r="O82" s="636">
        <v>0</v>
      </c>
      <c r="P82" s="636">
        <v>3</v>
      </c>
      <c r="Q82" s="636">
        <v>3</v>
      </c>
      <c r="R82" s="636">
        <v>2</v>
      </c>
      <c r="S82" s="963">
        <v>0</v>
      </c>
      <c r="T82" s="963">
        <v>0</v>
      </c>
      <c r="U82" s="963">
        <v>0</v>
      </c>
      <c r="W82" s="636">
        <f t="shared" si="15"/>
        <v>3</v>
      </c>
      <c r="X82" s="636">
        <f t="shared" si="16"/>
        <v>3</v>
      </c>
      <c r="Y82" s="636">
        <f t="shared" si="17"/>
        <v>2</v>
      </c>
      <c r="Z82" s="636">
        <f t="shared" si="18"/>
        <v>0</v>
      </c>
      <c r="AA82" s="963">
        <f t="shared" si="19"/>
        <v>0</v>
      </c>
    </row>
    <row r="83" spans="1:27" s="963" customFormat="1" ht="16.5" customHeight="1" x14ac:dyDescent="0.3">
      <c r="A83" s="1051" t="s">
        <v>205</v>
      </c>
      <c r="B83" s="1052" t="s">
        <v>206</v>
      </c>
      <c r="C83" s="313" t="s">
        <v>254</v>
      </c>
      <c r="D83" s="1060">
        <v>27</v>
      </c>
      <c r="E83" s="1061">
        <v>18</v>
      </c>
      <c r="F83" s="1061">
        <v>1</v>
      </c>
      <c r="G83" s="1061">
        <v>0</v>
      </c>
      <c r="H83" s="1061">
        <v>0</v>
      </c>
      <c r="I83" s="1061">
        <v>0</v>
      </c>
      <c r="J83" s="1061">
        <v>4</v>
      </c>
      <c r="K83" s="1061">
        <v>4</v>
      </c>
      <c r="L83" s="1062">
        <v>0</v>
      </c>
      <c r="M83" s="636">
        <f t="shared" si="14"/>
        <v>8</v>
      </c>
      <c r="N83" s="636"/>
      <c r="O83" s="636">
        <v>1</v>
      </c>
      <c r="P83" s="636">
        <v>12</v>
      </c>
      <c r="Q83" s="636">
        <v>9</v>
      </c>
      <c r="R83" s="636">
        <v>5</v>
      </c>
      <c r="S83" s="963">
        <v>0</v>
      </c>
      <c r="T83" s="963">
        <v>0</v>
      </c>
      <c r="U83" s="963">
        <v>0</v>
      </c>
      <c r="W83" s="636">
        <f t="shared" si="15"/>
        <v>13</v>
      </c>
      <c r="X83" s="636">
        <f t="shared" si="16"/>
        <v>9</v>
      </c>
      <c r="Y83" s="636">
        <f t="shared" si="17"/>
        <v>5</v>
      </c>
      <c r="Z83" s="636">
        <f t="shared" si="18"/>
        <v>0</v>
      </c>
      <c r="AA83" s="963">
        <f t="shared" si="19"/>
        <v>0</v>
      </c>
    </row>
    <row r="84" spans="1:27" s="963" customFormat="1" ht="16.5" customHeight="1" x14ac:dyDescent="0.3">
      <c r="A84" s="1051" t="s">
        <v>207</v>
      </c>
      <c r="B84" s="1052" t="s">
        <v>208</v>
      </c>
      <c r="C84" s="313" t="s">
        <v>255</v>
      </c>
      <c r="D84" s="1060">
        <v>5</v>
      </c>
      <c r="E84" s="1061">
        <v>5</v>
      </c>
      <c r="F84" s="1061">
        <v>0</v>
      </c>
      <c r="G84" s="1061">
        <v>0</v>
      </c>
      <c r="H84" s="1061">
        <v>0</v>
      </c>
      <c r="I84" s="1061">
        <v>0</v>
      </c>
      <c r="J84" s="1061">
        <v>0</v>
      </c>
      <c r="K84" s="1061">
        <v>0</v>
      </c>
      <c r="L84" s="1062">
        <v>0</v>
      </c>
      <c r="M84" s="636">
        <f t="shared" si="14"/>
        <v>0</v>
      </c>
      <c r="N84" s="373"/>
      <c r="O84" s="636">
        <v>0</v>
      </c>
      <c r="P84" s="636">
        <v>2</v>
      </c>
      <c r="Q84" s="636">
        <v>3</v>
      </c>
      <c r="R84" s="636">
        <v>0</v>
      </c>
      <c r="S84" s="963">
        <v>0</v>
      </c>
      <c r="T84" s="963">
        <v>0</v>
      </c>
      <c r="U84" s="963">
        <v>0</v>
      </c>
      <c r="W84" s="636">
        <f t="shared" si="15"/>
        <v>2</v>
      </c>
      <c r="X84" s="636">
        <f t="shared" si="16"/>
        <v>3</v>
      </c>
      <c r="Y84" s="636">
        <f t="shared" si="17"/>
        <v>0</v>
      </c>
      <c r="Z84" s="636">
        <f t="shared" si="18"/>
        <v>0</v>
      </c>
      <c r="AA84" s="963">
        <f t="shared" si="19"/>
        <v>0</v>
      </c>
    </row>
    <row r="85" spans="1:27" s="963" customFormat="1" ht="16.5" customHeight="1" x14ac:dyDescent="0.3">
      <c r="A85" s="1051" t="s">
        <v>209</v>
      </c>
      <c r="B85" s="1052" t="s">
        <v>210</v>
      </c>
      <c r="C85" s="313" t="s">
        <v>255</v>
      </c>
      <c r="D85" s="1060">
        <v>13</v>
      </c>
      <c r="E85" s="1061">
        <v>13</v>
      </c>
      <c r="F85" s="1061">
        <v>0</v>
      </c>
      <c r="G85" s="1061">
        <v>0</v>
      </c>
      <c r="H85" s="1061">
        <v>0</v>
      </c>
      <c r="I85" s="1061">
        <v>0</v>
      </c>
      <c r="J85" s="1061">
        <v>0</v>
      </c>
      <c r="K85" s="1061">
        <v>0</v>
      </c>
      <c r="L85" s="1062">
        <v>0</v>
      </c>
      <c r="M85" s="636">
        <f t="shared" si="14"/>
        <v>0</v>
      </c>
      <c r="N85" s="373"/>
      <c r="O85" s="636">
        <v>0</v>
      </c>
      <c r="P85" s="636">
        <v>6</v>
      </c>
      <c r="Q85" s="636">
        <v>5</v>
      </c>
      <c r="R85" s="636">
        <v>2</v>
      </c>
      <c r="S85" s="963">
        <v>0</v>
      </c>
      <c r="T85" s="963">
        <v>0</v>
      </c>
      <c r="U85" s="963">
        <v>0</v>
      </c>
      <c r="W85" s="636">
        <f t="shared" si="15"/>
        <v>6</v>
      </c>
      <c r="X85" s="636">
        <f t="shared" si="16"/>
        <v>5</v>
      </c>
      <c r="Y85" s="636">
        <f t="shared" si="17"/>
        <v>2</v>
      </c>
      <c r="Z85" s="636">
        <f t="shared" si="18"/>
        <v>0</v>
      </c>
      <c r="AA85" s="963">
        <f t="shared" si="19"/>
        <v>0</v>
      </c>
    </row>
    <row r="86" spans="1:27" s="963" customFormat="1" ht="16.5" customHeight="1" x14ac:dyDescent="0.3">
      <c r="A86" s="1051" t="s">
        <v>211</v>
      </c>
      <c r="B86" s="1052" t="s">
        <v>212</v>
      </c>
      <c r="C86" s="313" t="s">
        <v>254</v>
      </c>
      <c r="D86" s="1060">
        <v>0</v>
      </c>
      <c r="E86" s="1061">
        <v>0</v>
      </c>
      <c r="F86" s="1061">
        <v>0</v>
      </c>
      <c r="G86" s="1061">
        <v>0</v>
      </c>
      <c r="H86" s="1061">
        <v>0</v>
      </c>
      <c r="I86" s="1061">
        <v>0</v>
      </c>
      <c r="J86" s="1061">
        <v>0</v>
      </c>
      <c r="K86" s="1061">
        <v>0</v>
      </c>
      <c r="L86" s="1062">
        <v>0</v>
      </c>
      <c r="M86" s="636">
        <f t="shared" si="14"/>
        <v>0</v>
      </c>
      <c r="N86" s="373"/>
      <c r="O86" s="636">
        <v>0</v>
      </c>
      <c r="P86" s="636">
        <v>0</v>
      </c>
      <c r="Q86" s="636">
        <v>0</v>
      </c>
      <c r="R86" s="636">
        <v>0</v>
      </c>
      <c r="S86" s="963">
        <v>0</v>
      </c>
      <c r="T86" s="963">
        <v>0</v>
      </c>
      <c r="U86" s="963">
        <v>0</v>
      </c>
      <c r="W86" s="636">
        <f t="shared" si="15"/>
        <v>0</v>
      </c>
      <c r="X86" s="636">
        <f t="shared" si="16"/>
        <v>0</v>
      </c>
      <c r="Y86" s="636">
        <f t="shared" si="17"/>
        <v>0</v>
      </c>
      <c r="Z86" s="636">
        <f t="shared" si="18"/>
        <v>0</v>
      </c>
      <c r="AA86" s="963">
        <f t="shared" si="19"/>
        <v>0</v>
      </c>
    </row>
    <row r="87" spans="1:27" s="963" customFormat="1" ht="16.5" customHeight="1" x14ac:dyDescent="0.3">
      <c r="A87" s="1051" t="s">
        <v>213</v>
      </c>
      <c r="B87" s="1052" t="s">
        <v>214</v>
      </c>
      <c r="C87" s="313" t="s">
        <v>255</v>
      </c>
      <c r="D87" s="1060">
        <v>3</v>
      </c>
      <c r="E87" s="1061">
        <v>2</v>
      </c>
      <c r="F87" s="1061">
        <v>0</v>
      </c>
      <c r="G87" s="1061">
        <v>0</v>
      </c>
      <c r="H87" s="1061">
        <v>0</v>
      </c>
      <c r="I87" s="1061">
        <v>0</v>
      </c>
      <c r="J87" s="1061">
        <v>1</v>
      </c>
      <c r="K87" s="1061">
        <v>0</v>
      </c>
      <c r="L87" s="1062">
        <v>0</v>
      </c>
      <c r="M87" s="636">
        <f t="shared" si="14"/>
        <v>1</v>
      </c>
      <c r="N87" s="636"/>
      <c r="O87" s="636">
        <v>0</v>
      </c>
      <c r="P87" s="636">
        <v>1</v>
      </c>
      <c r="Q87" s="636">
        <v>1</v>
      </c>
      <c r="R87" s="636">
        <v>1</v>
      </c>
      <c r="S87" s="963">
        <v>0</v>
      </c>
      <c r="T87" s="963">
        <v>0</v>
      </c>
      <c r="U87" s="963">
        <v>0</v>
      </c>
      <c r="W87" s="636">
        <f t="shared" si="15"/>
        <v>1</v>
      </c>
      <c r="X87" s="636">
        <f t="shared" si="16"/>
        <v>1</v>
      </c>
      <c r="Y87" s="636">
        <f t="shared" si="17"/>
        <v>1</v>
      </c>
      <c r="Z87" s="636">
        <f t="shared" si="18"/>
        <v>0</v>
      </c>
      <c r="AA87" s="963">
        <f t="shared" si="19"/>
        <v>0</v>
      </c>
    </row>
    <row r="88" spans="1:27" s="963" customFormat="1" ht="16.5" customHeight="1" x14ac:dyDescent="0.3">
      <c r="A88" s="1051" t="s">
        <v>215</v>
      </c>
      <c r="B88" s="1052" t="s">
        <v>216</v>
      </c>
      <c r="C88" s="313" t="s">
        <v>251</v>
      </c>
      <c r="D88" s="1060">
        <v>1</v>
      </c>
      <c r="E88" s="1061">
        <v>0</v>
      </c>
      <c r="F88" s="1061">
        <v>0</v>
      </c>
      <c r="G88" s="1061">
        <v>0</v>
      </c>
      <c r="H88" s="1061">
        <v>0</v>
      </c>
      <c r="I88" s="1061">
        <v>0</v>
      </c>
      <c r="J88" s="1061">
        <v>1</v>
      </c>
      <c r="K88" s="1061">
        <v>0</v>
      </c>
      <c r="L88" s="1062">
        <v>0</v>
      </c>
      <c r="M88" s="636">
        <f t="shared" si="14"/>
        <v>1</v>
      </c>
      <c r="N88" s="636"/>
      <c r="O88" s="636">
        <v>0</v>
      </c>
      <c r="P88" s="636">
        <v>1</v>
      </c>
      <c r="Q88" s="636">
        <v>0</v>
      </c>
      <c r="R88" s="636">
        <v>0</v>
      </c>
      <c r="S88" s="963">
        <v>0</v>
      </c>
      <c r="T88" s="963">
        <v>0</v>
      </c>
      <c r="U88" s="963">
        <v>0</v>
      </c>
      <c r="W88" s="636">
        <f t="shared" si="15"/>
        <v>1</v>
      </c>
      <c r="X88" s="636">
        <f t="shared" si="16"/>
        <v>0</v>
      </c>
      <c r="Y88" s="636">
        <f t="shared" si="17"/>
        <v>0</v>
      </c>
      <c r="Z88" s="636">
        <f t="shared" si="18"/>
        <v>0</v>
      </c>
      <c r="AA88" s="963">
        <f t="shared" si="19"/>
        <v>0</v>
      </c>
    </row>
    <row r="89" spans="1:27" s="963" customFormat="1" ht="16.5" customHeight="1" x14ac:dyDescent="0.3">
      <c r="A89" s="1051" t="s">
        <v>217</v>
      </c>
      <c r="B89" s="1052" t="s">
        <v>218</v>
      </c>
      <c r="C89" s="313" t="s">
        <v>254</v>
      </c>
      <c r="D89" s="1060">
        <v>21</v>
      </c>
      <c r="E89" s="1061">
        <v>7</v>
      </c>
      <c r="F89" s="1061">
        <v>4</v>
      </c>
      <c r="G89" s="1061">
        <v>0</v>
      </c>
      <c r="H89" s="1061">
        <v>0</v>
      </c>
      <c r="I89" s="1061">
        <v>0</v>
      </c>
      <c r="J89" s="1061">
        <v>2</v>
      </c>
      <c r="K89" s="1061">
        <v>8</v>
      </c>
      <c r="L89" s="1062">
        <v>0</v>
      </c>
      <c r="M89" s="636">
        <f t="shared" si="14"/>
        <v>10</v>
      </c>
      <c r="N89" s="373"/>
      <c r="O89" s="636">
        <v>0</v>
      </c>
      <c r="P89" s="636">
        <v>9</v>
      </c>
      <c r="Q89" s="373">
        <v>4</v>
      </c>
      <c r="R89" s="636">
        <v>7</v>
      </c>
      <c r="S89" s="963">
        <v>1</v>
      </c>
      <c r="T89" s="963">
        <v>0</v>
      </c>
      <c r="U89" s="963">
        <v>0</v>
      </c>
      <c r="W89" s="636">
        <f t="shared" si="15"/>
        <v>9</v>
      </c>
      <c r="X89" s="636">
        <f t="shared" si="16"/>
        <v>4</v>
      </c>
      <c r="Y89" s="636">
        <f t="shared" si="17"/>
        <v>7</v>
      </c>
      <c r="Z89" s="636">
        <f t="shared" si="18"/>
        <v>1</v>
      </c>
      <c r="AA89" s="963">
        <f t="shared" si="19"/>
        <v>0</v>
      </c>
    </row>
    <row r="90" spans="1:27" s="963" customFormat="1" ht="16.5" customHeight="1" x14ac:dyDescent="0.3">
      <c r="A90" s="1051" t="s">
        <v>219</v>
      </c>
      <c r="B90" s="1052" t="s">
        <v>220</v>
      </c>
      <c r="C90" s="313" t="s">
        <v>254</v>
      </c>
      <c r="D90" s="1060">
        <v>9</v>
      </c>
      <c r="E90" s="1061">
        <v>2</v>
      </c>
      <c r="F90" s="1061">
        <v>4</v>
      </c>
      <c r="G90" s="1061">
        <v>0</v>
      </c>
      <c r="H90" s="1061">
        <v>0</v>
      </c>
      <c r="I90" s="1061">
        <v>0</v>
      </c>
      <c r="J90" s="1061">
        <v>3</v>
      </c>
      <c r="K90" s="1061">
        <v>0</v>
      </c>
      <c r="L90" s="1062">
        <v>0</v>
      </c>
      <c r="M90" s="636">
        <f t="shared" si="14"/>
        <v>3</v>
      </c>
      <c r="N90" s="373"/>
      <c r="O90" s="636">
        <v>0</v>
      </c>
      <c r="P90" s="636">
        <v>6</v>
      </c>
      <c r="Q90" s="373">
        <v>2</v>
      </c>
      <c r="R90" s="636">
        <v>1</v>
      </c>
      <c r="S90" s="963">
        <v>0</v>
      </c>
      <c r="T90" s="963">
        <v>0</v>
      </c>
      <c r="U90" s="963">
        <v>0</v>
      </c>
      <c r="W90" s="636">
        <f t="shared" si="15"/>
        <v>6</v>
      </c>
      <c r="X90" s="636">
        <f t="shared" si="16"/>
        <v>2</v>
      </c>
      <c r="Y90" s="636">
        <f t="shared" si="17"/>
        <v>1</v>
      </c>
      <c r="Z90" s="636">
        <f t="shared" si="18"/>
        <v>0</v>
      </c>
      <c r="AA90" s="963">
        <f t="shared" si="19"/>
        <v>0</v>
      </c>
    </row>
    <row r="91" spans="1:27" s="963" customFormat="1" ht="16.5" customHeight="1" x14ac:dyDescent="0.3">
      <c r="A91" s="1051" t="s">
        <v>223</v>
      </c>
      <c r="B91" s="1052" t="s">
        <v>224</v>
      </c>
      <c r="C91" s="313" t="s">
        <v>251</v>
      </c>
      <c r="D91" s="1060">
        <v>0</v>
      </c>
      <c r="E91" s="1061">
        <v>0</v>
      </c>
      <c r="F91" s="1063">
        <v>0</v>
      </c>
      <c r="G91" s="1063">
        <v>0</v>
      </c>
      <c r="H91" s="1063">
        <v>0</v>
      </c>
      <c r="I91" s="1063">
        <v>0</v>
      </c>
      <c r="J91" s="1064">
        <v>0</v>
      </c>
      <c r="K91" s="1064">
        <v>0</v>
      </c>
      <c r="L91" s="1065">
        <v>0</v>
      </c>
      <c r="M91" s="636">
        <f t="shared" si="14"/>
        <v>0</v>
      </c>
      <c r="N91" s="373"/>
      <c r="O91" s="636">
        <v>0</v>
      </c>
      <c r="P91" s="636">
        <v>0</v>
      </c>
      <c r="Q91" s="636">
        <v>0</v>
      </c>
      <c r="R91" s="636">
        <v>0</v>
      </c>
      <c r="S91" s="963">
        <v>0</v>
      </c>
      <c r="T91" s="963">
        <v>0</v>
      </c>
      <c r="U91" s="963">
        <v>0</v>
      </c>
      <c r="W91" s="636">
        <f t="shared" si="15"/>
        <v>0</v>
      </c>
      <c r="X91" s="636">
        <f t="shared" si="16"/>
        <v>0</v>
      </c>
      <c r="Y91" s="636">
        <f t="shared" si="17"/>
        <v>0</v>
      </c>
      <c r="Z91" s="636">
        <f t="shared" si="18"/>
        <v>0</v>
      </c>
      <c r="AA91" s="963">
        <f t="shared" si="19"/>
        <v>0</v>
      </c>
    </row>
    <row r="92" spans="1:27" s="963" customFormat="1" ht="16.5" customHeight="1" x14ac:dyDescent="0.3">
      <c r="A92" s="1051" t="s">
        <v>225</v>
      </c>
      <c r="B92" s="1052" t="s">
        <v>226</v>
      </c>
      <c r="C92" s="313" t="s">
        <v>251</v>
      </c>
      <c r="D92" s="1060">
        <v>0</v>
      </c>
      <c r="E92" s="1061">
        <v>0</v>
      </c>
      <c r="F92" s="1061">
        <v>0</v>
      </c>
      <c r="G92" s="1061">
        <v>0</v>
      </c>
      <c r="H92" s="1061">
        <v>0</v>
      </c>
      <c r="I92" s="1061">
        <v>0</v>
      </c>
      <c r="J92" s="1061">
        <v>0</v>
      </c>
      <c r="K92" s="1061">
        <v>0</v>
      </c>
      <c r="L92" s="1062">
        <v>0</v>
      </c>
      <c r="M92" s="636">
        <f t="shared" si="14"/>
        <v>0</v>
      </c>
      <c r="N92" s="373"/>
      <c r="O92" s="636">
        <v>0</v>
      </c>
      <c r="P92" s="636">
        <v>0</v>
      </c>
      <c r="Q92" s="636">
        <v>0</v>
      </c>
      <c r="R92" s="636">
        <v>0</v>
      </c>
      <c r="S92" s="963">
        <v>0</v>
      </c>
      <c r="T92" s="963">
        <v>0</v>
      </c>
      <c r="U92" s="963">
        <v>0</v>
      </c>
      <c r="W92" s="636">
        <f t="shared" si="15"/>
        <v>0</v>
      </c>
      <c r="X92" s="636">
        <f t="shared" si="16"/>
        <v>0</v>
      </c>
      <c r="Y92" s="636">
        <f t="shared" si="17"/>
        <v>0</v>
      </c>
      <c r="Z92" s="636">
        <f t="shared" si="18"/>
        <v>0</v>
      </c>
      <c r="AA92" s="963">
        <f t="shared" si="19"/>
        <v>0</v>
      </c>
    </row>
    <row r="93" spans="1:27" s="963" customFormat="1" ht="16.5" customHeight="1" x14ac:dyDescent="0.3">
      <c r="A93" s="1051" t="s">
        <v>227</v>
      </c>
      <c r="B93" s="1052" t="s">
        <v>228</v>
      </c>
      <c r="C93" s="313" t="s">
        <v>255</v>
      </c>
      <c r="D93" s="1060">
        <v>14</v>
      </c>
      <c r="E93" s="1061">
        <v>10</v>
      </c>
      <c r="F93" s="1061">
        <v>0</v>
      </c>
      <c r="G93" s="1061">
        <v>0</v>
      </c>
      <c r="H93" s="1061">
        <v>0</v>
      </c>
      <c r="I93" s="1061">
        <v>0</v>
      </c>
      <c r="J93" s="1061">
        <v>2</v>
      </c>
      <c r="K93" s="1061">
        <v>2</v>
      </c>
      <c r="L93" s="1062">
        <v>0</v>
      </c>
      <c r="M93" s="636">
        <f t="shared" si="14"/>
        <v>4</v>
      </c>
      <c r="N93" s="373"/>
      <c r="O93" s="636">
        <v>0</v>
      </c>
      <c r="P93" s="636">
        <v>9</v>
      </c>
      <c r="Q93" s="636">
        <v>2</v>
      </c>
      <c r="R93" s="636">
        <v>3</v>
      </c>
      <c r="S93" s="963">
        <v>0</v>
      </c>
      <c r="T93" s="963">
        <v>0</v>
      </c>
      <c r="U93" s="963">
        <v>0</v>
      </c>
      <c r="W93" s="636">
        <f t="shared" si="15"/>
        <v>9</v>
      </c>
      <c r="X93" s="636">
        <f t="shared" si="16"/>
        <v>2</v>
      </c>
      <c r="Y93" s="636">
        <f t="shared" si="17"/>
        <v>3</v>
      </c>
      <c r="Z93" s="636">
        <f t="shared" si="18"/>
        <v>0</v>
      </c>
      <c r="AA93" s="963">
        <f t="shared" si="19"/>
        <v>0</v>
      </c>
    </row>
    <row r="94" spans="1:27" s="963" customFormat="1" ht="16.5" customHeight="1" x14ac:dyDescent="0.3">
      <c r="A94" s="1051" t="s">
        <v>231</v>
      </c>
      <c r="B94" s="1052" t="s">
        <v>232</v>
      </c>
      <c r="C94" s="313" t="s">
        <v>254</v>
      </c>
      <c r="D94" s="1060">
        <v>1</v>
      </c>
      <c r="E94" s="1061">
        <v>1</v>
      </c>
      <c r="F94" s="1061">
        <v>0</v>
      </c>
      <c r="G94" s="1061">
        <v>0</v>
      </c>
      <c r="H94" s="1061">
        <v>0</v>
      </c>
      <c r="I94" s="1061">
        <v>0</v>
      </c>
      <c r="J94" s="1061">
        <v>0</v>
      </c>
      <c r="K94" s="1061">
        <v>0</v>
      </c>
      <c r="L94" s="1062">
        <v>0</v>
      </c>
      <c r="M94" s="636">
        <f t="shared" si="14"/>
        <v>0</v>
      </c>
      <c r="N94" s="636"/>
      <c r="O94" s="636">
        <v>0</v>
      </c>
      <c r="P94" s="636">
        <v>0</v>
      </c>
      <c r="Q94" s="636">
        <v>0</v>
      </c>
      <c r="R94" s="636">
        <v>1</v>
      </c>
      <c r="S94" s="963">
        <v>0</v>
      </c>
      <c r="T94" s="963">
        <v>0</v>
      </c>
      <c r="U94" s="963">
        <v>0</v>
      </c>
      <c r="W94" s="636">
        <f t="shared" si="15"/>
        <v>0</v>
      </c>
      <c r="X94" s="636">
        <f t="shared" si="16"/>
        <v>0</v>
      </c>
      <c r="Y94" s="636">
        <f t="shared" si="17"/>
        <v>1</v>
      </c>
      <c r="Z94" s="636">
        <f t="shared" si="18"/>
        <v>0</v>
      </c>
      <c r="AA94" s="963">
        <f t="shared" si="19"/>
        <v>0</v>
      </c>
    </row>
    <row r="95" spans="1:27" s="963" customFormat="1" ht="16.5" customHeight="1" x14ac:dyDescent="0.3">
      <c r="A95" s="1051" t="s">
        <v>233</v>
      </c>
      <c r="B95" s="1052" t="s">
        <v>234</v>
      </c>
      <c r="C95" s="313" t="s">
        <v>255</v>
      </c>
      <c r="D95" s="1060">
        <v>2</v>
      </c>
      <c r="E95" s="1061">
        <v>2</v>
      </c>
      <c r="F95" s="1061">
        <v>0</v>
      </c>
      <c r="G95" s="1061">
        <v>0</v>
      </c>
      <c r="H95" s="1061">
        <v>0</v>
      </c>
      <c r="I95" s="1061">
        <v>0</v>
      </c>
      <c r="J95" s="1061">
        <v>0</v>
      </c>
      <c r="K95" s="1061">
        <v>0</v>
      </c>
      <c r="L95" s="1062">
        <v>0</v>
      </c>
      <c r="M95" s="636">
        <f t="shared" si="14"/>
        <v>0</v>
      </c>
      <c r="N95" s="373"/>
      <c r="O95" s="636">
        <v>0</v>
      </c>
      <c r="P95" s="636">
        <v>0</v>
      </c>
      <c r="Q95" s="373">
        <v>2</v>
      </c>
      <c r="R95" s="636">
        <v>0</v>
      </c>
      <c r="S95" s="963">
        <v>0</v>
      </c>
      <c r="T95" s="963">
        <v>0</v>
      </c>
      <c r="U95" s="963">
        <v>0</v>
      </c>
      <c r="W95" s="636">
        <f t="shared" si="15"/>
        <v>0</v>
      </c>
      <c r="X95" s="636">
        <f t="shared" si="16"/>
        <v>2</v>
      </c>
      <c r="Y95" s="636">
        <f t="shared" si="17"/>
        <v>0</v>
      </c>
      <c r="Z95" s="636">
        <f t="shared" si="18"/>
        <v>0</v>
      </c>
      <c r="AA95" s="963">
        <f t="shared" si="19"/>
        <v>0</v>
      </c>
    </row>
    <row r="96" spans="1:27" s="963" customFormat="1" ht="16.5" customHeight="1" x14ac:dyDescent="0.3">
      <c r="A96" s="1051" t="s">
        <v>235</v>
      </c>
      <c r="B96" s="1052" t="s">
        <v>236</v>
      </c>
      <c r="C96" s="313" t="s">
        <v>253</v>
      </c>
      <c r="D96" s="1060">
        <v>0</v>
      </c>
      <c r="E96" s="1061">
        <v>0</v>
      </c>
      <c r="F96" s="1061">
        <v>0</v>
      </c>
      <c r="G96" s="1061">
        <v>0</v>
      </c>
      <c r="H96" s="1061">
        <v>0</v>
      </c>
      <c r="I96" s="1061">
        <v>0</v>
      </c>
      <c r="J96" s="1061">
        <v>0</v>
      </c>
      <c r="K96" s="1061">
        <v>0</v>
      </c>
      <c r="L96" s="1062">
        <v>0</v>
      </c>
      <c r="M96" s="636">
        <f t="shared" si="14"/>
        <v>0</v>
      </c>
      <c r="N96" s="373"/>
      <c r="O96" s="636">
        <v>0</v>
      </c>
      <c r="P96" s="636">
        <v>0</v>
      </c>
      <c r="Q96" s="636">
        <v>0</v>
      </c>
      <c r="R96" s="636">
        <v>0</v>
      </c>
      <c r="S96" s="963">
        <v>0</v>
      </c>
      <c r="T96" s="963">
        <v>0</v>
      </c>
      <c r="U96" s="963">
        <v>0</v>
      </c>
      <c r="W96" s="636">
        <f t="shared" si="15"/>
        <v>0</v>
      </c>
      <c r="X96" s="636">
        <f t="shared" si="16"/>
        <v>0</v>
      </c>
      <c r="Y96" s="636">
        <f t="shared" si="17"/>
        <v>0</v>
      </c>
      <c r="Z96" s="636">
        <f t="shared" si="18"/>
        <v>0</v>
      </c>
      <c r="AA96" s="963">
        <f t="shared" si="19"/>
        <v>0</v>
      </c>
    </row>
    <row r="97" spans="1:27" s="963" customFormat="1" ht="16.5" customHeight="1" x14ac:dyDescent="0.3">
      <c r="A97" s="1051" t="s">
        <v>241</v>
      </c>
      <c r="B97" s="1052" t="s">
        <v>242</v>
      </c>
      <c r="C97" s="313" t="s">
        <v>255</v>
      </c>
      <c r="D97" s="1060">
        <v>15</v>
      </c>
      <c r="E97" s="1061">
        <v>11</v>
      </c>
      <c r="F97" s="1061">
        <v>2</v>
      </c>
      <c r="G97" s="1061">
        <v>0</v>
      </c>
      <c r="H97" s="1061">
        <v>0</v>
      </c>
      <c r="I97" s="1061">
        <v>0</v>
      </c>
      <c r="J97" s="1061">
        <v>2</v>
      </c>
      <c r="K97" s="1061">
        <v>0</v>
      </c>
      <c r="L97" s="1062">
        <v>0</v>
      </c>
      <c r="M97" s="636">
        <f t="shared" si="14"/>
        <v>2</v>
      </c>
      <c r="N97" s="636"/>
      <c r="O97" s="636">
        <v>0</v>
      </c>
      <c r="P97" s="636">
        <v>2</v>
      </c>
      <c r="Q97" s="636">
        <v>6</v>
      </c>
      <c r="R97" s="636">
        <v>5</v>
      </c>
      <c r="S97" s="963">
        <v>2</v>
      </c>
      <c r="T97" s="963">
        <v>0</v>
      </c>
      <c r="U97" s="963">
        <v>0</v>
      </c>
      <c r="W97" s="636">
        <f t="shared" si="15"/>
        <v>2</v>
      </c>
      <c r="X97" s="636">
        <f t="shared" si="16"/>
        <v>6</v>
      </c>
      <c r="Y97" s="636">
        <f t="shared" si="17"/>
        <v>5</v>
      </c>
      <c r="Z97" s="636">
        <f t="shared" si="18"/>
        <v>2</v>
      </c>
      <c r="AA97" s="963">
        <f t="shared" si="19"/>
        <v>0</v>
      </c>
    </row>
    <row r="98" spans="1:27" s="963" customFormat="1" ht="16.5" customHeight="1" x14ac:dyDescent="0.3">
      <c r="A98" s="1051" t="s">
        <v>243</v>
      </c>
      <c r="B98" s="1052" t="s">
        <v>244</v>
      </c>
      <c r="C98" s="313" t="s">
        <v>255</v>
      </c>
      <c r="D98" s="1060">
        <v>10</v>
      </c>
      <c r="E98" s="1061">
        <v>7</v>
      </c>
      <c r="F98" s="1061">
        <v>0</v>
      </c>
      <c r="G98" s="1061">
        <v>0</v>
      </c>
      <c r="H98" s="1061">
        <v>0</v>
      </c>
      <c r="I98" s="1061">
        <v>0</v>
      </c>
      <c r="J98" s="1061">
        <v>2</v>
      </c>
      <c r="K98" s="1061">
        <v>1</v>
      </c>
      <c r="L98" s="1062">
        <v>0</v>
      </c>
      <c r="M98" s="636">
        <f t="shared" si="14"/>
        <v>3</v>
      </c>
      <c r="N98" s="636"/>
      <c r="O98" s="636">
        <v>0</v>
      </c>
      <c r="P98" s="636">
        <v>6</v>
      </c>
      <c r="Q98" s="636">
        <v>3</v>
      </c>
      <c r="R98" s="636">
        <v>1</v>
      </c>
      <c r="S98" s="963">
        <v>0</v>
      </c>
      <c r="T98" s="963">
        <v>0</v>
      </c>
      <c r="U98" s="963">
        <v>0</v>
      </c>
      <c r="W98" s="636">
        <f t="shared" si="15"/>
        <v>6</v>
      </c>
      <c r="X98" s="636">
        <f t="shared" si="16"/>
        <v>3</v>
      </c>
      <c r="Y98" s="636">
        <f t="shared" si="17"/>
        <v>1</v>
      </c>
      <c r="Z98" s="636">
        <f t="shared" si="18"/>
        <v>0</v>
      </c>
      <c r="AA98" s="963">
        <f t="shared" si="19"/>
        <v>0</v>
      </c>
    </row>
    <row r="99" spans="1:27" s="963" customFormat="1" ht="16.5" customHeight="1" x14ac:dyDescent="0.3">
      <c r="A99" s="1051" t="s">
        <v>245</v>
      </c>
      <c r="B99" s="1052" t="s">
        <v>283</v>
      </c>
      <c r="C99" s="313" t="s">
        <v>251</v>
      </c>
      <c r="D99" s="1060">
        <v>0</v>
      </c>
      <c r="E99" s="1061">
        <v>0</v>
      </c>
      <c r="F99" s="1061">
        <v>0</v>
      </c>
      <c r="G99" s="1061">
        <v>0</v>
      </c>
      <c r="H99" s="1061">
        <v>0</v>
      </c>
      <c r="I99" s="1061">
        <v>0</v>
      </c>
      <c r="J99" s="1061">
        <v>0</v>
      </c>
      <c r="K99" s="1061">
        <v>0</v>
      </c>
      <c r="L99" s="1062">
        <v>0</v>
      </c>
      <c r="M99" s="636">
        <f t="shared" si="14"/>
        <v>0</v>
      </c>
      <c r="N99" s="373"/>
      <c r="O99" s="636">
        <v>0</v>
      </c>
      <c r="P99" s="636">
        <v>0</v>
      </c>
      <c r="Q99" s="373">
        <v>0</v>
      </c>
      <c r="R99" s="636">
        <v>0</v>
      </c>
      <c r="S99" s="963">
        <v>0</v>
      </c>
      <c r="T99" s="963">
        <v>0</v>
      </c>
      <c r="U99" s="963">
        <v>0</v>
      </c>
      <c r="W99" s="636">
        <f t="shared" si="15"/>
        <v>0</v>
      </c>
      <c r="X99" s="636">
        <f t="shared" si="16"/>
        <v>0</v>
      </c>
      <c r="Y99" s="636">
        <f t="shared" si="17"/>
        <v>0</v>
      </c>
      <c r="Z99" s="636">
        <f t="shared" si="18"/>
        <v>0</v>
      </c>
      <c r="AA99" s="963">
        <f t="shared" si="19"/>
        <v>0</v>
      </c>
    </row>
    <row r="100" spans="1:27" s="963" customFormat="1" ht="16.5" customHeight="1" x14ac:dyDescent="0.3">
      <c r="A100" s="1051" t="s">
        <v>13</v>
      </c>
      <c r="B100" s="1052" t="s">
        <v>14</v>
      </c>
      <c r="C100" s="313" t="s">
        <v>254</v>
      </c>
      <c r="D100" s="1060">
        <v>18</v>
      </c>
      <c r="E100" s="1061">
        <v>3</v>
      </c>
      <c r="F100" s="1061">
        <v>9</v>
      </c>
      <c r="G100" s="1061">
        <v>0</v>
      </c>
      <c r="H100" s="1061">
        <v>0</v>
      </c>
      <c r="I100" s="1061">
        <v>0</v>
      </c>
      <c r="J100" s="1061">
        <v>0</v>
      </c>
      <c r="K100" s="1061">
        <v>6</v>
      </c>
      <c r="L100" s="1062">
        <v>0</v>
      </c>
      <c r="M100" s="636">
        <f t="shared" si="14"/>
        <v>6</v>
      </c>
      <c r="N100" s="636"/>
      <c r="O100" s="636">
        <v>0</v>
      </c>
      <c r="P100" s="636">
        <v>7</v>
      </c>
      <c r="Q100" s="636">
        <v>5</v>
      </c>
      <c r="R100" s="636">
        <v>5</v>
      </c>
      <c r="S100" s="963">
        <v>1</v>
      </c>
      <c r="T100" s="963">
        <v>0</v>
      </c>
      <c r="U100" s="963">
        <v>0</v>
      </c>
      <c r="W100" s="636">
        <f t="shared" si="15"/>
        <v>7</v>
      </c>
      <c r="X100" s="636">
        <f t="shared" si="16"/>
        <v>5</v>
      </c>
      <c r="Y100" s="636">
        <f t="shared" si="17"/>
        <v>5</v>
      </c>
      <c r="Z100" s="636">
        <f t="shared" si="18"/>
        <v>1</v>
      </c>
      <c r="AA100" s="963">
        <f t="shared" si="19"/>
        <v>0</v>
      </c>
    </row>
    <row r="101" spans="1:27" s="963" customFormat="1" ht="16.5" customHeight="1" x14ac:dyDescent="0.3">
      <c r="A101" s="1051" t="s">
        <v>33</v>
      </c>
      <c r="B101" s="1052" t="s">
        <v>34</v>
      </c>
      <c r="C101" s="313" t="s">
        <v>255</v>
      </c>
      <c r="D101" s="1060">
        <v>3</v>
      </c>
      <c r="E101" s="1061">
        <v>2</v>
      </c>
      <c r="F101" s="1061">
        <v>0</v>
      </c>
      <c r="G101" s="1061">
        <v>0</v>
      </c>
      <c r="H101" s="1061">
        <v>0</v>
      </c>
      <c r="I101" s="1061">
        <v>0</v>
      </c>
      <c r="J101" s="1061">
        <v>1</v>
      </c>
      <c r="K101" s="1061">
        <v>0</v>
      </c>
      <c r="L101" s="1062">
        <v>0</v>
      </c>
      <c r="M101" s="636">
        <f t="shared" ref="M101:M124" si="20">G101+H101+I101+J101+K101</f>
        <v>1</v>
      </c>
      <c r="N101" s="373"/>
      <c r="O101" s="636">
        <v>0</v>
      </c>
      <c r="P101" s="636">
        <v>1</v>
      </c>
      <c r="Q101" s="373">
        <v>0</v>
      </c>
      <c r="R101" s="636">
        <v>1</v>
      </c>
      <c r="S101" s="963">
        <v>1</v>
      </c>
      <c r="T101" s="963">
        <v>0</v>
      </c>
      <c r="U101" s="963">
        <v>0</v>
      </c>
      <c r="W101" s="636">
        <f t="shared" ref="W101:W124" si="21">O101+P101</f>
        <v>1</v>
      </c>
      <c r="X101" s="636">
        <f t="shared" ref="X101:X124" si="22">Q101</f>
        <v>0</v>
      </c>
      <c r="Y101" s="636">
        <f t="shared" ref="Y101:Y124" si="23">R101</f>
        <v>1</v>
      </c>
      <c r="Z101" s="636">
        <f t="shared" ref="Z101:Z124" si="24">S101</f>
        <v>1</v>
      </c>
      <c r="AA101" s="963">
        <f t="shared" ref="AA101:AA124" si="25">T101</f>
        <v>0</v>
      </c>
    </row>
    <row r="102" spans="1:27" s="963" customFormat="1" ht="16.5" customHeight="1" x14ac:dyDescent="0.3">
      <c r="A102" s="1051" t="s">
        <v>51</v>
      </c>
      <c r="B102" s="1052" t="s">
        <v>52</v>
      </c>
      <c r="C102" s="313" t="s">
        <v>252</v>
      </c>
      <c r="D102" s="1060">
        <v>37</v>
      </c>
      <c r="E102" s="1061">
        <v>8</v>
      </c>
      <c r="F102" s="1061">
        <v>22</v>
      </c>
      <c r="G102" s="1061">
        <v>0</v>
      </c>
      <c r="H102" s="1061">
        <v>0</v>
      </c>
      <c r="I102" s="1061">
        <v>0</v>
      </c>
      <c r="J102" s="1061">
        <v>5</v>
      </c>
      <c r="K102" s="1061">
        <v>2</v>
      </c>
      <c r="L102" s="1062">
        <v>0</v>
      </c>
      <c r="M102" s="636">
        <f t="shared" si="20"/>
        <v>7</v>
      </c>
      <c r="N102" s="373"/>
      <c r="O102" s="636">
        <v>0</v>
      </c>
      <c r="P102" s="636">
        <v>10</v>
      </c>
      <c r="Q102" s="636">
        <v>13</v>
      </c>
      <c r="R102" s="636">
        <v>14</v>
      </c>
      <c r="S102" s="963">
        <v>0</v>
      </c>
      <c r="T102" s="963">
        <v>0</v>
      </c>
      <c r="U102" s="963">
        <v>0</v>
      </c>
      <c r="W102" s="636">
        <f t="shared" si="21"/>
        <v>10</v>
      </c>
      <c r="X102" s="636">
        <f t="shared" si="22"/>
        <v>13</v>
      </c>
      <c r="Y102" s="636">
        <f t="shared" si="23"/>
        <v>14</v>
      </c>
      <c r="Z102" s="636">
        <f t="shared" si="24"/>
        <v>0</v>
      </c>
      <c r="AA102" s="963">
        <f t="shared" si="25"/>
        <v>0</v>
      </c>
    </row>
    <row r="103" spans="1:27" s="963" customFormat="1" ht="16.5" customHeight="1" x14ac:dyDescent="0.3">
      <c r="A103" s="1051" t="s">
        <v>53</v>
      </c>
      <c r="B103" s="1052" t="s">
        <v>54</v>
      </c>
      <c r="C103" s="313" t="s">
        <v>251</v>
      </c>
      <c r="D103" s="1060">
        <v>9</v>
      </c>
      <c r="E103" s="1061">
        <v>6</v>
      </c>
      <c r="F103" s="1061">
        <v>3</v>
      </c>
      <c r="G103" s="1061">
        <v>0</v>
      </c>
      <c r="H103" s="1061">
        <v>0</v>
      </c>
      <c r="I103" s="1061">
        <v>0</v>
      </c>
      <c r="J103" s="1061">
        <v>0</v>
      </c>
      <c r="K103" s="1061">
        <v>0</v>
      </c>
      <c r="L103" s="1062">
        <v>0</v>
      </c>
      <c r="M103" s="636">
        <f t="shared" si="20"/>
        <v>0</v>
      </c>
      <c r="N103" s="373"/>
      <c r="O103" s="636">
        <v>0</v>
      </c>
      <c r="P103" s="636">
        <v>1</v>
      </c>
      <c r="Q103" s="636">
        <v>4</v>
      </c>
      <c r="R103" s="636">
        <v>3</v>
      </c>
      <c r="S103" s="963">
        <v>1</v>
      </c>
      <c r="T103" s="963">
        <v>0</v>
      </c>
      <c r="U103" s="963">
        <v>0</v>
      </c>
      <c r="W103" s="636">
        <f t="shared" si="21"/>
        <v>1</v>
      </c>
      <c r="X103" s="636">
        <f t="shared" si="22"/>
        <v>4</v>
      </c>
      <c r="Y103" s="636">
        <f t="shared" si="23"/>
        <v>3</v>
      </c>
      <c r="Z103" s="636">
        <f t="shared" si="24"/>
        <v>1</v>
      </c>
      <c r="AA103" s="963">
        <f t="shared" si="25"/>
        <v>0</v>
      </c>
    </row>
    <row r="104" spans="1:27" s="963" customFormat="1" ht="16.5" customHeight="1" x14ac:dyDescent="0.3">
      <c r="A104" s="1051" t="s">
        <v>65</v>
      </c>
      <c r="B104" s="1052" t="s">
        <v>66</v>
      </c>
      <c r="C104" s="313" t="s">
        <v>252</v>
      </c>
      <c r="D104" s="1060">
        <v>1</v>
      </c>
      <c r="E104" s="1061">
        <v>0</v>
      </c>
      <c r="F104" s="1061">
        <v>1</v>
      </c>
      <c r="G104" s="1061">
        <v>0</v>
      </c>
      <c r="H104" s="1061">
        <v>0</v>
      </c>
      <c r="I104" s="1061">
        <v>0</v>
      </c>
      <c r="J104" s="1061">
        <v>0</v>
      </c>
      <c r="K104" s="1061">
        <v>0</v>
      </c>
      <c r="L104" s="1062">
        <v>0</v>
      </c>
      <c r="M104" s="636">
        <f t="shared" si="20"/>
        <v>0</v>
      </c>
      <c r="N104" s="373"/>
      <c r="O104" s="636">
        <v>0</v>
      </c>
      <c r="P104" s="636">
        <v>1</v>
      </c>
      <c r="Q104" s="373">
        <v>0</v>
      </c>
      <c r="R104" s="636">
        <v>0</v>
      </c>
      <c r="S104" s="963">
        <v>0</v>
      </c>
      <c r="T104" s="963">
        <v>0</v>
      </c>
      <c r="U104" s="963">
        <v>0</v>
      </c>
      <c r="W104" s="636">
        <f t="shared" si="21"/>
        <v>1</v>
      </c>
      <c r="X104" s="636">
        <f t="shared" si="22"/>
        <v>0</v>
      </c>
      <c r="Y104" s="636">
        <f t="shared" si="23"/>
        <v>0</v>
      </c>
      <c r="Z104" s="636">
        <f t="shared" si="24"/>
        <v>0</v>
      </c>
      <c r="AA104" s="963">
        <f t="shared" si="25"/>
        <v>0</v>
      </c>
    </row>
    <row r="105" spans="1:27" s="963" customFormat="1" ht="16.5" customHeight="1" x14ac:dyDescent="0.3">
      <c r="A105" s="1051" t="s">
        <v>81</v>
      </c>
      <c r="B105" s="1052" t="s">
        <v>284</v>
      </c>
      <c r="C105" s="313" t="s">
        <v>251</v>
      </c>
      <c r="D105" s="1060">
        <v>0</v>
      </c>
      <c r="E105" s="1061">
        <v>0</v>
      </c>
      <c r="F105" s="1061">
        <v>0</v>
      </c>
      <c r="G105" s="1061">
        <v>0</v>
      </c>
      <c r="H105" s="1061">
        <v>0</v>
      </c>
      <c r="I105" s="1061">
        <v>0</v>
      </c>
      <c r="J105" s="1061">
        <v>0</v>
      </c>
      <c r="K105" s="1061">
        <v>0</v>
      </c>
      <c r="L105" s="1062">
        <v>0</v>
      </c>
      <c r="M105" s="636">
        <f t="shared" si="20"/>
        <v>0</v>
      </c>
      <c r="N105" s="636"/>
      <c r="O105" s="636">
        <v>0</v>
      </c>
      <c r="P105" s="636">
        <v>0</v>
      </c>
      <c r="Q105" s="636">
        <v>0</v>
      </c>
      <c r="R105" s="636">
        <v>0</v>
      </c>
      <c r="S105" s="963">
        <v>0</v>
      </c>
      <c r="T105" s="963">
        <v>0</v>
      </c>
      <c r="U105" s="963">
        <v>0</v>
      </c>
      <c r="W105" s="636">
        <f t="shared" si="21"/>
        <v>0</v>
      </c>
      <c r="X105" s="636">
        <f t="shared" si="22"/>
        <v>0</v>
      </c>
      <c r="Y105" s="636">
        <f t="shared" si="23"/>
        <v>0</v>
      </c>
      <c r="Z105" s="636">
        <f t="shared" si="24"/>
        <v>0</v>
      </c>
      <c r="AA105" s="963">
        <f t="shared" si="25"/>
        <v>0</v>
      </c>
    </row>
    <row r="106" spans="1:27" s="963" customFormat="1" ht="16.5" customHeight="1" x14ac:dyDescent="0.3">
      <c r="A106" s="1051" t="s">
        <v>87</v>
      </c>
      <c r="B106" s="1052" t="s">
        <v>88</v>
      </c>
      <c r="C106" s="313" t="s">
        <v>254</v>
      </c>
      <c r="D106" s="1060">
        <v>16</v>
      </c>
      <c r="E106" s="1061">
        <v>4</v>
      </c>
      <c r="F106" s="1061">
        <v>3</v>
      </c>
      <c r="G106" s="1061">
        <v>0</v>
      </c>
      <c r="H106" s="1061">
        <v>0</v>
      </c>
      <c r="I106" s="1061">
        <v>0</v>
      </c>
      <c r="J106" s="1061">
        <v>6</v>
      </c>
      <c r="K106" s="1061">
        <v>3</v>
      </c>
      <c r="L106" s="1062">
        <v>0</v>
      </c>
      <c r="M106" s="636">
        <f t="shared" si="20"/>
        <v>9</v>
      </c>
      <c r="N106" s="636"/>
      <c r="O106" s="636">
        <v>1</v>
      </c>
      <c r="P106" s="636">
        <v>9</v>
      </c>
      <c r="Q106" s="636">
        <v>5</v>
      </c>
      <c r="R106" s="636">
        <v>0</v>
      </c>
      <c r="S106" s="963">
        <v>1</v>
      </c>
      <c r="T106" s="963">
        <v>0</v>
      </c>
      <c r="U106" s="963">
        <v>0</v>
      </c>
      <c r="W106" s="636">
        <f t="shared" si="21"/>
        <v>10</v>
      </c>
      <c r="X106" s="636">
        <f t="shared" si="22"/>
        <v>5</v>
      </c>
      <c r="Y106" s="636">
        <f t="shared" si="23"/>
        <v>0</v>
      </c>
      <c r="Z106" s="636">
        <f t="shared" si="24"/>
        <v>1</v>
      </c>
      <c r="AA106" s="963">
        <f t="shared" si="25"/>
        <v>0</v>
      </c>
    </row>
    <row r="107" spans="1:27" s="963" customFormat="1" ht="16.5" customHeight="1" x14ac:dyDescent="0.3">
      <c r="A107" s="1051" t="s">
        <v>89</v>
      </c>
      <c r="B107" s="1052" t="s">
        <v>90</v>
      </c>
      <c r="C107" s="313" t="s">
        <v>255</v>
      </c>
      <c r="D107" s="1060">
        <v>16</v>
      </c>
      <c r="E107" s="1061">
        <v>8</v>
      </c>
      <c r="F107" s="1061">
        <v>2</v>
      </c>
      <c r="G107" s="1061">
        <v>0</v>
      </c>
      <c r="H107" s="1061">
        <v>0</v>
      </c>
      <c r="I107" s="1061">
        <v>0</v>
      </c>
      <c r="J107" s="1061">
        <v>0</v>
      </c>
      <c r="K107" s="1061">
        <v>6</v>
      </c>
      <c r="L107" s="1062">
        <v>0</v>
      </c>
      <c r="M107" s="636">
        <f t="shared" si="20"/>
        <v>6</v>
      </c>
      <c r="N107" s="373"/>
      <c r="O107" s="636">
        <v>1</v>
      </c>
      <c r="P107" s="636">
        <v>6</v>
      </c>
      <c r="Q107" s="636">
        <v>6</v>
      </c>
      <c r="R107" s="636">
        <v>3</v>
      </c>
      <c r="S107" s="963">
        <v>0</v>
      </c>
      <c r="T107" s="963">
        <v>0</v>
      </c>
      <c r="U107" s="963">
        <v>0</v>
      </c>
      <c r="W107" s="636">
        <f t="shared" si="21"/>
        <v>7</v>
      </c>
      <c r="X107" s="636">
        <f t="shared" si="22"/>
        <v>6</v>
      </c>
      <c r="Y107" s="636">
        <f t="shared" si="23"/>
        <v>3</v>
      </c>
      <c r="Z107" s="636">
        <f t="shared" si="24"/>
        <v>0</v>
      </c>
      <c r="AA107" s="963">
        <f t="shared" si="25"/>
        <v>0</v>
      </c>
    </row>
    <row r="108" spans="1:27" s="963" customFormat="1" ht="16.5" customHeight="1" x14ac:dyDescent="0.3">
      <c r="A108" s="1051" t="s">
        <v>105</v>
      </c>
      <c r="B108" s="1052" t="s">
        <v>106</v>
      </c>
      <c r="C108" s="313" t="s">
        <v>251</v>
      </c>
      <c r="D108" s="1060">
        <v>15</v>
      </c>
      <c r="E108" s="1061">
        <v>6</v>
      </c>
      <c r="F108" s="1061">
        <v>6</v>
      </c>
      <c r="G108" s="1061">
        <v>0</v>
      </c>
      <c r="H108" s="1061">
        <v>0</v>
      </c>
      <c r="I108" s="1061">
        <v>0</v>
      </c>
      <c r="J108" s="1061">
        <v>0</v>
      </c>
      <c r="K108" s="1061">
        <v>3</v>
      </c>
      <c r="L108" s="1062">
        <v>0</v>
      </c>
      <c r="M108" s="636">
        <f t="shared" si="20"/>
        <v>3</v>
      </c>
      <c r="N108" s="373"/>
      <c r="O108" s="636">
        <v>0</v>
      </c>
      <c r="P108" s="636">
        <v>6</v>
      </c>
      <c r="Q108" s="636">
        <v>4</v>
      </c>
      <c r="R108" s="636">
        <v>5</v>
      </c>
      <c r="S108" s="963">
        <v>0</v>
      </c>
      <c r="T108" s="963">
        <v>0</v>
      </c>
      <c r="U108" s="963">
        <v>0</v>
      </c>
      <c r="W108" s="636">
        <f t="shared" si="21"/>
        <v>6</v>
      </c>
      <c r="X108" s="636">
        <f t="shared" si="22"/>
        <v>4</v>
      </c>
      <c r="Y108" s="636">
        <f t="shared" si="23"/>
        <v>5</v>
      </c>
      <c r="Z108" s="636">
        <f t="shared" si="24"/>
        <v>0</v>
      </c>
      <c r="AA108" s="963">
        <f t="shared" si="25"/>
        <v>0</v>
      </c>
    </row>
    <row r="109" spans="1:27" s="963" customFormat="1" ht="16.5" customHeight="1" x14ac:dyDescent="0.3">
      <c r="A109" s="1051" t="s">
        <v>115</v>
      </c>
      <c r="B109" s="1052" t="s">
        <v>116</v>
      </c>
      <c r="C109" s="313" t="s">
        <v>253</v>
      </c>
      <c r="D109" s="1060">
        <v>3</v>
      </c>
      <c r="E109" s="1061">
        <v>2</v>
      </c>
      <c r="F109" s="1061">
        <v>1</v>
      </c>
      <c r="G109" s="1061">
        <v>0</v>
      </c>
      <c r="H109" s="1061">
        <v>0</v>
      </c>
      <c r="I109" s="1061">
        <v>0</v>
      </c>
      <c r="J109" s="1061">
        <v>0</v>
      </c>
      <c r="K109" s="1061">
        <v>0</v>
      </c>
      <c r="L109" s="1062">
        <v>0</v>
      </c>
      <c r="M109" s="636">
        <f t="shared" si="20"/>
        <v>0</v>
      </c>
      <c r="N109" s="636"/>
      <c r="O109" s="636">
        <v>0</v>
      </c>
      <c r="P109" s="636">
        <v>0</v>
      </c>
      <c r="Q109" s="373">
        <v>2</v>
      </c>
      <c r="R109" s="636">
        <v>1</v>
      </c>
      <c r="S109" s="963">
        <v>0</v>
      </c>
      <c r="T109" s="963">
        <v>0</v>
      </c>
      <c r="U109" s="963">
        <v>0</v>
      </c>
      <c r="W109" s="636">
        <f t="shared" si="21"/>
        <v>0</v>
      </c>
      <c r="X109" s="636">
        <f t="shared" si="22"/>
        <v>2</v>
      </c>
      <c r="Y109" s="636">
        <f t="shared" si="23"/>
        <v>1</v>
      </c>
      <c r="Z109" s="636">
        <f t="shared" si="24"/>
        <v>0</v>
      </c>
      <c r="AA109" s="963">
        <f t="shared" si="25"/>
        <v>0</v>
      </c>
    </row>
    <row r="110" spans="1:27" s="963" customFormat="1" ht="16.5" customHeight="1" x14ac:dyDescent="0.3">
      <c r="A110" s="1051" t="s">
        <v>137</v>
      </c>
      <c r="B110" s="1052" t="s">
        <v>138</v>
      </c>
      <c r="C110" s="313" t="s">
        <v>252</v>
      </c>
      <c r="D110" s="1060">
        <v>21</v>
      </c>
      <c r="E110" s="1061">
        <v>9</v>
      </c>
      <c r="F110" s="1061">
        <v>10</v>
      </c>
      <c r="G110" s="1061">
        <v>0</v>
      </c>
      <c r="H110" s="1061">
        <v>0</v>
      </c>
      <c r="I110" s="1061">
        <v>0</v>
      </c>
      <c r="J110" s="1061">
        <v>2</v>
      </c>
      <c r="K110" s="1061">
        <v>0</v>
      </c>
      <c r="L110" s="1062">
        <v>0</v>
      </c>
      <c r="M110" s="636">
        <f t="shared" si="20"/>
        <v>2</v>
      </c>
      <c r="N110" s="636"/>
      <c r="O110" s="636">
        <v>0</v>
      </c>
      <c r="P110" s="636">
        <v>10</v>
      </c>
      <c r="Q110" s="636">
        <v>3</v>
      </c>
      <c r="R110" s="636">
        <v>7</v>
      </c>
      <c r="S110" s="963">
        <v>1</v>
      </c>
      <c r="T110" s="963">
        <v>0</v>
      </c>
      <c r="U110" s="963">
        <v>0</v>
      </c>
      <c r="W110" s="636">
        <f t="shared" si="21"/>
        <v>10</v>
      </c>
      <c r="X110" s="636">
        <f t="shared" si="22"/>
        <v>3</v>
      </c>
      <c r="Y110" s="636">
        <f t="shared" si="23"/>
        <v>7</v>
      </c>
      <c r="Z110" s="636">
        <f t="shared" si="24"/>
        <v>1</v>
      </c>
      <c r="AA110" s="963">
        <f t="shared" si="25"/>
        <v>0</v>
      </c>
    </row>
    <row r="111" spans="1:27" s="963" customFormat="1" ht="16.5" customHeight="1" x14ac:dyDescent="0.3">
      <c r="A111" s="1051" t="s">
        <v>141</v>
      </c>
      <c r="B111" s="1052" t="s">
        <v>142</v>
      </c>
      <c r="C111" s="313" t="s">
        <v>254</v>
      </c>
      <c r="D111" s="1060">
        <v>4</v>
      </c>
      <c r="E111" s="1061">
        <v>0</v>
      </c>
      <c r="F111" s="1061">
        <v>4</v>
      </c>
      <c r="G111" s="1061">
        <v>0</v>
      </c>
      <c r="H111" s="1061">
        <v>0</v>
      </c>
      <c r="I111" s="1061">
        <v>0</v>
      </c>
      <c r="J111" s="1061">
        <v>0</v>
      </c>
      <c r="K111" s="1061">
        <v>0</v>
      </c>
      <c r="L111" s="1062">
        <v>0</v>
      </c>
      <c r="M111" s="636">
        <f t="shared" si="20"/>
        <v>0</v>
      </c>
      <c r="N111" s="373"/>
      <c r="O111" s="636">
        <v>0</v>
      </c>
      <c r="P111" s="636">
        <v>0</v>
      </c>
      <c r="Q111" s="373">
        <v>2</v>
      </c>
      <c r="R111" s="636">
        <v>2</v>
      </c>
      <c r="S111" s="963">
        <v>0</v>
      </c>
      <c r="T111" s="963">
        <v>0</v>
      </c>
      <c r="U111" s="963">
        <v>0</v>
      </c>
      <c r="W111" s="636">
        <f t="shared" si="21"/>
        <v>0</v>
      </c>
      <c r="X111" s="636">
        <f t="shared" si="22"/>
        <v>2</v>
      </c>
      <c r="Y111" s="636">
        <f t="shared" si="23"/>
        <v>2</v>
      </c>
      <c r="Z111" s="636">
        <f t="shared" si="24"/>
        <v>0</v>
      </c>
      <c r="AA111" s="963">
        <f t="shared" si="25"/>
        <v>0</v>
      </c>
    </row>
    <row r="112" spans="1:27" s="963" customFormat="1" ht="16.5" customHeight="1" x14ac:dyDescent="0.3">
      <c r="A112" s="1051" t="s">
        <v>143</v>
      </c>
      <c r="B112" s="1052" t="s">
        <v>144</v>
      </c>
      <c r="C112" s="313" t="s">
        <v>254</v>
      </c>
      <c r="D112" s="1060">
        <v>0</v>
      </c>
      <c r="E112" s="1061">
        <v>0</v>
      </c>
      <c r="F112" s="1061">
        <v>0</v>
      </c>
      <c r="G112" s="1061">
        <v>0</v>
      </c>
      <c r="H112" s="1061">
        <v>0</v>
      </c>
      <c r="I112" s="1061">
        <v>0</v>
      </c>
      <c r="J112" s="1061">
        <v>0</v>
      </c>
      <c r="K112" s="1061">
        <v>0</v>
      </c>
      <c r="L112" s="1062">
        <v>0</v>
      </c>
      <c r="M112" s="636">
        <f t="shared" si="20"/>
        <v>0</v>
      </c>
      <c r="N112" s="636"/>
      <c r="O112" s="636">
        <v>0</v>
      </c>
      <c r="P112" s="636">
        <v>0</v>
      </c>
      <c r="Q112" s="636">
        <v>0</v>
      </c>
      <c r="R112" s="636">
        <v>0</v>
      </c>
      <c r="S112" s="963">
        <v>0</v>
      </c>
      <c r="T112" s="963">
        <v>0</v>
      </c>
      <c r="U112" s="963">
        <v>0</v>
      </c>
      <c r="W112" s="636">
        <f t="shared" si="21"/>
        <v>0</v>
      </c>
      <c r="X112" s="636">
        <f t="shared" si="22"/>
        <v>0</v>
      </c>
      <c r="Y112" s="636">
        <f t="shared" si="23"/>
        <v>0</v>
      </c>
      <c r="Z112" s="636">
        <f t="shared" si="24"/>
        <v>0</v>
      </c>
      <c r="AA112" s="963">
        <f t="shared" si="25"/>
        <v>0</v>
      </c>
    </row>
    <row r="113" spans="1:27" s="963" customFormat="1" ht="16.5" customHeight="1" x14ac:dyDescent="0.3">
      <c r="A113" s="1051" t="s">
        <v>157</v>
      </c>
      <c r="B113" s="1052" t="s">
        <v>158</v>
      </c>
      <c r="C113" s="313" t="s">
        <v>251</v>
      </c>
      <c r="D113" s="1060">
        <v>10</v>
      </c>
      <c r="E113" s="1061">
        <v>0</v>
      </c>
      <c r="F113" s="1061">
        <v>3</v>
      </c>
      <c r="G113" s="1061">
        <v>0</v>
      </c>
      <c r="H113" s="1061">
        <v>0</v>
      </c>
      <c r="I113" s="1061">
        <v>0</v>
      </c>
      <c r="J113" s="1061">
        <v>5</v>
      </c>
      <c r="K113" s="1061">
        <v>2</v>
      </c>
      <c r="L113" s="1062">
        <v>0</v>
      </c>
      <c r="M113" s="636">
        <f t="shared" si="20"/>
        <v>7</v>
      </c>
      <c r="N113" s="636"/>
      <c r="O113" s="636">
        <v>0</v>
      </c>
      <c r="P113" s="636">
        <v>5</v>
      </c>
      <c r="Q113" s="636">
        <v>5</v>
      </c>
      <c r="R113" s="636">
        <v>0</v>
      </c>
      <c r="S113" s="963">
        <v>0</v>
      </c>
      <c r="T113" s="963">
        <v>0</v>
      </c>
      <c r="U113" s="963">
        <v>0</v>
      </c>
      <c r="W113" s="636">
        <f t="shared" si="21"/>
        <v>5</v>
      </c>
      <c r="X113" s="636">
        <f t="shared" si="22"/>
        <v>5</v>
      </c>
      <c r="Y113" s="636">
        <f t="shared" si="23"/>
        <v>0</v>
      </c>
      <c r="Z113" s="636">
        <f t="shared" si="24"/>
        <v>0</v>
      </c>
      <c r="AA113" s="963">
        <f t="shared" si="25"/>
        <v>0</v>
      </c>
    </row>
    <row r="114" spans="1:27" s="963" customFormat="1" ht="16.5" customHeight="1" x14ac:dyDescent="0.3">
      <c r="A114" s="1051" t="s">
        <v>159</v>
      </c>
      <c r="B114" s="1052" t="s">
        <v>160</v>
      </c>
      <c r="C114" s="313" t="s">
        <v>251</v>
      </c>
      <c r="D114" s="1060">
        <v>20</v>
      </c>
      <c r="E114" s="1061">
        <v>5</v>
      </c>
      <c r="F114" s="1061">
        <v>13</v>
      </c>
      <c r="G114" s="1061">
        <v>0</v>
      </c>
      <c r="H114" s="1061">
        <v>0</v>
      </c>
      <c r="I114" s="1061">
        <v>0</v>
      </c>
      <c r="J114" s="1061">
        <v>1</v>
      </c>
      <c r="K114" s="1061">
        <v>1</v>
      </c>
      <c r="L114" s="1062">
        <v>0</v>
      </c>
      <c r="M114" s="636">
        <f t="shared" si="20"/>
        <v>2</v>
      </c>
      <c r="N114" s="636"/>
      <c r="O114" s="636">
        <v>0</v>
      </c>
      <c r="P114" s="636">
        <v>11</v>
      </c>
      <c r="Q114" s="636">
        <v>3</v>
      </c>
      <c r="R114" s="636">
        <v>5</v>
      </c>
      <c r="S114" s="963">
        <v>1</v>
      </c>
      <c r="T114" s="963">
        <v>0</v>
      </c>
      <c r="U114" s="963">
        <v>0</v>
      </c>
      <c r="W114" s="636">
        <f t="shared" si="21"/>
        <v>11</v>
      </c>
      <c r="X114" s="636">
        <f t="shared" si="22"/>
        <v>3</v>
      </c>
      <c r="Y114" s="636">
        <f t="shared" si="23"/>
        <v>5</v>
      </c>
      <c r="Z114" s="636">
        <f t="shared" si="24"/>
        <v>1</v>
      </c>
      <c r="AA114" s="963">
        <f t="shared" si="25"/>
        <v>0</v>
      </c>
    </row>
    <row r="115" spans="1:27" s="963" customFormat="1" ht="16.5" customHeight="1" x14ac:dyDescent="0.3">
      <c r="A115" s="1051" t="s">
        <v>165</v>
      </c>
      <c r="B115" s="1052" t="s">
        <v>166</v>
      </c>
      <c r="C115" s="313" t="s">
        <v>255</v>
      </c>
      <c r="D115" s="1060">
        <v>1</v>
      </c>
      <c r="E115" s="1061">
        <v>1</v>
      </c>
      <c r="F115" s="1061">
        <v>0</v>
      </c>
      <c r="G115" s="1061">
        <v>0</v>
      </c>
      <c r="H115" s="1061">
        <v>0</v>
      </c>
      <c r="I115" s="1061">
        <v>0</v>
      </c>
      <c r="J115" s="1061">
        <v>0</v>
      </c>
      <c r="K115" s="1061">
        <v>0</v>
      </c>
      <c r="L115" s="1062">
        <v>0</v>
      </c>
      <c r="M115" s="636">
        <f t="shared" si="20"/>
        <v>0</v>
      </c>
      <c r="N115" s="636"/>
      <c r="O115" s="636">
        <v>0</v>
      </c>
      <c r="P115" s="636">
        <v>1</v>
      </c>
      <c r="Q115" s="636">
        <v>0</v>
      </c>
      <c r="R115" s="636">
        <v>0</v>
      </c>
      <c r="S115" s="963">
        <v>0</v>
      </c>
      <c r="T115" s="963">
        <v>0</v>
      </c>
      <c r="U115" s="963">
        <v>0</v>
      </c>
      <c r="W115" s="636">
        <f t="shared" si="21"/>
        <v>1</v>
      </c>
      <c r="X115" s="636">
        <f t="shared" si="22"/>
        <v>0</v>
      </c>
      <c r="Y115" s="636">
        <f t="shared" si="23"/>
        <v>0</v>
      </c>
      <c r="Z115" s="636">
        <f t="shared" si="24"/>
        <v>0</v>
      </c>
      <c r="AA115" s="963">
        <f t="shared" si="25"/>
        <v>0</v>
      </c>
    </row>
    <row r="116" spans="1:27" s="963" customFormat="1" ht="16.5" customHeight="1" x14ac:dyDescent="0.3">
      <c r="A116" s="1051" t="s">
        <v>175</v>
      </c>
      <c r="B116" s="1052" t="s">
        <v>176</v>
      </c>
      <c r="C116" s="313" t="s">
        <v>253</v>
      </c>
      <c r="D116" s="1060">
        <v>2</v>
      </c>
      <c r="E116" s="1061">
        <v>2</v>
      </c>
      <c r="F116" s="1061">
        <v>0</v>
      </c>
      <c r="G116" s="1061">
        <v>0</v>
      </c>
      <c r="H116" s="1061">
        <v>0</v>
      </c>
      <c r="I116" s="1061">
        <v>0</v>
      </c>
      <c r="J116" s="1061">
        <v>0</v>
      </c>
      <c r="K116" s="1061">
        <v>0</v>
      </c>
      <c r="L116" s="1062">
        <v>0</v>
      </c>
      <c r="M116" s="636">
        <f t="shared" si="20"/>
        <v>0</v>
      </c>
      <c r="N116" s="373"/>
      <c r="O116" s="636">
        <v>0</v>
      </c>
      <c r="P116" s="636">
        <v>2</v>
      </c>
      <c r="Q116" s="373">
        <v>0</v>
      </c>
      <c r="R116" s="636">
        <v>0</v>
      </c>
      <c r="S116" s="963">
        <v>0</v>
      </c>
      <c r="T116" s="963">
        <v>0</v>
      </c>
      <c r="U116" s="963">
        <v>0</v>
      </c>
      <c r="W116" s="636">
        <f t="shared" si="21"/>
        <v>2</v>
      </c>
      <c r="X116" s="636">
        <f t="shared" si="22"/>
        <v>0</v>
      </c>
      <c r="Y116" s="636">
        <f t="shared" si="23"/>
        <v>0</v>
      </c>
      <c r="Z116" s="636">
        <f t="shared" si="24"/>
        <v>0</v>
      </c>
      <c r="AA116" s="963">
        <f t="shared" si="25"/>
        <v>0</v>
      </c>
    </row>
    <row r="117" spans="1:27" s="963" customFormat="1" ht="16.5" customHeight="1" x14ac:dyDescent="0.3">
      <c r="A117" s="1051" t="s">
        <v>179</v>
      </c>
      <c r="B117" s="1052" t="s">
        <v>180</v>
      </c>
      <c r="C117" s="313" t="s">
        <v>251</v>
      </c>
      <c r="D117" s="1060">
        <v>8</v>
      </c>
      <c r="E117" s="1061">
        <v>1</v>
      </c>
      <c r="F117" s="1061">
        <v>7</v>
      </c>
      <c r="G117" s="1061">
        <v>0</v>
      </c>
      <c r="H117" s="1061">
        <v>0</v>
      </c>
      <c r="I117" s="1061">
        <v>0</v>
      </c>
      <c r="J117" s="1061">
        <v>0</v>
      </c>
      <c r="K117" s="1061">
        <v>0</v>
      </c>
      <c r="L117" s="1062">
        <v>0</v>
      </c>
      <c r="M117" s="636">
        <f t="shared" si="20"/>
        <v>0</v>
      </c>
      <c r="N117" s="373"/>
      <c r="O117" s="636">
        <v>0</v>
      </c>
      <c r="P117" s="636">
        <v>2</v>
      </c>
      <c r="Q117" s="636">
        <v>5</v>
      </c>
      <c r="R117" s="636">
        <v>1</v>
      </c>
      <c r="S117" s="963">
        <v>0</v>
      </c>
      <c r="T117" s="963">
        <v>0</v>
      </c>
      <c r="U117" s="963">
        <v>0</v>
      </c>
      <c r="W117" s="636">
        <f t="shared" si="21"/>
        <v>2</v>
      </c>
      <c r="X117" s="636">
        <f t="shared" si="22"/>
        <v>5</v>
      </c>
      <c r="Y117" s="636">
        <f t="shared" si="23"/>
        <v>1</v>
      </c>
      <c r="Z117" s="636">
        <f t="shared" si="24"/>
        <v>0</v>
      </c>
      <c r="AA117" s="963">
        <f t="shared" si="25"/>
        <v>0</v>
      </c>
    </row>
    <row r="118" spans="1:27" s="963" customFormat="1" ht="16.5" customHeight="1" x14ac:dyDescent="0.3">
      <c r="A118" s="1051" t="s">
        <v>191</v>
      </c>
      <c r="B118" s="1052" t="s">
        <v>192</v>
      </c>
      <c r="C118" s="313" t="s">
        <v>255</v>
      </c>
      <c r="D118" s="1060">
        <v>5</v>
      </c>
      <c r="E118" s="1061">
        <v>4</v>
      </c>
      <c r="F118" s="1061">
        <v>0</v>
      </c>
      <c r="G118" s="1061">
        <v>0</v>
      </c>
      <c r="H118" s="1061">
        <v>0</v>
      </c>
      <c r="I118" s="1061">
        <v>0</v>
      </c>
      <c r="J118" s="1061">
        <v>1</v>
      </c>
      <c r="K118" s="1061">
        <v>0</v>
      </c>
      <c r="L118" s="1062">
        <v>0</v>
      </c>
      <c r="M118" s="636">
        <f t="shared" si="20"/>
        <v>1</v>
      </c>
      <c r="N118" s="373"/>
      <c r="O118" s="636">
        <v>1</v>
      </c>
      <c r="P118" s="636">
        <v>2</v>
      </c>
      <c r="Q118" s="636">
        <v>1</v>
      </c>
      <c r="R118" s="636">
        <v>0</v>
      </c>
      <c r="S118" s="963">
        <v>1</v>
      </c>
      <c r="T118" s="963">
        <v>0</v>
      </c>
      <c r="U118" s="963">
        <v>0</v>
      </c>
      <c r="W118" s="636">
        <f t="shared" si="21"/>
        <v>3</v>
      </c>
      <c r="X118" s="636">
        <f t="shared" si="22"/>
        <v>1</v>
      </c>
      <c r="Y118" s="636">
        <f t="shared" si="23"/>
        <v>0</v>
      </c>
      <c r="Z118" s="636">
        <f t="shared" si="24"/>
        <v>1</v>
      </c>
      <c r="AA118" s="963">
        <f t="shared" si="25"/>
        <v>0</v>
      </c>
    </row>
    <row r="119" spans="1:27" s="963" customFormat="1" ht="16.5" customHeight="1" x14ac:dyDescent="0.3">
      <c r="A119" s="1051" t="s">
        <v>195</v>
      </c>
      <c r="B119" s="1052" t="s">
        <v>285</v>
      </c>
      <c r="C119" s="313" t="s">
        <v>253</v>
      </c>
      <c r="D119" s="1060">
        <v>14</v>
      </c>
      <c r="E119" s="1061">
        <v>0</v>
      </c>
      <c r="F119" s="1061">
        <v>10</v>
      </c>
      <c r="G119" s="1061">
        <v>0</v>
      </c>
      <c r="H119" s="1061">
        <v>0</v>
      </c>
      <c r="I119" s="1061">
        <v>0</v>
      </c>
      <c r="J119" s="1061">
        <v>3</v>
      </c>
      <c r="K119" s="1061">
        <v>1</v>
      </c>
      <c r="L119" s="1062">
        <v>0</v>
      </c>
      <c r="M119" s="636">
        <f t="shared" si="20"/>
        <v>4</v>
      </c>
      <c r="N119" s="373"/>
      <c r="O119" s="636">
        <v>0</v>
      </c>
      <c r="P119" s="636">
        <v>8</v>
      </c>
      <c r="Q119" s="636">
        <v>4</v>
      </c>
      <c r="R119" s="636">
        <v>1</v>
      </c>
      <c r="S119" s="963">
        <v>1</v>
      </c>
      <c r="T119" s="963">
        <v>0</v>
      </c>
      <c r="U119" s="963">
        <v>0</v>
      </c>
      <c r="W119" s="636">
        <f t="shared" si="21"/>
        <v>8</v>
      </c>
      <c r="X119" s="636">
        <f t="shared" si="22"/>
        <v>4</v>
      </c>
      <c r="Y119" s="636">
        <f t="shared" si="23"/>
        <v>1</v>
      </c>
      <c r="Z119" s="636">
        <f t="shared" si="24"/>
        <v>1</v>
      </c>
      <c r="AA119" s="963">
        <f t="shared" si="25"/>
        <v>0</v>
      </c>
    </row>
    <row r="120" spans="1:27" s="963" customFormat="1" ht="16.5" customHeight="1" x14ac:dyDescent="0.3">
      <c r="A120" s="1051" t="s">
        <v>199</v>
      </c>
      <c r="B120" s="1052" t="s">
        <v>286</v>
      </c>
      <c r="C120" s="313" t="s">
        <v>252</v>
      </c>
      <c r="D120" s="1060">
        <v>61</v>
      </c>
      <c r="E120" s="1061">
        <v>32</v>
      </c>
      <c r="F120" s="1061">
        <v>20</v>
      </c>
      <c r="G120" s="1061">
        <v>0</v>
      </c>
      <c r="H120" s="1061">
        <v>0</v>
      </c>
      <c r="I120" s="1061">
        <v>0</v>
      </c>
      <c r="J120" s="1061">
        <v>6</v>
      </c>
      <c r="K120" s="1061">
        <v>3</v>
      </c>
      <c r="L120" s="1062">
        <v>0</v>
      </c>
      <c r="M120" s="636">
        <f t="shared" si="20"/>
        <v>9</v>
      </c>
      <c r="N120" s="636"/>
      <c r="O120" s="636">
        <v>1</v>
      </c>
      <c r="P120" s="636">
        <v>30</v>
      </c>
      <c r="Q120" s="636">
        <v>22</v>
      </c>
      <c r="R120" s="636">
        <v>6</v>
      </c>
      <c r="S120" s="963">
        <v>2</v>
      </c>
      <c r="T120" s="963">
        <v>0</v>
      </c>
      <c r="U120" s="963">
        <v>0</v>
      </c>
      <c r="W120" s="636">
        <f t="shared" si="21"/>
        <v>31</v>
      </c>
      <c r="X120" s="636">
        <f t="shared" si="22"/>
        <v>22</v>
      </c>
      <c r="Y120" s="636">
        <f t="shared" si="23"/>
        <v>6</v>
      </c>
      <c r="Z120" s="636">
        <f t="shared" si="24"/>
        <v>2</v>
      </c>
      <c r="AA120" s="963">
        <f t="shared" si="25"/>
        <v>0</v>
      </c>
    </row>
    <row r="121" spans="1:27" s="963" customFormat="1" ht="16.5" customHeight="1" x14ac:dyDescent="0.3">
      <c r="A121" s="1051" t="s">
        <v>221</v>
      </c>
      <c r="B121" s="1052" t="s">
        <v>222</v>
      </c>
      <c r="C121" s="313" t="s">
        <v>251</v>
      </c>
      <c r="D121" s="1060">
        <v>1</v>
      </c>
      <c r="E121" s="1061">
        <v>0</v>
      </c>
      <c r="F121" s="1061">
        <v>1</v>
      </c>
      <c r="G121" s="1061">
        <v>0</v>
      </c>
      <c r="H121" s="1061">
        <v>0</v>
      </c>
      <c r="I121" s="1061">
        <v>0</v>
      </c>
      <c r="J121" s="1061">
        <v>0</v>
      </c>
      <c r="K121" s="1061">
        <v>0</v>
      </c>
      <c r="L121" s="1062">
        <v>0</v>
      </c>
      <c r="M121" s="636">
        <f t="shared" si="20"/>
        <v>0</v>
      </c>
      <c r="N121" s="373"/>
      <c r="O121" s="636">
        <v>0</v>
      </c>
      <c r="P121" s="636">
        <v>0</v>
      </c>
      <c r="Q121" s="636">
        <v>1</v>
      </c>
      <c r="R121" s="636">
        <v>0</v>
      </c>
      <c r="S121" s="963">
        <v>0</v>
      </c>
      <c r="T121" s="963">
        <v>0</v>
      </c>
      <c r="U121" s="963">
        <v>0</v>
      </c>
      <c r="W121" s="636">
        <f t="shared" si="21"/>
        <v>0</v>
      </c>
      <c r="X121" s="636">
        <f t="shared" si="22"/>
        <v>1</v>
      </c>
      <c r="Y121" s="636">
        <f t="shared" si="23"/>
        <v>0</v>
      </c>
      <c r="Z121" s="636">
        <f t="shared" si="24"/>
        <v>0</v>
      </c>
      <c r="AA121" s="963">
        <f t="shared" si="25"/>
        <v>0</v>
      </c>
    </row>
    <row r="122" spans="1:27" s="963" customFormat="1" ht="16.5" customHeight="1" x14ac:dyDescent="0.3">
      <c r="A122" s="1051" t="s">
        <v>229</v>
      </c>
      <c r="B122" s="1052" t="s">
        <v>230</v>
      </c>
      <c r="C122" s="313" t="s">
        <v>251</v>
      </c>
      <c r="D122" s="1060">
        <v>29</v>
      </c>
      <c r="E122" s="1061">
        <v>17</v>
      </c>
      <c r="F122" s="1061">
        <v>4</v>
      </c>
      <c r="G122" s="1061">
        <v>0</v>
      </c>
      <c r="H122" s="1061">
        <v>0</v>
      </c>
      <c r="I122" s="1061">
        <v>0</v>
      </c>
      <c r="J122" s="1061">
        <v>6</v>
      </c>
      <c r="K122" s="1061">
        <v>2</v>
      </c>
      <c r="L122" s="1062">
        <v>0</v>
      </c>
      <c r="M122" s="636">
        <f t="shared" si="20"/>
        <v>8</v>
      </c>
      <c r="N122" s="636"/>
      <c r="O122" s="636">
        <v>0</v>
      </c>
      <c r="P122" s="636">
        <v>16</v>
      </c>
      <c r="Q122" s="636">
        <v>3</v>
      </c>
      <c r="R122" s="636">
        <v>7</v>
      </c>
      <c r="S122" s="963">
        <v>3</v>
      </c>
      <c r="T122" s="963">
        <v>0</v>
      </c>
      <c r="U122" s="963">
        <v>0</v>
      </c>
      <c r="W122" s="636">
        <f t="shared" si="21"/>
        <v>16</v>
      </c>
      <c r="X122" s="636">
        <f t="shared" si="22"/>
        <v>3</v>
      </c>
      <c r="Y122" s="636">
        <f t="shared" si="23"/>
        <v>7</v>
      </c>
      <c r="Z122" s="636">
        <f t="shared" si="24"/>
        <v>3</v>
      </c>
      <c r="AA122" s="963">
        <f t="shared" si="25"/>
        <v>0</v>
      </c>
    </row>
    <row r="123" spans="1:27" s="963" customFormat="1" ht="16.5" customHeight="1" x14ac:dyDescent="0.3">
      <c r="A123" s="1051" t="s">
        <v>237</v>
      </c>
      <c r="B123" s="1052" t="s">
        <v>238</v>
      </c>
      <c r="C123" s="313" t="s">
        <v>251</v>
      </c>
      <c r="D123" s="1060">
        <v>0</v>
      </c>
      <c r="E123" s="1061">
        <v>0</v>
      </c>
      <c r="F123" s="1061">
        <v>0</v>
      </c>
      <c r="G123" s="1061">
        <v>0</v>
      </c>
      <c r="H123" s="1061">
        <v>0</v>
      </c>
      <c r="I123" s="1061">
        <v>0</v>
      </c>
      <c r="J123" s="1061">
        <v>0</v>
      </c>
      <c r="K123" s="1061">
        <v>0</v>
      </c>
      <c r="L123" s="1062">
        <v>0</v>
      </c>
      <c r="M123" s="636">
        <f t="shared" si="20"/>
        <v>0</v>
      </c>
      <c r="N123" s="636"/>
      <c r="O123" s="636">
        <v>0</v>
      </c>
      <c r="P123" s="636">
        <v>0</v>
      </c>
      <c r="Q123" s="636">
        <v>0</v>
      </c>
      <c r="R123" s="636">
        <v>0</v>
      </c>
      <c r="S123" s="963">
        <v>0</v>
      </c>
      <c r="T123" s="963">
        <v>0</v>
      </c>
      <c r="U123" s="963">
        <v>0</v>
      </c>
      <c r="W123" s="636">
        <f t="shared" si="21"/>
        <v>0</v>
      </c>
      <c r="X123" s="636">
        <f t="shared" si="22"/>
        <v>0</v>
      </c>
      <c r="Y123" s="636">
        <f t="shared" si="23"/>
        <v>0</v>
      </c>
      <c r="Z123" s="636">
        <f t="shared" si="24"/>
        <v>0</v>
      </c>
      <c r="AA123" s="963">
        <f t="shared" si="25"/>
        <v>0</v>
      </c>
    </row>
    <row r="124" spans="1:27" s="963" customFormat="1" ht="16.5" customHeight="1" x14ac:dyDescent="0.3">
      <c r="A124" s="1051" t="s">
        <v>239</v>
      </c>
      <c r="B124" s="1052" t="s">
        <v>240</v>
      </c>
      <c r="C124" s="313" t="s">
        <v>254</v>
      </c>
      <c r="D124" s="1060">
        <v>15</v>
      </c>
      <c r="E124" s="1061">
        <v>10</v>
      </c>
      <c r="F124" s="1061">
        <v>1</v>
      </c>
      <c r="G124" s="1061">
        <v>0</v>
      </c>
      <c r="H124" s="1061">
        <v>0</v>
      </c>
      <c r="I124" s="1061">
        <v>0</v>
      </c>
      <c r="J124" s="1061">
        <v>2</v>
      </c>
      <c r="K124" s="1061">
        <v>2</v>
      </c>
      <c r="L124" s="1062">
        <v>0</v>
      </c>
      <c r="M124" s="636">
        <f t="shared" si="20"/>
        <v>4</v>
      </c>
      <c r="N124" s="373"/>
      <c r="O124" s="636">
        <v>1</v>
      </c>
      <c r="P124" s="636">
        <v>8</v>
      </c>
      <c r="Q124" s="636">
        <v>6</v>
      </c>
      <c r="R124" s="636">
        <v>0</v>
      </c>
      <c r="S124" s="963">
        <v>0</v>
      </c>
      <c r="T124" s="963">
        <v>0</v>
      </c>
      <c r="U124" s="963">
        <v>0</v>
      </c>
      <c r="W124" s="636">
        <f t="shared" si="21"/>
        <v>9</v>
      </c>
      <c r="X124" s="636">
        <f t="shared" si="22"/>
        <v>6</v>
      </c>
      <c r="Y124" s="636">
        <f t="shared" si="23"/>
        <v>0</v>
      </c>
      <c r="Z124" s="636">
        <f t="shared" si="24"/>
        <v>0</v>
      </c>
      <c r="AA124" s="963">
        <f t="shared" si="25"/>
        <v>0</v>
      </c>
    </row>
    <row r="125" spans="1:27" x14ac:dyDescent="0.3">
      <c r="D125" s="368"/>
      <c r="E125" s="368"/>
      <c r="F125" s="368"/>
      <c r="G125" s="368"/>
      <c r="H125" s="368"/>
      <c r="I125" s="368"/>
      <c r="J125" s="368"/>
      <c r="K125" s="368"/>
      <c r="L125" s="368"/>
      <c r="M125" s="368"/>
      <c r="N125" s="368"/>
      <c r="O125" s="368"/>
      <c r="P125" s="368"/>
      <c r="Q125" s="368"/>
      <c r="R125" s="368"/>
    </row>
    <row r="126" spans="1:27" ht="32.25" customHeight="1" x14ac:dyDescent="0.3">
      <c r="A126" s="2563" t="s">
        <v>920</v>
      </c>
      <c r="B126" s="2564"/>
      <c r="C126" s="2564"/>
      <c r="D126" s="2564"/>
      <c r="E126" s="2564"/>
      <c r="F126" s="2564"/>
      <c r="G126" s="2564"/>
      <c r="H126" s="2564"/>
      <c r="I126" s="2564"/>
      <c r="J126" s="2564"/>
      <c r="K126" s="2564"/>
      <c r="L126" s="2564"/>
      <c r="M126" s="2564"/>
      <c r="N126" s="2564"/>
      <c r="O126" s="374"/>
      <c r="P126" s="374"/>
      <c r="Q126" s="374"/>
      <c r="R126" s="374"/>
      <c r="S126" s="374"/>
      <c r="T126" s="374"/>
    </row>
    <row r="127" spans="1:27" x14ac:dyDescent="0.3">
      <c r="A127" s="173" t="s">
        <v>720</v>
      </c>
    </row>
    <row r="129" spans="1:3" s="193" customFormat="1" x14ac:dyDescent="0.3">
      <c r="A129" s="193" t="s">
        <v>247</v>
      </c>
    </row>
    <row r="130" spans="1:3" s="193" customFormat="1" x14ac:dyDescent="0.3">
      <c r="A130" s="194" t="s">
        <v>248</v>
      </c>
      <c r="B130" s="195" t="s">
        <v>249</v>
      </c>
      <c r="C130" s="195"/>
    </row>
  </sheetData>
  <sortState ref="A5:AA124">
    <sortCondition ref="A5:A124"/>
  </sortState>
  <mergeCells count="1">
    <mergeCell ref="A126:N126"/>
  </mergeCells>
  <hyperlinks>
    <hyperlink ref="B130"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130"/>
  <sheetViews>
    <sheetView workbookViewId="0">
      <pane xSplit="3" ySplit="4" topLeftCell="D110" activePane="bottomRight" state="frozen"/>
      <selection pane="topRight" activeCell="D1" sqref="D1"/>
      <selection pane="bottomLeft" activeCell="A5" sqref="A5"/>
      <selection pane="bottomRight" activeCell="D110" sqref="D110"/>
    </sheetView>
  </sheetViews>
  <sheetFormatPr defaultColWidth="9" defaultRowHeight="15.6" x14ac:dyDescent="0.3"/>
  <cols>
    <col min="1" max="1" width="11" style="173" customWidth="1"/>
    <col min="2" max="2" width="32" style="173" customWidth="1"/>
    <col min="3" max="3" width="14.19921875" style="173" customWidth="1"/>
    <col min="4" max="9" width="7.5" style="173" customWidth="1"/>
    <col min="10" max="11" width="10.09765625" style="173" customWidth="1"/>
    <col min="12" max="12" width="12.19921875" style="173" customWidth="1"/>
    <col min="13" max="13" width="4.796875" style="173" customWidth="1"/>
    <col min="14" max="15" width="12.19921875" style="173" customWidth="1"/>
    <col min="16" max="16" width="11.5" style="173" customWidth="1"/>
    <col min="17" max="17" width="11.09765625" style="173" customWidth="1"/>
    <col min="18" max="18" width="11.5" style="173" customWidth="1"/>
    <col min="19" max="16384" width="9" style="173"/>
  </cols>
  <sheetData>
    <row r="1" spans="1:18" x14ac:dyDescent="0.3">
      <c r="A1" s="88" t="s">
        <v>956</v>
      </c>
    </row>
    <row r="3" spans="1:18" ht="32.25" customHeight="1" x14ac:dyDescent="0.3">
      <c r="A3" s="353" t="s">
        <v>4</v>
      </c>
      <c r="B3" s="354" t="s">
        <v>5</v>
      </c>
      <c r="C3" s="355" t="s">
        <v>250</v>
      </c>
      <c r="D3" s="356" t="s">
        <v>262</v>
      </c>
      <c r="E3" s="357" t="s">
        <v>2</v>
      </c>
      <c r="F3" s="358" t="s">
        <v>298</v>
      </c>
      <c r="G3" s="637" t="s">
        <v>379</v>
      </c>
      <c r="H3" s="637" t="s">
        <v>499</v>
      </c>
      <c r="I3" s="637" t="s">
        <v>471</v>
      </c>
      <c r="J3" s="637" t="s">
        <v>530</v>
      </c>
      <c r="K3" s="637" t="s">
        <v>500</v>
      </c>
      <c r="L3" s="972" t="s">
        <v>630</v>
      </c>
      <c r="M3" s="359"/>
      <c r="N3" s="973" t="s">
        <v>618</v>
      </c>
      <c r="O3" s="974" t="s">
        <v>619</v>
      </c>
      <c r="P3" s="975" t="s">
        <v>620</v>
      </c>
      <c r="Q3" s="975" t="s">
        <v>621</v>
      </c>
      <c r="R3" s="976" t="s">
        <v>622</v>
      </c>
    </row>
    <row r="4" spans="1:18" x14ac:dyDescent="0.3">
      <c r="A4" s="360">
        <v>999</v>
      </c>
      <c r="B4" s="361" t="s">
        <v>8</v>
      </c>
      <c r="C4" s="361"/>
      <c r="D4" s="362">
        <f t="shared" ref="D4:J4" si="0">SUM(D5:D124)</f>
        <v>8666</v>
      </c>
      <c r="E4" s="362">
        <f t="shared" si="0"/>
        <v>4831</v>
      </c>
      <c r="F4" s="362">
        <f t="shared" si="0"/>
        <v>2570</v>
      </c>
      <c r="G4" s="362">
        <f t="shared" si="0"/>
        <v>43</v>
      </c>
      <c r="H4" s="362">
        <f t="shared" si="0"/>
        <v>19</v>
      </c>
      <c r="I4" s="362">
        <f t="shared" si="0"/>
        <v>13</v>
      </c>
      <c r="J4" s="362">
        <f t="shared" si="0"/>
        <v>1128</v>
      </c>
      <c r="K4" s="362">
        <f>SUM(K5:K124)</f>
        <v>62</v>
      </c>
      <c r="L4" s="1893">
        <f t="shared" ref="L4" si="1">G4+H4+I4+J4</f>
        <v>1203</v>
      </c>
      <c r="M4" s="359"/>
      <c r="N4" s="362">
        <f t="shared" ref="N4:R4" si="2">SUM(N5:N124)</f>
        <v>1034</v>
      </c>
      <c r="O4" s="362">
        <f t="shared" si="2"/>
        <v>2186</v>
      </c>
      <c r="P4" s="362">
        <f t="shared" si="2"/>
        <v>3076</v>
      </c>
      <c r="Q4" s="362">
        <f t="shared" si="2"/>
        <v>1691</v>
      </c>
      <c r="R4" s="362">
        <f t="shared" si="2"/>
        <v>679</v>
      </c>
    </row>
    <row r="5" spans="1:18" ht="16.5" customHeight="1" x14ac:dyDescent="0.3">
      <c r="A5" s="363" t="s">
        <v>9</v>
      </c>
      <c r="B5" s="364" t="s">
        <v>10</v>
      </c>
      <c r="C5" s="308" t="s">
        <v>251</v>
      </c>
      <c r="D5" s="365">
        <f t="shared" ref="D5:D36" si="3">SUM(E5:K5)</f>
        <v>19</v>
      </c>
      <c r="E5" s="366">
        <v>13</v>
      </c>
      <c r="F5" s="367">
        <v>3</v>
      </c>
      <c r="G5" s="367">
        <v>0</v>
      </c>
      <c r="H5" s="367">
        <v>0</v>
      </c>
      <c r="I5" s="367">
        <v>0</v>
      </c>
      <c r="J5" s="367">
        <v>3</v>
      </c>
      <c r="K5" s="367">
        <v>0</v>
      </c>
      <c r="L5" s="368">
        <f t="shared" ref="L5:L36" si="4">G5+H5+I5+J5</f>
        <v>3</v>
      </c>
      <c r="M5" s="960"/>
      <c r="N5" s="636">
        <v>2</v>
      </c>
      <c r="O5" s="636">
        <v>9</v>
      </c>
      <c r="P5" s="636">
        <v>4</v>
      </c>
      <c r="Q5" s="963">
        <v>3</v>
      </c>
      <c r="R5" s="963">
        <v>1</v>
      </c>
    </row>
    <row r="6" spans="1:18" ht="16.5" customHeight="1" x14ac:dyDescent="0.3">
      <c r="A6" s="363" t="s">
        <v>11</v>
      </c>
      <c r="B6" s="364" t="s">
        <v>12</v>
      </c>
      <c r="C6" s="308" t="s">
        <v>252</v>
      </c>
      <c r="D6" s="365">
        <f t="shared" si="3"/>
        <v>99</v>
      </c>
      <c r="E6" s="366">
        <v>59</v>
      </c>
      <c r="F6" s="367">
        <v>22</v>
      </c>
      <c r="G6" s="367">
        <v>0</v>
      </c>
      <c r="H6" s="367">
        <v>0</v>
      </c>
      <c r="I6" s="367">
        <v>0</v>
      </c>
      <c r="J6" s="367">
        <v>13</v>
      </c>
      <c r="K6" s="367">
        <v>5</v>
      </c>
      <c r="L6" s="368">
        <f t="shared" si="4"/>
        <v>13</v>
      </c>
      <c r="M6" s="961"/>
      <c r="N6" s="636">
        <v>7</v>
      </c>
      <c r="O6" s="636">
        <v>27</v>
      </c>
      <c r="P6" s="636">
        <v>34</v>
      </c>
      <c r="Q6" s="963">
        <v>25</v>
      </c>
      <c r="R6" s="963">
        <v>6</v>
      </c>
    </row>
    <row r="7" spans="1:18" ht="16.5" customHeight="1" x14ac:dyDescent="0.3">
      <c r="A7" s="363" t="s">
        <v>15</v>
      </c>
      <c r="B7" s="364" t="s">
        <v>273</v>
      </c>
      <c r="C7" s="308" t="s">
        <v>252</v>
      </c>
      <c r="D7" s="365">
        <f t="shared" si="3"/>
        <v>12</v>
      </c>
      <c r="E7" s="366">
        <v>10</v>
      </c>
      <c r="F7" s="367">
        <v>1</v>
      </c>
      <c r="G7" s="367">
        <v>0</v>
      </c>
      <c r="H7" s="367">
        <v>0</v>
      </c>
      <c r="I7" s="367">
        <v>0</v>
      </c>
      <c r="J7" s="367">
        <v>1</v>
      </c>
      <c r="K7" s="367">
        <v>0</v>
      </c>
      <c r="L7" s="368">
        <f t="shared" si="4"/>
        <v>1</v>
      </c>
      <c r="M7" s="961"/>
      <c r="N7" s="636">
        <v>1</v>
      </c>
      <c r="O7" s="373">
        <v>5</v>
      </c>
      <c r="P7" s="636">
        <v>3</v>
      </c>
      <c r="Q7" s="963">
        <v>3</v>
      </c>
      <c r="R7" s="963">
        <v>0</v>
      </c>
    </row>
    <row r="8" spans="1:18" ht="16.5" customHeight="1" x14ac:dyDescent="0.3">
      <c r="A8" s="363" t="s">
        <v>17</v>
      </c>
      <c r="B8" s="364" t="s">
        <v>18</v>
      </c>
      <c r="C8" s="308" t="s">
        <v>253</v>
      </c>
      <c r="D8" s="365">
        <f t="shared" si="3"/>
        <v>7</v>
      </c>
      <c r="E8" s="366">
        <v>5</v>
      </c>
      <c r="F8" s="367">
        <v>1</v>
      </c>
      <c r="G8" s="367">
        <v>0</v>
      </c>
      <c r="H8" s="367">
        <v>0</v>
      </c>
      <c r="I8" s="367">
        <v>0</v>
      </c>
      <c r="J8" s="367">
        <v>1</v>
      </c>
      <c r="K8" s="367">
        <v>0</v>
      </c>
      <c r="L8" s="368">
        <f t="shared" si="4"/>
        <v>1</v>
      </c>
      <c r="M8" s="373"/>
      <c r="N8" s="636">
        <v>0</v>
      </c>
      <c r="O8" s="636">
        <v>1</v>
      </c>
      <c r="P8" s="636">
        <v>0</v>
      </c>
      <c r="Q8" s="963">
        <v>3</v>
      </c>
      <c r="R8" s="963">
        <v>3</v>
      </c>
    </row>
    <row r="9" spans="1:18" ht="16.5" customHeight="1" x14ac:dyDescent="0.3">
      <c r="A9" s="363" t="s">
        <v>19</v>
      </c>
      <c r="B9" s="364" t="s">
        <v>20</v>
      </c>
      <c r="C9" s="308" t="s">
        <v>252</v>
      </c>
      <c r="D9" s="365">
        <f t="shared" si="3"/>
        <v>21</v>
      </c>
      <c r="E9" s="366">
        <v>19</v>
      </c>
      <c r="F9" s="367">
        <v>2</v>
      </c>
      <c r="G9" s="367">
        <v>0</v>
      </c>
      <c r="H9" s="367">
        <v>0</v>
      </c>
      <c r="I9" s="367">
        <v>0</v>
      </c>
      <c r="J9" s="367">
        <v>0</v>
      </c>
      <c r="K9" s="367">
        <v>0</v>
      </c>
      <c r="L9" s="368">
        <f t="shared" si="4"/>
        <v>0</v>
      </c>
      <c r="M9" s="962"/>
      <c r="N9" s="636">
        <v>6</v>
      </c>
      <c r="O9" s="636">
        <v>9</v>
      </c>
      <c r="P9" s="636">
        <v>4</v>
      </c>
      <c r="Q9" s="963">
        <v>1</v>
      </c>
      <c r="R9" s="963">
        <v>1</v>
      </c>
    </row>
    <row r="10" spans="1:18" ht="16.5" customHeight="1" x14ac:dyDescent="0.3">
      <c r="A10" s="363" t="s">
        <v>21</v>
      </c>
      <c r="B10" s="364" t="s">
        <v>22</v>
      </c>
      <c r="C10" s="308" t="s">
        <v>252</v>
      </c>
      <c r="D10" s="365">
        <f t="shared" si="3"/>
        <v>6</v>
      </c>
      <c r="E10" s="366">
        <v>5</v>
      </c>
      <c r="F10" s="367">
        <v>0</v>
      </c>
      <c r="G10" s="635">
        <v>0</v>
      </c>
      <c r="H10" s="635">
        <v>0</v>
      </c>
      <c r="I10" s="635">
        <v>0</v>
      </c>
      <c r="J10" s="635">
        <v>1</v>
      </c>
      <c r="K10" s="635">
        <v>0</v>
      </c>
      <c r="L10" s="368">
        <f t="shared" si="4"/>
        <v>1</v>
      </c>
      <c r="M10" s="373"/>
      <c r="N10" s="636">
        <v>0</v>
      </c>
      <c r="O10" s="636">
        <v>2</v>
      </c>
      <c r="P10" s="636">
        <v>4</v>
      </c>
      <c r="Q10" s="963">
        <v>0</v>
      </c>
      <c r="R10" s="963">
        <v>0</v>
      </c>
    </row>
    <row r="11" spans="1:18" ht="16.5" customHeight="1" x14ac:dyDescent="0.3">
      <c r="A11" s="363" t="s">
        <v>23</v>
      </c>
      <c r="B11" s="364" t="s">
        <v>24</v>
      </c>
      <c r="C11" s="308" t="s">
        <v>254</v>
      </c>
      <c r="D11" s="365">
        <f t="shared" si="3"/>
        <v>113</v>
      </c>
      <c r="E11" s="366">
        <v>25</v>
      </c>
      <c r="F11" s="367">
        <v>71</v>
      </c>
      <c r="G11" s="367">
        <v>3</v>
      </c>
      <c r="H11" s="367">
        <v>0</v>
      </c>
      <c r="I11" s="367">
        <v>0</v>
      </c>
      <c r="J11" s="367">
        <v>12</v>
      </c>
      <c r="K11" s="367">
        <v>2</v>
      </c>
      <c r="L11" s="368">
        <f t="shared" si="4"/>
        <v>15</v>
      </c>
      <c r="M11" s="962"/>
      <c r="N11" s="636">
        <v>13</v>
      </c>
      <c r="O11" s="636">
        <v>31</v>
      </c>
      <c r="P11" s="636">
        <v>36</v>
      </c>
      <c r="Q11" s="963">
        <v>26</v>
      </c>
      <c r="R11" s="963">
        <v>7</v>
      </c>
    </row>
    <row r="12" spans="1:18" ht="16.5" customHeight="1" x14ac:dyDescent="0.3">
      <c r="A12" s="363" t="s">
        <v>25</v>
      </c>
      <c r="B12" s="364" t="s">
        <v>444</v>
      </c>
      <c r="C12" s="308" t="s">
        <v>252</v>
      </c>
      <c r="D12" s="365">
        <f t="shared" si="3"/>
        <v>270</v>
      </c>
      <c r="E12" s="366">
        <v>207</v>
      </c>
      <c r="F12" s="367">
        <v>17</v>
      </c>
      <c r="G12" s="367">
        <v>0</v>
      </c>
      <c r="H12" s="367">
        <v>0</v>
      </c>
      <c r="I12" s="367">
        <v>1</v>
      </c>
      <c r="J12" s="367">
        <v>45</v>
      </c>
      <c r="K12" s="367">
        <v>0</v>
      </c>
      <c r="L12" s="368">
        <f t="shared" si="4"/>
        <v>46</v>
      </c>
      <c r="M12" s="961"/>
      <c r="N12" s="636">
        <v>15</v>
      </c>
      <c r="O12" s="373">
        <v>85</v>
      </c>
      <c r="P12" s="636">
        <v>96</v>
      </c>
      <c r="Q12" s="963">
        <v>50</v>
      </c>
      <c r="R12" s="963">
        <v>24</v>
      </c>
    </row>
    <row r="13" spans="1:18" ht="16.5" customHeight="1" x14ac:dyDescent="0.3">
      <c r="A13" s="363" t="s">
        <v>26</v>
      </c>
      <c r="B13" s="364" t="s">
        <v>27</v>
      </c>
      <c r="C13" s="313" t="s">
        <v>252</v>
      </c>
      <c r="D13" s="365">
        <f t="shared" si="3"/>
        <v>3</v>
      </c>
      <c r="E13" s="371">
        <v>3</v>
      </c>
      <c r="F13" s="370">
        <v>0</v>
      </c>
      <c r="G13" s="370">
        <v>0</v>
      </c>
      <c r="H13" s="370">
        <v>0</v>
      </c>
      <c r="I13" s="370">
        <v>0</v>
      </c>
      <c r="J13" s="1894">
        <v>0</v>
      </c>
      <c r="K13" s="370">
        <v>0</v>
      </c>
      <c r="L13" s="368">
        <f t="shared" si="4"/>
        <v>0</v>
      </c>
      <c r="M13" s="961"/>
      <c r="N13" s="636">
        <v>0</v>
      </c>
      <c r="O13" s="636">
        <v>1</v>
      </c>
      <c r="P13" s="636">
        <v>2</v>
      </c>
      <c r="Q13" s="963">
        <v>0</v>
      </c>
      <c r="R13" s="963">
        <v>0</v>
      </c>
    </row>
    <row r="14" spans="1:18" ht="16.5" customHeight="1" x14ac:dyDescent="0.3">
      <c r="A14" s="363" t="s">
        <v>28</v>
      </c>
      <c r="B14" s="364" t="s">
        <v>568</v>
      </c>
      <c r="C14" s="313" t="s">
        <v>252</v>
      </c>
      <c r="D14" s="365">
        <f t="shared" si="3"/>
        <v>65</v>
      </c>
      <c r="E14" s="366">
        <v>43</v>
      </c>
      <c r="F14" s="367">
        <v>12</v>
      </c>
      <c r="G14" s="367">
        <v>0</v>
      </c>
      <c r="H14" s="367">
        <v>0</v>
      </c>
      <c r="I14" s="367">
        <v>0</v>
      </c>
      <c r="J14" s="367">
        <v>10</v>
      </c>
      <c r="K14" s="367">
        <v>0</v>
      </c>
      <c r="L14" s="368">
        <f t="shared" si="4"/>
        <v>10</v>
      </c>
      <c r="M14" s="961"/>
      <c r="N14" s="636">
        <v>10</v>
      </c>
      <c r="O14" s="636">
        <v>13</v>
      </c>
      <c r="P14" s="636">
        <v>25</v>
      </c>
      <c r="Q14" s="963">
        <v>11</v>
      </c>
      <c r="R14" s="963">
        <v>6</v>
      </c>
    </row>
    <row r="15" spans="1:18" ht="16.5" customHeight="1" x14ac:dyDescent="0.3">
      <c r="A15" s="363" t="s">
        <v>29</v>
      </c>
      <c r="B15" s="364" t="s">
        <v>30</v>
      </c>
      <c r="C15" s="313" t="s">
        <v>255</v>
      </c>
      <c r="D15" s="365">
        <f t="shared" si="3"/>
        <v>12</v>
      </c>
      <c r="E15" s="366">
        <v>11</v>
      </c>
      <c r="F15" s="367">
        <v>0</v>
      </c>
      <c r="G15" s="635">
        <v>0</v>
      </c>
      <c r="H15" s="635">
        <v>0</v>
      </c>
      <c r="I15" s="635">
        <v>0</v>
      </c>
      <c r="J15" s="635">
        <v>1</v>
      </c>
      <c r="K15" s="635">
        <v>0</v>
      </c>
      <c r="L15" s="368">
        <f t="shared" si="4"/>
        <v>1</v>
      </c>
      <c r="M15" s="961"/>
      <c r="N15" s="636">
        <v>0</v>
      </c>
      <c r="O15" s="636">
        <v>3</v>
      </c>
      <c r="P15" s="636">
        <v>9</v>
      </c>
      <c r="Q15" s="963">
        <v>0</v>
      </c>
      <c r="R15" s="963">
        <v>0</v>
      </c>
    </row>
    <row r="16" spans="1:18" ht="16.5" customHeight="1" x14ac:dyDescent="0.3">
      <c r="A16" s="363" t="s">
        <v>31</v>
      </c>
      <c r="B16" s="364" t="s">
        <v>32</v>
      </c>
      <c r="C16" s="313" t="s">
        <v>252</v>
      </c>
      <c r="D16" s="365">
        <f t="shared" si="3"/>
        <v>8</v>
      </c>
      <c r="E16" s="366">
        <v>7</v>
      </c>
      <c r="F16" s="367">
        <v>0</v>
      </c>
      <c r="G16" s="367">
        <v>0</v>
      </c>
      <c r="H16" s="367">
        <v>0</v>
      </c>
      <c r="I16" s="367">
        <v>0</v>
      </c>
      <c r="J16" s="367">
        <v>1</v>
      </c>
      <c r="K16" s="367">
        <v>0</v>
      </c>
      <c r="L16" s="368">
        <f t="shared" si="4"/>
        <v>1</v>
      </c>
      <c r="M16" s="369"/>
      <c r="N16" s="636">
        <v>0</v>
      </c>
      <c r="O16" s="636">
        <v>2</v>
      </c>
      <c r="P16" s="636">
        <v>2</v>
      </c>
      <c r="Q16" s="963">
        <v>3</v>
      </c>
      <c r="R16" s="963">
        <v>1</v>
      </c>
    </row>
    <row r="17" spans="1:18" ht="16.5" customHeight="1" x14ac:dyDescent="0.3">
      <c r="A17" s="363" t="s">
        <v>35</v>
      </c>
      <c r="B17" s="364" t="s">
        <v>36</v>
      </c>
      <c r="C17" s="313" t="s">
        <v>251</v>
      </c>
      <c r="D17" s="365">
        <f t="shared" si="3"/>
        <v>6</v>
      </c>
      <c r="E17" s="366">
        <v>3</v>
      </c>
      <c r="F17" s="367">
        <v>1</v>
      </c>
      <c r="G17" s="635">
        <v>0</v>
      </c>
      <c r="H17" s="635">
        <v>0</v>
      </c>
      <c r="I17" s="635">
        <v>0</v>
      </c>
      <c r="J17" s="635">
        <v>2</v>
      </c>
      <c r="K17" s="635">
        <v>0</v>
      </c>
      <c r="L17" s="368">
        <f t="shared" si="4"/>
        <v>2</v>
      </c>
      <c r="M17" s="368"/>
      <c r="N17" s="636">
        <v>0</v>
      </c>
      <c r="O17" s="636">
        <v>1</v>
      </c>
      <c r="P17" s="636">
        <v>4</v>
      </c>
      <c r="Q17" s="963">
        <v>1</v>
      </c>
      <c r="R17" s="963">
        <v>0</v>
      </c>
    </row>
    <row r="18" spans="1:18" ht="16.5" customHeight="1" x14ac:dyDescent="0.3">
      <c r="A18" s="363" t="s">
        <v>37</v>
      </c>
      <c r="B18" s="364" t="s">
        <v>38</v>
      </c>
      <c r="C18" s="313" t="s">
        <v>255</v>
      </c>
      <c r="D18" s="365">
        <f t="shared" si="3"/>
        <v>101</v>
      </c>
      <c r="E18" s="366">
        <v>90</v>
      </c>
      <c r="F18" s="367">
        <v>1</v>
      </c>
      <c r="G18" s="367">
        <v>0</v>
      </c>
      <c r="H18" s="367">
        <v>0</v>
      </c>
      <c r="I18" s="367">
        <v>0</v>
      </c>
      <c r="J18" s="367">
        <v>10</v>
      </c>
      <c r="K18" s="367">
        <v>0</v>
      </c>
      <c r="L18" s="368">
        <f t="shared" si="4"/>
        <v>10</v>
      </c>
      <c r="M18" s="961"/>
      <c r="N18" s="636">
        <v>10</v>
      </c>
      <c r="O18" s="636">
        <v>37</v>
      </c>
      <c r="P18" s="636">
        <v>36</v>
      </c>
      <c r="Q18" s="963">
        <v>13</v>
      </c>
      <c r="R18" s="963">
        <v>5</v>
      </c>
    </row>
    <row r="19" spans="1:18" ht="16.5" customHeight="1" x14ac:dyDescent="0.3">
      <c r="A19" s="363" t="s">
        <v>39</v>
      </c>
      <c r="B19" s="364" t="s">
        <v>40</v>
      </c>
      <c r="C19" s="313" t="s">
        <v>253</v>
      </c>
      <c r="D19" s="365">
        <f t="shared" si="3"/>
        <v>16</v>
      </c>
      <c r="E19" s="366">
        <v>6</v>
      </c>
      <c r="F19" s="367">
        <v>9</v>
      </c>
      <c r="G19" s="367">
        <v>0</v>
      </c>
      <c r="H19" s="367">
        <v>0</v>
      </c>
      <c r="I19" s="367">
        <v>0</v>
      </c>
      <c r="J19" s="367">
        <v>1</v>
      </c>
      <c r="K19" s="367">
        <v>0</v>
      </c>
      <c r="L19" s="368">
        <f t="shared" si="4"/>
        <v>1</v>
      </c>
      <c r="M19" s="636"/>
      <c r="N19" s="636">
        <v>3</v>
      </c>
      <c r="O19" s="636">
        <v>3</v>
      </c>
      <c r="P19" s="636">
        <v>5</v>
      </c>
      <c r="Q19" s="963">
        <v>4</v>
      </c>
      <c r="R19" s="963">
        <v>1</v>
      </c>
    </row>
    <row r="20" spans="1:18" ht="16.5" customHeight="1" x14ac:dyDescent="0.3">
      <c r="A20" s="363" t="s">
        <v>41</v>
      </c>
      <c r="B20" s="364" t="s">
        <v>42</v>
      </c>
      <c r="C20" s="313" t="s">
        <v>252</v>
      </c>
      <c r="D20" s="365">
        <f t="shared" si="3"/>
        <v>124</v>
      </c>
      <c r="E20" s="366">
        <v>99</v>
      </c>
      <c r="F20" s="367">
        <v>8</v>
      </c>
      <c r="G20" s="367">
        <v>0</v>
      </c>
      <c r="H20" s="367">
        <v>0</v>
      </c>
      <c r="I20" s="367">
        <v>2</v>
      </c>
      <c r="J20" s="367">
        <v>15</v>
      </c>
      <c r="K20" s="367">
        <v>0</v>
      </c>
      <c r="L20" s="368">
        <f t="shared" si="4"/>
        <v>17</v>
      </c>
      <c r="M20" s="961"/>
      <c r="N20" s="636">
        <v>17</v>
      </c>
      <c r="O20" s="636">
        <v>35</v>
      </c>
      <c r="P20" s="636">
        <v>35</v>
      </c>
      <c r="Q20" s="963">
        <v>25</v>
      </c>
      <c r="R20" s="963">
        <v>12</v>
      </c>
    </row>
    <row r="21" spans="1:18" ht="16.5" customHeight="1" x14ac:dyDescent="0.3">
      <c r="A21" s="363" t="s">
        <v>43</v>
      </c>
      <c r="B21" s="364" t="s">
        <v>44</v>
      </c>
      <c r="C21" s="313" t="s">
        <v>253</v>
      </c>
      <c r="D21" s="365">
        <f t="shared" si="3"/>
        <v>27</v>
      </c>
      <c r="E21" s="366">
        <v>17</v>
      </c>
      <c r="F21" s="367">
        <v>0</v>
      </c>
      <c r="G21" s="367">
        <v>0</v>
      </c>
      <c r="H21" s="367">
        <v>0</v>
      </c>
      <c r="I21" s="367">
        <v>0</v>
      </c>
      <c r="J21" s="367">
        <v>10</v>
      </c>
      <c r="K21" s="367">
        <v>0</v>
      </c>
      <c r="L21" s="368">
        <f t="shared" si="4"/>
        <v>10</v>
      </c>
      <c r="M21" s="962"/>
      <c r="N21" s="636">
        <v>4</v>
      </c>
      <c r="O21" s="636">
        <v>6</v>
      </c>
      <c r="P21" s="636">
        <v>12</v>
      </c>
      <c r="Q21" s="963">
        <v>5</v>
      </c>
      <c r="R21" s="963">
        <v>0</v>
      </c>
    </row>
    <row r="22" spans="1:18" ht="16.5" customHeight="1" x14ac:dyDescent="0.3">
      <c r="A22" s="363" t="s">
        <v>45</v>
      </c>
      <c r="B22" s="364" t="s">
        <v>46</v>
      </c>
      <c r="C22" s="313" t="s">
        <v>255</v>
      </c>
      <c r="D22" s="365">
        <f t="shared" si="3"/>
        <v>68</v>
      </c>
      <c r="E22" s="366">
        <v>65</v>
      </c>
      <c r="F22" s="367">
        <v>0</v>
      </c>
      <c r="G22" s="635">
        <v>0</v>
      </c>
      <c r="H22" s="635">
        <v>0</v>
      </c>
      <c r="I22" s="635">
        <v>0</v>
      </c>
      <c r="J22" s="635">
        <v>3</v>
      </c>
      <c r="K22" s="635">
        <v>0</v>
      </c>
      <c r="L22" s="368">
        <f t="shared" si="4"/>
        <v>3</v>
      </c>
      <c r="M22" s="961"/>
      <c r="N22" s="636">
        <v>22</v>
      </c>
      <c r="O22" s="636">
        <v>18</v>
      </c>
      <c r="P22" s="636">
        <v>18</v>
      </c>
      <c r="Q22" s="963">
        <v>8</v>
      </c>
      <c r="R22" s="963">
        <v>2</v>
      </c>
    </row>
    <row r="23" spans="1:18" ht="16.5" customHeight="1" x14ac:dyDescent="0.3">
      <c r="A23" s="363" t="s">
        <v>47</v>
      </c>
      <c r="B23" s="364" t="s">
        <v>256</v>
      </c>
      <c r="C23" s="313" t="s">
        <v>253</v>
      </c>
      <c r="D23" s="365">
        <f t="shared" si="3"/>
        <v>2</v>
      </c>
      <c r="E23" s="371">
        <v>0</v>
      </c>
      <c r="F23" s="370">
        <v>1</v>
      </c>
      <c r="G23" s="370">
        <v>0</v>
      </c>
      <c r="H23" s="370">
        <v>0</v>
      </c>
      <c r="I23" s="370">
        <v>0</v>
      </c>
      <c r="J23" s="1894">
        <v>1</v>
      </c>
      <c r="K23" s="370">
        <v>0</v>
      </c>
      <c r="L23" s="368">
        <f t="shared" si="4"/>
        <v>1</v>
      </c>
      <c r="M23" s="373"/>
      <c r="N23" s="636">
        <v>0</v>
      </c>
      <c r="O23" s="636">
        <v>0</v>
      </c>
      <c r="P23" s="636">
        <v>1</v>
      </c>
      <c r="Q23" s="963">
        <v>1</v>
      </c>
      <c r="R23" s="963">
        <v>0</v>
      </c>
    </row>
    <row r="24" spans="1:18" ht="16.5" customHeight="1" x14ac:dyDescent="0.3">
      <c r="A24" s="363" t="s">
        <v>49</v>
      </c>
      <c r="B24" s="364" t="s">
        <v>50</v>
      </c>
      <c r="C24" s="313" t="s">
        <v>252</v>
      </c>
      <c r="D24" s="365">
        <f t="shared" si="3"/>
        <v>22</v>
      </c>
      <c r="E24" s="366">
        <v>9</v>
      </c>
      <c r="F24" s="367">
        <v>6</v>
      </c>
      <c r="G24" s="367">
        <v>0</v>
      </c>
      <c r="H24" s="367">
        <v>0</v>
      </c>
      <c r="I24" s="367">
        <v>0</v>
      </c>
      <c r="J24" s="367">
        <v>7</v>
      </c>
      <c r="K24" s="367">
        <v>0</v>
      </c>
      <c r="L24" s="368">
        <f t="shared" si="4"/>
        <v>7</v>
      </c>
      <c r="M24" s="961"/>
      <c r="N24" s="636">
        <v>2</v>
      </c>
      <c r="O24" s="636">
        <v>2</v>
      </c>
      <c r="P24" s="636">
        <v>13</v>
      </c>
      <c r="Q24" s="963">
        <v>2</v>
      </c>
      <c r="R24" s="963">
        <v>3</v>
      </c>
    </row>
    <row r="25" spans="1:18" ht="16.5" customHeight="1" x14ac:dyDescent="0.3">
      <c r="A25" s="363" t="s">
        <v>55</v>
      </c>
      <c r="B25" s="364" t="s">
        <v>271</v>
      </c>
      <c r="C25" s="313" t="s">
        <v>253</v>
      </c>
      <c r="D25" s="365">
        <f t="shared" si="3"/>
        <v>186</v>
      </c>
      <c r="E25" s="366">
        <v>118</v>
      </c>
      <c r="F25" s="367">
        <v>35</v>
      </c>
      <c r="G25" s="367">
        <v>1</v>
      </c>
      <c r="H25" s="367">
        <v>0</v>
      </c>
      <c r="I25" s="367">
        <v>2</v>
      </c>
      <c r="J25" s="367">
        <v>23</v>
      </c>
      <c r="K25" s="367">
        <v>7</v>
      </c>
      <c r="L25" s="368">
        <f t="shared" si="4"/>
        <v>26</v>
      </c>
      <c r="M25" s="962"/>
      <c r="N25" s="636">
        <v>11</v>
      </c>
      <c r="O25" s="636">
        <v>28</v>
      </c>
      <c r="P25" s="636">
        <v>67</v>
      </c>
      <c r="Q25" s="963">
        <v>58</v>
      </c>
      <c r="R25" s="963">
        <v>22</v>
      </c>
    </row>
    <row r="26" spans="1:18" ht="16.5" customHeight="1" x14ac:dyDescent="0.3">
      <c r="A26" s="363" t="s">
        <v>57</v>
      </c>
      <c r="B26" s="364" t="s">
        <v>58</v>
      </c>
      <c r="C26" s="313" t="s">
        <v>254</v>
      </c>
      <c r="D26" s="365">
        <f t="shared" si="3"/>
        <v>7</v>
      </c>
      <c r="E26" s="372">
        <v>4</v>
      </c>
      <c r="F26" s="370">
        <v>2</v>
      </c>
      <c r="G26" s="370">
        <v>0</v>
      </c>
      <c r="H26" s="370">
        <v>0</v>
      </c>
      <c r="I26" s="370">
        <v>0</v>
      </c>
      <c r="J26" s="1894">
        <v>1</v>
      </c>
      <c r="K26" s="370">
        <v>0</v>
      </c>
      <c r="L26" s="368">
        <f t="shared" si="4"/>
        <v>1</v>
      </c>
      <c r="M26" s="369"/>
      <c r="N26" s="636">
        <v>0</v>
      </c>
      <c r="O26" s="636">
        <v>1</v>
      </c>
      <c r="P26" s="636">
        <v>6</v>
      </c>
      <c r="Q26" s="963">
        <v>0</v>
      </c>
      <c r="R26" s="963">
        <v>0</v>
      </c>
    </row>
    <row r="27" spans="1:18" ht="16.5" customHeight="1" x14ac:dyDescent="0.3">
      <c r="A27" s="363" t="s">
        <v>59</v>
      </c>
      <c r="B27" s="364" t="s">
        <v>60</v>
      </c>
      <c r="C27" s="313" t="s">
        <v>252</v>
      </c>
      <c r="D27" s="365">
        <f t="shared" si="3"/>
        <v>22</v>
      </c>
      <c r="E27" s="372">
        <v>22</v>
      </c>
      <c r="F27" s="370">
        <v>0</v>
      </c>
      <c r="G27" s="370">
        <v>0</v>
      </c>
      <c r="H27" s="370">
        <v>0</v>
      </c>
      <c r="I27" s="370">
        <v>0</v>
      </c>
      <c r="J27" s="1894">
        <v>0</v>
      </c>
      <c r="K27" s="370">
        <v>0</v>
      </c>
      <c r="L27" s="368">
        <f t="shared" si="4"/>
        <v>0</v>
      </c>
      <c r="M27" s="373"/>
      <c r="N27" s="636">
        <v>3</v>
      </c>
      <c r="O27" s="636">
        <v>7</v>
      </c>
      <c r="P27" s="636">
        <v>7</v>
      </c>
      <c r="Q27" s="963">
        <v>4</v>
      </c>
      <c r="R27" s="963">
        <v>1</v>
      </c>
    </row>
    <row r="28" spans="1:18" ht="16.5" customHeight="1" x14ac:dyDescent="0.3">
      <c r="A28" s="363" t="s">
        <v>61</v>
      </c>
      <c r="B28" s="364" t="s">
        <v>62</v>
      </c>
      <c r="C28" s="313" t="s">
        <v>254</v>
      </c>
      <c r="D28" s="365">
        <f t="shared" si="3"/>
        <v>62</v>
      </c>
      <c r="E28" s="366">
        <v>31</v>
      </c>
      <c r="F28" s="367">
        <v>11</v>
      </c>
      <c r="G28" s="367">
        <v>0</v>
      </c>
      <c r="H28" s="367">
        <v>0</v>
      </c>
      <c r="I28" s="367">
        <v>0</v>
      </c>
      <c r="J28" s="367">
        <v>20</v>
      </c>
      <c r="K28" s="367">
        <v>0</v>
      </c>
      <c r="L28" s="368">
        <f t="shared" si="4"/>
        <v>20</v>
      </c>
      <c r="M28" s="961"/>
      <c r="N28" s="636">
        <v>8</v>
      </c>
      <c r="O28" s="636">
        <v>16</v>
      </c>
      <c r="P28" s="636">
        <v>25</v>
      </c>
      <c r="Q28" s="963">
        <v>10</v>
      </c>
      <c r="R28" s="963">
        <v>3</v>
      </c>
    </row>
    <row r="29" spans="1:18" ht="16.5" customHeight="1" x14ac:dyDescent="0.3">
      <c r="A29" s="363" t="s">
        <v>63</v>
      </c>
      <c r="B29" s="364" t="s">
        <v>64</v>
      </c>
      <c r="C29" s="313" t="s">
        <v>253</v>
      </c>
      <c r="D29" s="365">
        <f t="shared" si="3"/>
        <v>6</v>
      </c>
      <c r="E29" s="366">
        <v>3</v>
      </c>
      <c r="F29" s="367">
        <v>3</v>
      </c>
      <c r="G29" s="367">
        <v>0</v>
      </c>
      <c r="H29" s="367">
        <v>0</v>
      </c>
      <c r="I29" s="367">
        <v>0</v>
      </c>
      <c r="J29" s="367">
        <v>0</v>
      </c>
      <c r="K29" s="367">
        <v>0</v>
      </c>
      <c r="L29" s="368">
        <f t="shared" si="4"/>
        <v>0</v>
      </c>
      <c r="M29" s="373"/>
      <c r="N29" s="636">
        <v>0</v>
      </c>
      <c r="O29" s="373">
        <v>1</v>
      </c>
      <c r="P29" s="636">
        <v>1</v>
      </c>
      <c r="Q29" s="963">
        <v>3</v>
      </c>
      <c r="R29" s="963">
        <v>1</v>
      </c>
    </row>
    <row r="30" spans="1:18" ht="16.5" customHeight="1" x14ac:dyDescent="0.3">
      <c r="A30" s="363" t="s">
        <v>67</v>
      </c>
      <c r="B30" s="364" t="s">
        <v>68</v>
      </c>
      <c r="C30" s="313" t="s">
        <v>255</v>
      </c>
      <c r="D30" s="365">
        <f t="shared" si="3"/>
        <v>120</v>
      </c>
      <c r="E30" s="366">
        <v>119</v>
      </c>
      <c r="F30" s="367">
        <v>0</v>
      </c>
      <c r="G30" s="367">
        <v>0</v>
      </c>
      <c r="H30" s="367">
        <v>0</v>
      </c>
      <c r="I30" s="367">
        <v>0</v>
      </c>
      <c r="J30" s="367">
        <v>1</v>
      </c>
      <c r="K30" s="367">
        <v>0</v>
      </c>
      <c r="L30" s="368">
        <f t="shared" si="4"/>
        <v>1</v>
      </c>
      <c r="M30" s="368"/>
      <c r="N30" s="636">
        <v>14</v>
      </c>
      <c r="O30" s="636">
        <v>37</v>
      </c>
      <c r="P30" s="636">
        <v>51</v>
      </c>
      <c r="Q30" s="963">
        <v>18</v>
      </c>
      <c r="R30" s="963">
        <v>0</v>
      </c>
    </row>
    <row r="31" spans="1:18" ht="16.5" customHeight="1" x14ac:dyDescent="0.3">
      <c r="A31" s="363" t="s">
        <v>69</v>
      </c>
      <c r="B31" s="364" t="s">
        <v>70</v>
      </c>
      <c r="C31" s="313" t="s">
        <v>251</v>
      </c>
      <c r="D31" s="365">
        <f t="shared" si="3"/>
        <v>27</v>
      </c>
      <c r="E31" s="366">
        <v>7</v>
      </c>
      <c r="F31" s="367">
        <v>10</v>
      </c>
      <c r="G31" s="367">
        <v>0</v>
      </c>
      <c r="H31" s="367">
        <v>0</v>
      </c>
      <c r="I31" s="367">
        <v>2</v>
      </c>
      <c r="J31" s="367">
        <v>8</v>
      </c>
      <c r="K31" s="367">
        <v>0</v>
      </c>
      <c r="L31" s="368">
        <f t="shared" si="4"/>
        <v>10</v>
      </c>
      <c r="M31" s="962"/>
      <c r="N31" s="636">
        <v>2</v>
      </c>
      <c r="O31" s="636">
        <v>9</v>
      </c>
      <c r="P31" s="636">
        <v>11</v>
      </c>
      <c r="Q31" s="963">
        <v>4</v>
      </c>
      <c r="R31" s="963">
        <v>1</v>
      </c>
    </row>
    <row r="32" spans="1:18" ht="16.5" customHeight="1" x14ac:dyDescent="0.3">
      <c r="A32" s="363" t="s">
        <v>71</v>
      </c>
      <c r="B32" s="364" t="s">
        <v>72</v>
      </c>
      <c r="C32" s="313" t="s">
        <v>253</v>
      </c>
      <c r="D32" s="365">
        <f t="shared" si="3"/>
        <v>7</v>
      </c>
      <c r="E32" s="371">
        <v>1</v>
      </c>
      <c r="F32" s="370">
        <v>4</v>
      </c>
      <c r="G32" s="370">
        <v>0</v>
      </c>
      <c r="H32" s="370">
        <v>0</v>
      </c>
      <c r="I32" s="370">
        <v>0</v>
      </c>
      <c r="J32" s="1894">
        <v>0</v>
      </c>
      <c r="K32" s="370">
        <v>2</v>
      </c>
      <c r="L32" s="368">
        <f t="shared" si="4"/>
        <v>0</v>
      </c>
      <c r="M32" s="373"/>
      <c r="N32" s="636">
        <v>1</v>
      </c>
      <c r="O32" s="636">
        <v>1</v>
      </c>
      <c r="P32" s="636">
        <v>0</v>
      </c>
      <c r="Q32" s="963">
        <v>2</v>
      </c>
      <c r="R32" s="963">
        <v>3</v>
      </c>
    </row>
    <row r="33" spans="1:18" ht="16.5" customHeight="1" x14ac:dyDescent="0.3">
      <c r="A33" s="363" t="s">
        <v>73</v>
      </c>
      <c r="B33" s="364" t="s">
        <v>277</v>
      </c>
      <c r="C33" s="313" t="s">
        <v>254</v>
      </c>
      <c r="D33" s="365">
        <f t="shared" si="3"/>
        <v>409</v>
      </c>
      <c r="E33" s="366">
        <v>177</v>
      </c>
      <c r="F33" s="367">
        <v>139</v>
      </c>
      <c r="G33" s="367">
        <v>14</v>
      </c>
      <c r="H33" s="367">
        <v>4</v>
      </c>
      <c r="I33" s="367">
        <v>1</v>
      </c>
      <c r="J33" s="367">
        <v>67</v>
      </c>
      <c r="K33" s="367">
        <v>7</v>
      </c>
      <c r="L33" s="368">
        <f t="shared" si="4"/>
        <v>86</v>
      </c>
      <c r="M33" s="962"/>
      <c r="N33" s="636">
        <v>53</v>
      </c>
      <c r="O33" s="636">
        <v>77</v>
      </c>
      <c r="P33" s="636">
        <v>143</v>
      </c>
      <c r="Q33" s="963">
        <v>82</v>
      </c>
      <c r="R33" s="963">
        <v>54</v>
      </c>
    </row>
    <row r="34" spans="1:18" ht="16.5" customHeight="1" x14ac:dyDescent="0.3">
      <c r="A34" s="363" t="s">
        <v>75</v>
      </c>
      <c r="B34" s="364" t="s">
        <v>76</v>
      </c>
      <c r="C34" s="313" t="s">
        <v>254</v>
      </c>
      <c r="D34" s="365">
        <f t="shared" si="3"/>
        <v>97</v>
      </c>
      <c r="E34" s="366">
        <v>51</v>
      </c>
      <c r="F34" s="367">
        <v>24</v>
      </c>
      <c r="G34" s="367">
        <v>0</v>
      </c>
      <c r="H34" s="367">
        <v>0</v>
      </c>
      <c r="I34" s="367">
        <v>0</v>
      </c>
      <c r="J34" s="367">
        <v>22</v>
      </c>
      <c r="K34" s="367">
        <v>0</v>
      </c>
      <c r="L34" s="368">
        <f t="shared" si="4"/>
        <v>22</v>
      </c>
      <c r="M34" s="961"/>
      <c r="N34" s="636">
        <v>17</v>
      </c>
      <c r="O34" s="636">
        <v>31</v>
      </c>
      <c r="P34" s="636">
        <v>26</v>
      </c>
      <c r="Q34" s="963">
        <v>14</v>
      </c>
      <c r="R34" s="963">
        <v>9</v>
      </c>
    </row>
    <row r="35" spans="1:18" ht="16.5" customHeight="1" x14ac:dyDescent="0.3">
      <c r="A35" s="363" t="s">
        <v>77</v>
      </c>
      <c r="B35" s="364" t="s">
        <v>78</v>
      </c>
      <c r="C35" s="313" t="s">
        <v>255</v>
      </c>
      <c r="D35" s="365">
        <f t="shared" si="3"/>
        <v>17</v>
      </c>
      <c r="E35" s="366">
        <v>13</v>
      </c>
      <c r="F35" s="367">
        <v>1</v>
      </c>
      <c r="G35" s="635">
        <v>0</v>
      </c>
      <c r="H35" s="635">
        <v>0</v>
      </c>
      <c r="I35" s="635">
        <v>0</v>
      </c>
      <c r="J35" s="635">
        <v>2</v>
      </c>
      <c r="K35" s="635">
        <v>1</v>
      </c>
      <c r="L35" s="368">
        <f t="shared" si="4"/>
        <v>2</v>
      </c>
      <c r="M35" s="636"/>
      <c r="N35" s="636">
        <v>5</v>
      </c>
      <c r="O35" s="636">
        <v>7</v>
      </c>
      <c r="P35" s="636">
        <v>4</v>
      </c>
      <c r="Q35" s="963">
        <v>0</v>
      </c>
      <c r="R35" s="963">
        <v>1</v>
      </c>
    </row>
    <row r="36" spans="1:18" ht="16.5" customHeight="1" x14ac:dyDescent="0.3">
      <c r="A36" s="363" t="s">
        <v>79</v>
      </c>
      <c r="B36" s="364" t="s">
        <v>80</v>
      </c>
      <c r="C36" s="313" t="s">
        <v>253</v>
      </c>
      <c r="D36" s="365">
        <f t="shared" si="3"/>
        <v>22</v>
      </c>
      <c r="E36" s="366">
        <v>15</v>
      </c>
      <c r="F36" s="367">
        <v>3</v>
      </c>
      <c r="G36" s="367">
        <v>0</v>
      </c>
      <c r="H36" s="367">
        <v>0</v>
      </c>
      <c r="I36" s="367">
        <v>0</v>
      </c>
      <c r="J36" s="367">
        <v>4</v>
      </c>
      <c r="K36" s="367">
        <v>0</v>
      </c>
      <c r="L36" s="368">
        <f t="shared" si="4"/>
        <v>4</v>
      </c>
      <c r="M36" s="369"/>
      <c r="N36" s="636">
        <v>3</v>
      </c>
      <c r="O36" s="636">
        <v>6</v>
      </c>
      <c r="P36" s="636">
        <v>4</v>
      </c>
      <c r="Q36" s="963">
        <v>7</v>
      </c>
      <c r="R36" s="963">
        <v>2</v>
      </c>
    </row>
    <row r="37" spans="1:18" ht="16.5" customHeight="1" x14ac:dyDescent="0.3">
      <c r="A37" s="363" t="s">
        <v>83</v>
      </c>
      <c r="B37" s="364" t="s">
        <v>281</v>
      </c>
      <c r="C37" s="313" t="s">
        <v>252</v>
      </c>
      <c r="D37" s="365">
        <f t="shared" ref="D37:D68" si="5">SUM(E37:K37)</f>
        <v>113</v>
      </c>
      <c r="E37" s="366">
        <v>99</v>
      </c>
      <c r="F37" s="367">
        <v>6</v>
      </c>
      <c r="G37" s="367">
        <v>0</v>
      </c>
      <c r="H37" s="367">
        <v>0</v>
      </c>
      <c r="I37" s="367">
        <v>0</v>
      </c>
      <c r="J37" s="367">
        <v>8</v>
      </c>
      <c r="K37" s="367">
        <v>0</v>
      </c>
      <c r="L37" s="368">
        <f t="shared" ref="L37:L68" si="6">G37+H37+I37+J37</f>
        <v>8</v>
      </c>
      <c r="M37" s="962"/>
      <c r="N37" s="636">
        <v>9</v>
      </c>
      <c r="O37" s="373">
        <v>30</v>
      </c>
      <c r="P37" s="636">
        <v>45</v>
      </c>
      <c r="Q37" s="963">
        <v>22</v>
      </c>
      <c r="R37" s="963">
        <v>7</v>
      </c>
    </row>
    <row r="38" spans="1:18" ht="16.5" customHeight="1" x14ac:dyDescent="0.3">
      <c r="A38" s="363" t="s">
        <v>85</v>
      </c>
      <c r="B38" s="364" t="s">
        <v>86</v>
      </c>
      <c r="C38" s="313" t="s">
        <v>254</v>
      </c>
      <c r="D38" s="365">
        <f t="shared" si="5"/>
        <v>56</v>
      </c>
      <c r="E38" s="366">
        <v>43</v>
      </c>
      <c r="F38" s="367">
        <v>3</v>
      </c>
      <c r="G38" s="367">
        <v>0</v>
      </c>
      <c r="H38" s="367">
        <v>0</v>
      </c>
      <c r="I38" s="367">
        <v>0</v>
      </c>
      <c r="J38" s="367">
        <v>10</v>
      </c>
      <c r="K38" s="367">
        <v>0</v>
      </c>
      <c r="L38" s="368">
        <f t="shared" si="6"/>
        <v>10</v>
      </c>
      <c r="M38" s="961"/>
      <c r="N38" s="373">
        <v>10</v>
      </c>
      <c r="O38" s="373">
        <v>22</v>
      </c>
      <c r="P38" s="636">
        <v>16</v>
      </c>
      <c r="Q38" s="963">
        <v>7</v>
      </c>
      <c r="R38" s="963">
        <v>1</v>
      </c>
    </row>
    <row r="39" spans="1:18" ht="16.5" customHeight="1" x14ac:dyDescent="0.3">
      <c r="A39" s="363" t="s">
        <v>91</v>
      </c>
      <c r="B39" s="364" t="s">
        <v>92</v>
      </c>
      <c r="C39" s="313" t="s">
        <v>255</v>
      </c>
      <c r="D39" s="365">
        <f t="shared" si="5"/>
        <v>83</v>
      </c>
      <c r="E39" s="366">
        <v>80</v>
      </c>
      <c r="F39" s="367">
        <v>0</v>
      </c>
      <c r="G39" s="635">
        <v>0</v>
      </c>
      <c r="H39" s="635">
        <v>0</v>
      </c>
      <c r="I39" s="635">
        <v>0</v>
      </c>
      <c r="J39" s="635">
        <v>3</v>
      </c>
      <c r="K39" s="635">
        <v>0</v>
      </c>
      <c r="L39" s="368">
        <f t="shared" si="6"/>
        <v>3</v>
      </c>
      <c r="M39" s="373"/>
      <c r="N39" s="636">
        <v>9</v>
      </c>
      <c r="O39" s="636">
        <v>26</v>
      </c>
      <c r="P39" s="636">
        <v>32</v>
      </c>
      <c r="Q39" s="963">
        <v>11</v>
      </c>
      <c r="R39" s="963">
        <v>5</v>
      </c>
    </row>
    <row r="40" spans="1:18" ht="16.5" customHeight="1" x14ac:dyDescent="0.3">
      <c r="A40" s="363" t="s">
        <v>93</v>
      </c>
      <c r="B40" s="364" t="s">
        <v>94</v>
      </c>
      <c r="C40" s="313" t="s">
        <v>251</v>
      </c>
      <c r="D40" s="365">
        <f t="shared" si="5"/>
        <v>51</v>
      </c>
      <c r="E40" s="366">
        <v>42</v>
      </c>
      <c r="F40" s="367">
        <v>3</v>
      </c>
      <c r="G40" s="367">
        <v>0</v>
      </c>
      <c r="H40" s="367">
        <v>0</v>
      </c>
      <c r="I40" s="367">
        <v>0</v>
      </c>
      <c r="J40" s="367">
        <v>6</v>
      </c>
      <c r="K40" s="367">
        <v>0</v>
      </c>
      <c r="L40" s="368">
        <f t="shared" si="6"/>
        <v>6</v>
      </c>
      <c r="M40" s="962"/>
      <c r="N40" s="636">
        <v>9</v>
      </c>
      <c r="O40" s="636">
        <v>18</v>
      </c>
      <c r="P40" s="636">
        <v>12</v>
      </c>
      <c r="Q40" s="963">
        <v>10</v>
      </c>
      <c r="R40" s="963">
        <v>2</v>
      </c>
    </row>
    <row r="41" spans="1:18" ht="16.5" customHeight="1" x14ac:dyDescent="0.3">
      <c r="A41" s="363" t="s">
        <v>95</v>
      </c>
      <c r="B41" s="364" t="s">
        <v>96</v>
      </c>
      <c r="C41" s="313" t="s">
        <v>253</v>
      </c>
      <c r="D41" s="365">
        <f t="shared" si="5"/>
        <v>16</v>
      </c>
      <c r="E41" s="366">
        <v>7</v>
      </c>
      <c r="F41" s="367">
        <v>4</v>
      </c>
      <c r="G41" s="367">
        <v>0</v>
      </c>
      <c r="H41" s="367">
        <v>0</v>
      </c>
      <c r="I41" s="367">
        <v>0</v>
      </c>
      <c r="J41" s="367">
        <v>5</v>
      </c>
      <c r="K41" s="367">
        <v>0</v>
      </c>
      <c r="L41" s="368">
        <f t="shared" si="6"/>
        <v>5</v>
      </c>
      <c r="M41" s="368"/>
      <c r="N41" s="636">
        <v>2</v>
      </c>
      <c r="O41" s="636">
        <v>4</v>
      </c>
      <c r="P41" s="636">
        <v>6</v>
      </c>
      <c r="Q41" s="963">
        <v>3</v>
      </c>
      <c r="R41" s="963">
        <v>1</v>
      </c>
    </row>
    <row r="42" spans="1:18" ht="16.5" customHeight="1" x14ac:dyDescent="0.3">
      <c r="A42" s="363" t="s">
        <v>97</v>
      </c>
      <c r="B42" s="364" t="s">
        <v>98</v>
      </c>
      <c r="C42" s="313" t="s">
        <v>255</v>
      </c>
      <c r="D42" s="365">
        <f t="shared" si="5"/>
        <v>36</v>
      </c>
      <c r="E42" s="366">
        <v>30</v>
      </c>
      <c r="F42" s="367">
        <v>0</v>
      </c>
      <c r="G42" s="635">
        <v>0</v>
      </c>
      <c r="H42" s="635">
        <v>0</v>
      </c>
      <c r="I42" s="635">
        <v>0</v>
      </c>
      <c r="J42" s="635">
        <v>5</v>
      </c>
      <c r="K42" s="635">
        <v>1</v>
      </c>
      <c r="L42" s="368">
        <f t="shared" si="6"/>
        <v>5</v>
      </c>
      <c r="M42" s="962"/>
      <c r="N42" s="636">
        <v>8</v>
      </c>
      <c r="O42" s="636">
        <v>7</v>
      </c>
      <c r="P42" s="636">
        <v>13</v>
      </c>
      <c r="Q42" s="963">
        <v>6</v>
      </c>
      <c r="R42" s="963">
        <v>2</v>
      </c>
    </row>
    <row r="43" spans="1:18" ht="16.5" customHeight="1" x14ac:dyDescent="0.3">
      <c r="A43" s="363" t="s">
        <v>99</v>
      </c>
      <c r="B43" s="364" t="s">
        <v>100</v>
      </c>
      <c r="C43" s="313" t="s">
        <v>254</v>
      </c>
      <c r="D43" s="365">
        <f t="shared" si="5"/>
        <v>11</v>
      </c>
      <c r="E43" s="366">
        <v>7</v>
      </c>
      <c r="F43" s="367">
        <v>0</v>
      </c>
      <c r="G43" s="367">
        <v>0</v>
      </c>
      <c r="H43" s="367">
        <v>0</v>
      </c>
      <c r="I43" s="367">
        <v>0</v>
      </c>
      <c r="J43" s="367">
        <v>4</v>
      </c>
      <c r="K43" s="367">
        <v>0</v>
      </c>
      <c r="L43" s="368">
        <f t="shared" si="6"/>
        <v>4</v>
      </c>
      <c r="M43" s="961"/>
      <c r="N43" s="636">
        <v>2</v>
      </c>
      <c r="O43" s="636">
        <v>5</v>
      </c>
      <c r="P43" s="636">
        <v>4</v>
      </c>
      <c r="Q43" s="963">
        <v>0</v>
      </c>
      <c r="R43" s="963">
        <v>0</v>
      </c>
    </row>
    <row r="44" spans="1:18" ht="16.5" customHeight="1" x14ac:dyDescent="0.3">
      <c r="A44" s="363" t="s">
        <v>101</v>
      </c>
      <c r="B44" s="364" t="s">
        <v>102</v>
      </c>
      <c r="C44" s="313" t="s">
        <v>251</v>
      </c>
      <c r="D44" s="365">
        <f t="shared" si="5"/>
        <v>12</v>
      </c>
      <c r="E44" s="371">
        <v>0</v>
      </c>
      <c r="F44" s="370">
        <v>11</v>
      </c>
      <c r="G44" s="370">
        <v>0</v>
      </c>
      <c r="H44" s="370">
        <v>0</v>
      </c>
      <c r="I44" s="370">
        <v>0</v>
      </c>
      <c r="J44" s="1894">
        <v>1</v>
      </c>
      <c r="K44" s="370">
        <v>0</v>
      </c>
      <c r="L44" s="368">
        <f t="shared" si="6"/>
        <v>1</v>
      </c>
      <c r="M44" s="369"/>
      <c r="N44" s="636">
        <v>4</v>
      </c>
      <c r="O44" s="373">
        <v>3</v>
      </c>
      <c r="P44" s="636">
        <v>3</v>
      </c>
      <c r="Q44" s="963">
        <v>2</v>
      </c>
      <c r="R44" s="963">
        <v>0</v>
      </c>
    </row>
    <row r="45" spans="1:18" ht="16.5" customHeight="1" x14ac:dyDescent="0.3">
      <c r="A45" s="363" t="s">
        <v>103</v>
      </c>
      <c r="B45" s="364" t="s">
        <v>282</v>
      </c>
      <c r="C45" s="313" t="s">
        <v>252</v>
      </c>
      <c r="D45" s="365">
        <f t="shared" si="5"/>
        <v>28</v>
      </c>
      <c r="E45" s="366">
        <v>13</v>
      </c>
      <c r="F45" s="367">
        <v>10</v>
      </c>
      <c r="G45" s="367">
        <v>0</v>
      </c>
      <c r="H45" s="367">
        <v>0</v>
      </c>
      <c r="I45" s="367">
        <v>0</v>
      </c>
      <c r="J45" s="367">
        <v>5</v>
      </c>
      <c r="K45" s="367">
        <v>0</v>
      </c>
      <c r="L45" s="368">
        <f t="shared" si="6"/>
        <v>5</v>
      </c>
      <c r="M45" s="961"/>
      <c r="N45" s="636">
        <v>5</v>
      </c>
      <c r="O45" s="373">
        <v>6</v>
      </c>
      <c r="P45" s="636">
        <v>10</v>
      </c>
      <c r="Q45" s="963">
        <v>4</v>
      </c>
      <c r="R45" s="963">
        <v>3</v>
      </c>
    </row>
    <row r="46" spans="1:18" ht="16.5" customHeight="1" x14ac:dyDescent="0.3">
      <c r="A46" s="363" t="s">
        <v>107</v>
      </c>
      <c r="B46" s="364" t="s">
        <v>108</v>
      </c>
      <c r="C46" s="313" t="s">
        <v>253</v>
      </c>
      <c r="D46" s="365">
        <f t="shared" si="5"/>
        <v>40</v>
      </c>
      <c r="E46" s="366">
        <v>25</v>
      </c>
      <c r="F46" s="367">
        <v>7</v>
      </c>
      <c r="G46" s="367">
        <v>0</v>
      </c>
      <c r="H46" s="367">
        <v>0</v>
      </c>
      <c r="I46" s="367">
        <v>0</v>
      </c>
      <c r="J46" s="367">
        <v>8</v>
      </c>
      <c r="K46" s="367">
        <v>0</v>
      </c>
      <c r="L46" s="368">
        <f t="shared" si="6"/>
        <v>8</v>
      </c>
      <c r="M46" s="962"/>
      <c r="N46" s="636">
        <v>3</v>
      </c>
      <c r="O46" s="636">
        <v>9</v>
      </c>
      <c r="P46" s="636">
        <v>11</v>
      </c>
      <c r="Q46" s="963">
        <v>11</v>
      </c>
      <c r="R46" s="963">
        <v>6</v>
      </c>
    </row>
    <row r="47" spans="1:18" ht="16.5" customHeight="1" x14ac:dyDescent="0.3">
      <c r="A47" s="363" t="s">
        <v>109</v>
      </c>
      <c r="B47" s="364" t="s">
        <v>110</v>
      </c>
      <c r="C47" s="313" t="s">
        <v>253</v>
      </c>
      <c r="D47" s="365">
        <f t="shared" si="5"/>
        <v>136</v>
      </c>
      <c r="E47" s="366">
        <v>73</v>
      </c>
      <c r="F47" s="367">
        <v>37</v>
      </c>
      <c r="G47" s="367">
        <v>3</v>
      </c>
      <c r="H47" s="367">
        <v>0</v>
      </c>
      <c r="I47" s="367">
        <v>0</v>
      </c>
      <c r="J47" s="367">
        <v>23</v>
      </c>
      <c r="K47" s="367">
        <v>0</v>
      </c>
      <c r="L47" s="368">
        <f t="shared" si="6"/>
        <v>26</v>
      </c>
      <c r="M47" s="962"/>
      <c r="N47" s="636">
        <v>11</v>
      </c>
      <c r="O47" s="636">
        <v>27</v>
      </c>
      <c r="P47" s="636">
        <v>41</v>
      </c>
      <c r="Q47" s="963">
        <v>38</v>
      </c>
      <c r="R47" s="963">
        <v>19</v>
      </c>
    </row>
    <row r="48" spans="1:18" ht="16.5" customHeight="1" x14ac:dyDescent="0.3">
      <c r="A48" s="363" t="s">
        <v>111</v>
      </c>
      <c r="B48" s="364" t="s">
        <v>275</v>
      </c>
      <c r="C48" s="313" t="s">
        <v>252</v>
      </c>
      <c r="D48" s="365">
        <f t="shared" si="5"/>
        <v>62</v>
      </c>
      <c r="E48" s="366">
        <v>47</v>
      </c>
      <c r="F48" s="367">
        <v>8</v>
      </c>
      <c r="G48" s="367">
        <v>0</v>
      </c>
      <c r="H48" s="367">
        <v>0</v>
      </c>
      <c r="I48" s="367">
        <v>0</v>
      </c>
      <c r="J48" s="367">
        <v>7</v>
      </c>
      <c r="K48" s="367">
        <v>0</v>
      </c>
      <c r="L48" s="368">
        <f t="shared" si="6"/>
        <v>7</v>
      </c>
      <c r="M48" s="961"/>
      <c r="N48" s="636">
        <v>6</v>
      </c>
      <c r="O48" s="636">
        <v>19</v>
      </c>
      <c r="P48" s="636">
        <v>14</v>
      </c>
      <c r="Q48" s="963">
        <v>17</v>
      </c>
      <c r="R48" s="963">
        <v>6</v>
      </c>
    </row>
    <row r="49" spans="1:18" ht="16.5" customHeight="1" x14ac:dyDescent="0.3">
      <c r="A49" s="363" t="s">
        <v>113</v>
      </c>
      <c r="B49" s="364" t="s">
        <v>114</v>
      </c>
      <c r="C49" s="313" t="s">
        <v>252</v>
      </c>
      <c r="D49" s="365">
        <f t="shared" si="5"/>
        <v>7</v>
      </c>
      <c r="E49" s="372">
        <v>7</v>
      </c>
      <c r="F49" s="370">
        <v>0</v>
      </c>
      <c r="G49" s="370">
        <v>0</v>
      </c>
      <c r="H49" s="370">
        <v>0</v>
      </c>
      <c r="I49" s="370">
        <v>0</v>
      </c>
      <c r="J49" s="1894">
        <v>0</v>
      </c>
      <c r="K49" s="370">
        <v>0</v>
      </c>
      <c r="L49" s="368">
        <f t="shared" si="6"/>
        <v>0</v>
      </c>
      <c r="M49" s="636"/>
      <c r="N49" s="636">
        <v>1</v>
      </c>
      <c r="O49" s="636">
        <v>2</v>
      </c>
      <c r="P49" s="636">
        <v>4</v>
      </c>
      <c r="Q49" s="963">
        <v>0</v>
      </c>
      <c r="R49" s="963">
        <v>0</v>
      </c>
    </row>
    <row r="50" spans="1:18" ht="16.5" customHeight="1" x14ac:dyDescent="0.3">
      <c r="A50" s="363" t="s">
        <v>117</v>
      </c>
      <c r="B50" s="364" t="s">
        <v>118</v>
      </c>
      <c r="C50" s="313" t="s">
        <v>251</v>
      </c>
      <c r="D50" s="365">
        <f t="shared" si="5"/>
        <v>11</v>
      </c>
      <c r="E50" s="366">
        <v>7</v>
      </c>
      <c r="F50" s="367">
        <v>3</v>
      </c>
      <c r="G50" s="367">
        <v>0</v>
      </c>
      <c r="H50" s="367">
        <v>0</v>
      </c>
      <c r="I50" s="367">
        <v>0</v>
      </c>
      <c r="J50" s="367">
        <v>1</v>
      </c>
      <c r="K50" s="367">
        <v>0</v>
      </c>
      <c r="L50" s="368">
        <f t="shared" si="6"/>
        <v>1</v>
      </c>
      <c r="M50" s="369"/>
      <c r="N50" s="636">
        <v>0</v>
      </c>
      <c r="O50" s="373">
        <v>5</v>
      </c>
      <c r="P50" s="636">
        <v>4</v>
      </c>
      <c r="Q50" s="963">
        <v>1</v>
      </c>
      <c r="R50" s="963">
        <v>1</v>
      </c>
    </row>
    <row r="51" spans="1:18" ht="16.5" customHeight="1" x14ac:dyDescent="0.3">
      <c r="A51" s="363" t="s">
        <v>119</v>
      </c>
      <c r="B51" s="364" t="s">
        <v>120</v>
      </c>
      <c r="C51" s="313" t="s">
        <v>251</v>
      </c>
      <c r="D51" s="365">
        <f t="shared" si="5"/>
        <v>37</v>
      </c>
      <c r="E51" s="366">
        <v>16</v>
      </c>
      <c r="F51" s="367">
        <v>15</v>
      </c>
      <c r="G51" s="367">
        <v>1</v>
      </c>
      <c r="H51" s="367">
        <v>0</v>
      </c>
      <c r="I51" s="367">
        <v>0</v>
      </c>
      <c r="J51" s="367">
        <v>5</v>
      </c>
      <c r="K51" s="367">
        <v>0</v>
      </c>
      <c r="L51" s="368">
        <f t="shared" si="6"/>
        <v>6</v>
      </c>
      <c r="M51" s="961"/>
      <c r="N51" s="636">
        <v>5</v>
      </c>
      <c r="O51" s="636">
        <v>9</v>
      </c>
      <c r="P51" s="636">
        <v>13</v>
      </c>
      <c r="Q51" s="963">
        <v>7</v>
      </c>
      <c r="R51" s="963">
        <v>3</v>
      </c>
    </row>
    <row r="52" spans="1:18" ht="16.5" customHeight="1" x14ac:dyDescent="0.3">
      <c r="A52" s="363" t="s">
        <v>121</v>
      </c>
      <c r="B52" s="364" t="s">
        <v>258</v>
      </c>
      <c r="C52" s="313" t="s">
        <v>253</v>
      </c>
      <c r="D52" s="365">
        <f t="shared" si="5"/>
        <v>8</v>
      </c>
      <c r="E52" s="366">
        <v>4</v>
      </c>
      <c r="F52" s="367">
        <v>3</v>
      </c>
      <c r="G52" s="367">
        <v>0</v>
      </c>
      <c r="H52" s="367">
        <v>0</v>
      </c>
      <c r="I52" s="367">
        <v>0</v>
      </c>
      <c r="J52" s="367">
        <v>1</v>
      </c>
      <c r="K52" s="367">
        <v>0</v>
      </c>
      <c r="L52" s="368">
        <f t="shared" si="6"/>
        <v>1</v>
      </c>
      <c r="M52" s="636"/>
      <c r="N52" s="636">
        <v>0</v>
      </c>
      <c r="O52" s="636">
        <v>1</v>
      </c>
      <c r="P52" s="636">
        <v>1</v>
      </c>
      <c r="Q52" s="963">
        <v>5</v>
      </c>
      <c r="R52" s="963">
        <v>1</v>
      </c>
    </row>
    <row r="53" spans="1:18" ht="16.5" customHeight="1" x14ac:dyDescent="0.3">
      <c r="A53" s="363" t="s">
        <v>123</v>
      </c>
      <c r="B53" s="364" t="s">
        <v>124</v>
      </c>
      <c r="C53" s="313" t="s">
        <v>254</v>
      </c>
      <c r="D53" s="365">
        <f t="shared" si="5"/>
        <v>24</v>
      </c>
      <c r="E53" s="366">
        <v>19</v>
      </c>
      <c r="F53" s="367">
        <v>3</v>
      </c>
      <c r="G53" s="367">
        <v>0</v>
      </c>
      <c r="H53" s="367">
        <v>0</v>
      </c>
      <c r="I53" s="367">
        <v>0</v>
      </c>
      <c r="J53" s="367">
        <v>2</v>
      </c>
      <c r="K53" s="367">
        <v>0</v>
      </c>
      <c r="L53" s="368">
        <f t="shared" si="6"/>
        <v>2</v>
      </c>
      <c r="M53" s="373"/>
      <c r="N53" s="636">
        <v>0</v>
      </c>
      <c r="O53" s="636">
        <v>8</v>
      </c>
      <c r="P53" s="636">
        <v>9</v>
      </c>
      <c r="Q53" s="963">
        <v>5</v>
      </c>
      <c r="R53" s="963">
        <v>2</v>
      </c>
    </row>
    <row r="54" spans="1:18" ht="16.5" customHeight="1" x14ac:dyDescent="0.3">
      <c r="A54" s="363" t="s">
        <v>125</v>
      </c>
      <c r="B54" s="364" t="s">
        <v>126</v>
      </c>
      <c r="C54" s="313" t="s">
        <v>253</v>
      </c>
      <c r="D54" s="365">
        <f t="shared" si="5"/>
        <v>3</v>
      </c>
      <c r="E54" s="366">
        <v>1</v>
      </c>
      <c r="F54" s="367">
        <v>2</v>
      </c>
      <c r="G54" s="367">
        <v>0</v>
      </c>
      <c r="H54" s="367">
        <v>0</v>
      </c>
      <c r="I54" s="367">
        <v>0</v>
      </c>
      <c r="J54" s="367">
        <v>0</v>
      </c>
      <c r="K54" s="367">
        <v>0</v>
      </c>
      <c r="L54" s="368">
        <f t="shared" si="6"/>
        <v>0</v>
      </c>
      <c r="M54" s="369"/>
      <c r="N54" s="636">
        <v>0</v>
      </c>
      <c r="O54" s="636">
        <v>0</v>
      </c>
      <c r="P54" s="636">
        <v>1</v>
      </c>
      <c r="Q54" s="963">
        <v>2</v>
      </c>
      <c r="R54" s="963">
        <v>0</v>
      </c>
    </row>
    <row r="55" spans="1:18" ht="16.5" customHeight="1" x14ac:dyDescent="0.3">
      <c r="A55" s="363" t="s">
        <v>127</v>
      </c>
      <c r="B55" s="364" t="s">
        <v>128</v>
      </c>
      <c r="C55" s="313" t="s">
        <v>253</v>
      </c>
      <c r="D55" s="365">
        <f t="shared" si="5"/>
        <v>4</v>
      </c>
      <c r="E55" s="366">
        <v>2</v>
      </c>
      <c r="F55" s="367">
        <v>2</v>
      </c>
      <c r="G55" s="367">
        <v>0</v>
      </c>
      <c r="H55" s="367">
        <v>0</v>
      </c>
      <c r="I55" s="367">
        <v>0</v>
      </c>
      <c r="J55" s="367">
        <v>0</v>
      </c>
      <c r="K55" s="367">
        <v>0</v>
      </c>
      <c r="L55" s="368">
        <f t="shared" si="6"/>
        <v>0</v>
      </c>
      <c r="M55" s="369"/>
      <c r="N55" s="636">
        <v>0</v>
      </c>
      <c r="O55" s="636">
        <v>0</v>
      </c>
      <c r="P55" s="636">
        <v>1</v>
      </c>
      <c r="Q55" s="963">
        <v>2</v>
      </c>
      <c r="R55" s="963">
        <v>1</v>
      </c>
    </row>
    <row r="56" spans="1:18" ht="16.5" customHeight="1" x14ac:dyDescent="0.3">
      <c r="A56" s="363" t="s">
        <v>129</v>
      </c>
      <c r="B56" s="364" t="s">
        <v>130</v>
      </c>
      <c r="C56" s="313" t="s">
        <v>255</v>
      </c>
      <c r="D56" s="365">
        <f t="shared" si="5"/>
        <v>86</v>
      </c>
      <c r="E56" s="366">
        <v>82</v>
      </c>
      <c r="F56" s="367">
        <v>0</v>
      </c>
      <c r="G56" s="367">
        <v>0</v>
      </c>
      <c r="H56" s="367">
        <v>0</v>
      </c>
      <c r="I56" s="367">
        <v>0</v>
      </c>
      <c r="J56" s="367">
        <v>4</v>
      </c>
      <c r="K56" s="367">
        <v>0</v>
      </c>
      <c r="L56" s="368">
        <f t="shared" si="6"/>
        <v>4</v>
      </c>
      <c r="M56" s="961"/>
      <c r="N56" s="636">
        <v>5</v>
      </c>
      <c r="O56" s="636">
        <v>18</v>
      </c>
      <c r="P56" s="636">
        <v>29</v>
      </c>
      <c r="Q56" s="963">
        <v>22</v>
      </c>
      <c r="R56" s="963">
        <v>12</v>
      </c>
    </row>
    <row r="57" spans="1:18" ht="16.5" customHeight="1" x14ac:dyDescent="0.3">
      <c r="A57" s="363" t="s">
        <v>131</v>
      </c>
      <c r="B57" s="364" t="s">
        <v>132</v>
      </c>
      <c r="C57" s="313" t="s">
        <v>254</v>
      </c>
      <c r="D57" s="365">
        <f t="shared" si="5"/>
        <v>81</v>
      </c>
      <c r="E57" s="366">
        <v>50</v>
      </c>
      <c r="F57" s="367">
        <v>24</v>
      </c>
      <c r="G57" s="367">
        <v>1</v>
      </c>
      <c r="H57" s="367">
        <v>1</v>
      </c>
      <c r="I57" s="367">
        <v>1</v>
      </c>
      <c r="J57" s="367">
        <v>4</v>
      </c>
      <c r="K57" s="367">
        <v>0</v>
      </c>
      <c r="L57" s="368">
        <f t="shared" si="6"/>
        <v>7</v>
      </c>
      <c r="M57" s="961"/>
      <c r="N57" s="636">
        <v>2</v>
      </c>
      <c r="O57" s="636">
        <v>23</v>
      </c>
      <c r="P57" s="636">
        <v>31</v>
      </c>
      <c r="Q57" s="963">
        <v>15</v>
      </c>
      <c r="R57" s="963">
        <v>10</v>
      </c>
    </row>
    <row r="58" spans="1:18" ht="16.5" customHeight="1" x14ac:dyDescent="0.3">
      <c r="A58" s="363" t="s">
        <v>133</v>
      </c>
      <c r="B58" s="364" t="s">
        <v>134</v>
      </c>
      <c r="C58" s="313" t="s">
        <v>254</v>
      </c>
      <c r="D58" s="365">
        <f t="shared" si="5"/>
        <v>67</v>
      </c>
      <c r="E58" s="366">
        <v>47</v>
      </c>
      <c r="F58" s="367">
        <v>14</v>
      </c>
      <c r="G58" s="367">
        <v>0</v>
      </c>
      <c r="H58" s="367">
        <v>0</v>
      </c>
      <c r="I58" s="367">
        <v>0</v>
      </c>
      <c r="J58" s="367">
        <v>6</v>
      </c>
      <c r="K58" s="367">
        <v>0</v>
      </c>
      <c r="L58" s="368">
        <f t="shared" si="6"/>
        <v>6</v>
      </c>
      <c r="M58" s="962"/>
      <c r="N58" s="636">
        <v>3</v>
      </c>
      <c r="O58" s="636">
        <v>11</v>
      </c>
      <c r="P58" s="636">
        <v>36</v>
      </c>
      <c r="Q58" s="963">
        <v>15</v>
      </c>
      <c r="R58" s="963">
        <v>2</v>
      </c>
    </row>
    <row r="59" spans="1:18" ht="16.5" customHeight="1" x14ac:dyDescent="0.3">
      <c r="A59" s="363" t="s">
        <v>135</v>
      </c>
      <c r="B59" s="364" t="s">
        <v>136</v>
      </c>
      <c r="C59" s="313" t="s">
        <v>253</v>
      </c>
      <c r="D59" s="365">
        <f t="shared" si="5"/>
        <v>17</v>
      </c>
      <c r="E59" s="371">
        <v>0</v>
      </c>
      <c r="F59" s="370">
        <v>14</v>
      </c>
      <c r="G59" s="370">
        <v>0</v>
      </c>
      <c r="H59" s="370">
        <v>1</v>
      </c>
      <c r="I59" s="370">
        <v>0</v>
      </c>
      <c r="J59" s="1894">
        <v>2</v>
      </c>
      <c r="K59" s="370">
        <v>0</v>
      </c>
      <c r="L59" s="368">
        <f t="shared" si="6"/>
        <v>3</v>
      </c>
      <c r="M59" s="962"/>
      <c r="N59" s="636">
        <v>2</v>
      </c>
      <c r="O59" s="636">
        <v>4</v>
      </c>
      <c r="P59" s="636">
        <v>9</v>
      </c>
      <c r="Q59" s="963">
        <v>2</v>
      </c>
      <c r="R59" s="963">
        <v>0</v>
      </c>
    </row>
    <row r="60" spans="1:18" ht="16.5" customHeight="1" x14ac:dyDescent="0.3">
      <c r="A60" s="363" t="s">
        <v>139</v>
      </c>
      <c r="B60" s="364" t="s">
        <v>140</v>
      </c>
      <c r="C60" s="313" t="s">
        <v>254</v>
      </c>
      <c r="D60" s="365">
        <f t="shared" si="5"/>
        <v>40</v>
      </c>
      <c r="E60" s="366">
        <v>34</v>
      </c>
      <c r="F60" s="367">
        <v>3</v>
      </c>
      <c r="G60" s="367">
        <v>1</v>
      </c>
      <c r="H60" s="367">
        <v>0</v>
      </c>
      <c r="I60" s="367">
        <v>0</v>
      </c>
      <c r="J60" s="367">
        <v>2</v>
      </c>
      <c r="K60" s="367">
        <v>0</v>
      </c>
      <c r="L60" s="368">
        <f t="shared" si="6"/>
        <v>3</v>
      </c>
      <c r="M60" s="368"/>
      <c r="N60" s="636">
        <v>7</v>
      </c>
      <c r="O60" s="636">
        <v>16</v>
      </c>
      <c r="P60" s="636">
        <v>14</v>
      </c>
      <c r="Q60" s="963">
        <v>2</v>
      </c>
      <c r="R60" s="963">
        <v>1</v>
      </c>
    </row>
    <row r="61" spans="1:18" ht="16.5" customHeight="1" x14ac:dyDescent="0.3">
      <c r="A61" s="363" t="s">
        <v>145</v>
      </c>
      <c r="B61" s="364" t="s">
        <v>146</v>
      </c>
      <c r="C61" s="313" t="s">
        <v>251</v>
      </c>
      <c r="D61" s="365">
        <f t="shared" si="5"/>
        <v>19</v>
      </c>
      <c r="E61" s="366">
        <v>19</v>
      </c>
      <c r="F61" s="367">
        <v>0</v>
      </c>
      <c r="G61" s="367">
        <v>0</v>
      </c>
      <c r="H61" s="367">
        <v>0</v>
      </c>
      <c r="I61" s="367">
        <v>0</v>
      </c>
      <c r="J61" s="367">
        <v>0</v>
      </c>
      <c r="K61" s="367">
        <v>0</v>
      </c>
      <c r="L61" s="368">
        <f t="shared" si="6"/>
        <v>0</v>
      </c>
      <c r="M61" s="373"/>
      <c r="N61" s="636">
        <v>1</v>
      </c>
      <c r="O61" s="636">
        <v>7</v>
      </c>
      <c r="P61" s="636">
        <v>9</v>
      </c>
      <c r="Q61" s="963">
        <v>2</v>
      </c>
      <c r="R61" s="963">
        <v>0</v>
      </c>
    </row>
    <row r="62" spans="1:18" ht="16.5" customHeight="1" x14ac:dyDescent="0.3">
      <c r="A62" s="363" t="s">
        <v>147</v>
      </c>
      <c r="B62" s="364" t="s">
        <v>148</v>
      </c>
      <c r="C62" s="313" t="s">
        <v>252</v>
      </c>
      <c r="D62" s="365">
        <f t="shared" si="5"/>
        <v>29</v>
      </c>
      <c r="E62" s="366">
        <v>16</v>
      </c>
      <c r="F62" s="367">
        <v>10</v>
      </c>
      <c r="G62" s="367">
        <v>0</v>
      </c>
      <c r="H62" s="367">
        <v>0</v>
      </c>
      <c r="I62" s="367">
        <v>0</v>
      </c>
      <c r="J62" s="367">
        <v>3</v>
      </c>
      <c r="K62" s="367">
        <v>0</v>
      </c>
      <c r="L62" s="368">
        <f t="shared" si="6"/>
        <v>3</v>
      </c>
      <c r="M62" s="962"/>
      <c r="N62" s="636">
        <v>5</v>
      </c>
      <c r="O62" s="636">
        <v>6</v>
      </c>
      <c r="P62" s="636">
        <v>10</v>
      </c>
      <c r="Q62" s="963">
        <v>7</v>
      </c>
      <c r="R62" s="963">
        <v>1</v>
      </c>
    </row>
    <row r="63" spans="1:18" ht="16.5" customHeight="1" x14ac:dyDescent="0.3">
      <c r="A63" s="363" t="s">
        <v>149</v>
      </c>
      <c r="B63" s="364" t="s">
        <v>150</v>
      </c>
      <c r="C63" s="313" t="s">
        <v>253</v>
      </c>
      <c r="D63" s="365">
        <f t="shared" si="5"/>
        <v>22</v>
      </c>
      <c r="E63" s="371">
        <v>9</v>
      </c>
      <c r="F63" s="370">
        <v>5</v>
      </c>
      <c r="G63" s="370">
        <v>0</v>
      </c>
      <c r="H63" s="370">
        <v>0</v>
      </c>
      <c r="I63" s="370">
        <v>0</v>
      </c>
      <c r="J63" s="1894">
        <v>8</v>
      </c>
      <c r="K63" s="370">
        <v>0</v>
      </c>
      <c r="L63" s="368">
        <f t="shared" si="6"/>
        <v>8</v>
      </c>
      <c r="M63" s="962"/>
      <c r="N63" s="636">
        <v>3</v>
      </c>
      <c r="O63" s="636">
        <v>3</v>
      </c>
      <c r="P63" s="636">
        <v>10</v>
      </c>
      <c r="Q63" s="963">
        <v>4</v>
      </c>
      <c r="R63" s="963">
        <v>2</v>
      </c>
    </row>
    <row r="64" spans="1:18" ht="16.5" customHeight="1" x14ac:dyDescent="0.3">
      <c r="A64" s="363" t="s">
        <v>151</v>
      </c>
      <c r="B64" s="364" t="s">
        <v>152</v>
      </c>
      <c r="C64" s="313" t="s">
        <v>255</v>
      </c>
      <c r="D64" s="365">
        <f t="shared" si="5"/>
        <v>101</v>
      </c>
      <c r="E64" s="366">
        <v>77</v>
      </c>
      <c r="F64" s="367">
        <v>7</v>
      </c>
      <c r="G64" s="367">
        <v>0</v>
      </c>
      <c r="H64" s="367">
        <v>0</v>
      </c>
      <c r="I64" s="367">
        <v>0</v>
      </c>
      <c r="J64" s="367">
        <v>15</v>
      </c>
      <c r="K64" s="367">
        <v>2</v>
      </c>
      <c r="L64" s="368">
        <f t="shared" si="6"/>
        <v>15</v>
      </c>
      <c r="M64" s="636"/>
      <c r="N64" s="636">
        <v>15</v>
      </c>
      <c r="O64" s="636">
        <v>25</v>
      </c>
      <c r="P64" s="636">
        <v>34</v>
      </c>
      <c r="Q64" s="963">
        <v>22</v>
      </c>
      <c r="R64" s="963">
        <v>5</v>
      </c>
    </row>
    <row r="65" spans="1:18" ht="16.5" customHeight="1" x14ac:dyDescent="0.3">
      <c r="A65" s="363" t="s">
        <v>153</v>
      </c>
      <c r="B65" s="364" t="s">
        <v>154</v>
      </c>
      <c r="C65" s="313" t="s">
        <v>252</v>
      </c>
      <c r="D65" s="365">
        <f t="shared" si="5"/>
        <v>14</v>
      </c>
      <c r="E65" s="372">
        <v>14</v>
      </c>
      <c r="F65" s="370">
        <v>0</v>
      </c>
      <c r="G65" s="370">
        <v>0</v>
      </c>
      <c r="H65" s="370">
        <v>0</v>
      </c>
      <c r="I65" s="370">
        <v>0</v>
      </c>
      <c r="J65" s="1894">
        <v>0</v>
      </c>
      <c r="K65" s="370">
        <v>0</v>
      </c>
      <c r="L65" s="368">
        <f t="shared" si="6"/>
        <v>0</v>
      </c>
      <c r="M65" s="636"/>
      <c r="N65" s="636">
        <v>2</v>
      </c>
      <c r="O65" s="636">
        <v>5</v>
      </c>
      <c r="P65" s="636">
        <v>4</v>
      </c>
      <c r="Q65" s="963">
        <v>3</v>
      </c>
      <c r="R65" s="963">
        <v>0</v>
      </c>
    </row>
    <row r="66" spans="1:18" ht="16.5" customHeight="1" x14ac:dyDescent="0.3">
      <c r="A66" s="363" t="s">
        <v>155</v>
      </c>
      <c r="B66" s="364" t="s">
        <v>156</v>
      </c>
      <c r="C66" s="313" t="s">
        <v>253</v>
      </c>
      <c r="D66" s="365">
        <f t="shared" si="5"/>
        <v>12</v>
      </c>
      <c r="E66" s="366">
        <v>11</v>
      </c>
      <c r="F66" s="367">
        <v>1</v>
      </c>
      <c r="G66" s="635">
        <v>0</v>
      </c>
      <c r="H66" s="635">
        <v>0</v>
      </c>
      <c r="I66" s="635">
        <v>0</v>
      </c>
      <c r="J66" s="635">
        <v>0</v>
      </c>
      <c r="K66" s="635">
        <v>0</v>
      </c>
      <c r="L66" s="368">
        <f t="shared" si="6"/>
        <v>0</v>
      </c>
      <c r="M66" s="369"/>
      <c r="N66" s="636">
        <v>2</v>
      </c>
      <c r="O66" s="636">
        <v>2</v>
      </c>
      <c r="P66" s="636">
        <v>6</v>
      </c>
      <c r="Q66" s="963">
        <v>1</v>
      </c>
      <c r="R66" s="963">
        <v>1</v>
      </c>
    </row>
    <row r="67" spans="1:18" ht="16.5" customHeight="1" x14ac:dyDescent="0.3">
      <c r="A67" s="363" t="s">
        <v>161</v>
      </c>
      <c r="B67" s="364" t="s">
        <v>162</v>
      </c>
      <c r="C67" s="313" t="s">
        <v>251</v>
      </c>
      <c r="D67" s="365">
        <f t="shared" si="5"/>
        <v>0</v>
      </c>
      <c r="E67" s="366"/>
      <c r="F67" s="367"/>
      <c r="G67" s="367"/>
      <c r="H67" s="367"/>
      <c r="I67" s="367"/>
      <c r="J67" s="367"/>
      <c r="L67" s="368">
        <f t="shared" si="6"/>
        <v>0</v>
      </c>
      <c r="M67" s="373"/>
      <c r="N67" s="636"/>
      <c r="O67" s="636"/>
      <c r="P67" s="636"/>
      <c r="Q67" s="963"/>
      <c r="R67" s="963"/>
    </row>
    <row r="68" spans="1:18" ht="16.5" customHeight="1" x14ac:dyDescent="0.3">
      <c r="A68" s="363" t="s">
        <v>163</v>
      </c>
      <c r="B68" s="364" t="s">
        <v>164</v>
      </c>
      <c r="C68" s="313" t="s">
        <v>253</v>
      </c>
      <c r="D68" s="365">
        <f t="shared" si="5"/>
        <v>13</v>
      </c>
      <c r="E68" s="366">
        <v>12</v>
      </c>
      <c r="F68" s="367">
        <v>1</v>
      </c>
      <c r="G68" s="367">
        <v>0</v>
      </c>
      <c r="H68" s="367">
        <v>0</v>
      </c>
      <c r="I68" s="367">
        <v>0</v>
      </c>
      <c r="J68" s="367">
        <v>0</v>
      </c>
      <c r="K68" s="367">
        <v>0</v>
      </c>
      <c r="L68" s="368">
        <f t="shared" si="6"/>
        <v>0</v>
      </c>
      <c r="M68" s="373"/>
      <c r="N68" s="636">
        <v>0</v>
      </c>
      <c r="O68" s="636">
        <v>3</v>
      </c>
      <c r="P68" s="636">
        <v>5</v>
      </c>
      <c r="Q68" s="963">
        <v>2</v>
      </c>
      <c r="R68" s="963">
        <v>3</v>
      </c>
    </row>
    <row r="69" spans="1:18" ht="16.5" customHeight="1" x14ac:dyDescent="0.3">
      <c r="A69" s="363" t="s">
        <v>167</v>
      </c>
      <c r="B69" s="364" t="s">
        <v>168</v>
      </c>
      <c r="C69" s="313" t="s">
        <v>253</v>
      </c>
      <c r="D69" s="365">
        <f t="shared" ref="D69:D100" si="7">SUM(E69:K69)</f>
        <v>6</v>
      </c>
      <c r="E69" s="366">
        <v>3</v>
      </c>
      <c r="F69" s="367">
        <v>3</v>
      </c>
      <c r="G69" s="367">
        <v>0</v>
      </c>
      <c r="H69" s="367">
        <v>0</v>
      </c>
      <c r="I69" s="367">
        <v>0</v>
      </c>
      <c r="J69" s="367">
        <v>0</v>
      </c>
      <c r="K69" s="367">
        <v>0</v>
      </c>
      <c r="L69" s="368">
        <f t="shared" ref="L69:L100" si="8">G69+H69+I69+J69</f>
        <v>0</v>
      </c>
      <c r="M69" s="961"/>
      <c r="N69" s="636">
        <v>1</v>
      </c>
      <c r="O69" s="636">
        <v>0</v>
      </c>
      <c r="P69" s="636">
        <v>1</v>
      </c>
      <c r="Q69" s="963">
        <v>4</v>
      </c>
      <c r="R69" s="963">
        <v>0</v>
      </c>
    </row>
    <row r="70" spans="1:18" ht="16.5" customHeight="1" x14ac:dyDescent="0.3">
      <c r="A70" s="363" t="s">
        <v>169</v>
      </c>
      <c r="B70" s="364" t="s">
        <v>170</v>
      </c>
      <c r="C70" s="313" t="s">
        <v>254</v>
      </c>
      <c r="D70" s="365">
        <f t="shared" si="7"/>
        <v>27</v>
      </c>
      <c r="E70" s="366">
        <v>18</v>
      </c>
      <c r="F70" s="367">
        <v>0</v>
      </c>
      <c r="G70" s="367">
        <v>0</v>
      </c>
      <c r="H70" s="367">
        <v>1</v>
      </c>
      <c r="I70" s="367">
        <v>0</v>
      </c>
      <c r="J70" s="367">
        <v>8</v>
      </c>
      <c r="K70" s="367">
        <v>0</v>
      </c>
      <c r="L70" s="368">
        <f t="shared" si="8"/>
        <v>9</v>
      </c>
      <c r="M70" s="961"/>
      <c r="N70" s="636">
        <v>0</v>
      </c>
      <c r="O70" s="373">
        <v>6</v>
      </c>
      <c r="P70" s="636">
        <v>9</v>
      </c>
      <c r="Q70" s="963">
        <v>6</v>
      </c>
      <c r="R70" s="963">
        <v>6</v>
      </c>
    </row>
    <row r="71" spans="1:18" ht="16.5" customHeight="1" x14ac:dyDescent="0.3">
      <c r="A71" s="363" t="s">
        <v>171</v>
      </c>
      <c r="B71" s="364" t="s">
        <v>172</v>
      </c>
      <c r="C71" s="313" t="s">
        <v>254</v>
      </c>
      <c r="D71" s="365">
        <f t="shared" si="7"/>
        <v>22</v>
      </c>
      <c r="E71" s="366">
        <v>22</v>
      </c>
      <c r="F71" s="367">
        <v>0</v>
      </c>
      <c r="G71" s="635">
        <v>0</v>
      </c>
      <c r="H71" s="635">
        <v>0</v>
      </c>
      <c r="I71" s="635">
        <v>0</v>
      </c>
      <c r="J71" s="635">
        <v>0</v>
      </c>
      <c r="K71" s="367">
        <v>0</v>
      </c>
      <c r="L71" s="368">
        <f t="shared" si="8"/>
        <v>0</v>
      </c>
      <c r="M71" s="636"/>
      <c r="N71" s="636">
        <v>1</v>
      </c>
      <c r="O71" s="636">
        <v>11</v>
      </c>
      <c r="P71" s="636">
        <v>7</v>
      </c>
      <c r="Q71" s="963">
        <v>3</v>
      </c>
      <c r="R71" s="963">
        <v>0</v>
      </c>
    </row>
    <row r="72" spans="1:18" ht="16.5" customHeight="1" x14ac:dyDescent="0.3">
      <c r="A72" s="363" t="s">
        <v>173</v>
      </c>
      <c r="B72" s="364" t="s">
        <v>174</v>
      </c>
      <c r="C72" s="313" t="s">
        <v>255</v>
      </c>
      <c r="D72" s="365">
        <f t="shared" si="7"/>
        <v>19</v>
      </c>
      <c r="E72" s="366">
        <v>18</v>
      </c>
      <c r="F72" s="367">
        <v>0</v>
      </c>
      <c r="G72" s="635">
        <v>0</v>
      </c>
      <c r="H72" s="635">
        <v>0</v>
      </c>
      <c r="I72" s="635">
        <v>0</v>
      </c>
      <c r="J72" s="635">
        <v>1</v>
      </c>
      <c r="K72" s="635">
        <v>0</v>
      </c>
      <c r="L72" s="368">
        <f t="shared" si="8"/>
        <v>1</v>
      </c>
      <c r="M72" s="368"/>
      <c r="N72" s="636">
        <v>5</v>
      </c>
      <c r="O72" s="636">
        <v>7</v>
      </c>
      <c r="P72" s="636">
        <v>6</v>
      </c>
      <c r="Q72" s="963">
        <v>1</v>
      </c>
      <c r="R72" s="963">
        <v>0</v>
      </c>
    </row>
    <row r="73" spans="1:18" ht="16.5" customHeight="1" x14ac:dyDescent="0.3">
      <c r="A73" s="363" t="s">
        <v>177</v>
      </c>
      <c r="B73" s="364" t="s">
        <v>178</v>
      </c>
      <c r="C73" s="313" t="s">
        <v>252</v>
      </c>
      <c r="D73" s="365">
        <f t="shared" si="7"/>
        <v>21</v>
      </c>
      <c r="E73" s="366">
        <v>17</v>
      </c>
      <c r="F73" s="367">
        <v>1</v>
      </c>
      <c r="G73" s="367">
        <v>0</v>
      </c>
      <c r="H73" s="367">
        <v>0</v>
      </c>
      <c r="I73" s="367">
        <v>0</v>
      </c>
      <c r="J73" s="367">
        <v>2</v>
      </c>
      <c r="K73" s="635">
        <v>1</v>
      </c>
      <c r="L73" s="368">
        <f t="shared" si="8"/>
        <v>2</v>
      </c>
      <c r="M73" s="962"/>
      <c r="N73" s="636">
        <v>3</v>
      </c>
      <c r="O73" s="636">
        <v>5</v>
      </c>
      <c r="P73" s="636">
        <v>6</v>
      </c>
      <c r="Q73" s="963">
        <v>4</v>
      </c>
      <c r="R73" s="963">
        <v>3</v>
      </c>
    </row>
    <row r="74" spans="1:18" ht="16.5" customHeight="1" x14ac:dyDescent="0.3">
      <c r="A74" s="363" t="s">
        <v>181</v>
      </c>
      <c r="B74" s="364" t="s">
        <v>182</v>
      </c>
      <c r="C74" s="313" t="s">
        <v>253</v>
      </c>
      <c r="D74" s="365">
        <f t="shared" si="7"/>
        <v>7</v>
      </c>
      <c r="E74" s="366">
        <v>7</v>
      </c>
      <c r="F74" s="367">
        <v>0</v>
      </c>
      <c r="G74" s="635">
        <v>0</v>
      </c>
      <c r="H74" s="635">
        <v>0</v>
      </c>
      <c r="I74" s="635">
        <v>0</v>
      </c>
      <c r="J74" s="635">
        <v>0</v>
      </c>
      <c r="K74" s="367">
        <v>0</v>
      </c>
      <c r="L74" s="368">
        <f t="shared" si="8"/>
        <v>0</v>
      </c>
      <c r="M74" s="962"/>
      <c r="N74" s="636">
        <v>0</v>
      </c>
      <c r="O74" s="636">
        <v>1</v>
      </c>
      <c r="P74" s="636">
        <v>4</v>
      </c>
      <c r="Q74" s="963">
        <v>0</v>
      </c>
      <c r="R74" s="963">
        <v>2</v>
      </c>
    </row>
    <row r="75" spans="1:18" ht="16.5" customHeight="1" x14ac:dyDescent="0.3">
      <c r="A75" s="363" t="s">
        <v>183</v>
      </c>
      <c r="B75" s="364" t="s">
        <v>184</v>
      </c>
      <c r="C75" s="313" t="s">
        <v>253</v>
      </c>
      <c r="D75" s="365">
        <f t="shared" si="7"/>
        <v>37</v>
      </c>
      <c r="E75" s="366">
        <v>18</v>
      </c>
      <c r="F75" s="367">
        <v>15</v>
      </c>
      <c r="G75" s="367">
        <v>0</v>
      </c>
      <c r="H75" s="367">
        <v>0</v>
      </c>
      <c r="I75" s="367">
        <v>0</v>
      </c>
      <c r="J75" s="367">
        <v>3</v>
      </c>
      <c r="K75" s="635">
        <v>1</v>
      </c>
      <c r="L75" s="368">
        <f t="shared" si="8"/>
        <v>3</v>
      </c>
      <c r="M75" s="961"/>
      <c r="N75" s="636">
        <v>1</v>
      </c>
      <c r="O75" s="636">
        <v>6</v>
      </c>
      <c r="P75" s="636">
        <v>17</v>
      </c>
      <c r="Q75" s="963">
        <v>10</v>
      </c>
      <c r="R75" s="963">
        <v>3</v>
      </c>
    </row>
    <row r="76" spans="1:18" ht="16.5" customHeight="1" x14ac:dyDescent="0.3">
      <c r="A76" s="363" t="s">
        <v>185</v>
      </c>
      <c r="B76" s="364" t="s">
        <v>186</v>
      </c>
      <c r="C76" s="313" t="s">
        <v>251</v>
      </c>
      <c r="D76" s="365">
        <f t="shared" si="7"/>
        <v>35</v>
      </c>
      <c r="E76" s="366">
        <v>27</v>
      </c>
      <c r="F76" s="367">
        <v>4</v>
      </c>
      <c r="G76" s="367">
        <v>0</v>
      </c>
      <c r="H76" s="367">
        <v>0</v>
      </c>
      <c r="I76" s="367">
        <v>0</v>
      </c>
      <c r="J76" s="367">
        <v>4</v>
      </c>
      <c r="K76" s="367">
        <v>0</v>
      </c>
      <c r="L76" s="368">
        <f t="shared" si="8"/>
        <v>4</v>
      </c>
      <c r="M76" s="373"/>
      <c r="N76" s="636">
        <v>9</v>
      </c>
      <c r="O76" s="636">
        <v>12</v>
      </c>
      <c r="P76" s="636">
        <v>7</v>
      </c>
      <c r="Q76" s="963">
        <v>6</v>
      </c>
      <c r="R76" s="963">
        <v>1</v>
      </c>
    </row>
    <row r="77" spans="1:18" ht="16.5" customHeight="1" x14ac:dyDescent="0.3">
      <c r="A77" s="363" t="s">
        <v>187</v>
      </c>
      <c r="B77" s="364" t="s">
        <v>188</v>
      </c>
      <c r="C77" s="313" t="s">
        <v>254</v>
      </c>
      <c r="D77" s="365">
        <f t="shared" si="7"/>
        <v>119</v>
      </c>
      <c r="E77" s="366">
        <v>52</v>
      </c>
      <c r="F77" s="367">
        <v>49</v>
      </c>
      <c r="G77" s="367">
        <v>3</v>
      </c>
      <c r="H77" s="367">
        <v>0</v>
      </c>
      <c r="I77" s="367">
        <v>0</v>
      </c>
      <c r="J77" s="367">
        <v>13</v>
      </c>
      <c r="K77" s="367">
        <v>2</v>
      </c>
      <c r="L77" s="368">
        <f t="shared" si="8"/>
        <v>16</v>
      </c>
      <c r="M77" s="962"/>
      <c r="N77" s="636">
        <v>12</v>
      </c>
      <c r="O77" s="373">
        <v>29</v>
      </c>
      <c r="P77" s="636">
        <v>39</v>
      </c>
      <c r="Q77" s="963">
        <v>23</v>
      </c>
      <c r="R77" s="963">
        <v>16</v>
      </c>
    </row>
    <row r="78" spans="1:18" ht="16.5" customHeight="1" x14ac:dyDescent="0.3">
      <c r="A78" s="363" t="s">
        <v>189</v>
      </c>
      <c r="B78" s="364" t="s">
        <v>190</v>
      </c>
      <c r="C78" s="313" t="s">
        <v>255</v>
      </c>
      <c r="D78" s="365">
        <f t="shared" si="7"/>
        <v>77</v>
      </c>
      <c r="E78" s="366">
        <v>48</v>
      </c>
      <c r="F78" s="367">
        <v>9</v>
      </c>
      <c r="G78" s="367">
        <v>0</v>
      </c>
      <c r="H78" s="367">
        <v>0</v>
      </c>
      <c r="I78" s="367">
        <v>0</v>
      </c>
      <c r="J78" s="367">
        <v>20</v>
      </c>
      <c r="K78" s="367">
        <v>0</v>
      </c>
      <c r="L78" s="368">
        <f t="shared" si="8"/>
        <v>20</v>
      </c>
      <c r="M78" s="962"/>
      <c r="N78" s="636">
        <v>9</v>
      </c>
      <c r="O78" s="636">
        <v>25</v>
      </c>
      <c r="P78" s="636">
        <v>28</v>
      </c>
      <c r="Q78" s="963">
        <v>9</v>
      </c>
      <c r="R78" s="963">
        <v>6</v>
      </c>
    </row>
    <row r="79" spans="1:18" ht="16.5" customHeight="1" x14ac:dyDescent="0.3">
      <c r="A79" s="363" t="s">
        <v>193</v>
      </c>
      <c r="B79" s="364" t="s">
        <v>194</v>
      </c>
      <c r="C79" s="313" t="s">
        <v>254</v>
      </c>
      <c r="D79" s="365">
        <f t="shared" si="7"/>
        <v>21</v>
      </c>
      <c r="E79" s="366">
        <v>13</v>
      </c>
      <c r="F79" s="367">
        <v>1</v>
      </c>
      <c r="G79" s="635">
        <v>0</v>
      </c>
      <c r="H79" s="635">
        <v>0</v>
      </c>
      <c r="I79" s="635">
        <v>0</v>
      </c>
      <c r="J79" s="635">
        <v>7</v>
      </c>
      <c r="K79" s="367">
        <v>0</v>
      </c>
      <c r="L79" s="368">
        <f t="shared" si="8"/>
        <v>7</v>
      </c>
      <c r="M79" s="368"/>
      <c r="N79" s="636">
        <v>2</v>
      </c>
      <c r="O79" s="636">
        <v>5</v>
      </c>
      <c r="P79" s="636">
        <v>5</v>
      </c>
      <c r="Q79" s="963">
        <v>5</v>
      </c>
      <c r="R79" s="963">
        <v>4</v>
      </c>
    </row>
    <row r="80" spans="1:18" ht="16.5" customHeight="1" x14ac:dyDescent="0.3">
      <c r="A80" s="363" t="s">
        <v>197</v>
      </c>
      <c r="B80" s="364" t="s">
        <v>198</v>
      </c>
      <c r="C80" s="313" t="s">
        <v>253</v>
      </c>
      <c r="D80" s="365">
        <f t="shared" si="7"/>
        <v>8</v>
      </c>
      <c r="E80" s="366">
        <v>5</v>
      </c>
      <c r="F80" s="367">
        <v>0</v>
      </c>
      <c r="G80" s="367">
        <v>0</v>
      </c>
      <c r="H80" s="367">
        <v>0</v>
      </c>
      <c r="I80" s="367">
        <v>0</v>
      </c>
      <c r="J80" s="367">
        <v>3</v>
      </c>
      <c r="K80" s="635">
        <v>0</v>
      </c>
      <c r="L80" s="368">
        <f t="shared" si="8"/>
        <v>3</v>
      </c>
      <c r="M80" s="373"/>
      <c r="N80" s="636">
        <v>2</v>
      </c>
      <c r="O80" s="636">
        <v>2</v>
      </c>
      <c r="P80" s="636">
        <v>3</v>
      </c>
      <c r="Q80" s="963">
        <v>0</v>
      </c>
      <c r="R80" s="963">
        <v>1</v>
      </c>
    </row>
    <row r="81" spans="1:18" ht="16.5" customHeight="1" x14ac:dyDescent="0.3">
      <c r="A81" s="363" t="s">
        <v>201</v>
      </c>
      <c r="B81" s="364" t="s">
        <v>202</v>
      </c>
      <c r="C81" s="313" t="s">
        <v>252</v>
      </c>
      <c r="D81" s="365">
        <f t="shared" si="7"/>
        <v>184</v>
      </c>
      <c r="E81" s="366">
        <v>137</v>
      </c>
      <c r="F81" s="367">
        <v>16</v>
      </c>
      <c r="G81" s="367">
        <v>2</v>
      </c>
      <c r="H81" s="367">
        <v>0</v>
      </c>
      <c r="I81" s="367">
        <v>0</v>
      </c>
      <c r="J81" s="367">
        <v>27</v>
      </c>
      <c r="K81" s="367">
        <v>2</v>
      </c>
      <c r="L81" s="368">
        <f t="shared" si="8"/>
        <v>29</v>
      </c>
      <c r="M81" s="961"/>
      <c r="N81" s="373">
        <v>17</v>
      </c>
      <c r="O81" s="636">
        <v>57</v>
      </c>
      <c r="P81" s="636">
        <v>66</v>
      </c>
      <c r="Q81" s="963">
        <v>34</v>
      </c>
      <c r="R81" s="963">
        <v>10</v>
      </c>
    </row>
    <row r="82" spans="1:18" ht="16.5" customHeight="1" x14ac:dyDescent="0.3">
      <c r="A82" s="363" t="s">
        <v>203</v>
      </c>
      <c r="B82" s="364" t="s">
        <v>204</v>
      </c>
      <c r="C82" s="313" t="s">
        <v>252</v>
      </c>
      <c r="D82" s="365">
        <f t="shared" si="7"/>
        <v>23</v>
      </c>
      <c r="E82" s="366">
        <v>18</v>
      </c>
      <c r="F82" s="367">
        <v>0</v>
      </c>
      <c r="G82" s="635">
        <v>0</v>
      </c>
      <c r="H82" s="635">
        <v>0</v>
      </c>
      <c r="I82" s="635">
        <v>0</v>
      </c>
      <c r="J82" s="635">
        <v>5</v>
      </c>
      <c r="K82" s="367">
        <v>0</v>
      </c>
      <c r="L82" s="368">
        <f t="shared" si="8"/>
        <v>5</v>
      </c>
      <c r="M82" s="962"/>
      <c r="N82" s="636">
        <v>1</v>
      </c>
      <c r="O82" s="636">
        <v>13</v>
      </c>
      <c r="P82" s="636">
        <v>5</v>
      </c>
      <c r="Q82" s="963">
        <v>4</v>
      </c>
      <c r="R82" s="963">
        <v>0</v>
      </c>
    </row>
    <row r="83" spans="1:18" ht="16.5" customHeight="1" x14ac:dyDescent="0.3">
      <c r="A83" s="363" t="s">
        <v>205</v>
      </c>
      <c r="B83" s="364" t="s">
        <v>206</v>
      </c>
      <c r="C83" s="313" t="s">
        <v>254</v>
      </c>
      <c r="D83" s="365">
        <f t="shared" si="7"/>
        <v>347</v>
      </c>
      <c r="E83" s="366">
        <v>260</v>
      </c>
      <c r="F83" s="367">
        <v>46</v>
      </c>
      <c r="G83" s="367">
        <v>1</v>
      </c>
      <c r="H83" s="367">
        <v>1</v>
      </c>
      <c r="I83" s="367">
        <v>0</v>
      </c>
      <c r="J83" s="367">
        <v>39</v>
      </c>
      <c r="K83" s="635">
        <v>0</v>
      </c>
      <c r="L83" s="368">
        <f t="shared" si="8"/>
        <v>41</v>
      </c>
      <c r="M83" s="962"/>
      <c r="N83" s="636">
        <v>50</v>
      </c>
      <c r="O83" s="636">
        <v>95</v>
      </c>
      <c r="P83" s="636">
        <v>126</v>
      </c>
      <c r="Q83" s="963">
        <v>48</v>
      </c>
      <c r="R83" s="963">
        <v>28</v>
      </c>
    </row>
    <row r="84" spans="1:18" ht="16.5" customHeight="1" x14ac:dyDescent="0.3">
      <c r="A84" s="363" t="s">
        <v>207</v>
      </c>
      <c r="B84" s="364" t="s">
        <v>208</v>
      </c>
      <c r="C84" s="313" t="s">
        <v>255</v>
      </c>
      <c r="D84" s="365">
        <f t="shared" si="7"/>
        <v>81</v>
      </c>
      <c r="E84" s="366">
        <v>78</v>
      </c>
      <c r="F84" s="367">
        <v>2</v>
      </c>
      <c r="G84" s="635">
        <v>0</v>
      </c>
      <c r="H84" s="635">
        <v>1</v>
      </c>
      <c r="I84" s="635">
        <v>0</v>
      </c>
      <c r="J84" s="635">
        <v>0</v>
      </c>
      <c r="K84" s="367">
        <v>0</v>
      </c>
      <c r="L84" s="368">
        <f t="shared" si="8"/>
        <v>1</v>
      </c>
      <c r="M84" s="369"/>
      <c r="N84" s="636">
        <v>6</v>
      </c>
      <c r="O84" s="636">
        <v>19</v>
      </c>
      <c r="P84" s="636">
        <v>34</v>
      </c>
      <c r="Q84" s="963">
        <v>15</v>
      </c>
      <c r="R84" s="963">
        <v>7</v>
      </c>
    </row>
    <row r="85" spans="1:18" ht="16.5" customHeight="1" x14ac:dyDescent="0.3">
      <c r="A85" s="363" t="s">
        <v>209</v>
      </c>
      <c r="B85" s="364" t="s">
        <v>210</v>
      </c>
      <c r="C85" s="313" t="s">
        <v>255</v>
      </c>
      <c r="D85" s="365">
        <f t="shared" si="7"/>
        <v>52</v>
      </c>
      <c r="E85" s="366">
        <v>51</v>
      </c>
      <c r="F85" s="367">
        <v>0</v>
      </c>
      <c r="G85" s="635">
        <v>0</v>
      </c>
      <c r="H85" s="635">
        <v>0</v>
      </c>
      <c r="I85" s="635">
        <v>0</v>
      </c>
      <c r="J85" s="635">
        <v>1</v>
      </c>
      <c r="K85" s="635">
        <v>0</v>
      </c>
      <c r="L85" s="368">
        <f t="shared" si="8"/>
        <v>1</v>
      </c>
      <c r="M85" s="373"/>
      <c r="N85" s="636">
        <v>11</v>
      </c>
      <c r="O85" s="636">
        <v>13</v>
      </c>
      <c r="P85" s="636">
        <v>20</v>
      </c>
      <c r="Q85" s="963">
        <v>6</v>
      </c>
      <c r="R85" s="963">
        <v>2</v>
      </c>
    </row>
    <row r="86" spans="1:18" ht="16.5" customHeight="1" x14ac:dyDescent="0.3">
      <c r="A86" s="363" t="s">
        <v>211</v>
      </c>
      <c r="B86" s="364" t="s">
        <v>212</v>
      </c>
      <c r="C86" s="313" t="s">
        <v>254</v>
      </c>
      <c r="D86" s="365">
        <f t="shared" si="7"/>
        <v>26</v>
      </c>
      <c r="E86" s="366">
        <v>20</v>
      </c>
      <c r="F86" s="367">
        <v>0</v>
      </c>
      <c r="G86" s="367">
        <v>0</v>
      </c>
      <c r="H86" s="367">
        <v>0</v>
      </c>
      <c r="I86" s="367">
        <v>0</v>
      </c>
      <c r="J86" s="367">
        <v>5</v>
      </c>
      <c r="K86" s="635">
        <v>1</v>
      </c>
      <c r="L86" s="368">
        <f t="shared" si="8"/>
        <v>5</v>
      </c>
      <c r="M86" s="961"/>
      <c r="N86" s="636">
        <v>0</v>
      </c>
      <c r="O86" s="636">
        <v>5</v>
      </c>
      <c r="P86" s="636">
        <v>10</v>
      </c>
      <c r="Q86" s="963">
        <v>7</v>
      </c>
      <c r="R86" s="963">
        <v>4</v>
      </c>
    </row>
    <row r="87" spans="1:18" ht="16.5" customHeight="1" x14ac:dyDescent="0.3">
      <c r="A87" s="363" t="s">
        <v>213</v>
      </c>
      <c r="B87" s="364" t="s">
        <v>214</v>
      </c>
      <c r="C87" s="313" t="s">
        <v>255</v>
      </c>
      <c r="D87" s="365">
        <f t="shared" si="7"/>
        <v>35</v>
      </c>
      <c r="E87" s="366">
        <v>24</v>
      </c>
      <c r="F87" s="367">
        <v>4</v>
      </c>
      <c r="G87" s="635">
        <v>0</v>
      </c>
      <c r="H87" s="635">
        <v>0</v>
      </c>
      <c r="I87" s="635">
        <v>0</v>
      </c>
      <c r="J87" s="635">
        <v>7</v>
      </c>
      <c r="K87" s="367">
        <v>0</v>
      </c>
      <c r="L87" s="368">
        <f t="shared" si="8"/>
        <v>7</v>
      </c>
      <c r="M87" s="962"/>
      <c r="N87" s="636">
        <v>4</v>
      </c>
      <c r="O87" s="636">
        <v>9</v>
      </c>
      <c r="P87" s="636">
        <v>17</v>
      </c>
      <c r="Q87" s="963">
        <v>5</v>
      </c>
      <c r="R87" s="963">
        <v>0</v>
      </c>
    </row>
    <row r="88" spans="1:18" ht="16.5" customHeight="1" x14ac:dyDescent="0.3">
      <c r="A88" s="363" t="s">
        <v>215</v>
      </c>
      <c r="B88" s="364" t="s">
        <v>216</v>
      </c>
      <c r="C88" s="313" t="s">
        <v>251</v>
      </c>
      <c r="D88" s="365">
        <f t="shared" si="7"/>
        <v>5</v>
      </c>
      <c r="E88" s="366">
        <v>4</v>
      </c>
      <c r="F88" s="367">
        <v>0</v>
      </c>
      <c r="G88" s="367">
        <v>0</v>
      </c>
      <c r="H88" s="367">
        <v>0</v>
      </c>
      <c r="I88" s="367">
        <v>0</v>
      </c>
      <c r="J88" s="367">
        <v>1</v>
      </c>
      <c r="K88" s="635">
        <v>0</v>
      </c>
      <c r="L88" s="368">
        <f t="shared" si="8"/>
        <v>1</v>
      </c>
      <c r="M88" s="368"/>
      <c r="N88" s="636">
        <v>1</v>
      </c>
      <c r="O88" s="636">
        <v>0</v>
      </c>
      <c r="P88" s="636">
        <v>0</v>
      </c>
      <c r="Q88" s="963">
        <v>3</v>
      </c>
      <c r="R88" s="963">
        <v>1</v>
      </c>
    </row>
    <row r="89" spans="1:18" ht="16.5" customHeight="1" x14ac:dyDescent="0.3">
      <c r="A89" s="363" t="s">
        <v>217</v>
      </c>
      <c r="B89" s="364" t="s">
        <v>218</v>
      </c>
      <c r="C89" s="313" t="s">
        <v>254</v>
      </c>
      <c r="D89" s="365">
        <f t="shared" si="7"/>
        <v>161</v>
      </c>
      <c r="E89" s="366">
        <v>94</v>
      </c>
      <c r="F89" s="367">
        <v>48</v>
      </c>
      <c r="G89" s="367">
        <v>0</v>
      </c>
      <c r="H89" s="367">
        <v>0</v>
      </c>
      <c r="I89" s="367">
        <v>0</v>
      </c>
      <c r="J89" s="367">
        <v>19</v>
      </c>
      <c r="K89" s="367">
        <v>0</v>
      </c>
      <c r="L89" s="368">
        <f t="shared" si="8"/>
        <v>19</v>
      </c>
      <c r="M89" s="373"/>
      <c r="N89" s="636">
        <v>32</v>
      </c>
      <c r="O89" s="373">
        <v>49</v>
      </c>
      <c r="P89" s="636">
        <v>50</v>
      </c>
      <c r="Q89" s="963">
        <v>28</v>
      </c>
      <c r="R89" s="963">
        <v>2</v>
      </c>
    </row>
    <row r="90" spans="1:18" ht="16.5" customHeight="1" x14ac:dyDescent="0.3">
      <c r="A90" s="363" t="s">
        <v>219</v>
      </c>
      <c r="B90" s="364" t="s">
        <v>220</v>
      </c>
      <c r="C90" s="313" t="s">
        <v>254</v>
      </c>
      <c r="D90" s="365">
        <f t="shared" si="7"/>
        <v>105</v>
      </c>
      <c r="E90" s="366">
        <v>43</v>
      </c>
      <c r="F90" s="367">
        <v>40</v>
      </c>
      <c r="G90" s="367">
        <v>1</v>
      </c>
      <c r="H90" s="367">
        <v>0</v>
      </c>
      <c r="I90" s="367">
        <v>0</v>
      </c>
      <c r="J90" s="367">
        <v>13</v>
      </c>
      <c r="K90" s="367">
        <v>8</v>
      </c>
      <c r="L90" s="368">
        <f t="shared" si="8"/>
        <v>14</v>
      </c>
      <c r="M90" s="961"/>
      <c r="N90" s="636">
        <v>16</v>
      </c>
      <c r="O90" s="373">
        <v>23</v>
      </c>
      <c r="P90" s="636">
        <v>33</v>
      </c>
      <c r="Q90" s="963">
        <v>24</v>
      </c>
      <c r="R90" s="963">
        <v>9</v>
      </c>
    </row>
    <row r="91" spans="1:18" ht="16.5" customHeight="1" x14ac:dyDescent="0.3">
      <c r="A91" s="363" t="s">
        <v>223</v>
      </c>
      <c r="B91" s="364" t="s">
        <v>224</v>
      </c>
      <c r="C91" s="313" t="s">
        <v>251</v>
      </c>
      <c r="D91" s="365">
        <f t="shared" si="7"/>
        <v>1</v>
      </c>
      <c r="E91" s="371">
        <v>0</v>
      </c>
      <c r="F91" s="370">
        <v>1</v>
      </c>
      <c r="G91" s="370">
        <v>0</v>
      </c>
      <c r="H91" s="370">
        <v>0</v>
      </c>
      <c r="I91" s="370">
        <v>0</v>
      </c>
      <c r="J91" s="1894">
        <v>0</v>
      </c>
      <c r="K91" s="367">
        <v>0</v>
      </c>
      <c r="L91" s="368">
        <f t="shared" si="8"/>
        <v>0</v>
      </c>
      <c r="M91" s="373"/>
      <c r="N91" s="636">
        <v>0</v>
      </c>
      <c r="O91" s="636">
        <v>0</v>
      </c>
      <c r="P91" s="636">
        <v>0</v>
      </c>
      <c r="Q91" s="963">
        <v>1</v>
      </c>
      <c r="R91" s="963">
        <v>0</v>
      </c>
    </row>
    <row r="92" spans="1:18" ht="16.5" customHeight="1" x14ac:dyDescent="0.3">
      <c r="A92" s="363" t="s">
        <v>225</v>
      </c>
      <c r="B92" s="364" t="s">
        <v>226</v>
      </c>
      <c r="C92" s="313" t="s">
        <v>251</v>
      </c>
      <c r="D92" s="365">
        <f t="shared" si="7"/>
        <v>8</v>
      </c>
      <c r="E92" s="366">
        <v>2</v>
      </c>
      <c r="F92" s="367">
        <v>3</v>
      </c>
      <c r="G92" s="367">
        <v>0</v>
      </c>
      <c r="H92" s="367">
        <v>0</v>
      </c>
      <c r="I92" s="367">
        <v>0</v>
      </c>
      <c r="J92" s="367">
        <v>3</v>
      </c>
      <c r="K92" s="370">
        <v>0</v>
      </c>
      <c r="L92" s="368">
        <f t="shared" si="8"/>
        <v>3</v>
      </c>
      <c r="M92" s="373"/>
      <c r="N92" s="636">
        <v>1</v>
      </c>
      <c r="O92" s="636">
        <v>3</v>
      </c>
      <c r="P92" s="636">
        <v>2</v>
      </c>
      <c r="Q92" s="963">
        <v>2</v>
      </c>
      <c r="R92" s="963">
        <v>0</v>
      </c>
    </row>
    <row r="93" spans="1:18" ht="16.5" customHeight="1" x14ac:dyDescent="0.3">
      <c r="A93" s="363" t="s">
        <v>227</v>
      </c>
      <c r="B93" s="364" t="s">
        <v>228</v>
      </c>
      <c r="C93" s="313" t="s">
        <v>255</v>
      </c>
      <c r="D93" s="365">
        <f t="shared" si="7"/>
        <v>141</v>
      </c>
      <c r="E93" s="366">
        <v>129</v>
      </c>
      <c r="F93" s="367">
        <v>1</v>
      </c>
      <c r="G93" s="367">
        <v>0</v>
      </c>
      <c r="H93" s="367">
        <v>0</v>
      </c>
      <c r="I93" s="367">
        <v>0</v>
      </c>
      <c r="J93" s="367">
        <v>11</v>
      </c>
      <c r="K93" s="367">
        <v>0</v>
      </c>
      <c r="L93" s="368">
        <f t="shared" si="8"/>
        <v>11</v>
      </c>
      <c r="M93" s="373"/>
      <c r="N93" s="636">
        <v>26</v>
      </c>
      <c r="O93" s="636">
        <v>37</v>
      </c>
      <c r="P93" s="636">
        <v>43</v>
      </c>
      <c r="Q93" s="963">
        <v>33</v>
      </c>
      <c r="R93" s="963">
        <v>2</v>
      </c>
    </row>
    <row r="94" spans="1:18" ht="16.5" customHeight="1" x14ac:dyDescent="0.3">
      <c r="A94" s="363" t="s">
        <v>231</v>
      </c>
      <c r="B94" s="364" t="s">
        <v>232</v>
      </c>
      <c r="C94" s="313" t="s">
        <v>254</v>
      </c>
      <c r="D94" s="365">
        <f t="shared" si="7"/>
        <v>47</v>
      </c>
      <c r="E94" s="366">
        <v>37</v>
      </c>
      <c r="F94" s="367">
        <v>4</v>
      </c>
      <c r="G94" s="367">
        <v>0</v>
      </c>
      <c r="H94" s="367">
        <v>0</v>
      </c>
      <c r="I94" s="367">
        <v>0</v>
      </c>
      <c r="J94" s="367">
        <v>6</v>
      </c>
      <c r="K94" s="367">
        <v>0</v>
      </c>
      <c r="L94" s="368">
        <f t="shared" si="8"/>
        <v>6</v>
      </c>
      <c r="M94" s="962"/>
      <c r="N94" s="636">
        <v>4</v>
      </c>
      <c r="O94" s="636">
        <v>9</v>
      </c>
      <c r="P94" s="636">
        <v>24</v>
      </c>
      <c r="Q94" s="963">
        <v>7</v>
      </c>
      <c r="R94" s="963">
        <v>3</v>
      </c>
    </row>
    <row r="95" spans="1:18" ht="16.5" customHeight="1" x14ac:dyDescent="0.3">
      <c r="A95" s="363" t="s">
        <v>233</v>
      </c>
      <c r="B95" s="364" t="s">
        <v>234</v>
      </c>
      <c r="C95" s="313" t="s">
        <v>255</v>
      </c>
      <c r="D95" s="365">
        <f t="shared" si="7"/>
        <v>65</v>
      </c>
      <c r="E95" s="366">
        <v>63</v>
      </c>
      <c r="F95" s="367">
        <v>1</v>
      </c>
      <c r="G95" s="635">
        <v>0</v>
      </c>
      <c r="H95" s="635">
        <v>0</v>
      </c>
      <c r="I95" s="635">
        <v>0</v>
      </c>
      <c r="J95" s="635">
        <v>0</v>
      </c>
      <c r="K95" s="367">
        <v>1</v>
      </c>
      <c r="L95" s="368">
        <f t="shared" si="8"/>
        <v>0</v>
      </c>
      <c r="M95" s="961"/>
      <c r="N95" s="636">
        <v>1</v>
      </c>
      <c r="O95" s="373">
        <v>15</v>
      </c>
      <c r="P95" s="636">
        <v>30</v>
      </c>
      <c r="Q95" s="963">
        <v>18</v>
      </c>
      <c r="R95" s="963">
        <v>1</v>
      </c>
    </row>
    <row r="96" spans="1:18" ht="16.5" customHeight="1" x14ac:dyDescent="0.3">
      <c r="A96" s="363" t="s">
        <v>235</v>
      </c>
      <c r="B96" s="364" t="s">
        <v>236</v>
      </c>
      <c r="C96" s="313" t="s">
        <v>253</v>
      </c>
      <c r="D96" s="365">
        <f t="shared" si="7"/>
        <v>5</v>
      </c>
      <c r="E96" s="366">
        <v>4</v>
      </c>
      <c r="F96" s="367">
        <v>0</v>
      </c>
      <c r="G96" s="367">
        <v>0</v>
      </c>
      <c r="H96" s="367">
        <v>0</v>
      </c>
      <c r="I96" s="367">
        <v>0</v>
      </c>
      <c r="J96" s="367">
        <v>1</v>
      </c>
      <c r="K96" s="635">
        <v>0</v>
      </c>
      <c r="L96" s="368">
        <f t="shared" si="8"/>
        <v>1</v>
      </c>
      <c r="M96" s="961"/>
      <c r="N96" s="636">
        <v>1</v>
      </c>
      <c r="O96" s="636">
        <v>0</v>
      </c>
      <c r="P96" s="636">
        <v>2</v>
      </c>
      <c r="Q96" s="963">
        <v>1</v>
      </c>
      <c r="R96" s="963">
        <v>1</v>
      </c>
    </row>
    <row r="97" spans="1:18" ht="16.5" customHeight="1" x14ac:dyDescent="0.3">
      <c r="A97" s="363" t="s">
        <v>241</v>
      </c>
      <c r="B97" s="364" t="s">
        <v>242</v>
      </c>
      <c r="C97" s="313" t="s">
        <v>255</v>
      </c>
      <c r="D97" s="365">
        <f t="shared" si="7"/>
        <v>204</v>
      </c>
      <c r="E97" s="366">
        <v>183</v>
      </c>
      <c r="F97" s="367">
        <v>12</v>
      </c>
      <c r="G97" s="367">
        <v>0</v>
      </c>
      <c r="H97" s="367">
        <v>0</v>
      </c>
      <c r="I97" s="367">
        <v>0</v>
      </c>
      <c r="J97" s="367">
        <v>9</v>
      </c>
      <c r="K97" s="367">
        <v>0</v>
      </c>
      <c r="L97" s="368">
        <f t="shared" si="8"/>
        <v>9</v>
      </c>
      <c r="M97" s="636"/>
      <c r="N97" s="636">
        <v>19</v>
      </c>
      <c r="O97" s="636">
        <v>59</v>
      </c>
      <c r="P97" s="636">
        <v>65</v>
      </c>
      <c r="Q97" s="963">
        <v>48</v>
      </c>
      <c r="R97" s="963">
        <v>13</v>
      </c>
    </row>
    <row r="98" spans="1:18" ht="16.5" customHeight="1" x14ac:dyDescent="0.3">
      <c r="A98" s="363" t="s">
        <v>243</v>
      </c>
      <c r="B98" s="364" t="s">
        <v>244</v>
      </c>
      <c r="C98" s="313" t="s">
        <v>255</v>
      </c>
      <c r="D98" s="365">
        <f t="shared" si="7"/>
        <v>82</v>
      </c>
      <c r="E98" s="366">
        <v>67</v>
      </c>
      <c r="F98" s="367">
        <v>4</v>
      </c>
      <c r="G98" s="635">
        <v>0</v>
      </c>
      <c r="H98" s="635">
        <v>0</v>
      </c>
      <c r="I98" s="635">
        <v>0</v>
      </c>
      <c r="J98" s="635">
        <v>9</v>
      </c>
      <c r="K98" s="367">
        <v>2</v>
      </c>
      <c r="L98" s="368">
        <f t="shared" si="8"/>
        <v>9</v>
      </c>
      <c r="M98" s="368"/>
      <c r="N98" s="636">
        <v>9</v>
      </c>
      <c r="O98" s="636">
        <v>27</v>
      </c>
      <c r="P98" s="636">
        <v>29</v>
      </c>
      <c r="Q98" s="963">
        <v>14</v>
      </c>
      <c r="R98" s="963">
        <v>3</v>
      </c>
    </row>
    <row r="99" spans="1:18" ht="16.5" customHeight="1" x14ac:dyDescent="0.3">
      <c r="A99" s="363" t="s">
        <v>245</v>
      </c>
      <c r="B99" s="364" t="s">
        <v>283</v>
      </c>
      <c r="C99" s="313" t="s">
        <v>251</v>
      </c>
      <c r="D99" s="365">
        <f t="shared" si="7"/>
        <v>12</v>
      </c>
      <c r="E99" s="366">
        <v>5</v>
      </c>
      <c r="F99" s="367">
        <v>3</v>
      </c>
      <c r="G99" s="367">
        <v>0</v>
      </c>
      <c r="H99" s="367">
        <v>0</v>
      </c>
      <c r="I99" s="367">
        <v>0</v>
      </c>
      <c r="J99" s="367">
        <v>3</v>
      </c>
      <c r="K99" s="635">
        <v>1</v>
      </c>
      <c r="L99" s="368">
        <f t="shared" si="8"/>
        <v>3</v>
      </c>
      <c r="M99" s="961"/>
      <c r="N99" s="636">
        <v>0</v>
      </c>
      <c r="O99" s="373">
        <v>3</v>
      </c>
      <c r="P99" s="636">
        <v>8</v>
      </c>
      <c r="Q99" s="963">
        <v>1</v>
      </c>
      <c r="R99" s="963">
        <v>0</v>
      </c>
    </row>
    <row r="100" spans="1:18" ht="16.5" customHeight="1" x14ac:dyDescent="0.3">
      <c r="A100" s="363" t="s">
        <v>13</v>
      </c>
      <c r="B100" s="364" t="s">
        <v>14</v>
      </c>
      <c r="C100" s="313" t="s">
        <v>254</v>
      </c>
      <c r="D100" s="365">
        <f t="shared" si="7"/>
        <v>195</v>
      </c>
      <c r="E100" s="366">
        <v>47</v>
      </c>
      <c r="F100" s="367">
        <v>129</v>
      </c>
      <c r="G100" s="367">
        <v>0</v>
      </c>
      <c r="H100" s="367">
        <v>0</v>
      </c>
      <c r="I100" s="367">
        <v>0</v>
      </c>
      <c r="J100" s="367">
        <v>19</v>
      </c>
      <c r="K100" s="367">
        <v>0</v>
      </c>
      <c r="L100" s="368">
        <f t="shared" si="8"/>
        <v>19</v>
      </c>
      <c r="M100" s="962"/>
      <c r="N100" s="636">
        <v>24</v>
      </c>
      <c r="O100" s="636">
        <v>49</v>
      </c>
      <c r="P100" s="636">
        <v>63</v>
      </c>
      <c r="Q100" s="963">
        <v>42</v>
      </c>
      <c r="R100" s="963">
        <v>17</v>
      </c>
    </row>
    <row r="101" spans="1:18" ht="16.5" customHeight="1" x14ac:dyDescent="0.3">
      <c r="A101" s="363" t="s">
        <v>33</v>
      </c>
      <c r="B101" s="364" t="s">
        <v>34</v>
      </c>
      <c r="C101" s="313" t="s">
        <v>255</v>
      </c>
      <c r="D101" s="365">
        <f t="shared" ref="D101:D123" si="9">SUM(E101:K101)</f>
        <v>68</v>
      </c>
      <c r="E101" s="366">
        <v>62</v>
      </c>
      <c r="F101" s="367">
        <v>3</v>
      </c>
      <c r="G101" s="635">
        <v>0</v>
      </c>
      <c r="H101" s="635">
        <v>0</v>
      </c>
      <c r="I101" s="635">
        <v>0</v>
      </c>
      <c r="J101" s="635">
        <v>3</v>
      </c>
      <c r="K101" s="367">
        <v>0</v>
      </c>
      <c r="L101" s="368">
        <f t="shared" ref="L101:L124" si="10">G101+H101+I101+J101</f>
        <v>3</v>
      </c>
      <c r="M101" s="961"/>
      <c r="N101" s="636">
        <v>7</v>
      </c>
      <c r="O101" s="373">
        <v>14</v>
      </c>
      <c r="P101" s="636">
        <v>33</v>
      </c>
      <c r="Q101" s="963">
        <v>13</v>
      </c>
      <c r="R101" s="963">
        <v>1</v>
      </c>
    </row>
    <row r="102" spans="1:18" ht="16.5" customHeight="1" x14ac:dyDescent="0.3">
      <c r="A102" s="363" t="s">
        <v>51</v>
      </c>
      <c r="B102" s="364" t="s">
        <v>52</v>
      </c>
      <c r="C102" s="313" t="s">
        <v>252</v>
      </c>
      <c r="D102" s="365">
        <f t="shared" si="9"/>
        <v>164</v>
      </c>
      <c r="E102" s="366">
        <v>48</v>
      </c>
      <c r="F102" s="367">
        <v>88</v>
      </c>
      <c r="G102" s="367">
        <v>4</v>
      </c>
      <c r="H102" s="367">
        <v>0</v>
      </c>
      <c r="I102" s="367">
        <v>0</v>
      </c>
      <c r="J102" s="367">
        <v>24</v>
      </c>
      <c r="K102" s="635">
        <v>0</v>
      </c>
      <c r="L102" s="368">
        <f t="shared" si="10"/>
        <v>28</v>
      </c>
      <c r="M102" s="961"/>
      <c r="N102" s="636">
        <v>34</v>
      </c>
      <c r="O102" s="636">
        <v>46</v>
      </c>
      <c r="P102" s="636">
        <v>65</v>
      </c>
      <c r="Q102" s="963">
        <v>16</v>
      </c>
      <c r="R102" s="963">
        <v>3</v>
      </c>
    </row>
    <row r="103" spans="1:18" ht="16.5" customHeight="1" x14ac:dyDescent="0.3">
      <c r="A103" s="363" t="s">
        <v>53</v>
      </c>
      <c r="B103" s="364" t="s">
        <v>54</v>
      </c>
      <c r="C103" s="313" t="s">
        <v>251</v>
      </c>
      <c r="D103" s="365">
        <f t="shared" si="9"/>
        <v>114</v>
      </c>
      <c r="E103" s="366">
        <v>49</v>
      </c>
      <c r="F103" s="367">
        <v>50</v>
      </c>
      <c r="G103" s="367">
        <v>0</v>
      </c>
      <c r="H103" s="367">
        <v>0</v>
      </c>
      <c r="I103" s="367">
        <v>0</v>
      </c>
      <c r="J103" s="367">
        <v>15</v>
      </c>
      <c r="K103" s="367">
        <v>0</v>
      </c>
      <c r="L103" s="368">
        <f t="shared" si="10"/>
        <v>15</v>
      </c>
      <c r="M103" s="961"/>
      <c r="N103" s="636">
        <v>4</v>
      </c>
      <c r="O103" s="636">
        <v>19</v>
      </c>
      <c r="P103" s="636">
        <v>51</v>
      </c>
      <c r="Q103" s="963">
        <v>36</v>
      </c>
      <c r="R103" s="963">
        <v>4</v>
      </c>
    </row>
    <row r="104" spans="1:18" ht="16.5" customHeight="1" x14ac:dyDescent="0.3">
      <c r="A104" s="363" t="s">
        <v>65</v>
      </c>
      <c r="B104" s="364" t="s">
        <v>66</v>
      </c>
      <c r="C104" s="313" t="s">
        <v>252</v>
      </c>
      <c r="D104" s="365">
        <f t="shared" si="9"/>
        <v>32</v>
      </c>
      <c r="E104" s="366">
        <v>10</v>
      </c>
      <c r="F104" s="367">
        <v>17</v>
      </c>
      <c r="G104" s="367">
        <v>0</v>
      </c>
      <c r="H104" s="367">
        <v>0</v>
      </c>
      <c r="I104" s="367">
        <v>0</v>
      </c>
      <c r="J104" s="367">
        <v>5</v>
      </c>
      <c r="K104" s="367">
        <v>0</v>
      </c>
      <c r="L104" s="368">
        <f t="shared" si="10"/>
        <v>5</v>
      </c>
      <c r="M104" s="961"/>
      <c r="N104" s="636">
        <v>2</v>
      </c>
      <c r="O104" s="373">
        <v>10</v>
      </c>
      <c r="P104" s="636">
        <v>13</v>
      </c>
      <c r="Q104" s="963">
        <v>5</v>
      </c>
      <c r="R104" s="963">
        <v>2</v>
      </c>
    </row>
    <row r="105" spans="1:18" ht="16.5" customHeight="1" x14ac:dyDescent="0.3">
      <c r="A105" s="363" t="s">
        <v>81</v>
      </c>
      <c r="B105" s="364" t="s">
        <v>284</v>
      </c>
      <c r="C105" s="313" t="s">
        <v>251</v>
      </c>
      <c r="D105" s="365">
        <f t="shared" si="9"/>
        <v>3</v>
      </c>
      <c r="E105" s="366">
        <v>0</v>
      </c>
      <c r="F105" s="367">
        <v>1</v>
      </c>
      <c r="G105" s="367">
        <v>0</v>
      </c>
      <c r="H105" s="367">
        <v>0</v>
      </c>
      <c r="I105" s="367">
        <v>0</v>
      </c>
      <c r="J105" s="367">
        <v>2</v>
      </c>
      <c r="K105" s="367">
        <v>0</v>
      </c>
      <c r="L105" s="368">
        <f t="shared" si="10"/>
        <v>2</v>
      </c>
      <c r="M105" s="636"/>
      <c r="N105" s="636">
        <v>0</v>
      </c>
      <c r="O105" s="636">
        <v>1</v>
      </c>
      <c r="P105" s="636">
        <v>0</v>
      </c>
      <c r="Q105" s="963">
        <v>2</v>
      </c>
      <c r="R105" s="963">
        <v>0</v>
      </c>
    </row>
    <row r="106" spans="1:18" ht="16.5" customHeight="1" x14ac:dyDescent="0.3">
      <c r="A106" s="363" t="s">
        <v>87</v>
      </c>
      <c r="B106" s="364" t="s">
        <v>88</v>
      </c>
      <c r="C106" s="313" t="s">
        <v>254</v>
      </c>
      <c r="D106" s="365">
        <f t="shared" si="9"/>
        <v>126</v>
      </c>
      <c r="E106" s="366">
        <v>53</v>
      </c>
      <c r="F106" s="367">
        <v>49</v>
      </c>
      <c r="G106" s="367">
        <v>1</v>
      </c>
      <c r="H106" s="367">
        <v>0</v>
      </c>
      <c r="I106" s="367">
        <v>0</v>
      </c>
      <c r="J106" s="367">
        <v>23</v>
      </c>
      <c r="K106" s="367">
        <v>0</v>
      </c>
      <c r="L106" s="368">
        <f t="shared" si="10"/>
        <v>24</v>
      </c>
      <c r="M106" s="962"/>
      <c r="N106" s="636">
        <v>31</v>
      </c>
      <c r="O106" s="636">
        <v>38</v>
      </c>
      <c r="P106" s="636">
        <v>40</v>
      </c>
      <c r="Q106" s="963">
        <v>13</v>
      </c>
      <c r="R106" s="963">
        <v>4</v>
      </c>
    </row>
    <row r="107" spans="1:18" ht="16.5" customHeight="1" x14ac:dyDescent="0.3">
      <c r="A107" s="363" t="s">
        <v>89</v>
      </c>
      <c r="B107" s="364" t="s">
        <v>90</v>
      </c>
      <c r="C107" s="313" t="s">
        <v>255</v>
      </c>
      <c r="D107" s="365">
        <f t="shared" si="9"/>
        <v>34</v>
      </c>
      <c r="E107" s="366">
        <v>28</v>
      </c>
      <c r="F107" s="367">
        <v>3</v>
      </c>
      <c r="G107" s="367">
        <v>0</v>
      </c>
      <c r="H107" s="367">
        <v>0</v>
      </c>
      <c r="I107" s="367">
        <v>0</v>
      </c>
      <c r="J107" s="367">
        <v>2</v>
      </c>
      <c r="K107" s="367">
        <v>1</v>
      </c>
      <c r="L107" s="368">
        <f t="shared" si="10"/>
        <v>2</v>
      </c>
      <c r="M107" s="373"/>
      <c r="N107" s="636">
        <v>8</v>
      </c>
      <c r="O107" s="636">
        <v>14</v>
      </c>
      <c r="P107" s="636">
        <v>9</v>
      </c>
      <c r="Q107" s="963">
        <v>3</v>
      </c>
      <c r="R107" s="963">
        <v>0</v>
      </c>
    </row>
    <row r="108" spans="1:18" ht="16.5" customHeight="1" x14ac:dyDescent="0.3">
      <c r="A108" s="363" t="s">
        <v>105</v>
      </c>
      <c r="B108" s="364" t="s">
        <v>106</v>
      </c>
      <c r="C108" s="313" t="s">
        <v>251</v>
      </c>
      <c r="D108" s="365">
        <f t="shared" si="9"/>
        <v>132</v>
      </c>
      <c r="E108" s="366">
        <v>35</v>
      </c>
      <c r="F108" s="367">
        <v>71</v>
      </c>
      <c r="G108" s="367">
        <v>0</v>
      </c>
      <c r="H108" s="367">
        <v>0</v>
      </c>
      <c r="I108" s="367">
        <v>0</v>
      </c>
      <c r="J108" s="367">
        <v>25</v>
      </c>
      <c r="K108" s="367">
        <v>1</v>
      </c>
      <c r="L108" s="368">
        <f t="shared" si="10"/>
        <v>25</v>
      </c>
      <c r="M108" s="961"/>
      <c r="N108" s="636">
        <v>20</v>
      </c>
      <c r="O108" s="636">
        <v>23</v>
      </c>
      <c r="P108" s="636">
        <v>36</v>
      </c>
      <c r="Q108" s="963">
        <v>36</v>
      </c>
      <c r="R108" s="963">
        <v>17</v>
      </c>
    </row>
    <row r="109" spans="1:18" ht="16.5" customHeight="1" x14ac:dyDescent="0.3">
      <c r="A109" s="363" t="s">
        <v>115</v>
      </c>
      <c r="B109" s="364" t="s">
        <v>116</v>
      </c>
      <c r="C109" s="313" t="s">
        <v>253</v>
      </c>
      <c r="D109" s="365">
        <f t="shared" si="9"/>
        <v>55</v>
      </c>
      <c r="E109" s="366">
        <v>22</v>
      </c>
      <c r="F109" s="367">
        <v>29</v>
      </c>
      <c r="G109" s="367">
        <v>0</v>
      </c>
      <c r="H109" s="367">
        <v>0</v>
      </c>
      <c r="I109" s="367">
        <v>0</v>
      </c>
      <c r="J109" s="367">
        <v>4</v>
      </c>
      <c r="K109" s="367">
        <v>0</v>
      </c>
      <c r="L109" s="368">
        <f t="shared" si="10"/>
        <v>4</v>
      </c>
      <c r="M109" s="636"/>
      <c r="N109" s="636">
        <v>6</v>
      </c>
      <c r="O109" s="373">
        <v>15</v>
      </c>
      <c r="P109" s="636">
        <v>21</v>
      </c>
      <c r="Q109" s="963">
        <v>11</v>
      </c>
      <c r="R109" s="963">
        <v>2</v>
      </c>
    </row>
    <row r="110" spans="1:18" ht="16.5" customHeight="1" x14ac:dyDescent="0.3">
      <c r="A110" s="363" t="s">
        <v>137</v>
      </c>
      <c r="B110" s="364" t="s">
        <v>138</v>
      </c>
      <c r="C110" s="313" t="s">
        <v>252</v>
      </c>
      <c r="D110" s="365">
        <f t="shared" si="9"/>
        <v>361</v>
      </c>
      <c r="E110" s="366">
        <v>109</v>
      </c>
      <c r="F110" s="367">
        <v>192</v>
      </c>
      <c r="G110" s="367">
        <v>0</v>
      </c>
      <c r="H110" s="367">
        <v>0</v>
      </c>
      <c r="I110" s="367">
        <v>0</v>
      </c>
      <c r="J110" s="367">
        <v>59</v>
      </c>
      <c r="K110" s="367">
        <v>1</v>
      </c>
      <c r="L110" s="368">
        <f t="shared" si="10"/>
        <v>59</v>
      </c>
      <c r="M110" s="962"/>
      <c r="N110" s="636">
        <v>34</v>
      </c>
      <c r="O110" s="636">
        <v>81</v>
      </c>
      <c r="P110" s="636">
        <v>133</v>
      </c>
      <c r="Q110" s="963">
        <v>85</v>
      </c>
      <c r="R110" s="963">
        <v>28</v>
      </c>
    </row>
    <row r="111" spans="1:18" ht="16.5" customHeight="1" x14ac:dyDescent="0.3">
      <c r="A111" s="363" t="s">
        <v>141</v>
      </c>
      <c r="B111" s="364" t="s">
        <v>142</v>
      </c>
      <c r="C111" s="313" t="s">
        <v>254</v>
      </c>
      <c r="D111" s="365">
        <f t="shared" si="9"/>
        <v>20</v>
      </c>
      <c r="E111" s="366">
        <v>5</v>
      </c>
      <c r="F111" s="367">
        <v>8</v>
      </c>
      <c r="G111" s="367">
        <v>0</v>
      </c>
      <c r="H111" s="367">
        <v>0</v>
      </c>
      <c r="I111" s="367">
        <v>0</v>
      </c>
      <c r="J111" s="367">
        <v>7</v>
      </c>
      <c r="K111" s="367">
        <v>0</v>
      </c>
      <c r="L111" s="368">
        <f t="shared" si="10"/>
        <v>7</v>
      </c>
      <c r="M111" s="369"/>
      <c r="N111" s="636">
        <v>2</v>
      </c>
      <c r="O111" s="373">
        <v>6</v>
      </c>
      <c r="P111" s="636">
        <v>7</v>
      </c>
      <c r="Q111" s="963">
        <v>2</v>
      </c>
      <c r="R111" s="963">
        <v>3</v>
      </c>
    </row>
    <row r="112" spans="1:18" ht="16.5" customHeight="1" x14ac:dyDescent="0.3">
      <c r="A112" s="363" t="s">
        <v>143</v>
      </c>
      <c r="B112" s="364" t="s">
        <v>144</v>
      </c>
      <c r="C112" s="313" t="s">
        <v>254</v>
      </c>
      <c r="D112" s="365">
        <f t="shared" si="9"/>
        <v>2</v>
      </c>
      <c r="E112" s="366">
        <v>0</v>
      </c>
      <c r="F112" s="367">
        <v>0</v>
      </c>
      <c r="G112" s="635">
        <v>0</v>
      </c>
      <c r="H112" s="635">
        <v>0</v>
      </c>
      <c r="I112" s="635">
        <v>0</v>
      </c>
      <c r="J112" s="635">
        <v>2</v>
      </c>
      <c r="K112" s="367">
        <v>0</v>
      </c>
      <c r="L112" s="368">
        <f t="shared" si="10"/>
        <v>2</v>
      </c>
      <c r="M112" s="636"/>
      <c r="N112" s="636">
        <v>1</v>
      </c>
      <c r="O112" s="636">
        <v>1</v>
      </c>
      <c r="P112" s="636">
        <v>0</v>
      </c>
      <c r="Q112" s="963">
        <v>0</v>
      </c>
      <c r="R112" s="963">
        <v>0</v>
      </c>
    </row>
    <row r="113" spans="1:18" ht="16.5" customHeight="1" x14ac:dyDescent="0.3">
      <c r="A113" s="363" t="s">
        <v>157</v>
      </c>
      <c r="B113" s="364" t="s">
        <v>158</v>
      </c>
      <c r="C113" s="313" t="s">
        <v>251</v>
      </c>
      <c r="D113" s="365">
        <f t="shared" si="9"/>
        <v>284</v>
      </c>
      <c r="E113" s="366">
        <v>61</v>
      </c>
      <c r="F113" s="367">
        <v>183</v>
      </c>
      <c r="G113" s="367">
        <v>3</v>
      </c>
      <c r="H113" s="367">
        <v>0</v>
      </c>
      <c r="I113" s="367">
        <v>0</v>
      </c>
      <c r="J113" s="367">
        <v>35</v>
      </c>
      <c r="K113" s="635">
        <v>2</v>
      </c>
      <c r="L113" s="368">
        <f t="shared" si="10"/>
        <v>38</v>
      </c>
      <c r="M113" s="962"/>
      <c r="N113" s="636">
        <v>25</v>
      </c>
      <c r="O113" s="636">
        <v>42</v>
      </c>
      <c r="P113" s="636">
        <v>108</v>
      </c>
      <c r="Q113" s="963">
        <v>57</v>
      </c>
      <c r="R113" s="963">
        <v>52</v>
      </c>
    </row>
    <row r="114" spans="1:18" ht="16.5" customHeight="1" x14ac:dyDescent="0.3">
      <c r="A114" s="363" t="s">
        <v>159</v>
      </c>
      <c r="B114" s="364" t="s">
        <v>160</v>
      </c>
      <c r="C114" s="313" t="s">
        <v>251</v>
      </c>
      <c r="D114" s="365">
        <f t="shared" si="9"/>
        <v>304</v>
      </c>
      <c r="E114" s="366">
        <v>55</v>
      </c>
      <c r="F114" s="367">
        <v>205</v>
      </c>
      <c r="G114" s="367">
        <v>2</v>
      </c>
      <c r="H114" s="367">
        <v>5</v>
      </c>
      <c r="I114" s="367">
        <v>2</v>
      </c>
      <c r="J114" s="367">
        <v>34</v>
      </c>
      <c r="K114" s="367">
        <v>1</v>
      </c>
      <c r="L114" s="368">
        <f t="shared" si="10"/>
        <v>43</v>
      </c>
      <c r="M114" s="962"/>
      <c r="N114" s="636">
        <v>21</v>
      </c>
      <c r="O114" s="636">
        <v>72</v>
      </c>
      <c r="P114" s="636">
        <v>129</v>
      </c>
      <c r="Q114" s="963">
        <v>54</v>
      </c>
      <c r="R114" s="963">
        <v>28</v>
      </c>
    </row>
    <row r="115" spans="1:18" ht="16.5" customHeight="1" x14ac:dyDescent="0.3">
      <c r="A115" s="363" t="s">
        <v>165</v>
      </c>
      <c r="B115" s="364" t="s">
        <v>166</v>
      </c>
      <c r="C115" s="313" t="s">
        <v>255</v>
      </c>
      <c r="D115" s="365">
        <f t="shared" si="9"/>
        <v>11</v>
      </c>
      <c r="E115" s="366">
        <v>9</v>
      </c>
      <c r="F115" s="367">
        <v>0</v>
      </c>
      <c r="G115" s="635">
        <v>0</v>
      </c>
      <c r="H115" s="635">
        <v>0</v>
      </c>
      <c r="I115" s="635">
        <v>0</v>
      </c>
      <c r="J115" s="635">
        <v>2</v>
      </c>
      <c r="K115" s="367">
        <v>0</v>
      </c>
      <c r="L115" s="368">
        <f t="shared" si="10"/>
        <v>2</v>
      </c>
      <c r="M115" s="962"/>
      <c r="N115" s="636">
        <v>3</v>
      </c>
      <c r="O115" s="636">
        <v>4</v>
      </c>
      <c r="P115" s="636">
        <v>2</v>
      </c>
      <c r="Q115" s="963">
        <v>2</v>
      </c>
      <c r="R115" s="963">
        <v>0</v>
      </c>
    </row>
    <row r="116" spans="1:18" ht="16.5" customHeight="1" x14ac:dyDescent="0.3">
      <c r="A116" s="363" t="s">
        <v>175</v>
      </c>
      <c r="B116" s="364" t="s">
        <v>176</v>
      </c>
      <c r="C116" s="313" t="s">
        <v>253</v>
      </c>
      <c r="D116" s="365">
        <f t="shared" si="9"/>
        <v>115</v>
      </c>
      <c r="E116" s="366">
        <v>26</v>
      </c>
      <c r="F116" s="367">
        <v>66</v>
      </c>
      <c r="G116" s="367">
        <v>0</v>
      </c>
      <c r="H116" s="367">
        <v>0</v>
      </c>
      <c r="I116" s="367">
        <v>0</v>
      </c>
      <c r="J116" s="367">
        <v>20</v>
      </c>
      <c r="K116" s="635">
        <v>3</v>
      </c>
      <c r="L116" s="368">
        <f t="shared" si="10"/>
        <v>20</v>
      </c>
      <c r="M116" s="961"/>
      <c r="N116" s="636">
        <v>10</v>
      </c>
      <c r="O116" s="373">
        <v>35</v>
      </c>
      <c r="P116" s="636">
        <v>45</v>
      </c>
      <c r="Q116" s="963">
        <v>19</v>
      </c>
      <c r="R116" s="963">
        <v>6</v>
      </c>
    </row>
    <row r="117" spans="1:18" ht="16.5" customHeight="1" x14ac:dyDescent="0.3">
      <c r="A117" s="363" t="s">
        <v>179</v>
      </c>
      <c r="B117" s="364" t="s">
        <v>180</v>
      </c>
      <c r="C117" s="313" t="s">
        <v>251</v>
      </c>
      <c r="D117" s="365">
        <f t="shared" si="9"/>
        <v>134</v>
      </c>
      <c r="E117" s="366">
        <v>32</v>
      </c>
      <c r="F117" s="367">
        <v>94</v>
      </c>
      <c r="G117" s="367">
        <v>0</v>
      </c>
      <c r="H117" s="367">
        <v>0</v>
      </c>
      <c r="I117" s="367">
        <v>0</v>
      </c>
      <c r="J117" s="367">
        <v>8</v>
      </c>
      <c r="K117" s="367">
        <v>0</v>
      </c>
      <c r="L117" s="368">
        <f t="shared" si="10"/>
        <v>8</v>
      </c>
      <c r="M117" s="961"/>
      <c r="N117" s="636">
        <v>7</v>
      </c>
      <c r="O117" s="636">
        <v>32</v>
      </c>
      <c r="P117" s="636">
        <v>44</v>
      </c>
      <c r="Q117" s="963">
        <v>39</v>
      </c>
      <c r="R117" s="963">
        <v>12</v>
      </c>
    </row>
    <row r="118" spans="1:18" ht="16.5" customHeight="1" x14ac:dyDescent="0.3">
      <c r="A118" s="363" t="s">
        <v>191</v>
      </c>
      <c r="B118" s="364" t="s">
        <v>192</v>
      </c>
      <c r="C118" s="313" t="s">
        <v>255</v>
      </c>
      <c r="D118" s="365">
        <f t="shared" si="9"/>
        <v>36</v>
      </c>
      <c r="E118" s="366">
        <v>32</v>
      </c>
      <c r="F118" s="367">
        <v>1</v>
      </c>
      <c r="G118" s="367">
        <v>0</v>
      </c>
      <c r="H118" s="367">
        <v>0</v>
      </c>
      <c r="I118" s="367">
        <v>0</v>
      </c>
      <c r="J118" s="367">
        <v>3</v>
      </c>
      <c r="K118" s="367">
        <v>0</v>
      </c>
      <c r="L118" s="368">
        <f t="shared" si="10"/>
        <v>3</v>
      </c>
      <c r="M118" s="369"/>
      <c r="N118" s="636">
        <v>5</v>
      </c>
      <c r="O118" s="636">
        <v>8</v>
      </c>
      <c r="P118" s="636">
        <v>11</v>
      </c>
      <c r="Q118" s="963">
        <v>9</v>
      </c>
      <c r="R118" s="963">
        <v>3</v>
      </c>
    </row>
    <row r="119" spans="1:18" ht="16.5" customHeight="1" x14ac:dyDescent="0.3">
      <c r="A119" s="363" t="s">
        <v>195</v>
      </c>
      <c r="B119" s="364" t="s">
        <v>285</v>
      </c>
      <c r="C119" s="313" t="s">
        <v>253</v>
      </c>
      <c r="D119" s="365">
        <f t="shared" si="9"/>
        <v>357</v>
      </c>
      <c r="E119" s="366">
        <v>36</v>
      </c>
      <c r="F119" s="367">
        <v>288</v>
      </c>
      <c r="G119" s="367">
        <v>0</v>
      </c>
      <c r="H119" s="367">
        <v>2</v>
      </c>
      <c r="I119" s="367">
        <v>0</v>
      </c>
      <c r="J119" s="367">
        <v>25</v>
      </c>
      <c r="K119" s="367">
        <v>6</v>
      </c>
      <c r="L119" s="368">
        <f t="shared" si="10"/>
        <v>27</v>
      </c>
      <c r="M119" s="961"/>
      <c r="N119" s="636">
        <v>22</v>
      </c>
      <c r="O119" s="636">
        <v>71</v>
      </c>
      <c r="P119" s="636">
        <v>123</v>
      </c>
      <c r="Q119" s="963">
        <v>87</v>
      </c>
      <c r="R119" s="963">
        <v>54</v>
      </c>
    </row>
    <row r="120" spans="1:18" ht="16.5" customHeight="1" x14ac:dyDescent="0.3">
      <c r="A120" s="363" t="s">
        <v>199</v>
      </c>
      <c r="B120" s="364" t="s">
        <v>286</v>
      </c>
      <c r="C120" s="313" t="s">
        <v>252</v>
      </c>
      <c r="D120" s="365">
        <f t="shared" si="9"/>
        <v>520</v>
      </c>
      <c r="E120" s="366">
        <v>285</v>
      </c>
      <c r="F120" s="367">
        <v>131</v>
      </c>
      <c r="G120" s="367">
        <v>0</v>
      </c>
      <c r="H120" s="367">
        <v>1</v>
      </c>
      <c r="I120" s="367">
        <v>1</v>
      </c>
      <c r="J120" s="367">
        <v>102</v>
      </c>
      <c r="K120" s="367">
        <v>0</v>
      </c>
      <c r="L120" s="368">
        <f t="shared" si="10"/>
        <v>104</v>
      </c>
      <c r="M120" s="962"/>
      <c r="N120" s="636">
        <v>92</v>
      </c>
      <c r="O120" s="636">
        <v>145</v>
      </c>
      <c r="P120" s="636">
        <v>178</v>
      </c>
      <c r="Q120" s="963">
        <v>75</v>
      </c>
      <c r="R120" s="963">
        <v>30</v>
      </c>
    </row>
    <row r="121" spans="1:18" ht="16.5" customHeight="1" x14ac:dyDescent="0.3">
      <c r="A121" s="363" t="s">
        <v>221</v>
      </c>
      <c r="B121" s="364" t="s">
        <v>222</v>
      </c>
      <c r="C121" s="313" t="s">
        <v>251</v>
      </c>
      <c r="D121" s="365">
        <f t="shared" si="9"/>
        <v>20</v>
      </c>
      <c r="E121" s="366">
        <v>3</v>
      </c>
      <c r="F121" s="367">
        <v>16</v>
      </c>
      <c r="G121" s="367">
        <v>1</v>
      </c>
      <c r="H121" s="367">
        <v>0</v>
      </c>
      <c r="I121" s="367">
        <v>0</v>
      </c>
      <c r="J121" s="367">
        <v>0</v>
      </c>
      <c r="K121" s="367">
        <v>0</v>
      </c>
      <c r="L121" s="368">
        <f t="shared" si="10"/>
        <v>1</v>
      </c>
      <c r="M121" s="369"/>
      <c r="N121" s="636">
        <v>0</v>
      </c>
      <c r="O121" s="636">
        <v>1</v>
      </c>
      <c r="P121" s="636">
        <v>4</v>
      </c>
      <c r="Q121" s="963">
        <v>11</v>
      </c>
      <c r="R121" s="963">
        <v>4</v>
      </c>
    </row>
    <row r="122" spans="1:18" ht="16.5" customHeight="1" x14ac:dyDescent="0.3">
      <c r="A122" s="363" t="s">
        <v>229</v>
      </c>
      <c r="B122" s="364" t="s">
        <v>230</v>
      </c>
      <c r="C122" s="313" t="s">
        <v>251</v>
      </c>
      <c r="D122" s="365">
        <f t="shared" si="9"/>
        <v>295</v>
      </c>
      <c r="E122" s="366">
        <v>155</v>
      </c>
      <c r="F122" s="367">
        <v>82</v>
      </c>
      <c r="G122" s="367">
        <v>0</v>
      </c>
      <c r="H122" s="367">
        <v>2</v>
      </c>
      <c r="I122" s="367">
        <v>1</v>
      </c>
      <c r="J122" s="367">
        <v>55</v>
      </c>
      <c r="K122" s="367">
        <v>0</v>
      </c>
      <c r="L122" s="368">
        <f t="shared" si="10"/>
        <v>58</v>
      </c>
      <c r="M122" s="962"/>
      <c r="N122" s="636">
        <v>55</v>
      </c>
      <c r="O122" s="636">
        <v>54</v>
      </c>
      <c r="P122" s="636">
        <v>117</v>
      </c>
      <c r="Q122" s="963">
        <v>58</v>
      </c>
      <c r="R122" s="963">
        <v>11</v>
      </c>
    </row>
    <row r="123" spans="1:18" ht="16.5" customHeight="1" x14ac:dyDescent="0.3">
      <c r="A123" s="363" t="s">
        <v>237</v>
      </c>
      <c r="B123" s="364" t="s">
        <v>238</v>
      </c>
      <c r="C123" s="313" t="s">
        <v>251</v>
      </c>
      <c r="D123" s="365">
        <f t="shared" si="9"/>
        <v>11</v>
      </c>
      <c r="E123" s="366">
        <v>3</v>
      </c>
      <c r="F123" s="367">
        <v>8</v>
      </c>
      <c r="G123" s="367">
        <v>0</v>
      </c>
      <c r="H123" s="367">
        <v>0</v>
      </c>
      <c r="I123" s="367">
        <v>0</v>
      </c>
      <c r="J123" s="367">
        <v>0</v>
      </c>
      <c r="K123" s="367">
        <v>0</v>
      </c>
      <c r="L123" s="368">
        <f t="shared" si="10"/>
        <v>0</v>
      </c>
      <c r="M123" s="636"/>
      <c r="N123" s="636">
        <v>0</v>
      </c>
      <c r="O123" s="636">
        <v>5</v>
      </c>
      <c r="P123" s="636">
        <v>5</v>
      </c>
      <c r="Q123" s="963">
        <v>1</v>
      </c>
      <c r="R123" s="963">
        <v>0</v>
      </c>
    </row>
    <row r="124" spans="1:18" ht="16.5" customHeight="1" x14ac:dyDescent="0.3">
      <c r="A124" s="363" t="s">
        <v>239</v>
      </c>
      <c r="B124" s="364" t="s">
        <v>240</v>
      </c>
      <c r="C124" s="313" t="s">
        <v>254</v>
      </c>
      <c r="D124" s="365">
        <f>SUM(E124:K124)</f>
        <v>68</v>
      </c>
      <c r="E124" s="366">
        <v>49</v>
      </c>
      <c r="F124" s="367">
        <v>6</v>
      </c>
      <c r="G124" s="367">
        <v>1</v>
      </c>
      <c r="H124" s="367">
        <v>0</v>
      </c>
      <c r="I124" s="367">
        <v>0</v>
      </c>
      <c r="J124" s="367">
        <v>11</v>
      </c>
      <c r="K124" s="367">
        <v>1</v>
      </c>
      <c r="L124" s="368">
        <f t="shared" si="10"/>
        <v>12</v>
      </c>
      <c r="M124" s="961"/>
      <c r="N124" s="636">
        <v>17</v>
      </c>
      <c r="O124" s="636">
        <v>20</v>
      </c>
      <c r="P124" s="636">
        <v>18</v>
      </c>
      <c r="Q124" s="963">
        <v>9</v>
      </c>
      <c r="R124" s="963">
        <v>4</v>
      </c>
    </row>
    <row r="125" spans="1:18" x14ac:dyDescent="0.3">
      <c r="D125" s="368"/>
      <c r="E125" s="368"/>
      <c r="F125" s="368"/>
      <c r="G125" s="368"/>
      <c r="H125" s="368"/>
      <c r="I125" s="368"/>
      <c r="J125" s="368"/>
      <c r="K125" s="368"/>
      <c r="L125" s="368"/>
      <c r="M125" s="368"/>
      <c r="N125" s="368"/>
      <c r="O125" s="368"/>
      <c r="P125" s="368"/>
    </row>
    <row r="126" spans="1:18" ht="32.25" customHeight="1" x14ac:dyDescent="0.3">
      <c r="A126" s="2563" t="s">
        <v>957</v>
      </c>
      <c r="B126" s="2564"/>
      <c r="C126" s="2564"/>
      <c r="D126" s="2564"/>
      <c r="E126" s="2564"/>
      <c r="F126" s="2564"/>
      <c r="G126" s="2564"/>
      <c r="H126" s="2564"/>
      <c r="I126" s="2564"/>
      <c r="J126" s="2564"/>
      <c r="K126" s="2564"/>
      <c r="L126" s="2564"/>
      <c r="M126" s="2564"/>
      <c r="N126" s="374"/>
      <c r="O126" s="374"/>
      <c r="P126" s="374"/>
      <c r="Q126" s="374"/>
      <c r="R126" s="374"/>
    </row>
    <row r="127" spans="1:18" x14ac:dyDescent="0.3">
      <c r="A127" s="173" t="s">
        <v>761</v>
      </c>
    </row>
    <row r="129" spans="1:3" s="193" customFormat="1" x14ac:dyDescent="0.3">
      <c r="A129" s="193" t="s">
        <v>247</v>
      </c>
    </row>
    <row r="130" spans="1:3" s="193" customFormat="1" x14ac:dyDescent="0.3">
      <c r="A130" s="194" t="s">
        <v>248</v>
      </c>
      <c r="B130" s="195" t="s">
        <v>249</v>
      </c>
      <c r="C130" s="195"/>
    </row>
  </sheetData>
  <autoFilter ref="A3:C3"/>
  <sortState ref="A5:R124">
    <sortCondition ref="A5:A124"/>
  </sortState>
  <mergeCells count="1">
    <mergeCell ref="A126:M126"/>
  </mergeCells>
  <hyperlinks>
    <hyperlink ref="B130"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136"/>
  <sheetViews>
    <sheetView workbookViewId="0">
      <pane xSplit="3" ySplit="5" topLeftCell="D111" activePane="bottomRight" state="frozen"/>
      <selection pane="topRight" activeCell="D1" sqref="D1"/>
      <selection pane="bottomLeft" activeCell="A6" sqref="A6"/>
      <selection pane="bottomRight" activeCell="P4" sqref="P4"/>
    </sheetView>
  </sheetViews>
  <sheetFormatPr defaultColWidth="9" defaultRowHeight="15.6" x14ac:dyDescent="0.3"/>
  <cols>
    <col min="1" max="1" width="9.09765625" style="385" customWidth="1"/>
    <col min="2" max="2" width="35.59765625" style="385" customWidth="1"/>
    <col min="3" max="3" width="11.19921875" style="385" customWidth="1"/>
    <col min="4" max="4" width="8.796875" style="426" customWidth="1"/>
    <col min="5" max="5" width="8.09765625" style="426" customWidth="1"/>
    <col min="6" max="7" width="8.796875" style="426" customWidth="1"/>
    <col min="8" max="8" width="9.09765625" style="426" customWidth="1"/>
    <col min="9" max="9" width="8.296875" style="426" customWidth="1"/>
    <col min="10" max="11" width="12.69921875" style="426" customWidth="1"/>
    <col min="12" max="15" width="9" style="426" customWidth="1"/>
    <col min="16" max="16" width="4.796875" style="426" customWidth="1"/>
    <col min="17" max="16384" width="9" style="426"/>
  </cols>
  <sheetData>
    <row r="1" spans="1:17" x14ac:dyDescent="0.3">
      <c r="A1" s="2" t="s">
        <v>949</v>
      </c>
      <c r="B1" s="426"/>
      <c r="C1" s="426"/>
    </row>
    <row r="2" spans="1:17" x14ac:dyDescent="0.3">
      <c r="A2" s="426"/>
      <c r="B2" s="426"/>
      <c r="C2" s="426"/>
    </row>
    <row r="3" spans="1:17" x14ac:dyDescent="0.3">
      <c r="A3" s="426"/>
      <c r="B3" s="426"/>
      <c r="C3" s="426"/>
      <c r="D3" s="2"/>
      <c r="E3" s="2571" t="s">
        <v>503</v>
      </c>
      <c r="F3" s="2569"/>
      <c r="G3" s="2569"/>
      <c r="H3" s="2570"/>
      <c r="I3" s="2568" t="s">
        <v>504</v>
      </c>
      <c r="J3" s="2569"/>
      <c r="K3" s="2570"/>
      <c r="L3" s="2568" t="s">
        <v>539</v>
      </c>
      <c r="M3" s="2569"/>
      <c r="N3" s="2569"/>
      <c r="O3" s="2569"/>
    </row>
    <row r="4" spans="1:17" ht="31.2" x14ac:dyDescent="0.3">
      <c r="A4" s="386" t="s">
        <v>4</v>
      </c>
      <c r="B4" s="398" t="s">
        <v>5</v>
      </c>
      <c r="C4" s="386" t="s">
        <v>250</v>
      </c>
      <c r="D4" s="1069" t="s">
        <v>643</v>
      </c>
      <c r="E4" s="1462" t="s">
        <v>2</v>
      </c>
      <c r="F4" s="1463" t="s">
        <v>298</v>
      </c>
      <c r="G4" s="1463" t="s">
        <v>299</v>
      </c>
      <c r="H4" s="2167" t="s">
        <v>500</v>
      </c>
      <c r="I4" s="1471" t="s">
        <v>825</v>
      </c>
      <c r="J4" s="1472" t="s">
        <v>826</v>
      </c>
      <c r="K4" s="2169" t="s">
        <v>500</v>
      </c>
      <c r="L4" s="1474" t="s">
        <v>381</v>
      </c>
      <c r="M4" s="1067" t="s">
        <v>380</v>
      </c>
      <c r="N4" s="817" t="s">
        <v>952</v>
      </c>
      <c r="O4" s="2170" t="s">
        <v>500</v>
      </c>
    </row>
    <row r="5" spans="1:17" x14ac:dyDescent="0.3">
      <c r="A5" s="515">
        <v>999</v>
      </c>
      <c r="B5" s="516" t="s">
        <v>8</v>
      </c>
      <c r="C5" s="515"/>
      <c r="D5" s="829">
        <f>SUM(D6:D125)</f>
        <v>37398</v>
      </c>
      <c r="E5" s="1464">
        <f t="shared" ref="E5:O5" si="0">SUM(E6:E125)</f>
        <v>22361</v>
      </c>
      <c r="F5" s="1461">
        <f t="shared" si="0"/>
        <v>7564</v>
      </c>
      <c r="G5" s="1461">
        <f t="shared" si="0"/>
        <v>720</v>
      </c>
      <c r="H5" s="2168">
        <f t="shared" ref="H5" si="1">D5-(E5+F5+G5)</f>
        <v>6753</v>
      </c>
      <c r="I5" s="1464">
        <f t="shared" si="0"/>
        <v>7728</v>
      </c>
      <c r="J5" s="1461">
        <f t="shared" si="0"/>
        <v>26808</v>
      </c>
      <c r="K5" s="1473">
        <f t="shared" ref="K5" si="2">D5-(I5+J5)</f>
        <v>2862</v>
      </c>
      <c r="L5" s="1464">
        <f t="shared" si="0"/>
        <v>22105</v>
      </c>
      <c r="M5" s="1461">
        <f t="shared" si="0"/>
        <v>15039</v>
      </c>
      <c r="N5" s="1461">
        <f t="shared" si="0"/>
        <v>22</v>
      </c>
      <c r="O5" s="1461">
        <f t="shared" si="0"/>
        <v>230</v>
      </c>
    </row>
    <row r="6" spans="1:17" x14ac:dyDescent="0.3">
      <c r="A6" s="377" t="s">
        <v>9</v>
      </c>
      <c r="B6" s="378" t="s">
        <v>10</v>
      </c>
      <c r="C6" s="379" t="s">
        <v>251</v>
      </c>
      <c r="D6" s="105">
        <v>255</v>
      </c>
      <c r="E6" s="1465">
        <v>135</v>
      </c>
      <c r="F6" s="229">
        <v>84</v>
      </c>
      <c r="G6" s="229">
        <v>1</v>
      </c>
      <c r="H6" s="1872">
        <v>35</v>
      </c>
      <c r="I6" s="1465">
        <v>54</v>
      </c>
      <c r="J6" s="229">
        <v>179</v>
      </c>
      <c r="K6" s="1136">
        <v>18</v>
      </c>
      <c r="L6" s="1465">
        <v>144</v>
      </c>
      <c r="M6" s="229">
        <v>103</v>
      </c>
      <c r="N6" s="229">
        <v>0</v>
      </c>
      <c r="O6" s="229">
        <v>8</v>
      </c>
    </row>
    <row r="7" spans="1:17" x14ac:dyDescent="0.3">
      <c r="A7" s="377" t="s">
        <v>11</v>
      </c>
      <c r="B7" s="378" t="s">
        <v>12</v>
      </c>
      <c r="C7" s="379" t="s">
        <v>252</v>
      </c>
      <c r="D7" s="105">
        <v>560</v>
      </c>
      <c r="E7" s="1465">
        <v>330</v>
      </c>
      <c r="F7" s="229">
        <v>91</v>
      </c>
      <c r="G7" s="229">
        <v>3</v>
      </c>
      <c r="H7" s="1872">
        <v>136</v>
      </c>
      <c r="I7" s="1465">
        <v>91</v>
      </c>
      <c r="J7" s="229">
        <v>405</v>
      </c>
      <c r="K7" s="1136">
        <v>47</v>
      </c>
      <c r="L7" s="1465">
        <v>325</v>
      </c>
      <c r="M7" s="229">
        <v>229</v>
      </c>
      <c r="N7" s="229">
        <v>0</v>
      </c>
      <c r="O7" s="229">
        <v>6</v>
      </c>
    </row>
    <row r="8" spans="1:17" x14ac:dyDescent="0.3">
      <c r="A8" s="377" t="s">
        <v>15</v>
      </c>
      <c r="B8" s="378" t="s">
        <v>273</v>
      </c>
      <c r="C8" s="379" t="s">
        <v>252</v>
      </c>
      <c r="D8" s="105">
        <v>160</v>
      </c>
      <c r="E8" s="1465">
        <v>112</v>
      </c>
      <c r="F8" s="229">
        <v>16</v>
      </c>
      <c r="G8" s="229">
        <v>0</v>
      </c>
      <c r="H8" s="1872">
        <v>32</v>
      </c>
      <c r="I8" s="1465">
        <v>23</v>
      </c>
      <c r="J8" s="229">
        <v>128</v>
      </c>
      <c r="K8" s="1136">
        <v>8</v>
      </c>
      <c r="L8" s="1465">
        <v>99</v>
      </c>
      <c r="M8" s="229">
        <v>61</v>
      </c>
      <c r="N8" s="229">
        <v>0</v>
      </c>
      <c r="O8" s="229">
        <v>0</v>
      </c>
    </row>
    <row r="9" spans="1:17" x14ac:dyDescent="0.3">
      <c r="A9" s="377" t="s">
        <v>17</v>
      </c>
      <c r="B9" s="378" t="s">
        <v>18</v>
      </c>
      <c r="C9" s="379" t="s">
        <v>253</v>
      </c>
      <c r="D9" s="105">
        <v>63</v>
      </c>
      <c r="E9" s="1465">
        <v>44</v>
      </c>
      <c r="F9" s="229">
        <v>16</v>
      </c>
      <c r="G9" s="229">
        <v>1</v>
      </c>
      <c r="H9" s="1872">
        <v>2</v>
      </c>
      <c r="I9" s="1465">
        <v>8</v>
      </c>
      <c r="J9" s="229">
        <v>52</v>
      </c>
      <c r="K9" s="1136">
        <v>3</v>
      </c>
      <c r="L9" s="1465">
        <v>37</v>
      </c>
      <c r="M9" s="229">
        <v>26</v>
      </c>
      <c r="N9" s="229">
        <v>0</v>
      </c>
      <c r="O9" s="229">
        <v>0</v>
      </c>
    </row>
    <row r="10" spans="1:17" x14ac:dyDescent="0.3">
      <c r="A10" s="377" t="s">
        <v>19</v>
      </c>
      <c r="B10" s="378" t="s">
        <v>20</v>
      </c>
      <c r="C10" s="379" t="s">
        <v>252</v>
      </c>
      <c r="D10" s="105">
        <v>212</v>
      </c>
      <c r="E10" s="1465">
        <v>149</v>
      </c>
      <c r="F10" s="229">
        <v>44</v>
      </c>
      <c r="G10" s="229">
        <v>1</v>
      </c>
      <c r="H10" s="1872">
        <v>18</v>
      </c>
      <c r="I10" s="1465">
        <v>38</v>
      </c>
      <c r="J10" s="229">
        <v>163</v>
      </c>
      <c r="K10" s="1136">
        <v>7</v>
      </c>
      <c r="L10" s="1465">
        <v>118</v>
      </c>
      <c r="M10" s="229">
        <v>94</v>
      </c>
      <c r="N10" s="229">
        <v>0</v>
      </c>
      <c r="O10" s="229">
        <v>0</v>
      </c>
    </row>
    <row r="11" spans="1:17" ht="15.75" customHeight="1" x14ac:dyDescent="0.3">
      <c r="A11" s="377" t="s">
        <v>21</v>
      </c>
      <c r="B11" s="378" t="s">
        <v>22</v>
      </c>
      <c r="C11" s="379" t="s">
        <v>252</v>
      </c>
      <c r="D11" s="105">
        <v>39</v>
      </c>
      <c r="E11" s="1465">
        <v>19</v>
      </c>
      <c r="F11" s="229">
        <v>15</v>
      </c>
      <c r="G11" s="229">
        <v>0</v>
      </c>
      <c r="H11" s="1872">
        <v>5</v>
      </c>
      <c r="I11" s="1465">
        <v>7</v>
      </c>
      <c r="J11" s="229">
        <v>26</v>
      </c>
      <c r="K11" s="1136">
        <v>6</v>
      </c>
      <c r="L11" s="1465">
        <v>27</v>
      </c>
      <c r="M11" s="229">
        <v>12</v>
      </c>
      <c r="N11" s="229">
        <v>0</v>
      </c>
      <c r="O11" s="229">
        <v>0</v>
      </c>
    </row>
    <row r="12" spans="1:17" ht="15.75" customHeight="1" x14ac:dyDescent="0.3">
      <c r="A12" s="377" t="s">
        <v>23</v>
      </c>
      <c r="B12" s="378" t="s">
        <v>24</v>
      </c>
      <c r="C12" s="379" t="s">
        <v>254</v>
      </c>
      <c r="D12" s="766">
        <v>377</v>
      </c>
      <c r="E12" s="1466">
        <v>180</v>
      </c>
      <c r="F12" s="494">
        <v>68</v>
      </c>
      <c r="G12" s="494">
        <v>11</v>
      </c>
      <c r="H12" s="1873">
        <v>118</v>
      </c>
      <c r="I12" s="1466">
        <v>55</v>
      </c>
      <c r="J12" s="494">
        <v>299</v>
      </c>
      <c r="K12" s="1136">
        <v>13</v>
      </c>
      <c r="L12" s="1466">
        <v>210</v>
      </c>
      <c r="M12" s="494">
        <v>158</v>
      </c>
      <c r="N12" s="494">
        <v>0</v>
      </c>
      <c r="O12" s="494">
        <v>9</v>
      </c>
      <c r="P12" s="1458"/>
      <c r="Q12" s="1458"/>
    </row>
    <row r="13" spans="1:17" ht="15.75" customHeight="1" x14ac:dyDescent="0.3">
      <c r="A13" s="377" t="s">
        <v>25</v>
      </c>
      <c r="B13" s="378" t="s">
        <v>274</v>
      </c>
      <c r="C13" s="379" t="s">
        <v>252</v>
      </c>
      <c r="D13" s="105">
        <v>1956</v>
      </c>
      <c r="E13" s="1465">
        <v>1547</v>
      </c>
      <c r="F13" s="229">
        <v>149</v>
      </c>
      <c r="G13" s="229">
        <v>14</v>
      </c>
      <c r="H13" s="1872">
        <v>246</v>
      </c>
      <c r="I13" s="1465">
        <v>522</v>
      </c>
      <c r="J13" s="229">
        <v>1362</v>
      </c>
      <c r="K13" s="1136">
        <v>21</v>
      </c>
      <c r="L13" s="1465">
        <v>1112</v>
      </c>
      <c r="M13" s="229">
        <v>839</v>
      </c>
      <c r="N13" s="229">
        <v>1</v>
      </c>
      <c r="O13" s="229">
        <v>4</v>
      </c>
    </row>
    <row r="14" spans="1:17" ht="15.75" customHeight="1" x14ac:dyDescent="0.3">
      <c r="A14" s="377" t="s">
        <v>26</v>
      </c>
      <c r="B14" s="378" t="s">
        <v>27</v>
      </c>
      <c r="C14" s="379" t="s">
        <v>252</v>
      </c>
      <c r="D14" s="105">
        <v>42</v>
      </c>
      <c r="E14" s="1465">
        <v>34</v>
      </c>
      <c r="F14" s="229">
        <v>3</v>
      </c>
      <c r="G14" s="229">
        <v>0</v>
      </c>
      <c r="H14" s="1872">
        <v>5</v>
      </c>
      <c r="I14" s="1465">
        <v>5</v>
      </c>
      <c r="J14" s="229">
        <v>31</v>
      </c>
      <c r="K14" s="1136">
        <v>4</v>
      </c>
      <c r="L14" s="1465">
        <v>24</v>
      </c>
      <c r="M14" s="229">
        <v>17</v>
      </c>
      <c r="N14" s="229">
        <v>0</v>
      </c>
      <c r="O14" s="229">
        <v>1</v>
      </c>
    </row>
    <row r="15" spans="1:17" ht="15.75" customHeight="1" x14ac:dyDescent="0.3">
      <c r="A15" s="377" t="s">
        <v>28</v>
      </c>
      <c r="B15" s="378" t="s">
        <v>568</v>
      </c>
      <c r="C15" s="379" t="s">
        <v>252</v>
      </c>
      <c r="D15" s="105">
        <v>749</v>
      </c>
      <c r="E15" s="1465">
        <v>570</v>
      </c>
      <c r="F15" s="229">
        <v>74</v>
      </c>
      <c r="G15" s="229">
        <v>11</v>
      </c>
      <c r="H15" s="1872">
        <v>94</v>
      </c>
      <c r="I15" s="1465">
        <v>199</v>
      </c>
      <c r="J15" s="229">
        <v>506</v>
      </c>
      <c r="K15" s="1136">
        <v>39</v>
      </c>
      <c r="L15" s="1465">
        <v>457</v>
      </c>
      <c r="M15" s="229">
        <v>291</v>
      </c>
      <c r="N15" s="229">
        <v>0</v>
      </c>
      <c r="O15" s="229">
        <v>1</v>
      </c>
    </row>
    <row r="16" spans="1:17" ht="15.75" customHeight="1" x14ac:dyDescent="0.3">
      <c r="A16" s="377" t="s">
        <v>29</v>
      </c>
      <c r="B16" s="378" t="s">
        <v>30</v>
      </c>
      <c r="C16" s="379" t="s">
        <v>255</v>
      </c>
      <c r="D16" s="105">
        <v>10</v>
      </c>
      <c r="E16" s="1465">
        <v>10</v>
      </c>
      <c r="F16" s="229">
        <v>0</v>
      </c>
      <c r="G16" s="229">
        <v>0</v>
      </c>
      <c r="H16" s="1872">
        <v>0</v>
      </c>
      <c r="I16" s="1465">
        <v>3</v>
      </c>
      <c r="J16" s="229">
        <v>7</v>
      </c>
      <c r="K16" s="1136">
        <v>0</v>
      </c>
      <c r="L16" s="1465">
        <v>4</v>
      </c>
      <c r="M16" s="229">
        <v>6</v>
      </c>
      <c r="N16" s="229">
        <v>0</v>
      </c>
      <c r="O16" s="229">
        <v>0</v>
      </c>
    </row>
    <row r="17" spans="1:17" ht="15.75" customHeight="1" x14ac:dyDescent="0.3">
      <c r="A17" s="377" t="s">
        <v>31</v>
      </c>
      <c r="B17" s="378" t="s">
        <v>32</v>
      </c>
      <c r="C17" s="379" t="s">
        <v>252</v>
      </c>
      <c r="D17" s="105">
        <v>80</v>
      </c>
      <c r="E17" s="1465">
        <v>53</v>
      </c>
      <c r="F17" s="229">
        <v>3</v>
      </c>
      <c r="G17" s="229">
        <v>0</v>
      </c>
      <c r="H17" s="1872">
        <v>24</v>
      </c>
      <c r="I17" s="1465">
        <v>19</v>
      </c>
      <c r="J17" s="229">
        <v>52</v>
      </c>
      <c r="K17" s="1467">
        <v>6</v>
      </c>
      <c r="L17" s="1465">
        <v>46</v>
      </c>
      <c r="M17" s="229">
        <v>34</v>
      </c>
      <c r="N17" s="229">
        <v>0</v>
      </c>
      <c r="O17" s="229">
        <v>0</v>
      </c>
    </row>
    <row r="18" spans="1:17" ht="15.75" customHeight="1" x14ac:dyDescent="0.3">
      <c r="A18" s="377" t="s">
        <v>35</v>
      </c>
      <c r="B18" s="378" t="s">
        <v>36</v>
      </c>
      <c r="C18" s="379" t="s">
        <v>251</v>
      </c>
      <c r="D18" s="105">
        <v>83</v>
      </c>
      <c r="E18" s="1465">
        <v>25</v>
      </c>
      <c r="F18" s="229">
        <v>51</v>
      </c>
      <c r="G18" s="229">
        <v>0</v>
      </c>
      <c r="H18" s="1872">
        <v>7</v>
      </c>
      <c r="I18" s="1465">
        <v>13</v>
      </c>
      <c r="J18" s="229">
        <v>63</v>
      </c>
      <c r="K18" s="1136">
        <v>5</v>
      </c>
      <c r="L18" s="1465">
        <v>42</v>
      </c>
      <c r="M18" s="229">
        <v>41</v>
      </c>
      <c r="N18" s="229">
        <v>0</v>
      </c>
      <c r="O18" s="229">
        <v>0</v>
      </c>
    </row>
    <row r="19" spans="1:17" ht="15.75" customHeight="1" x14ac:dyDescent="0.3">
      <c r="A19" s="377" t="s">
        <v>37</v>
      </c>
      <c r="B19" s="378" t="s">
        <v>38</v>
      </c>
      <c r="C19" s="379" t="s">
        <v>255</v>
      </c>
      <c r="D19" s="105">
        <v>56</v>
      </c>
      <c r="E19" s="1465">
        <v>55</v>
      </c>
      <c r="F19" s="229">
        <v>0</v>
      </c>
      <c r="G19" s="229">
        <v>0</v>
      </c>
      <c r="H19" s="1872">
        <v>1</v>
      </c>
      <c r="I19" s="1465">
        <v>13</v>
      </c>
      <c r="J19" s="229">
        <v>37</v>
      </c>
      <c r="K19" s="1136">
        <v>5</v>
      </c>
      <c r="L19" s="1465">
        <v>27</v>
      </c>
      <c r="M19" s="229">
        <v>29</v>
      </c>
      <c r="N19" s="229">
        <v>0</v>
      </c>
      <c r="O19" s="229">
        <v>0</v>
      </c>
    </row>
    <row r="20" spans="1:17" ht="15.75" customHeight="1" x14ac:dyDescent="0.3">
      <c r="A20" s="377" t="s">
        <v>39</v>
      </c>
      <c r="B20" s="378" t="s">
        <v>40</v>
      </c>
      <c r="C20" s="379" t="s">
        <v>253</v>
      </c>
      <c r="D20" s="105">
        <v>44</v>
      </c>
      <c r="E20" s="1465">
        <v>26</v>
      </c>
      <c r="F20" s="229">
        <v>14</v>
      </c>
      <c r="G20" s="229">
        <v>0</v>
      </c>
      <c r="H20" s="1872">
        <v>4</v>
      </c>
      <c r="I20" s="1465">
        <v>3</v>
      </c>
      <c r="J20" s="229">
        <v>37</v>
      </c>
      <c r="K20" s="1136">
        <v>4</v>
      </c>
      <c r="L20" s="1465">
        <v>29</v>
      </c>
      <c r="M20" s="229">
        <v>14</v>
      </c>
      <c r="N20" s="229">
        <v>0</v>
      </c>
      <c r="O20" s="229">
        <v>1</v>
      </c>
    </row>
    <row r="21" spans="1:17" ht="15.75" customHeight="1" x14ac:dyDescent="0.3">
      <c r="A21" s="377" t="s">
        <v>41</v>
      </c>
      <c r="B21" s="378" t="s">
        <v>42</v>
      </c>
      <c r="C21" s="379" t="s">
        <v>252</v>
      </c>
      <c r="D21" s="105">
        <v>306</v>
      </c>
      <c r="E21" s="1465">
        <v>239</v>
      </c>
      <c r="F21" s="229">
        <v>46</v>
      </c>
      <c r="G21" s="229">
        <v>0</v>
      </c>
      <c r="H21" s="1872">
        <v>21</v>
      </c>
      <c r="I21" s="1465">
        <v>49</v>
      </c>
      <c r="J21" s="229">
        <v>252</v>
      </c>
      <c r="K21" s="1136">
        <v>1</v>
      </c>
      <c r="L21" s="1465">
        <v>185</v>
      </c>
      <c r="M21" s="229">
        <v>121</v>
      </c>
      <c r="N21" s="229">
        <v>0</v>
      </c>
      <c r="O21" s="229">
        <v>0</v>
      </c>
    </row>
    <row r="22" spans="1:17" x14ac:dyDescent="0.3">
      <c r="A22" s="377" t="s">
        <v>43</v>
      </c>
      <c r="B22" s="378" t="s">
        <v>44</v>
      </c>
      <c r="C22" s="379" t="s">
        <v>253</v>
      </c>
      <c r="D22" s="105">
        <v>139</v>
      </c>
      <c r="E22" s="1465">
        <v>78</v>
      </c>
      <c r="F22" s="229">
        <v>24</v>
      </c>
      <c r="G22" s="229">
        <v>2</v>
      </c>
      <c r="H22" s="1872">
        <v>35</v>
      </c>
      <c r="I22" s="1465">
        <v>28</v>
      </c>
      <c r="J22" s="229">
        <v>95</v>
      </c>
      <c r="K22" s="1136">
        <v>12</v>
      </c>
      <c r="L22" s="1465">
        <v>82</v>
      </c>
      <c r="M22" s="229">
        <v>53</v>
      </c>
      <c r="N22" s="229">
        <v>0</v>
      </c>
      <c r="O22" s="229">
        <v>4</v>
      </c>
    </row>
    <row r="23" spans="1:17" ht="15.75" customHeight="1" x14ac:dyDescent="0.3">
      <c r="A23" s="377" t="s">
        <v>45</v>
      </c>
      <c r="B23" s="378" t="s">
        <v>46</v>
      </c>
      <c r="C23" s="379" t="s">
        <v>255</v>
      </c>
      <c r="D23" s="105">
        <v>213</v>
      </c>
      <c r="E23" s="1465">
        <v>190</v>
      </c>
      <c r="F23" s="229">
        <v>2</v>
      </c>
      <c r="G23" s="229">
        <v>0</v>
      </c>
      <c r="H23" s="1872">
        <v>21</v>
      </c>
      <c r="I23" s="1465">
        <v>52</v>
      </c>
      <c r="J23" s="229">
        <v>149</v>
      </c>
      <c r="K23" s="1136">
        <v>11</v>
      </c>
      <c r="L23" s="1465">
        <v>107</v>
      </c>
      <c r="M23" s="229">
        <v>104</v>
      </c>
      <c r="N23" s="229">
        <v>0</v>
      </c>
      <c r="O23" s="229">
        <v>2</v>
      </c>
    </row>
    <row r="24" spans="1:17" x14ac:dyDescent="0.3">
      <c r="A24" s="377" t="s">
        <v>47</v>
      </c>
      <c r="B24" s="378" t="s">
        <v>256</v>
      </c>
      <c r="C24" s="379" t="s">
        <v>253</v>
      </c>
      <c r="D24" s="105">
        <v>22</v>
      </c>
      <c r="E24" s="1465">
        <v>6</v>
      </c>
      <c r="F24" s="229">
        <v>13</v>
      </c>
      <c r="G24" s="229">
        <v>0</v>
      </c>
      <c r="H24" s="1872">
        <v>3</v>
      </c>
      <c r="I24" s="1465">
        <v>6</v>
      </c>
      <c r="J24" s="229">
        <v>16</v>
      </c>
      <c r="K24" s="1136">
        <v>0</v>
      </c>
      <c r="L24" s="1465">
        <v>13</v>
      </c>
      <c r="M24" s="229">
        <v>9</v>
      </c>
      <c r="N24" s="229">
        <v>0</v>
      </c>
      <c r="O24" s="229">
        <v>0</v>
      </c>
    </row>
    <row r="25" spans="1:17" ht="15.75" customHeight="1" x14ac:dyDescent="0.3">
      <c r="A25" s="377" t="s">
        <v>49</v>
      </c>
      <c r="B25" s="378" t="s">
        <v>50</v>
      </c>
      <c r="C25" s="379" t="s">
        <v>252</v>
      </c>
      <c r="D25" s="105">
        <v>38</v>
      </c>
      <c r="E25" s="1465">
        <v>17</v>
      </c>
      <c r="F25" s="229">
        <v>15</v>
      </c>
      <c r="G25" s="229">
        <v>0</v>
      </c>
      <c r="H25" s="1872">
        <v>6</v>
      </c>
      <c r="I25" s="1465">
        <v>5</v>
      </c>
      <c r="J25" s="229">
        <v>29</v>
      </c>
      <c r="K25" s="1136">
        <v>4</v>
      </c>
      <c r="L25" s="1465">
        <v>19</v>
      </c>
      <c r="M25" s="229">
        <v>18</v>
      </c>
      <c r="N25" s="229">
        <v>0</v>
      </c>
      <c r="O25" s="229">
        <v>1</v>
      </c>
    </row>
    <row r="26" spans="1:17" x14ac:dyDescent="0.3">
      <c r="A26" s="377" t="s">
        <v>55</v>
      </c>
      <c r="B26" s="378" t="s">
        <v>271</v>
      </c>
      <c r="C26" s="379" t="s">
        <v>253</v>
      </c>
      <c r="D26" s="105">
        <v>947</v>
      </c>
      <c r="E26" s="1465">
        <v>533</v>
      </c>
      <c r="F26" s="229">
        <v>231</v>
      </c>
      <c r="G26" s="229">
        <v>18</v>
      </c>
      <c r="H26" s="1872">
        <v>165</v>
      </c>
      <c r="I26" s="1465">
        <v>275</v>
      </c>
      <c r="J26" s="229">
        <v>600</v>
      </c>
      <c r="K26" s="1136">
        <v>42</v>
      </c>
      <c r="L26" s="1465">
        <v>561</v>
      </c>
      <c r="M26" s="229">
        <v>381</v>
      </c>
      <c r="N26" s="229">
        <v>2</v>
      </c>
      <c r="O26" s="229">
        <v>3</v>
      </c>
    </row>
    <row r="27" spans="1:17" ht="15.75" customHeight="1" x14ac:dyDescent="0.3">
      <c r="A27" s="377" t="s">
        <v>57</v>
      </c>
      <c r="B27" s="378" t="s">
        <v>58</v>
      </c>
      <c r="C27" s="379" t="s">
        <v>254</v>
      </c>
      <c r="D27" s="766">
        <v>120</v>
      </c>
      <c r="E27" s="1466">
        <v>63</v>
      </c>
      <c r="F27" s="494">
        <v>7</v>
      </c>
      <c r="G27" s="494">
        <v>2</v>
      </c>
      <c r="H27" s="1872">
        <v>48</v>
      </c>
      <c r="I27" s="1466">
        <v>12</v>
      </c>
      <c r="J27" s="494">
        <v>79</v>
      </c>
      <c r="K27" s="1136">
        <v>27</v>
      </c>
      <c r="L27" s="1466">
        <v>74</v>
      </c>
      <c r="M27" s="494">
        <v>45</v>
      </c>
      <c r="N27" s="494">
        <v>0</v>
      </c>
      <c r="O27" s="494">
        <v>1</v>
      </c>
      <c r="P27" s="1458"/>
      <c r="Q27" s="1458"/>
    </row>
    <row r="28" spans="1:17" ht="15.75" customHeight="1" x14ac:dyDescent="0.3">
      <c r="A28" s="377" t="s">
        <v>59</v>
      </c>
      <c r="B28" s="378" t="s">
        <v>60</v>
      </c>
      <c r="C28" s="379" t="s">
        <v>252</v>
      </c>
      <c r="D28" s="105">
        <v>20</v>
      </c>
      <c r="E28" s="1465">
        <v>20</v>
      </c>
      <c r="F28" s="229">
        <v>0</v>
      </c>
      <c r="G28" s="229">
        <v>0</v>
      </c>
      <c r="H28" s="1872">
        <v>0</v>
      </c>
      <c r="I28" s="1465">
        <v>2</v>
      </c>
      <c r="J28" s="229">
        <v>11</v>
      </c>
      <c r="K28" s="1136">
        <v>5</v>
      </c>
      <c r="L28" s="1465">
        <v>17</v>
      </c>
      <c r="M28" s="229">
        <v>3</v>
      </c>
      <c r="N28" s="229">
        <v>0</v>
      </c>
      <c r="O28" s="229">
        <v>0</v>
      </c>
    </row>
    <row r="29" spans="1:17" ht="15.75" customHeight="1" x14ac:dyDescent="0.3">
      <c r="A29" s="377" t="s">
        <v>61</v>
      </c>
      <c r="B29" s="378" t="s">
        <v>62</v>
      </c>
      <c r="C29" s="379" t="s">
        <v>254</v>
      </c>
      <c r="D29" s="766">
        <v>240</v>
      </c>
      <c r="E29" s="1466">
        <v>175</v>
      </c>
      <c r="F29" s="494">
        <v>30</v>
      </c>
      <c r="G29" s="494">
        <v>1</v>
      </c>
      <c r="H29" s="1872">
        <v>34</v>
      </c>
      <c r="I29" s="1466">
        <v>55</v>
      </c>
      <c r="J29" s="494">
        <v>177</v>
      </c>
      <c r="K29" s="1136">
        <v>4</v>
      </c>
      <c r="L29" s="1466">
        <v>138</v>
      </c>
      <c r="M29" s="494">
        <v>98</v>
      </c>
      <c r="N29" s="494">
        <v>0</v>
      </c>
      <c r="O29" s="494">
        <v>4</v>
      </c>
      <c r="P29" s="1458"/>
      <c r="Q29" s="1458"/>
    </row>
    <row r="30" spans="1:17" x14ac:dyDescent="0.3">
      <c r="A30" s="377" t="s">
        <v>63</v>
      </c>
      <c r="B30" s="378" t="s">
        <v>64</v>
      </c>
      <c r="C30" s="379" t="s">
        <v>253</v>
      </c>
      <c r="D30" s="105">
        <v>41</v>
      </c>
      <c r="E30" s="1465">
        <v>23</v>
      </c>
      <c r="F30" s="229">
        <v>17</v>
      </c>
      <c r="G30" s="229">
        <v>0</v>
      </c>
      <c r="H30" s="1872">
        <v>1</v>
      </c>
      <c r="I30" s="1465">
        <v>5</v>
      </c>
      <c r="J30" s="229">
        <v>35</v>
      </c>
      <c r="K30" s="1136">
        <v>1</v>
      </c>
      <c r="L30" s="1465">
        <v>23</v>
      </c>
      <c r="M30" s="229">
        <v>18</v>
      </c>
      <c r="N30" s="229">
        <v>0</v>
      </c>
      <c r="O30" s="229">
        <v>0</v>
      </c>
    </row>
    <row r="31" spans="1:17" ht="15.75" customHeight="1" x14ac:dyDescent="0.3">
      <c r="A31" s="377" t="s">
        <v>67</v>
      </c>
      <c r="B31" s="378" t="s">
        <v>68</v>
      </c>
      <c r="C31" s="379" t="s">
        <v>255</v>
      </c>
      <c r="D31" s="105">
        <v>53</v>
      </c>
      <c r="E31" s="1465">
        <v>48</v>
      </c>
      <c r="F31" s="229">
        <v>1</v>
      </c>
      <c r="G31" s="229">
        <v>0</v>
      </c>
      <c r="H31" s="1872">
        <v>4</v>
      </c>
      <c r="I31" s="1465">
        <v>3</v>
      </c>
      <c r="J31" s="229">
        <v>48</v>
      </c>
      <c r="K31" s="1136">
        <v>2</v>
      </c>
      <c r="L31" s="1465">
        <v>39</v>
      </c>
      <c r="M31" s="229">
        <v>14</v>
      </c>
      <c r="N31" s="229">
        <v>0</v>
      </c>
      <c r="O31" s="229">
        <v>0</v>
      </c>
    </row>
    <row r="32" spans="1:17" ht="15.75" customHeight="1" x14ac:dyDescent="0.3">
      <c r="A32" s="377" t="s">
        <v>69</v>
      </c>
      <c r="B32" s="378" t="s">
        <v>70</v>
      </c>
      <c r="C32" s="379" t="s">
        <v>251</v>
      </c>
      <c r="D32" s="105">
        <v>76</v>
      </c>
      <c r="E32" s="1465">
        <v>37</v>
      </c>
      <c r="F32" s="229">
        <v>28</v>
      </c>
      <c r="G32" s="229">
        <v>3</v>
      </c>
      <c r="H32" s="1872">
        <v>8</v>
      </c>
      <c r="I32" s="1465">
        <v>36</v>
      </c>
      <c r="J32" s="229">
        <v>32</v>
      </c>
      <c r="K32" s="1136">
        <v>6</v>
      </c>
      <c r="L32" s="1465">
        <v>36</v>
      </c>
      <c r="M32" s="229">
        <v>38</v>
      </c>
      <c r="N32" s="229">
        <v>1</v>
      </c>
      <c r="O32" s="229">
        <v>1</v>
      </c>
    </row>
    <row r="33" spans="1:17" ht="15.75" customHeight="1" x14ac:dyDescent="0.3">
      <c r="A33" s="377" t="s">
        <v>71</v>
      </c>
      <c r="B33" s="378" t="s">
        <v>72</v>
      </c>
      <c r="C33" s="379" t="s">
        <v>253</v>
      </c>
      <c r="D33" s="105">
        <v>56</v>
      </c>
      <c r="E33" s="1465">
        <v>25</v>
      </c>
      <c r="F33" s="229">
        <v>23</v>
      </c>
      <c r="G33" s="229">
        <v>0</v>
      </c>
      <c r="H33" s="1872">
        <v>8</v>
      </c>
      <c r="I33" s="1465">
        <v>8</v>
      </c>
      <c r="J33" s="229">
        <v>35</v>
      </c>
      <c r="K33" s="1136">
        <v>12</v>
      </c>
      <c r="L33" s="1465">
        <v>30</v>
      </c>
      <c r="M33" s="229">
        <v>26</v>
      </c>
      <c r="N33" s="229">
        <v>0</v>
      </c>
      <c r="O33" s="229">
        <v>0</v>
      </c>
    </row>
    <row r="34" spans="1:17" x14ac:dyDescent="0.3">
      <c r="A34" s="377" t="s">
        <v>73</v>
      </c>
      <c r="B34" s="378" t="s">
        <v>426</v>
      </c>
      <c r="C34" s="379" t="s">
        <v>254</v>
      </c>
      <c r="D34" s="766">
        <v>3094</v>
      </c>
      <c r="E34" s="1466">
        <v>1620</v>
      </c>
      <c r="F34" s="494">
        <v>342</v>
      </c>
      <c r="G34" s="494">
        <v>267</v>
      </c>
      <c r="H34" s="1872">
        <v>864</v>
      </c>
      <c r="I34" s="1466">
        <v>576</v>
      </c>
      <c r="J34" s="494">
        <v>2390</v>
      </c>
      <c r="K34" s="1136">
        <v>59</v>
      </c>
      <c r="L34" s="1466">
        <v>1748</v>
      </c>
      <c r="M34" s="494">
        <v>1305</v>
      </c>
      <c r="N34" s="494">
        <v>3</v>
      </c>
      <c r="O34" s="494">
        <v>37</v>
      </c>
      <c r="P34" s="1458"/>
      <c r="Q34" s="1458"/>
    </row>
    <row r="35" spans="1:17" ht="15.75" customHeight="1" x14ac:dyDescent="0.3">
      <c r="A35" s="377" t="s">
        <v>75</v>
      </c>
      <c r="B35" s="378" t="s">
        <v>76</v>
      </c>
      <c r="C35" s="379" t="s">
        <v>254</v>
      </c>
      <c r="D35" s="766">
        <v>544</v>
      </c>
      <c r="E35" s="1466">
        <v>387</v>
      </c>
      <c r="F35" s="494">
        <v>115</v>
      </c>
      <c r="G35" s="494">
        <v>8</v>
      </c>
      <c r="H35" s="1872">
        <v>34</v>
      </c>
      <c r="I35" s="1466">
        <v>123</v>
      </c>
      <c r="J35" s="494">
        <v>382</v>
      </c>
      <c r="K35" s="1136">
        <v>27</v>
      </c>
      <c r="L35" s="1466">
        <v>323</v>
      </c>
      <c r="M35" s="494">
        <v>217</v>
      </c>
      <c r="N35" s="494">
        <v>3</v>
      </c>
      <c r="O35" s="494">
        <v>1</v>
      </c>
      <c r="P35" s="1458"/>
      <c r="Q35" s="1458"/>
    </row>
    <row r="36" spans="1:17" x14ac:dyDescent="0.3">
      <c r="A36" s="377" t="s">
        <v>77</v>
      </c>
      <c r="B36" s="378" t="s">
        <v>78</v>
      </c>
      <c r="C36" s="379" t="s">
        <v>255</v>
      </c>
      <c r="D36" s="105">
        <v>62</v>
      </c>
      <c r="E36" s="1465">
        <v>53</v>
      </c>
      <c r="F36" s="229">
        <v>4</v>
      </c>
      <c r="G36" s="229">
        <v>0</v>
      </c>
      <c r="H36" s="1872">
        <v>5</v>
      </c>
      <c r="I36" s="1465">
        <v>5</v>
      </c>
      <c r="J36" s="229">
        <v>54</v>
      </c>
      <c r="K36" s="1136">
        <v>2</v>
      </c>
      <c r="L36" s="1465">
        <v>37</v>
      </c>
      <c r="M36" s="229">
        <v>25</v>
      </c>
      <c r="N36" s="229">
        <v>0</v>
      </c>
      <c r="O36" s="229">
        <v>0</v>
      </c>
    </row>
    <row r="37" spans="1:17" x14ac:dyDescent="0.3">
      <c r="A37" s="377" t="s">
        <v>79</v>
      </c>
      <c r="B37" s="378" t="s">
        <v>80</v>
      </c>
      <c r="C37" s="379" t="s">
        <v>253</v>
      </c>
      <c r="D37" s="105">
        <v>139</v>
      </c>
      <c r="E37" s="1465">
        <v>100</v>
      </c>
      <c r="F37" s="229">
        <v>30</v>
      </c>
      <c r="G37" s="229">
        <v>0</v>
      </c>
      <c r="H37" s="1872">
        <v>9</v>
      </c>
      <c r="I37" s="1465">
        <v>26</v>
      </c>
      <c r="J37" s="229">
        <v>100</v>
      </c>
      <c r="K37" s="1136">
        <v>9</v>
      </c>
      <c r="L37" s="1465">
        <v>94</v>
      </c>
      <c r="M37" s="229">
        <v>45</v>
      </c>
      <c r="N37" s="229">
        <v>0</v>
      </c>
      <c r="O37" s="229">
        <v>0</v>
      </c>
    </row>
    <row r="38" spans="1:17" x14ac:dyDescent="0.3">
      <c r="A38" s="377" t="s">
        <v>83</v>
      </c>
      <c r="B38" s="378" t="s">
        <v>84</v>
      </c>
      <c r="C38" s="379" t="s">
        <v>252</v>
      </c>
      <c r="D38" s="105">
        <v>312</v>
      </c>
      <c r="E38" s="1465">
        <v>200</v>
      </c>
      <c r="F38" s="229">
        <v>27</v>
      </c>
      <c r="G38" s="229">
        <v>5</v>
      </c>
      <c r="H38" s="1872">
        <v>80</v>
      </c>
      <c r="I38" s="1465">
        <v>58</v>
      </c>
      <c r="J38" s="229">
        <v>225</v>
      </c>
      <c r="K38" s="1136">
        <v>27</v>
      </c>
      <c r="L38" s="1465">
        <v>189</v>
      </c>
      <c r="M38" s="229">
        <v>116</v>
      </c>
      <c r="N38" s="229">
        <v>0</v>
      </c>
      <c r="O38" s="229">
        <v>7</v>
      </c>
    </row>
    <row r="39" spans="1:17" x14ac:dyDescent="0.3">
      <c r="A39" s="377" t="s">
        <v>85</v>
      </c>
      <c r="B39" s="378" t="s">
        <v>86</v>
      </c>
      <c r="C39" s="379" t="s">
        <v>254</v>
      </c>
      <c r="D39" s="766">
        <v>408</v>
      </c>
      <c r="E39" s="1466">
        <v>364</v>
      </c>
      <c r="F39" s="494">
        <v>16</v>
      </c>
      <c r="G39" s="494">
        <v>0</v>
      </c>
      <c r="H39" s="1872">
        <v>28</v>
      </c>
      <c r="I39" s="1466">
        <v>77</v>
      </c>
      <c r="J39" s="494">
        <v>315</v>
      </c>
      <c r="K39" s="1136">
        <v>7</v>
      </c>
      <c r="L39" s="1466">
        <v>242</v>
      </c>
      <c r="M39" s="494">
        <v>166</v>
      </c>
      <c r="N39" s="494">
        <v>0</v>
      </c>
      <c r="O39" s="494">
        <v>0</v>
      </c>
      <c r="P39" s="1458"/>
      <c r="Q39" s="1458"/>
    </row>
    <row r="40" spans="1:17" x14ac:dyDescent="0.3">
      <c r="A40" s="377" t="s">
        <v>91</v>
      </c>
      <c r="B40" s="378" t="s">
        <v>92</v>
      </c>
      <c r="C40" s="379" t="s">
        <v>255</v>
      </c>
      <c r="D40" s="766">
        <v>119</v>
      </c>
      <c r="E40" s="1466">
        <v>105</v>
      </c>
      <c r="F40" s="494">
        <v>2</v>
      </c>
      <c r="G40" s="494">
        <v>0</v>
      </c>
      <c r="H40" s="1872">
        <v>12</v>
      </c>
      <c r="I40" s="1466">
        <v>42</v>
      </c>
      <c r="J40" s="494">
        <v>70</v>
      </c>
      <c r="K40" s="1136">
        <v>6</v>
      </c>
      <c r="L40" s="1466">
        <v>68</v>
      </c>
      <c r="M40" s="494">
        <v>50</v>
      </c>
      <c r="N40" s="494">
        <v>0</v>
      </c>
      <c r="O40" s="494">
        <v>1</v>
      </c>
    </row>
    <row r="41" spans="1:17" x14ac:dyDescent="0.3">
      <c r="A41" s="377" t="s">
        <v>93</v>
      </c>
      <c r="B41" s="378" t="s">
        <v>94</v>
      </c>
      <c r="C41" s="379" t="s">
        <v>251</v>
      </c>
      <c r="D41" s="105">
        <v>224</v>
      </c>
      <c r="E41" s="1465">
        <v>158</v>
      </c>
      <c r="F41" s="229">
        <v>30</v>
      </c>
      <c r="G41" s="229">
        <v>1</v>
      </c>
      <c r="H41" s="1872">
        <v>35</v>
      </c>
      <c r="I41" s="1465">
        <v>32</v>
      </c>
      <c r="J41" s="229">
        <v>179</v>
      </c>
      <c r="K41" s="1136">
        <v>10</v>
      </c>
      <c r="L41" s="1465">
        <v>137</v>
      </c>
      <c r="M41" s="229">
        <v>86</v>
      </c>
      <c r="N41" s="229">
        <v>0</v>
      </c>
      <c r="O41" s="229">
        <v>1</v>
      </c>
    </row>
    <row r="42" spans="1:17" x14ac:dyDescent="0.3">
      <c r="A42" s="377" t="s">
        <v>95</v>
      </c>
      <c r="B42" s="378" t="s">
        <v>96</v>
      </c>
      <c r="C42" s="379" t="s">
        <v>253</v>
      </c>
      <c r="D42" s="105">
        <v>85</v>
      </c>
      <c r="E42" s="1465">
        <v>43</v>
      </c>
      <c r="F42" s="229">
        <v>24</v>
      </c>
      <c r="G42" s="229">
        <v>0</v>
      </c>
      <c r="H42" s="1872">
        <v>18</v>
      </c>
      <c r="I42" s="1465">
        <v>15</v>
      </c>
      <c r="J42" s="229">
        <v>66</v>
      </c>
      <c r="K42" s="1136">
        <v>4</v>
      </c>
      <c r="L42" s="1465">
        <v>43</v>
      </c>
      <c r="M42" s="229">
        <v>42</v>
      </c>
      <c r="N42" s="229">
        <v>0</v>
      </c>
      <c r="O42" s="229">
        <v>0</v>
      </c>
    </row>
    <row r="43" spans="1:17" x14ac:dyDescent="0.3">
      <c r="A43" s="377" t="s">
        <v>97</v>
      </c>
      <c r="B43" s="378" t="s">
        <v>98</v>
      </c>
      <c r="C43" s="379" t="s">
        <v>255</v>
      </c>
      <c r="D43" s="105">
        <v>108</v>
      </c>
      <c r="E43" s="1465">
        <v>101</v>
      </c>
      <c r="F43" s="229">
        <v>2</v>
      </c>
      <c r="G43" s="229">
        <v>0</v>
      </c>
      <c r="H43" s="1872">
        <v>5</v>
      </c>
      <c r="I43" s="1465">
        <v>36</v>
      </c>
      <c r="J43" s="229">
        <v>64</v>
      </c>
      <c r="K43" s="1136">
        <v>4</v>
      </c>
      <c r="L43" s="1465">
        <v>60</v>
      </c>
      <c r="M43" s="229">
        <v>48</v>
      </c>
      <c r="N43" s="229">
        <v>0</v>
      </c>
      <c r="O43" s="229">
        <v>0</v>
      </c>
    </row>
    <row r="44" spans="1:17" x14ac:dyDescent="0.3">
      <c r="A44" s="377" t="s">
        <v>99</v>
      </c>
      <c r="B44" s="378" t="s">
        <v>100</v>
      </c>
      <c r="C44" s="379" t="s">
        <v>254</v>
      </c>
      <c r="D44" s="766">
        <v>85</v>
      </c>
      <c r="E44" s="1466">
        <v>54</v>
      </c>
      <c r="F44" s="494">
        <v>12</v>
      </c>
      <c r="G44" s="494">
        <v>0</v>
      </c>
      <c r="H44" s="1872">
        <v>19</v>
      </c>
      <c r="I44" s="1466">
        <v>17</v>
      </c>
      <c r="J44" s="494">
        <v>62</v>
      </c>
      <c r="K44" s="1136">
        <v>5</v>
      </c>
      <c r="L44" s="1466">
        <v>46</v>
      </c>
      <c r="M44" s="494">
        <v>39</v>
      </c>
      <c r="N44" s="494">
        <v>0</v>
      </c>
      <c r="O44" s="494">
        <v>0</v>
      </c>
      <c r="P44" s="1458"/>
      <c r="Q44" s="1458"/>
    </row>
    <row r="45" spans="1:17" x14ac:dyDescent="0.3">
      <c r="A45" s="377" t="s">
        <v>101</v>
      </c>
      <c r="B45" s="378" t="s">
        <v>263</v>
      </c>
      <c r="C45" s="379" t="s">
        <v>251</v>
      </c>
      <c r="D45" s="105">
        <v>35</v>
      </c>
      <c r="E45" s="1465">
        <v>5</v>
      </c>
      <c r="F45" s="229">
        <v>26</v>
      </c>
      <c r="G45" s="229">
        <v>0</v>
      </c>
      <c r="H45" s="1872">
        <v>4</v>
      </c>
      <c r="I45" s="1465">
        <v>6</v>
      </c>
      <c r="J45" s="229">
        <v>25</v>
      </c>
      <c r="K45" s="1136">
        <v>2</v>
      </c>
      <c r="L45" s="1465">
        <v>20</v>
      </c>
      <c r="M45" s="229">
        <v>15</v>
      </c>
      <c r="N45" s="229">
        <v>0</v>
      </c>
      <c r="O45" s="229">
        <v>0</v>
      </c>
    </row>
    <row r="46" spans="1:17" x14ac:dyDescent="0.3">
      <c r="A46" s="377" t="s">
        <v>103</v>
      </c>
      <c r="B46" s="378" t="s">
        <v>104</v>
      </c>
      <c r="C46" s="379" t="s">
        <v>252</v>
      </c>
      <c r="D46" s="105">
        <v>65</v>
      </c>
      <c r="E46" s="1465">
        <v>25</v>
      </c>
      <c r="F46" s="229">
        <v>31</v>
      </c>
      <c r="G46" s="229">
        <v>0</v>
      </c>
      <c r="H46" s="1872">
        <v>9</v>
      </c>
      <c r="I46" s="1465">
        <v>10</v>
      </c>
      <c r="J46" s="229">
        <v>54</v>
      </c>
      <c r="K46" s="1136">
        <v>1</v>
      </c>
      <c r="L46" s="1465">
        <v>40</v>
      </c>
      <c r="M46" s="229">
        <v>24</v>
      </c>
      <c r="N46" s="229">
        <v>0</v>
      </c>
      <c r="O46" s="229">
        <v>1</v>
      </c>
    </row>
    <row r="47" spans="1:17" x14ac:dyDescent="0.3">
      <c r="A47" s="377" t="s">
        <v>107</v>
      </c>
      <c r="B47" s="378" t="s">
        <v>108</v>
      </c>
      <c r="C47" s="379" t="s">
        <v>253</v>
      </c>
      <c r="D47" s="105">
        <v>364</v>
      </c>
      <c r="E47" s="1465">
        <v>218</v>
      </c>
      <c r="F47" s="229">
        <v>60</v>
      </c>
      <c r="G47" s="229">
        <v>6</v>
      </c>
      <c r="H47" s="1872">
        <v>80</v>
      </c>
      <c r="I47" s="1465">
        <v>63</v>
      </c>
      <c r="J47" s="229">
        <v>263</v>
      </c>
      <c r="K47" s="1136">
        <v>23</v>
      </c>
      <c r="L47" s="1465">
        <v>222</v>
      </c>
      <c r="M47" s="229">
        <v>137</v>
      </c>
      <c r="N47" s="229">
        <v>0</v>
      </c>
      <c r="O47" s="229">
        <v>5</v>
      </c>
    </row>
    <row r="48" spans="1:17" x14ac:dyDescent="0.3">
      <c r="A48" s="377" t="s">
        <v>109</v>
      </c>
      <c r="B48" s="378" t="s">
        <v>110</v>
      </c>
      <c r="C48" s="379" t="s">
        <v>253</v>
      </c>
      <c r="D48" s="105">
        <v>1560</v>
      </c>
      <c r="E48" s="1465">
        <v>714</v>
      </c>
      <c r="F48" s="229">
        <v>458</v>
      </c>
      <c r="G48" s="229">
        <v>17</v>
      </c>
      <c r="H48" s="1872">
        <v>371</v>
      </c>
      <c r="I48" s="1465">
        <v>322</v>
      </c>
      <c r="J48" s="229">
        <v>1163</v>
      </c>
      <c r="K48" s="1136">
        <v>53</v>
      </c>
      <c r="L48" s="1465">
        <v>913</v>
      </c>
      <c r="M48" s="229">
        <v>640</v>
      </c>
      <c r="N48" s="229">
        <v>0</v>
      </c>
      <c r="O48" s="229">
        <v>7</v>
      </c>
    </row>
    <row r="49" spans="1:17" x14ac:dyDescent="0.3">
      <c r="A49" s="377" t="s">
        <v>111</v>
      </c>
      <c r="B49" s="378" t="s">
        <v>275</v>
      </c>
      <c r="C49" s="379" t="s">
        <v>252</v>
      </c>
      <c r="D49" s="105">
        <v>621</v>
      </c>
      <c r="E49" s="1465">
        <v>334</v>
      </c>
      <c r="F49" s="229">
        <v>154</v>
      </c>
      <c r="G49" s="229">
        <v>1</v>
      </c>
      <c r="H49" s="1872">
        <v>132</v>
      </c>
      <c r="I49" s="1465">
        <v>114</v>
      </c>
      <c r="J49" s="229">
        <v>376</v>
      </c>
      <c r="K49" s="1467">
        <v>123</v>
      </c>
      <c r="L49" s="1465">
        <v>356</v>
      </c>
      <c r="M49" s="229">
        <v>264</v>
      </c>
      <c r="N49" s="229">
        <v>0</v>
      </c>
      <c r="O49" s="229">
        <v>1</v>
      </c>
    </row>
    <row r="50" spans="1:17" x14ac:dyDescent="0.3">
      <c r="A50" s="377" t="s">
        <v>113</v>
      </c>
      <c r="B50" s="378" t="s">
        <v>114</v>
      </c>
      <c r="C50" s="379" t="s">
        <v>252</v>
      </c>
      <c r="D50" s="105">
        <v>21</v>
      </c>
      <c r="E50" s="1465">
        <v>21</v>
      </c>
      <c r="F50" s="229">
        <v>0</v>
      </c>
      <c r="G50" s="229">
        <v>0</v>
      </c>
      <c r="H50" s="1872">
        <v>0</v>
      </c>
      <c r="I50" s="1465">
        <v>2</v>
      </c>
      <c r="J50" s="229">
        <v>19</v>
      </c>
      <c r="K50" s="1136">
        <v>0</v>
      </c>
      <c r="L50" s="1465">
        <v>16</v>
      </c>
      <c r="M50" s="229">
        <v>5</v>
      </c>
      <c r="N50" s="229">
        <v>0</v>
      </c>
      <c r="O50" s="229">
        <v>0</v>
      </c>
    </row>
    <row r="51" spans="1:17" x14ac:dyDescent="0.3">
      <c r="A51" s="377" t="s">
        <v>117</v>
      </c>
      <c r="B51" s="378" t="s">
        <v>257</v>
      </c>
      <c r="C51" s="379" t="s">
        <v>251</v>
      </c>
      <c r="D51" s="105">
        <v>169</v>
      </c>
      <c r="E51" s="1465">
        <v>92</v>
      </c>
      <c r="F51" s="229">
        <v>56</v>
      </c>
      <c r="G51" s="229">
        <v>0</v>
      </c>
      <c r="H51" s="1872">
        <v>21</v>
      </c>
      <c r="I51" s="1465">
        <v>27</v>
      </c>
      <c r="J51" s="229">
        <v>133</v>
      </c>
      <c r="K51" s="1136">
        <v>4</v>
      </c>
      <c r="L51" s="1465">
        <v>109</v>
      </c>
      <c r="M51" s="229">
        <v>59</v>
      </c>
      <c r="N51" s="229">
        <v>0</v>
      </c>
      <c r="O51" s="229">
        <v>1</v>
      </c>
    </row>
    <row r="52" spans="1:17" x14ac:dyDescent="0.3">
      <c r="A52" s="377" t="s">
        <v>119</v>
      </c>
      <c r="B52" s="378" t="s">
        <v>120</v>
      </c>
      <c r="C52" s="379" t="s">
        <v>251</v>
      </c>
      <c r="D52" s="105">
        <v>465</v>
      </c>
      <c r="E52" s="1465">
        <v>244</v>
      </c>
      <c r="F52" s="229">
        <v>98</v>
      </c>
      <c r="G52" s="229">
        <v>11</v>
      </c>
      <c r="H52" s="1872">
        <v>112</v>
      </c>
      <c r="I52" s="1465">
        <v>110</v>
      </c>
      <c r="J52" s="229">
        <v>336</v>
      </c>
      <c r="K52" s="1136">
        <v>9</v>
      </c>
      <c r="L52" s="1465">
        <v>280</v>
      </c>
      <c r="M52" s="229">
        <v>184</v>
      </c>
      <c r="N52" s="229">
        <v>0</v>
      </c>
      <c r="O52" s="229">
        <v>1</v>
      </c>
    </row>
    <row r="53" spans="1:17" x14ac:dyDescent="0.3">
      <c r="A53" s="377" t="s">
        <v>121</v>
      </c>
      <c r="B53" s="378" t="s">
        <v>268</v>
      </c>
      <c r="C53" s="379" t="s">
        <v>253</v>
      </c>
      <c r="D53" s="105">
        <v>39</v>
      </c>
      <c r="E53" s="1465">
        <v>18</v>
      </c>
      <c r="F53" s="229">
        <v>16</v>
      </c>
      <c r="G53" s="229">
        <v>1</v>
      </c>
      <c r="H53" s="1872">
        <v>4</v>
      </c>
      <c r="I53" s="1465">
        <v>2</v>
      </c>
      <c r="J53" s="229">
        <v>33</v>
      </c>
      <c r="K53" s="1136">
        <v>3</v>
      </c>
      <c r="L53" s="1465">
        <v>19</v>
      </c>
      <c r="M53" s="229">
        <v>20</v>
      </c>
      <c r="N53" s="229">
        <v>0</v>
      </c>
      <c r="O53" s="229">
        <v>0</v>
      </c>
    </row>
    <row r="54" spans="1:17" x14ac:dyDescent="0.3">
      <c r="A54" s="377" t="s">
        <v>123</v>
      </c>
      <c r="B54" s="378" t="s">
        <v>124</v>
      </c>
      <c r="C54" s="379" t="s">
        <v>254</v>
      </c>
      <c r="D54" s="766">
        <v>58</v>
      </c>
      <c r="E54" s="1466">
        <v>45</v>
      </c>
      <c r="F54" s="494">
        <v>9</v>
      </c>
      <c r="G54" s="494">
        <v>0</v>
      </c>
      <c r="H54" s="1872">
        <v>4</v>
      </c>
      <c r="I54" s="1466">
        <v>12</v>
      </c>
      <c r="J54" s="494">
        <v>38</v>
      </c>
      <c r="K54" s="1136">
        <v>8</v>
      </c>
      <c r="L54" s="1466">
        <v>31</v>
      </c>
      <c r="M54" s="494">
        <v>27</v>
      </c>
      <c r="N54" s="494">
        <v>0</v>
      </c>
      <c r="O54" s="494">
        <v>0</v>
      </c>
      <c r="P54" s="1458"/>
      <c r="Q54" s="1458"/>
    </row>
    <row r="55" spans="1:17" x14ac:dyDescent="0.3">
      <c r="A55" s="377" t="s">
        <v>125</v>
      </c>
      <c r="B55" s="378" t="s">
        <v>126</v>
      </c>
      <c r="C55" s="379" t="s">
        <v>253</v>
      </c>
      <c r="D55" s="105">
        <v>34</v>
      </c>
      <c r="E55" s="1465">
        <v>23</v>
      </c>
      <c r="F55" s="229">
        <v>4</v>
      </c>
      <c r="G55" s="229">
        <v>1</v>
      </c>
      <c r="H55" s="1872">
        <v>6</v>
      </c>
      <c r="I55" s="1465">
        <v>3</v>
      </c>
      <c r="J55" s="229">
        <v>29</v>
      </c>
      <c r="K55" s="1136">
        <v>1</v>
      </c>
      <c r="L55" s="1465">
        <v>18</v>
      </c>
      <c r="M55" s="229">
        <v>16</v>
      </c>
      <c r="N55" s="229">
        <v>0</v>
      </c>
      <c r="O55" s="229">
        <v>0</v>
      </c>
    </row>
    <row r="56" spans="1:17" x14ac:dyDescent="0.3">
      <c r="A56" s="377" t="s">
        <v>127</v>
      </c>
      <c r="B56" s="378" t="s">
        <v>128</v>
      </c>
      <c r="C56" s="379" t="s">
        <v>253</v>
      </c>
      <c r="D56" s="105">
        <v>73</v>
      </c>
      <c r="E56" s="1465">
        <v>37</v>
      </c>
      <c r="F56" s="229">
        <v>23</v>
      </c>
      <c r="G56" s="229">
        <v>0</v>
      </c>
      <c r="H56" s="1872">
        <v>13</v>
      </c>
      <c r="I56" s="1465">
        <v>12</v>
      </c>
      <c r="J56" s="229">
        <v>47</v>
      </c>
      <c r="K56" s="1136">
        <v>12</v>
      </c>
      <c r="L56" s="1465">
        <v>54</v>
      </c>
      <c r="M56" s="229">
        <v>19</v>
      </c>
      <c r="N56" s="229">
        <v>0</v>
      </c>
      <c r="O56" s="229">
        <v>0</v>
      </c>
    </row>
    <row r="57" spans="1:17" x14ac:dyDescent="0.3">
      <c r="A57" s="377" t="s">
        <v>129</v>
      </c>
      <c r="B57" s="378" t="s">
        <v>130</v>
      </c>
      <c r="C57" s="379" t="s">
        <v>255</v>
      </c>
      <c r="D57" s="105">
        <v>184</v>
      </c>
      <c r="E57" s="1465">
        <v>148</v>
      </c>
      <c r="F57" s="229">
        <v>1</v>
      </c>
      <c r="G57" s="229">
        <v>0</v>
      </c>
      <c r="H57" s="1872">
        <v>35</v>
      </c>
      <c r="I57" s="1465">
        <v>41</v>
      </c>
      <c r="J57" s="229">
        <v>121</v>
      </c>
      <c r="K57" s="1136">
        <v>18</v>
      </c>
      <c r="L57" s="1465">
        <v>107</v>
      </c>
      <c r="M57" s="229">
        <v>76</v>
      </c>
      <c r="N57" s="229">
        <v>0</v>
      </c>
      <c r="O57" s="229">
        <v>1</v>
      </c>
    </row>
    <row r="58" spans="1:17" x14ac:dyDescent="0.3">
      <c r="A58" s="377" t="s">
        <v>131</v>
      </c>
      <c r="B58" s="378" t="s">
        <v>132</v>
      </c>
      <c r="C58" s="379" t="s">
        <v>254</v>
      </c>
      <c r="D58" s="766">
        <v>708</v>
      </c>
      <c r="E58" s="1466">
        <v>415</v>
      </c>
      <c r="F58" s="494">
        <v>61</v>
      </c>
      <c r="G58" s="494">
        <v>36</v>
      </c>
      <c r="H58" s="1872">
        <v>196</v>
      </c>
      <c r="I58" s="1466">
        <v>141</v>
      </c>
      <c r="J58" s="494">
        <v>530</v>
      </c>
      <c r="K58" s="1136">
        <v>22</v>
      </c>
      <c r="L58" s="1466">
        <v>432</v>
      </c>
      <c r="M58" s="494">
        <v>274</v>
      </c>
      <c r="N58" s="494">
        <v>1</v>
      </c>
      <c r="O58" s="494">
        <v>1</v>
      </c>
      <c r="P58" s="1458"/>
      <c r="Q58" s="1458"/>
    </row>
    <row r="59" spans="1:17" x14ac:dyDescent="0.3">
      <c r="A59" s="377" t="s">
        <v>133</v>
      </c>
      <c r="B59" s="378" t="s">
        <v>134</v>
      </c>
      <c r="C59" s="379" t="s">
        <v>254</v>
      </c>
      <c r="D59" s="766">
        <v>228</v>
      </c>
      <c r="E59" s="1466">
        <v>112</v>
      </c>
      <c r="F59" s="494">
        <v>53</v>
      </c>
      <c r="G59" s="494">
        <v>0</v>
      </c>
      <c r="H59" s="1872">
        <v>63</v>
      </c>
      <c r="I59" s="1466">
        <v>44</v>
      </c>
      <c r="J59" s="494">
        <v>169</v>
      </c>
      <c r="K59" s="1136">
        <v>11</v>
      </c>
      <c r="L59" s="1466">
        <v>134</v>
      </c>
      <c r="M59" s="494">
        <v>94</v>
      </c>
      <c r="N59" s="494">
        <v>0</v>
      </c>
      <c r="O59" s="494">
        <v>0</v>
      </c>
      <c r="P59" s="1458"/>
      <c r="Q59" s="1458"/>
    </row>
    <row r="60" spans="1:17" x14ac:dyDescent="0.3">
      <c r="A60" s="377" t="s">
        <v>135</v>
      </c>
      <c r="B60" s="378" t="s">
        <v>136</v>
      </c>
      <c r="C60" s="379" t="s">
        <v>253</v>
      </c>
      <c r="D60" s="766">
        <v>18</v>
      </c>
      <c r="E60" s="1465">
        <v>12</v>
      </c>
      <c r="F60" s="229">
        <v>5</v>
      </c>
      <c r="G60" s="229">
        <v>0</v>
      </c>
      <c r="H60" s="1872">
        <v>1</v>
      </c>
      <c r="I60" s="1465">
        <v>3</v>
      </c>
      <c r="J60" s="229">
        <v>14</v>
      </c>
      <c r="K60" s="1136">
        <v>1</v>
      </c>
      <c r="L60" s="1465">
        <v>12</v>
      </c>
      <c r="M60" s="229">
        <v>6</v>
      </c>
      <c r="N60" s="229">
        <v>0</v>
      </c>
      <c r="O60" s="229">
        <v>0</v>
      </c>
    </row>
    <row r="61" spans="1:17" x14ac:dyDescent="0.3">
      <c r="A61" s="377" t="s">
        <v>139</v>
      </c>
      <c r="B61" s="378" t="s">
        <v>140</v>
      </c>
      <c r="C61" s="379" t="s">
        <v>254</v>
      </c>
      <c r="D61" s="766">
        <v>53</v>
      </c>
      <c r="E61" s="1466">
        <v>34</v>
      </c>
      <c r="F61" s="494">
        <v>6</v>
      </c>
      <c r="G61" s="494">
        <v>0</v>
      </c>
      <c r="H61" s="1872">
        <v>13</v>
      </c>
      <c r="I61" s="1466">
        <v>6</v>
      </c>
      <c r="J61" s="494">
        <v>43</v>
      </c>
      <c r="K61" s="1136">
        <v>3</v>
      </c>
      <c r="L61" s="1466">
        <v>33</v>
      </c>
      <c r="M61" s="494">
        <v>20</v>
      </c>
      <c r="N61" s="494">
        <v>0</v>
      </c>
      <c r="O61" s="494">
        <v>0</v>
      </c>
      <c r="P61" s="1458"/>
      <c r="Q61" s="1458"/>
    </row>
    <row r="62" spans="1:17" x14ac:dyDescent="0.3">
      <c r="A62" s="377" t="s">
        <v>145</v>
      </c>
      <c r="B62" s="378" t="s">
        <v>146</v>
      </c>
      <c r="C62" s="379" t="s">
        <v>251</v>
      </c>
      <c r="D62" s="105">
        <v>41</v>
      </c>
      <c r="E62" s="1465">
        <v>33</v>
      </c>
      <c r="F62" s="229">
        <v>3</v>
      </c>
      <c r="G62" s="229">
        <v>0</v>
      </c>
      <c r="H62" s="1872">
        <v>5</v>
      </c>
      <c r="I62" s="1465">
        <v>2</v>
      </c>
      <c r="J62" s="229">
        <v>36</v>
      </c>
      <c r="K62" s="1136">
        <v>3</v>
      </c>
      <c r="L62" s="1465">
        <v>26</v>
      </c>
      <c r="M62" s="229">
        <v>15</v>
      </c>
      <c r="N62" s="229">
        <v>0</v>
      </c>
      <c r="O62" s="229">
        <v>0</v>
      </c>
    </row>
    <row r="63" spans="1:17" x14ac:dyDescent="0.3">
      <c r="A63" s="377" t="s">
        <v>147</v>
      </c>
      <c r="B63" s="378" t="s">
        <v>148</v>
      </c>
      <c r="C63" s="379" t="s">
        <v>252</v>
      </c>
      <c r="D63" s="105">
        <v>113</v>
      </c>
      <c r="E63" s="1465">
        <v>63</v>
      </c>
      <c r="F63" s="229">
        <v>46</v>
      </c>
      <c r="G63" s="229">
        <v>0</v>
      </c>
      <c r="H63" s="1872">
        <v>4</v>
      </c>
      <c r="I63" s="1465">
        <v>15</v>
      </c>
      <c r="J63" s="229">
        <v>94</v>
      </c>
      <c r="K63" s="1136">
        <v>4</v>
      </c>
      <c r="L63" s="1465">
        <v>72</v>
      </c>
      <c r="M63" s="229">
        <v>40</v>
      </c>
      <c r="N63" s="229">
        <v>0</v>
      </c>
      <c r="O63" s="229">
        <v>1</v>
      </c>
    </row>
    <row r="64" spans="1:17" x14ac:dyDescent="0.3">
      <c r="A64" s="377" t="s">
        <v>149</v>
      </c>
      <c r="B64" s="378" t="s">
        <v>150</v>
      </c>
      <c r="C64" s="379" t="s">
        <v>253</v>
      </c>
      <c r="D64" s="105">
        <v>115</v>
      </c>
      <c r="E64" s="1465">
        <v>60</v>
      </c>
      <c r="F64" s="229">
        <v>14</v>
      </c>
      <c r="G64" s="229">
        <v>0</v>
      </c>
      <c r="H64" s="1872">
        <v>41</v>
      </c>
      <c r="I64" s="1465">
        <v>25</v>
      </c>
      <c r="J64" s="229">
        <v>70</v>
      </c>
      <c r="K64" s="1136">
        <v>18</v>
      </c>
      <c r="L64" s="1465">
        <v>71</v>
      </c>
      <c r="M64" s="229">
        <v>44</v>
      </c>
      <c r="N64" s="229">
        <v>0</v>
      </c>
      <c r="O64" s="229">
        <v>0</v>
      </c>
    </row>
    <row r="65" spans="1:17" x14ac:dyDescent="0.3">
      <c r="A65" s="377" t="s">
        <v>151</v>
      </c>
      <c r="B65" s="378" t="s">
        <v>152</v>
      </c>
      <c r="C65" s="379" t="s">
        <v>255</v>
      </c>
      <c r="D65" s="105">
        <v>272</v>
      </c>
      <c r="E65" s="1465">
        <v>227</v>
      </c>
      <c r="F65" s="229">
        <v>14</v>
      </c>
      <c r="G65" s="229">
        <v>1</v>
      </c>
      <c r="H65" s="1872">
        <v>30</v>
      </c>
      <c r="I65" s="1465">
        <v>45</v>
      </c>
      <c r="J65" s="229">
        <v>198</v>
      </c>
      <c r="K65" s="1136">
        <v>18</v>
      </c>
      <c r="L65" s="1465">
        <v>164</v>
      </c>
      <c r="M65" s="229">
        <v>107</v>
      </c>
      <c r="N65" s="229">
        <v>0</v>
      </c>
      <c r="O65" s="229">
        <v>1</v>
      </c>
    </row>
    <row r="66" spans="1:17" x14ac:dyDescent="0.3">
      <c r="A66" s="377" t="s">
        <v>153</v>
      </c>
      <c r="B66" s="378" t="s">
        <v>154</v>
      </c>
      <c r="C66" s="379" t="s">
        <v>252</v>
      </c>
      <c r="D66" s="105">
        <v>107</v>
      </c>
      <c r="E66" s="1465">
        <v>69</v>
      </c>
      <c r="F66" s="229">
        <v>24</v>
      </c>
      <c r="G66" s="229">
        <v>2</v>
      </c>
      <c r="H66" s="1872">
        <v>12</v>
      </c>
      <c r="I66" s="1465">
        <v>19</v>
      </c>
      <c r="J66" s="229">
        <v>62</v>
      </c>
      <c r="K66" s="1136">
        <v>23</v>
      </c>
      <c r="L66" s="1465">
        <v>56</v>
      </c>
      <c r="M66" s="229">
        <v>49</v>
      </c>
      <c r="N66" s="229">
        <v>1</v>
      </c>
      <c r="O66" s="229">
        <v>1</v>
      </c>
    </row>
    <row r="67" spans="1:17" x14ac:dyDescent="0.3">
      <c r="A67" s="377" t="s">
        <v>155</v>
      </c>
      <c r="B67" s="378" t="s">
        <v>156</v>
      </c>
      <c r="C67" s="379" t="s">
        <v>253</v>
      </c>
      <c r="D67" s="105">
        <v>51</v>
      </c>
      <c r="E67" s="1465">
        <v>18</v>
      </c>
      <c r="F67" s="229">
        <v>22</v>
      </c>
      <c r="G67" s="229">
        <v>0</v>
      </c>
      <c r="H67" s="1872">
        <v>11</v>
      </c>
      <c r="I67" s="1465">
        <v>12</v>
      </c>
      <c r="J67" s="229">
        <v>37</v>
      </c>
      <c r="K67" s="1136">
        <v>0</v>
      </c>
      <c r="L67" s="1465">
        <v>29</v>
      </c>
      <c r="M67" s="229">
        <v>22</v>
      </c>
      <c r="N67" s="229">
        <v>0</v>
      </c>
      <c r="O67" s="229">
        <v>0</v>
      </c>
    </row>
    <row r="68" spans="1:17" x14ac:dyDescent="0.3">
      <c r="A68" s="377" t="s">
        <v>161</v>
      </c>
      <c r="B68" s="378" t="s">
        <v>162</v>
      </c>
      <c r="C68" s="379" t="s">
        <v>251</v>
      </c>
      <c r="D68" s="105">
        <v>50</v>
      </c>
      <c r="E68" s="1465">
        <v>27</v>
      </c>
      <c r="F68" s="229">
        <v>21</v>
      </c>
      <c r="G68" s="229">
        <v>1</v>
      </c>
      <c r="H68" s="1872">
        <v>1</v>
      </c>
      <c r="I68" s="1465">
        <v>9</v>
      </c>
      <c r="J68" s="229">
        <v>37</v>
      </c>
      <c r="K68" s="1136">
        <v>3</v>
      </c>
      <c r="L68" s="1465">
        <v>33</v>
      </c>
      <c r="M68" s="229">
        <v>17</v>
      </c>
      <c r="N68" s="229">
        <v>0</v>
      </c>
      <c r="O68" s="229">
        <v>0</v>
      </c>
    </row>
    <row r="69" spans="1:17" x14ac:dyDescent="0.3">
      <c r="A69" s="377" t="s">
        <v>163</v>
      </c>
      <c r="B69" s="378" t="s">
        <v>164</v>
      </c>
      <c r="C69" s="379" t="s">
        <v>253</v>
      </c>
      <c r="D69" s="105">
        <v>41</v>
      </c>
      <c r="E69" s="1465">
        <v>15</v>
      </c>
      <c r="F69" s="229">
        <v>20</v>
      </c>
      <c r="G69" s="229">
        <v>0</v>
      </c>
      <c r="H69" s="1872">
        <v>6</v>
      </c>
      <c r="I69" s="1465">
        <v>5</v>
      </c>
      <c r="J69" s="229">
        <v>34</v>
      </c>
      <c r="K69" s="1136">
        <v>1</v>
      </c>
      <c r="L69" s="1465">
        <v>25</v>
      </c>
      <c r="M69" s="229">
        <v>16</v>
      </c>
      <c r="N69" s="229">
        <v>0</v>
      </c>
      <c r="O69" s="229">
        <v>0</v>
      </c>
    </row>
    <row r="70" spans="1:17" x14ac:dyDescent="0.3">
      <c r="A70" s="377" t="s">
        <v>167</v>
      </c>
      <c r="B70" s="378" t="s">
        <v>168</v>
      </c>
      <c r="C70" s="379" t="s">
        <v>253</v>
      </c>
      <c r="D70" s="105">
        <v>39</v>
      </c>
      <c r="E70" s="1465">
        <v>18</v>
      </c>
      <c r="F70" s="229">
        <v>15</v>
      </c>
      <c r="G70" s="229">
        <v>0</v>
      </c>
      <c r="H70" s="1872">
        <v>6</v>
      </c>
      <c r="I70" s="1465">
        <v>8</v>
      </c>
      <c r="J70" s="229">
        <v>29</v>
      </c>
      <c r="K70" s="1136">
        <v>2</v>
      </c>
      <c r="L70" s="1465">
        <v>17</v>
      </c>
      <c r="M70" s="229">
        <v>22</v>
      </c>
      <c r="N70" s="229">
        <v>0</v>
      </c>
      <c r="O70" s="229">
        <v>0</v>
      </c>
    </row>
    <row r="71" spans="1:17" x14ac:dyDescent="0.3">
      <c r="A71" s="377" t="s">
        <v>169</v>
      </c>
      <c r="B71" s="378" t="s">
        <v>170</v>
      </c>
      <c r="C71" s="379" t="s">
        <v>254</v>
      </c>
      <c r="D71" s="766">
        <v>275</v>
      </c>
      <c r="E71" s="1466">
        <v>180</v>
      </c>
      <c r="F71" s="494">
        <v>37</v>
      </c>
      <c r="G71" s="494">
        <v>1</v>
      </c>
      <c r="H71" s="1872">
        <v>57</v>
      </c>
      <c r="I71" s="1466">
        <v>50</v>
      </c>
      <c r="J71" s="494">
        <v>213</v>
      </c>
      <c r="K71" s="1136">
        <v>5</v>
      </c>
      <c r="L71" s="1466">
        <v>173</v>
      </c>
      <c r="M71" s="494">
        <v>100</v>
      </c>
      <c r="N71" s="494">
        <v>0</v>
      </c>
      <c r="O71" s="494">
        <v>2</v>
      </c>
      <c r="P71" s="1458"/>
      <c r="Q71" s="766"/>
    </row>
    <row r="72" spans="1:17" x14ac:dyDescent="0.3">
      <c r="A72" s="377" t="s">
        <v>171</v>
      </c>
      <c r="B72" s="378" t="s">
        <v>172</v>
      </c>
      <c r="C72" s="379" t="s">
        <v>254</v>
      </c>
      <c r="D72" s="766">
        <v>65</v>
      </c>
      <c r="E72" s="1466">
        <v>61</v>
      </c>
      <c r="F72" s="494">
        <v>2</v>
      </c>
      <c r="G72" s="494">
        <v>0</v>
      </c>
      <c r="H72" s="1872">
        <v>2</v>
      </c>
      <c r="I72" s="1466">
        <v>7</v>
      </c>
      <c r="J72" s="494">
        <v>54</v>
      </c>
      <c r="K72" s="1136">
        <v>2</v>
      </c>
      <c r="L72" s="1466">
        <v>40</v>
      </c>
      <c r="M72" s="494">
        <v>25</v>
      </c>
      <c r="N72" s="494">
        <v>0</v>
      </c>
      <c r="O72" s="494">
        <v>0</v>
      </c>
      <c r="P72" s="1458"/>
      <c r="Q72" s="1458"/>
    </row>
    <row r="73" spans="1:17" x14ac:dyDescent="0.3">
      <c r="A73" s="377" t="s">
        <v>173</v>
      </c>
      <c r="B73" s="378" t="s">
        <v>174</v>
      </c>
      <c r="C73" s="379" t="s">
        <v>255</v>
      </c>
      <c r="D73" s="105">
        <v>118</v>
      </c>
      <c r="E73" s="1465">
        <v>106</v>
      </c>
      <c r="F73" s="229">
        <v>7</v>
      </c>
      <c r="G73" s="229">
        <v>0</v>
      </c>
      <c r="H73" s="1872">
        <v>5</v>
      </c>
      <c r="I73" s="1465">
        <v>23</v>
      </c>
      <c r="J73" s="229">
        <v>86</v>
      </c>
      <c r="K73" s="1136">
        <v>9</v>
      </c>
      <c r="L73" s="1465">
        <v>69</v>
      </c>
      <c r="M73" s="229">
        <v>49</v>
      </c>
      <c r="N73" s="229">
        <v>0</v>
      </c>
      <c r="O73" s="229">
        <v>0</v>
      </c>
    </row>
    <row r="74" spans="1:17" x14ac:dyDescent="0.3">
      <c r="A74" s="377" t="s">
        <v>177</v>
      </c>
      <c r="B74" s="378" t="s">
        <v>178</v>
      </c>
      <c r="C74" s="379" t="s">
        <v>252</v>
      </c>
      <c r="D74" s="105">
        <v>266</v>
      </c>
      <c r="E74" s="1465">
        <v>175</v>
      </c>
      <c r="F74" s="229">
        <v>57</v>
      </c>
      <c r="G74" s="229">
        <v>1</v>
      </c>
      <c r="H74" s="1872">
        <v>33</v>
      </c>
      <c r="I74" s="1465">
        <v>34</v>
      </c>
      <c r="J74" s="229">
        <v>213</v>
      </c>
      <c r="K74" s="1136">
        <v>8</v>
      </c>
      <c r="L74" s="1465">
        <v>156</v>
      </c>
      <c r="M74" s="229">
        <v>109</v>
      </c>
      <c r="N74" s="229">
        <v>0</v>
      </c>
      <c r="O74" s="229">
        <v>1</v>
      </c>
    </row>
    <row r="75" spans="1:17" x14ac:dyDescent="0.3">
      <c r="A75" s="377" t="s">
        <v>181</v>
      </c>
      <c r="B75" s="378" t="s">
        <v>182</v>
      </c>
      <c r="C75" s="379" t="s">
        <v>253</v>
      </c>
      <c r="D75" s="105">
        <v>34</v>
      </c>
      <c r="E75" s="1465">
        <v>25</v>
      </c>
      <c r="F75" s="229">
        <v>6</v>
      </c>
      <c r="G75" s="229">
        <v>0</v>
      </c>
      <c r="H75" s="1872">
        <v>3</v>
      </c>
      <c r="I75" s="1465">
        <v>9</v>
      </c>
      <c r="J75" s="229">
        <v>20</v>
      </c>
      <c r="K75" s="1136">
        <v>5</v>
      </c>
      <c r="L75" s="1465">
        <v>19</v>
      </c>
      <c r="M75" s="229">
        <v>15</v>
      </c>
      <c r="N75" s="229">
        <v>0</v>
      </c>
      <c r="O75" s="229">
        <v>0</v>
      </c>
    </row>
    <row r="76" spans="1:17" x14ac:dyDescent="0.3">
      <c r="A76" s="377" t="s">
        <v>183</v>
      </c>
      <c r="B76" s="378" t="s">
        <v>184</v>
      </c>
      <c r="C76" s="379" t="s">
        <v>253</v>
      </c>
      <c r="D76" s="105">
        <v>73</v>
      </c>
      <c r="E76" s="1465">
        <v>33</v>
      </c>
      <c r="F76" s="229">
        <v>22</v>
      </c>
      <c r="G76" s="229">
        <v>0</v>
      </c>
      <c r="H76" s="1872">
        <v>18</v>
      </c>
      <c r="I76" s="1465">
        <v>19</v>
      </c>
      <c r="J76" s="229">
        <v>43</v>
      </c>
      <c r="K76" s="1136">
        <v>10</v>
      </c>
      <c r="L76" s="1465">
        <v>40</v>
      </c>
      <c r="M76" s="229">
        <v>30</v>
      </c>
      <c r="N76" s="229">
        <v>0</v>
      </c>
      <c r="O76" s="229">
        <v>3</v>
      </c>
    </row>
    <row r="77" spans="1:17" x14ac:dyDescent="0.3">
      <c r="A77" s="377" t="s">
        <v>185</v>
      </c>
      <c r="B77" s="378" t="s">
        <v>186</v>
      </c>
      <c r="C77" s="379" t="s">
        <v>251</v>
      </c>
      <c r="D77" s="105">
        <v>105</v>
      </c>
      <c r="E77" s="1465">
        <v>69</v>
      </c>
      <c r="F77" s="229">
        <v>20</v>
      </c>
      <c r="G77" s="229">
        <v>0</v>
      </c>
      <c r="H77" s="1872">
        <v>16</v>
      </c>
      <c r="I77" s="1465">
        <v>29</v>
      </c>
      <c r="J77" s="229">
        <v>72</v>
      </c>
      <c r="K77" s="1136">
        <v>4</v>
      </c>
      <c r="L77" s="1465">
        <v>73</v>
      </c>
      <c r="M77" s="229">
        <v>32</v>
      </c>
      <c r="N77" s="229">
        <v>0</v>
      </c>
      <c r="O77" s="229">
        <v>0</v>
      </c>
    </row>
    <row r="78" spans="1:17" x14ac:dyDescent="0.3">
      <c r="A78" s="377" t="s">
        <v>187</v>
      </c>
      <c r="B78" s="378" t="s">
        <v>188</v>
      </c>
      <c r="C78" s="379" t="s">
        <v>254</v>
      </c>
      <c r="D78" s="766">
        <v>1159</v>
      </c>
      <c r="E78" s="1466">
        <v>565</v>
      </c>
      <c r="F78" s="494">
        <v>264</v>
      </c>
      <c r="G78" s="494">
        <v>53</v>
      </c>
      <c r="H78" s="1873">
        <v>277</v>
      </c>
      <c r="I78" s="1466">
        <v>268</v>
      </c>
      <c r="J78" s="494">
        <v>698</v>
      </c>
      <c r="K78" s="1467">
        <v>175</v>
      </c>
      <c r="L78" s="1466">
        <v>682</v>
      </c>
      <c r="M78" s="494">
        <v>465</v>
      </c>
      <c r="N78" s="494">
        <v>0</v>
      </c>
      <c r="O78" s="494">
        <v>12</v>
      </c>
      <c r="P78" s="1458"/>
      <c r="Q78" s="1458"/>
    </row>
    <row r="79" spans="1:17" x14ac:dyDescent="0.3">
      <c r="A79" s="377" t="s">
        <v>189</v>
      </c>
      <c r="B79" s="378" t="s">
        <v>190</v>
      </c>
      <c r="C79" s="379" t="s">
        <v>255</v>
      </c>
      <c r="D79" s="105">
        <v>332</v>
      </c>
      <c r="E79" s="1465">
        <v>269</v>
      </c>
      <c r="F79" s="229">
        <v>18</v>
      </c>
      <c r="G79" s="229">
        <v>2</v>
      </c>
      <c r="H79" s="1872">
        <v>43</v>
      </c>
      <c r="I79" s="1465">
        <v>70</v>
      </c>
      <c r="J79" s="229">
        <v>238</v>
      </c>
      <c r="K79" s="1136">
        <v>15</v>
      </c>
      <c r="L79" s="1465">
        <v>202</v>
      </c>
      <c r="M79" s="229">
        <v>130</v>
      </c>
      <c r="N79" s="229">
        <v>0</v>
      </c>
      <c r="O79" s="229">
        <v>0</v>
      </c>
    </row>
    <row r="80" spans="1:17" x14ac:dyDescent="0.3">
      <c r="A80" s="377" t="s">
        <v>193</v>
      </c>
      <c r="B80" s="378" t="s">
        <v>194</v>
      </c>
      <c r="C80" s="379" t="s">
        <v>254</v>
      </c>
      <c r="D80" s="766">
        <v>77</v>
      </c>
      <c r="E80" s="1466">
        <v>69</v>
      </c>
      <c r="F80" s="494">
        <v>3</v>
      </c>
      <c r="G80" s="494">
        <v>2</v>
      </c>
      <c r="H80" s="1872">
        <v>3</v>
      </c>
      <c r="I80" s="1466">
        <v>8</v>
      </c>
      <c r="J80" s="494">
        <v>68</v>
      </c>
      <c r="K80" s="1136">
        <v>0</v>
      </c>
      <c r="L80" s="1466">
        <v>38</v>
      </c>
      <c r="M80" s="494">
        <v>39</v>
      </c>
      <c r="N80" s="494">
        <v>0</v>
      </c>
      <c r="O80" s="494">
        <v>0</v>
      </c>
      <c r="P80" s="1458"/>
      <c r="Q80" s="1458"/>
    </row>
    <row r="81" spans="1:17" x14ac:dyDescent="0.3">
      <c r="A81" s="377" t="s">
        <v>197</v>
      </c>
      <c r="B81" s="378" t="s">
        <v>259</v>
      </c>
      <c r="C81" s="379" t="s">
        <v>253</v>
      </c>
      <c r="D81" s="105">
        <v>42</v>
      </c>
      <c r="E81" s="1465">
        <v>27</v>
      </c>
      <c r="F81" s="229">
        <v>6</v>
      </c>
      <c r="G81" s="229">
        <v>0</v>
      </c>
      <c r="H81" s="1872">
        <v>9</v>
      </c>
      <c r="I81" s="1465">
        <v>1</v>
      </c>
      <c r="J81" s="229">
        <v>34</v>
      </c>
      <c r="K81" s="1136">
        <v>2</v>
      </c>
      <c r="L81" s="1465">
        <v>27</v>
      </c>
      <c r="M81" s="229">
        <v>14</v>
      </c>
      <c r="N81" s="229">
        <v>0</v>
      </c>
      <c r="O81" s="229">
        <v>1</v>
      </c>
    </row>
    <row r="82" spans="1:17" x14ac:dyDescent="0.3">
      <c r="A82" s="377" t="s">
        <v>201</v>
      </c>
      <c r="B82" s="378" t="s">
        <v>276</v>
      </c>
      <c r="C82" s="379" t="s">
        <v>252</v>
      </c>
      <c r="D82" s="105">
        <v>1032</v>
      </c>
      <c r="E82" s="1465">
        <v>835</v>
      </c>
      <c r="F82" s="229">
        <v>69</v>
      </c>
      <c r="G82" s="229">
        <v>11</v>
      </c>
      <c r="H82" s="1872">
        <v>116</v>
      </c>
      <c r="I82" s="1465">
        <v>203</v>
      </c>
      <c r="J82" s="229">
        <v>761</v>
      </c>
      <c r="K82" s="1136">
        <v>40</v>
      </c>
      <c r="L82" s="1465">
        <v>631</v>
      </c>
      <c r="M82" s="229">
        <v>393</v>
      </c>
      <c r="N82" s="229">
        <v>1</v>
      </c>
      <c r="O82" s="229">
        <v>6</v>
      </c>
    </row>
    <row r="83" spans="1:17" x14ac:dyDescent="0.3">
      <c r="A83" s="377" t="s">
        <v>203</v>
      </c>
      <c r="B83" s="378" t="s">
        <v>269</v>
      </c>
      <c r="C83" s="379" t="s">
        <v>252</v>
      </c>
      <c r="D83" s="105">
        <v>186</v>
      </c>
      <c r="E83" s="1465">
        <v>155</v>
      </c>
      <c r="F83" s="229">
        <v>5</v>
      </c>
      <c r="G83" s="229">
        <v>0</v>
      </c>
      <c r="H83" s="1872">
        <v>26</v>
      </c>
      <c r="I83" s="1465">
        <v>22</v>
      </c>
      <c r="J83" s="229">
        <v>152</v>
      </c>
      <c r="K83" s="1136">
        <v>8</v>
      </c>
      <c r="L83" s="1465">
        <v>112</v>
      </c>
      <c r="M83" s="229">
        <v>72</v>
      </c>
      <c r="N83" s="229">
        <v>0</v>
      </c>
      <c r="O83" s="229">
        <v>2</v>
      </c>
    </row>
    <row r="84" spans="1:17" x14ac:dyDescent="0.3">
      <c r="A84" s="377" t="s">
        <v>205</v>
      </c>
      <c r="B84" s="378" t="s">
        <v>270</v>
      </c>
      <c r="C84" s="379" t="s">
        <v>254</v>
      </c>
      <c r="D84" s="766">
        <v>421</v>
      </c>
      <c r="E84" s="1466">
        <v>265</v>
      </c>
      <c r="F84" s="494">
        <v>11</v>
      </c>
      <c r="G84" s="494">
        <v>4</v>
      </c>
      <c r="H84" s="1872">
        <v>141</v>
      </c>
      <c r="I84" s="1466">
        <v>74</v>
      </c>
      <c r="J84" s="494">
        <v>306</v>
      </c>
      <c r="K84" s="1136">
        <v>33</v>
      </c>
      <c r="L84" s="1466">
        <v>286</v>
      </c>
      <c r="M84" s="494">
        <v>134</v>
      </c>
      <c r="N84" s="494">
        <v>0</v>
      </c>
      <c r="O84" s="494">
        <v>1</v>
      </c>
      <c r="P84" s="1458"/>
      <c r="Q84" s="1458"/>
    </row>
    <row r="85" spans="1:17" x14ac:dyDescent="0.3">
      <c r="A85" s="377" t="s">
        <v>207</v>
      </c>
      <c r="B85" s="378" t="s">
        <v>208</v>
      </c>
      <c r="C85" s="379" t="s">
        <v>255</v>
      </c>
      <c r="D85" s="105">
        <v>225</v>
      </c>
      <c r="E85" s="1465">
        <v>209</v>
      </c>
      <c r="F85" s="229">
        <v>6</v>
      </c>
      <c r="G85" s="229">
        <v>0</v>
      </c>
      <c r="H85" s="1872">
        <v>10</v>
      </c>
      <c r="I85" s="1465">
        <v>49</v>
      </c>
      <c r="J85" s="229">
        <v>174</v>
      </c>
      <c r="K85" s="1136">
        <v>1</v>
      </c>
      <c r="L85" s="1465">
        <v>138</v>
      </c>
      <c r="M85" s="229">
        <v>85</v>
      </c>
      <c r="N85" s="229">
        <v>0</v>
      </c>
      <c r="O85" s="229">
        <v>2</v>
      </c>
    </row>
    <row r="86" spans="1:17" x14ac:dyDescent="0.3">
      <c r="A86" s="377" t="s">
        <v>209</v>
      </c>
      <c r="B86" s="378" t="s">
        <v>210</v>
      </c>
      <c r="C86" s="379" t="s">
        <v>255</v>
      </c>
      <c r="D86" s="105">
        <v>227</v>
      </c>
      <c r="E86" s="1465">
        <v>209</v>
      </c>
      <c r="F86" s="229">
        <v>2</v>
      </c>
      <c r="G86" s="229">
        <v>0</v>
      </c>
      <c r="H86" s="1872">
        <v>16</v>
      </c>
      <c r="I86" s="1465">
        <v>57</v>
      </c>
      <c r="J86" s="229">
        <v>145</v>
      </c>
      <c r="K86" s="1136">
        <v>22</v>
      </c>
      <c r="L86" s="1465">
        <v>145</v>
      </c>
      <c r="M86" s="229">
        <v>81</v>
      </c>
      <c r="N86" s="229">
        <v>0</v>
      </c>
      <c r="O86" s="229">
        <v>1</v>
      </c>
    </row>
    <row r="87" spans="1:17" x14ac:dyDescent="0.3">
      <c r="A87" s="377" t="s">
        <v>211</v>
      </c>
      <c r="B87" s="378" t="s">
        <v>212</v>
      </c>
      <c r="C87" s="379" t="s">
        <v>254</v>
      </c>
      <c r="D87" s="766">
        <v>224</v>
      </c>
      <c r="E87" s="1466">
        <v>205</v>
      </c>
      <c r="F87" s="494">
        <v>4</v>
      </c>
      <c r="G87" s="494">
        <v>0</v>
      </c>
      <c r="H87" s="1872">
        <v>15</v>
      </c>
      <c r="I87" s="1466">
        <v>38</v>
      </c>
      <c r="J87" s="494">
        <v>174</v>
      </c>
      <c r="K87" s="1136">
        <v>8</v>
      </c>
      <c r="L87" s="1466">
        <v>150</v>
      </c>
      <c r="M87" s="494">
        <v>73</v>
      </c>
      <c r="N87" s="494">
        <v>0</v>
      </c>
      <c r="O87" s="494">
        <v>1</v>
      </c>
      <c r="P87" s="1458"/>
      <c r="Q87" s="1458"/>
    </row>
    <row r="88" spans="1:17" x14ac:dyDescent="0.3">
      <c r="A88" s="377" t="s">
        <v>213</v>
      </c>
      <c r="B88" s="378" t="s">
        <v>214</v>
      </c>
      <c r="C88" s="379" t="s">
        <v>255</v>
      </c>
      <c r="D88" s="105">
        <v>221</v>
      </c>
      <c r="E88" s="1465">
        <v>200</v>
      </c>
      <c r="F88" s="229">
        <v>4</v>
      </c>
      <c r="G88" s="229">
        <v>0</v>
      </c>
      <c r="H88" s="1872">
        <v>17</v>
      </c>
      <c r="I88" s="1465">
        <v>53</v>
      </c>
      <c r="J88" s="229">
        <v>149</v>
      </c>
      <c r="K88" s="1136">
        <v>14</v>
      </c>
      <c r="L88" s="1465">
        <v>151</v>
      </c>
      <c r="M88" s="229">
        <v>61</v>
      </c>
      <c r="N88" s="229">
        <v>4</v>
      </c>
      <c r="O88" s="229">
        <v>5</v>
      </c>
    </row>
    <row r="89" spans="1:17" x14ac:dyDescent="0.3">
      <c r="A89" s="377" t="s">
        <v>215</v>
      </c>
      <c r="B89" s="378" t="s">
        <v>216</v>
      </c>
      <c r="C89" s="379" t="s">
        <v>251</v>
      </c>
      <c r="D89" s="105">
        <v>73</v>
      </c>
      <c r="E89" s="1465">
        <v>31</v>
      </c>
      <c r="F89" s="229">
        <v>40</v>
      </c>
      <c r="G89" s="229">
        <v>1</v>
      </c>
      <c r="H89" s="1872">
        <v>1</v>
      </c>
      <c r="I89" s="1465">
        <v>10</v>
      </c>
      <c r="J89" s="229">
        <v>58</v>
      </c>
      <c r="K89" s="1136">
        <v>4</v>
      </c>
      <c r="L89" s="1465">
        <v>43</v>
      </c>
      <c r="M89" s="229">
        <v>30</v>
      </c>
      <c r="N89" s="229">
        <v>0</v>
      </c>
      <c r="O89" s="229">
        <v>0</v>
      </c>
    </row>
    <row r="90" spans="1:17" x14ac:dyDescent="0.3">
      <c r="A90" s="377" t="s">
        <v>217</v>
      </c>
      <c r="B90" s="378" t="s">
        <v>218</v>
      </c>
      <c r="C90" s="379" t="s">
        <v>254</v>
      </c>
      <c r="D90" s="766">
        <v>490</v>
      </c>
      <c r="E90" s="1466">
        <v>238</v>
      </c>
      <c r="F90" s="494">
        <v>54</v>
      </c>
      <c r="G90" s="494">
        <v>7</v>
      </c>
      <c r="H90" s="1872">
        <v>191</v>
      </c>
      <c r="I90" s="1466">
        <v>100</v>
      </c>
      <c r="J90" s="494">
        <v>338</v>
      </c>
      <c r="K90" s="1136">
        <v>35</v>
      </c>
      <c r="L90" s="1466">
        <v>322</v>
      </c>
      <c r="M90" s="494">
        <v>163</v>
      </c>
      <c r="N90" s="494">
        <v>0</v>
      </c>
      <c r="O90" s="494">
        <v>5</v>
      </c>
      <c r="P90" s="1458"/>
      <c r="Q90" s="1458"/>
    </row>
    <row r="91" spans="1:17" x14ac:dyDescent="0.3">
      <c r="A91" s="377" t="s">
        <v>219</v>
      </c>
      <c r="B91" s="378" t="s">
        <v>220</v>
      </c>
      <c r="C91" s="379" t="s">
        <v>254</v>
      </c>
      <c r="D91" s="766">
        <v>318</v>
      </c>
      <c r="E91" s="1466">
        <v>170</v>
      </c>
      <c r="F91" s="494">
        <v>38</v>
      </c>
      <c r="G91" s="494">
        <v>7</v>
      </c>
      <c r="H91" s="1872">
        <v>103</v>
      </c>
      <c r="I91" s="1466">
        <v>55</v>
      </c>
      <c r="J91" s="494">
        <v>245</v>
      </c>
      <c r="K91" s="1136">
        <v>11</v>
      </c>
      <c r="L91" s="1466">
        <v>186</v>
      </c>
      <c r="M91" s="494">
        <v>132</v>
      </c>
      <c r="N91" s="494">
        <v>0</v>
      </c>
      <c r="O91" s="494">
        <v>0</v>
      </c>
      <c r="P91" s="1458"/>
      <c r="Q91" s="1458"/>
    </row>
    <row r="92" spans="1:17" x14ac:dyDescent="0.3">
      <c r="A92" s="377" t="s">
        <v>223</v>
      </c>
      <c r="B92" s="378" t="s">
        <v>224</v>
      </c>
      <c r="C92" s="379" t="s">
        <v>251</v>
      </c>
      <c r="D92" s="105">
        <v>29</v>
      </c>
      <c r="E92" s="1465">
        <v>11</v>
      </c>
      <c r="F92" s="229">
        <v>17</v>
      </c>
      <c r="G92" s="229">
        <v>0</v>
      </c>
      <c r="H92" s="1872">
        <v>1</v>
      </c>
      <c r="I92" s="1465">
        <v>4</v>
      </c>
      <c r="J92" s="229">
        <v>23</v>
      </c>
      <c r="K92" s="1136">
        <v>0</v>
      </c>
      <c r="L92" s="1465">
        <v>23</v>
      </c>
      <c r="M92" s="229">
        <v>6</v>
      </c>
      <c r="N92" s="229">
        <v>0</v>
      </c>
      <c r="O92" s="229">
        <v>0</v>
      </c>
    </row>
    <row r="93" spans="1:17" x14ac:dyDescent="0.3">
      <c r="A93" s="377" t="s">
        <v>225</v>
      </c>
      <c r="B93" s="378" t="s">
        <v>226</v>
      </c>
      <c r="C93" s="379" t="s">
        <v>251</v>
      </c>
      <c r="D93" s="105">
        <v>75</v>
      </c>
      <c r="E93" s="1465">
        <v>23</v>
      </c>
      <c r="F93" s="229">
        <v>50</v>
      </c>
      <c r="G93" s="229">
        <v>0</v>
      </c>
      <c r="H93" s="1872">
        <v>2</v>
      </c>
      <c r="I93" s="1465">
        <v>12</v>
      </c>
      <c r="J93" s="229">
        <v>55</v>
      </c>
      <c r="K93" s="1136">
        <v>7</v>
      </c>
      <c r="L93" s="1465">
        <v>43</v>
      </c>
      <c r="M93" s="229">
        <v>32</v>
      </c>
      <c r="N93" s="229">
        <v>0</v>
      </c>
      <c r="O93" s="229">
        <v>0</v>
      </c>
    </row>
    <row r="94" spans="1:17" x14ac:dyDescent="0.3">
      <c r="A94" s="377" t="s">
        <v>227</v>
      </c>
      <c r="B94" s="378" t="s">
        <v>228</v>
      </c>
      <c r="C94" s="379" t="s">
        <v>255</v>
      </c>
      <c r="D94" s="105">
        <v>546</v>
      </c>
      <c r="E94" s="1465">
        <v>414</v>
      </c>
      <c r="F94" s="229">
        <v>13</v>
      </c>
      <c r="G94" s="229">
        <v>0</v>
      </c>
      <c r="H94" s="1872">
        <v>119</v>
      </c>
      <c r="I94" s="1465">
        <v>80</v>
      </c>
      <c r="J94" s="229">
        <v>447</v>
      </c>
      <c r="K94" s="1136">
        <v>16</v>
      </c>
      <c r="L94" s="1465">
        <v>314</v>
      </c>
      <c r="M94" s="229">
        <v>232</v>
      </c>
      <c r="N94" s="229">
        <v>0</v>
      </c>
      <c r="O94" s="229">
        <v>0</v>
      </c>
    </row>
    <row r="95" spans="1:17" x14ac:dyDescent="0.3">
      <c r="A95" s="377" t="s">
        <v>231</v>
      </c>
      <c r="B95" s="378" t="s">
        <v>232</v>
      </c>
      <c r="C95" s="379" t="s">
        <v>254</v>
      </c>
      <c r="D95" s="766">
        <v>238</v>
      </c>
      <c r="E95" s="1466">
        <v>178</v>
      </c>
      <c r="F95" s="494">
        <v>15</v>
      </c>
      <c r="G95" s="494">
        <v>0</v>
      </c>
      <c r="H95" s="1872">
        <v>45</v>
      </c>
      <c r="I95" s="1466">
        <v>36</v>
      </c>
      <c r="J95" s="494">
        <v>175</v>
      </c>
      <c r="K95" s="1136">
        <v>18</v>
      </c>
      <c r="L95" s="1466">
        <v>132</v>
      </c>
      <c r="M95" s="494">
        <v>105</v>
      </c>
      <c r="N95" s="494">
        <v>0</v>
      </c>
      <c r="O95" s="494">
        <v>1</v>
      </c>
      <c r="P95" s="1458"/>
      <c r="Q95" s="1458"/>
    </row>
    <row r="96" spans="1:17" x14ac:dyDescent="0.3">
      <c r="A96" s="377" t="s">
        <v>233</v>
      </c>
      <c r="B96" s="378" t="s">
        <v>234</v>
      </c>
      <c r="C96" s="379" t="s">
        <v>255</v>
      </c>
      <c r="D96" s="105">
        <v>217</v>
      </c>
      <c r="E96" s="1465">
        <v>175</v>
      </c>
      <c r="F96" s="229">
        <v>3</v>
      </c>
      <c r="G96" s="229">
        <v>0</v>
      </c>
      <c r="H96" s="1872">
        <v>39</v>
      </c>
      <c r="I96" s="1465">
        <v>28</v>
      </c>
      <c r="J96" s="229">
        <v>153</v>
      </c>
      <c r="K96" s="1136">
        <v>26</v>
      </c>
      <c r="L96" s="1465">
        <v>120</v>
      </c>
      <c r="M96" s="229">
        <v>97</v>
      </c>
      <c r="N96" s="229">
        <v>0</v>
      </c>
      <c r="O96" s="229">
        <v>0</v>
      </c>
    </row>
    <row r="97" spans="1:17" x14ac:dyDescent="0.3">
      <c r="A97" s="377" t="s">
        <v>235</v>
      </c>
      <c r="B97" s="378" t="s">
        <v>236</v>
      </c>
      <c r="C97" s="379" t="s">
        <v>253</v>
      </c>
      <c r="D97" s="105">
        <v>96</v>
      </c>
      <c r="E97" s="1465">
        <v>59</v>
      </c>
      <c r="F97" s="229">
        <v>25</v>
      </c>
      <c r="G97" s="229">
        <v>0</v>
      </c>
      <c r="H97" s="1872">
        <v>12</v>
      </c>
      <c r="I97" s="1465">
        <v>9</v>
      </c>
      <c r="J97" s="229">
        <v>79</v>
      </c>
      <c r="K97" s="1136">
        <v>6</v>
      </c>
      <c r="L97" s="1465">
        <v>49</v>
      </c>
      <c r="M97" s="229">
        <v>45</v>
      </c>
      <c r="N97" s="229">
        <v>0</v>
      </c>
      <c r="O97" s="229">
        <v>2</v>
      </c>
    </row>
    <row r="98" spans="1:17" x14ac:dyDescent="0.3">
      <c r="A98" s="377" t="s">
        <v>241</v>
      </c>
      <c r="B98" s="378" t="s">
        <v>242</v>
      </c>
      <c r="C98" s="379" t="s">
        <v>255</v>
      </c>
      <c r="D98" s="105">
        <v>336</v>
      </c>
      <c r="E98" s="1465">
        <v>321</v>
      </c>
      <c r="F98" s="229">
        <v>7</v>
      </c>
      <c r="G98" s="229">
        <v>1</v>
      </c>
      <c r="H98" s="1872">
        <v>7</v>
      </c>
      <c r="I98" s="1465">
        <v>75</v>
      </c>
      <c r="J98" s="229">
        <v>254</v>
      </c>
      <c r="K98" s="1136">
        <v>2</v>
      </c>
      <c r="L98" s="1465">
        <v>191</v>
      </c>
      <c r="M98" s="229">
        <v>145</v>
      </c>
      <c r="N98" s="229">
        <v>0</v>
      </c>
      <c r="O98" s="229">
        <v>0</v>
      </c>
    </row>
    <row r="99" spans="1:17" x14ac:dyDescent="0.3">
      <c r="A99" s="377" t="s">
        <v>243</v>
      </c>
      <c r="B99" s="378" t="s">
        <v>244</v>
      </c>
      <c r="C99" s="379" t="s">
        <v>255</v>
      </c>
      <c r="D99" s="229">
        <v>154</v>
      </c>
      <c r="E99" s="1465">
        <v>146</v>
      </c>
      <c r="F99" s="229">
        <v>4</v>
      </c>
      <c r="G99" s="229">
        <v>0</v>
      </c>
      <c r="H99" s="1872">
        <v>4</v>
      </c>
      <c r="I99" s="1465">
        <v>24</v>
      </c>
      <c r="J99" s="229">
        <v>123</v>
      </c>
      <c r="K99" s="1136">
        <v>4</v>
      </c>
      <c r="L99" s="1465">
        <v>95</v>
      </c>
      <c r="M99" s="229">
        <v>59</v>
      </c>
      <c r="N99" s="229">
        <v>0</v>
      </c>
      <c r="O99" s="229">
        <v>0</v>
      </c>
    </row>
    <row r="100" spans="1:17" x14ac:dyDescent="0.3">
      <c r="A100" s="377" t="s">
        <v>245</v>
      </c>
      <c r="B100" s="378" t="s">
        <v>246</v>
      </c>
      <c r="C100" s="379" t="s">
        <v>251</v>
      </c>
      <c r="D100" s="229">
        <v>309</v>
      </c>
      <c r="E100" s="1465">
        <v>194</v>
      </c>
      <c r="F100" s="229">
        <v>57</v>
      </c>
      <c r="G100" s="229">
        <v>14</v>
      </c>
      <c r="H100" s="1872">
        <v>44</v>
      </c>
      <c r="I100" s="1465">
        <v>55</v>
      </c>
      <c r="J100" s="229">
        <v>240</v>
      </c>
      <c r="K100" s="1136">
        <v>5</v>
      </c>
      <c r="L100" s="1465">
        <v>199</v>
      </c>
      <c r="M100" s="229">
        <v>110</v>
      </c>
      <c r="N100" s="229">
        <v>0</v>
      </c>
      <c r="O100" s="229">
        <v>0</v>
      </c>
    </row>
    <row r="101" spans="1:17" x14ac:dyDescent="0.3">
      <c r="A101" s="377" t="s">
        <v>13</v>
      </c>
      <c r="B101" s="378" t="s">
        <v>14</v>
      </c>
      <c r="C101" s="379" t="s">
        <v>254</v>
      </c>
      <c r="D101" s="766">
        <v>389</v>
      </c>
      <c r="E101" s="1466">
        <v>211</v>
      </c>
      <c r="F101" s="494">
        <v>97</v>
      </c>
      <c r="G101" s="494">
        <v>20</v>
      </c>
      <c r="H101" s="1872">
        <v>61</v>
      </c>
      <c r="I101" s="1466">
        <v>54</v>
      </c>
      <c r="J101" s="494">
        <v>294</v>
      </c>
      <c r="K101" s="1136">
        <v>33</v>
      </c>
      <c r="L101" s="1466">
        <v>234</v>
      </c>
      <c r="M101" s="494">
        <v>150</v>
      </c>
      <c r="N101" s="494">
        <v>0</v>
      </c>
      <c r="O101" s="494">
        <v>5</v>
      </c>
      <c r="P101" s="1458"/>
      <c r="Q101" s="766"/>
    </row>
    <row r="102" spans="1:17" x14ac:dyDescent="0.3">
      <c r="A102" s="377" t="s">
        <v>33</v>
      </c>
      <c r="B102" s="378" t="s">
        <v>34</v>
      </c>
      <c r="C102" s="379" t="s">
        <v>255</v>
      </c>
      <c r="D102" s="105">
        <v>111</v>
      </c>
      <c r="E102" s="1465">
        <v>102</v>
      </c>
      <c r="F102" s="229">
        <v>1</v>
      </c>
      <c r="G102" s="229">
        <v>0</v>
      </c>
      <c r="H102" s="1872">
        <v>8</v>
      </c>
      <c r="I102" s="1465">
        <v>21</v>
      </c>
      <c r="J102" s="229">
        <v>68</v>
      </c>
      <c r="K102" s="1136">
        <v>18</v>
      </c>
      <c r="L102" s="1465">
        <v>74</v>
      </c>
      <c r="M102" s="229">
        <v>37</v>
      </c>
      <c r="N102" s="229">
        <v>0</v>
      </c>
      <c r="O102" s="229">
        <v>0</v>
      </c>
    </row>
    <row r="103" spans="1:17" x14ac:dyDescent="0.3">
      <c r="A103" s="377" t="s">
        <v>51</v>
      </c>
      <c r="B103" s="378" t="s">
        <v>52</v>
      </c>
      <c r="C103" s="379" t="s">
        <v>252</v>
      </c>
      <c r="D103" s="105">
        <v>269</v>
      </c>
      <c r="E103" s="1465">
        <v>137</v>
      </c>
      <c r="F103" s="229">
        <v>89</v>
      </c>
      <c r="G103" s="229">
        <v>0</v>
      </c>
      <c r="H103" s="1872">
        <v>43</v>
      </c>
      <c r="I103" s="1465">
        <v>107</v>
      </c>
      <c r="J103" s="229">
        <v>156</v>
      </c>
      <c r="K103" s="1136">
        <v>3</v>
      </c>
      <c r="L103" s="1465">
        <v>147</v>
      </c>
      <c r="M103" s="229">
        <v>122</v>
      </c>
      <c r="N103" s="229">
        <v>0</v>
      </c>
      <c r="O103" s="229">
        <v>0</v>
      </c>
    </row>
    <row r="104" spans="1:17" x14ac:dyDescent="0.3">
      <c r="A104" s="377" t="s">
        <v>53</v>
      </c>
      <c r="B104" s="378" t="s">
        <v>54</v>
      </c>
      <c r="C104" s="379" t="s">
        <v>251</v>
      </c>
      <c r="D104" s="105">
        <v>1267</v>
      </c>
      <c r="E104" s="1465">
        <v>624</v>
      </c>
      <c r="F104" s="229">
        <v>413</v>
      </c>
      <c r="G104" s="229">
        <v>18</v>
      </c>
      <c r="H104" s="1872">
        <v>212</v>
      </c>
      <c r="I104" s="1465">
        <v>254</v>
      </c>
      <c r="J104" s="229">
        <v>914</v>
      </c>
      <c r="K104" s="1136">
        <v>53</v>
      </c>
      <c r="L104" s="1465">
        <v>804</v>
      </c>
      <c r="M104" s="229">
        <v>456</v>
      </c>
      <c r="N104" s="229">
        <v>0</v>
      </c>
      <c r="O104" s="229">
        <v>7</v>
      </c>
    </row>
    <row r="105" spans="1:17" x14ac:dyDescent="0.3">
      <c r="A105" s="377" t="s">
        <v>65</v>
      </c>
      <c r="B105" s="378" t="s">
        <v>66</v>
      </c>
      <c r="C105" s="379" t="s">
        <v>252</v>
      </c>
      <c r="D105" s="105">
        <v>68</v>
      </c>
      <c r="E105" s="1465">
        <v>39</v>
      </c>
      <c r="F105" s="229">
        <v>24</v>
      </c>
      <c r="G105" s="229">
        <v>1</v>
      </c>
      <c r="H105" s="1872">
        <v>4</v>
      </c>
      <c r="I105" s="1465">
        <v>18</v>
      </c>
      <c r="J105" s="229">
        <v>46</v>
      </c>
      <c r="K105" s="1136">
        <v>3</v>
      </c>
      <c r="L105" s="1465">
        <v>40</v>
      </c>
      <c r="M105" s="229">
        <v>28</v>
      </c>
      <c r="N105" s="229">
        <v>0</v>
      </c>
      <c r="O105" s="229">
        <v>0</v>
      </c>
    </row>
    <row r="106" spans="1:17" x14ac:dyDescent="0.3">
      <c r="A106" s="377" t="s">
        <v>81</v>
      </c>
      <c r="B106" s="378" t="s">
        <v>82</v>
      </c>
      <c r="C106" s="379" t="s">
        <v>251</v>
      </c>
      <c r="D106" s="105">
        <v>51</v>
      </c>
      <c r="E106" s="1465">
        <v>22</v>
      </c>
      <c r="F106" s="229">
        <v>27</v>
      </c>
      <c r="G106" s="229">
        <v>0</v>
      </c>
      <c r="H106" s="1872">
        <v>2</v>
      </c>
      <c r="I106" s="1465">
        <v>10</v>
      </c>
      <c r="J106" s="229">
        <v>39</v>
      </c>
      <c r="K106" s="1136">
        <v>1</v>
      </c>
      <c r="L106" s="1465">
        <v>35</v>
      </c>
      <c r="M106" s="229">
        <v>16</v>
      </c>
      <c r="N106" s="229">
        <v>0</v>
      </c>
      <c r="O106" s="229">
        <v>0</v>
      </c>
    </row>
    <row r="107" spans="1:17" x14ac:dyDescent="0.3">
      <c r="A107" s="377" t="s">
        <v>87</v>
      </c>
      <c r="B107" s="378" t="s">
        <v>88</v>
      </c>
      <c r="C107" s="379" t="s">
        <v>254</v>
      </c>
      <c r="D107" s="766">
        <v>209</v>
      </c>
      <c r="E107" s="1466">
        <v>110</v>
      </c>
      <c r="F107" s="494">
        <v>51</v>
      </c>
      <c r="G107" s="494">
        <v>3</v>
      </c>
      <c r="H107" s="1872">
        <v>45</v>
      </c>
      <c r="I107" s="1466">
        <v>47</v>
      </c>
      <c r="J107" s="494">
        <v>146</v>
      </c>
      <c r="K107" s="1136">
        <v>14</v>
      </c>
      <c r="L107" s="1466">
        <v>123</v>
      </c>
      <c r="M107" s="494">
        <v>86</v>
      </c>
      <c r="N107" s="494">
        <v>0</v>
      </c>
      <c r="O107" s="494">
        <v>0</v>
      </c>
      <c r="P107" s="1458"/>
      <c r="Q107" s="1458"/>
    </row>
    <row r="108" spans="1:17" x14ac:dyDescent="0.3">
      <c r="A108" s="377" t="s">
        <v>89</v>
      </c>
      <c r="B108" s="378" t="s">
        <v>90</v>
      </c>
      <c r="C108" s="379" t="s">
        <v>255</v>
      </c>
      <c r="D108" s="105">
        <v>64</v>
      </c>
      <c r="E108" s="1465">
        <v>46</v>
      </c>
      <c r="F108" s="229">
        <v>0</v>
      </c>
      <c r="G108" s="229">
        <v>0</v>
      </c>
      <c r="H108" s="1872">
        <v>18</v>
      </c>
      <c r="I108" s="1465">
        <v>7</v>
      </c>
      <c r="J108" s="229">
        <v>45</v>
      </c>
      <c r="K108" s="1136">
        <v>11</v>
      </c>
      <c r="L108" s="1465">
        <v>37</v>
      </c>
      <c r="M108" s="229">
        <v>25</v>
      </c>
      <c r="N108" s="229">
        <v>0</v>
      </c>
      <c r="O108" s="229">
        <v>2</v>
      </c>
    </row>
    <row r="109" spans="1:17" x14ac:dyDescent="0.3">
      <c r="A109" s="377" t="s">
        <v>105</v>
      </c>
      <c r="B109" s="378" t="s">
        <v>106</v>
      </c>
      <c r="C109" s="379" t="s">
        <v>251</v>
      </c>
      <c r="D109" s="766">
        <v>396</v>
      </c>
      <c r="E109" s="1465">
        <v>136</v>
      </c>
      <c r="F109" s="229">
        <v>188</v>
      </c>
      <c r="G109" s="229">
        <v>6</v>
      </c>
      <c r="H109" s="1872">
        <v>66</v>
      </c>
      <c r="I109" s="1465">
        <v>83</v>
      </c>
      <c r="J109" s="229">
        <v>265</v>
      </c>
      <c r="K109" s="1136">
        <v>40</v>
      </c>
      <c r="L109" s="1465">
        <v>211</v>
      </c>
      <c r="M109" s="229">
        <v>183</v>
      </c>
      <c r="N109" s="229">
        <v>0</v>
      </c>
      <c r="O109" s="229">
        <v>2</v>
      </c>
      <c r="Q109" s="105"/>
    </row>
    <row r="110" spans="1:17" x14ac:dyDescent="0.3">
      <c r="A110" s="377" t="s">
        <v>115</v>
      </c>
      <c r="B110" s="378" t="s">
        <v>116</v>
      </c>
      <c r="C110" s="379" t="s">
        <v>253</v>
      </c>
      <c r="D110" s="105">
        <v>204</v>
      </c>
      <c r="E110" s="1465">
        <v>118</v>
      </c>
      <c r="F110" s="229">
        <v>69</v>
      </c>
      <c r="G110" s="229">
        <v>0</v>
      </c>
      <c r="H110" s="1872">
        <v>17</v>
      </c>
      <c r="I110" s="1465">
        <v>42</v>
      </c>
      <c r="J110" s="229">
        <v>138</v>
      </c>
      <c r="K110" s="1136">
        <v>22</v>
      </c>
      <c r="L110" s="1465">
        <v>120</v>
      </c>
      <c r="M110" s="229">
        <v>84</v>
      </c>
      <c r="N110" s="229">
        <v>0</v>
      </c>
      <c r="O110" s="229">
        <v>0</v>
      </c>
    </row>
    <row r="111" spans="1:17" x14ac:dyDescent="0.3">
      <c r="A111" s="377" t="s">
        <v>137</v>
      </c>
      <c r="B111" s="378" t="s">
        <v>138</v>
      </c>
      <c r="C111" s="379" t="s">
        <v>252</v>
      </c>
      <c r="D111" s="105">
        <v>672</v>
      </c>
      <c r="E111" s="1465">
        <v>309</v>
      </c>
      <c r="F111" s="229">
        <v>188</v>
      </c>
      <c r="G111" s="229">
        <v>3</v>
      </c>
      <c r="H111" s="1872">
        <v>172</v>
      </c>
      <c r="I111" s="1465">
        <v>135</v>
      </c>
      <c r="J111" s="229">
        <v>518</v>
      </c>
      <c r="K111" s="1136">
        <v>9</v>
      </c>
      <c r="L111" s="1465">
        <v>372</v>
      </c>
      <c r="M111" s="229">
        <v>294</v>
      </c>
      <c r="N111" s="229">
        <v>0</v>
      </c>
      <c r="O111" s="229">
        <v>6</v>
      </c>
    </row>
    <row r="112" spans="1:17" x14ac:dyDescent="0.3">
      <c r="A112" s="377" t="s">
        <v>141</v>
      </c>
      <c r="B112" s="378" t="s">
        <v>142</v>
      </c>
      <c r="C112" s="379" t="s">
        <v>254</v>
      </c>
      <c r="D112" s="766">
        <v>92</v>
      </c>
      <c r="E112" s="1466">
        <v>67</v>
      </c>
      <c r="F112" s="494">
        <v>13</v>
      </c>
      <c r="G112" s="494">
        <v>0</v>
      </c>
      <c r="H112" s="1872">
        <v>12</v>
      </c>
      <c r="I112" s="1466">
        <v>15</v>
      </c>
      <c r="J112" s="494">
        <v>71</v>
      </c>
      <c r="K112" s="1136">
        <v>5</v>
      </c>
      <c r="L112" s="1466">
        <v>58</v>
      </c>
      <c r="M112" s="494">
        <v>34</v>
      </c>
      <c r="N112" s="494">
        <v>0</v>
      </c>
      <c r="O112" s="494">
        <v>0</v>
      </c>
      <c r="P112" s="1458"/>
      <c r="Q112" s="1458"/>
    </row>
    <row r="113" spans="1:17" x14ac:dyDescent="0.3">
      <c r="A113" s="377" t="s">
        <v>143</v>
      </c>
      <c r="B113" s="378" t="s">
        <v>144</v>
      </c>
      <c r="C113" s="379" t="s">
        <v>254</v>
      </c>
      <c r="D113" s="766">
        <v>41</v>
      </c>
      <c r="E113" s="1466">
        <v>21</v>
      </c>
      <c r="F113" s="494">
        <v>5</v>
      </c>
      <c r="G113" s="494">
        <v>11</v>
      </c>
      <c r="H113" s="1872">
        <v>4</v>
      </c>
      <c r="I113" s="1466">
        <v>9</v>
      </c>
      <c r="J113" s="494">
        <v>30</v>
      </c>
      <c r="K113" s="1136">
        <v>2</v>
      </c>
      <c r="L113" s="1466">
        <v>29</v>
      </c>
      <c r="M113" s="494">
        <v>12</v>
      </c>
      <c r="N113" s="494">
        <v>0</v>
      </c>
      <c r="O113" s="494">
        <v>0</v>
      </c>
      <c r="P113" s="1458"/>
      <c r="Q113" s="1458"/>
    </row>
    <row r="114" spans="1:17" x14ac:dyDescent="0.3">
      <c r="A114" s="377" t="s">
        <v>157</v>
      </c>
      <c r="B114" s="378" t="s">
        <v>158</v>
      </c>
      <c r="C114" s="379" t="s">
        <v>251</v>
      </c>
      <c r="D114" s="105">
        <v>881</v>
      </c>
      <c r="E114" s="1465">
        <v>349</v>
      </c>
      <c r="F114" s="229">
        <v>322</v>
      </c>
      <c r="G114" s="229">
        <v>13</v>
      </c>
      <c r="H114" s="1873">
        <v>197</v>
      </c>
      <c r="I114" s="1465">
        <v>154</v>
      </c>
      <c r="J114" s="229">
        <v>635</v>
      </c>
      <c r="K114" s="1136">
        <v>76</v>
      </c>
      <c r="L114" s="1465">
        <v>551</v>
      </c>
      <c r="M114" s="229">
        <v>323</v>
      </c>
      <c r="N114" s="229">
        <v>0</v>
      </c>
      <c r="O114" s="229">
        <v>7</v>
      </c>
    </row>
    <row r="115" spans="1:17" x14ac:dyDescent="0.3">
      <c r="A115" s="377" t="s">
        <v>159</v>
      </c>
      <c r="B115" s="378" t="s">
        <v>160</v>
      </c>
      <c r="C115" s="379" t="s">
        <v>251</v>
      </c>
      <c r="D115" s="105">
        <v>1416</v>
      </c>
      <c r="E115" s="1465">
        <v>615</v>
      </c>
      <c r="F115" s="229">
        <v>537</v>
      </c>
      <c r="G115" s="229">
        <v>25</v>
      </c>
      <c r="H115" s="1872">
        <v>239</v>
      </c>
      <c r="I115" s="1465">
        <v>314</v>
      </c>
      <c r="J115" s="229">
        <v>948</v>
      </c>
      <c r="K115" s="1136">
        <v>127</v>
      </c>
      <c r="L115" s="1465">
        <v>842</v>
      </c>
      <c r="M115" s="229">
        <v>566</v>
      </c>
      <c r="N115" s="229">
        <v>0</v>
      </c>
      <c r="O115" s="229">
        <v>8</v>
      </c>
    </row>
    <row r="116" spans="1:17" x14ac:dyDescent="0.3">
      <c r="A116" s="377" t="s">
        <v>165</v>
      </c>
      <c r="B116" s="378" t="s">
        <v>166</v>
      </c>
      <c r="C116" s="379" t="s">
        <v>255</v>
      </c>
      <c r="D116" s="514">
        <v>57</v>
      </c>
      <c r="E116" s="1468">
        <v>52</v>
      </c>
      <c r="F116" s="1469">
        <v>2</v>
      </c>
      <c r="G116" s="1469">
        <v>1</v>
      </c>
      <c r="H116" s="1872">
        <v>2</v>
      </c>
      <c r="I116" s="1468">
        <v>15</v>
      </c>
      <c r="J116" s="1469">
        <v>35</v>
      </c>
      <c r="K116" s="1136">
        <v>5</v>
      </c>
      <c r="L116" s="1468">
        <v>29</v>
      </c>
      <c r="M116" s="1469">
        <v>28</v>
      </c>
      <c r="N116" s="1469">
        <v>0</v>
      </c>
      <c r="O116" s="1469">
        <v>0</v>
      </c>
    </row>
    <row r="117" spans="1:17" x14ac:dyDescent="0.3">
      <c r="A117" s="377" t="s">
        <v>175</v>
      </c>
      <c r="B117" s="378" t="s">
        <v>176</v>
      </c>
      <c r="C117" s="379" t="s">
        <v>253</v>
      </c>
      <c r="D117" s="105">
        <v>210</v>
      </c>
      <c r="E117" s="1465">
        <v>58</v>
      </c>
      <c r="F117" s="229">
        <v>122</v>
      </c>
      <c r="G117" s="229">
        <v>1</v>
      </c>
      <c r="H117" s="1872">
        <v>29</v>
      </c>
      <c r="I117" s="1465">
        <v>90</v>
      </c>
      <c r="J117" s="229">
        <v>108</v>
      </c>
      <c r="K117" s="1136">
        <v>10</v>
      </c>
      <c r="L117" s="1465">
        <v>105</v>
      </c>
      <c r="M117" s="229">
        <v>103</v>
      </c>
      <c r="N117" s="229">
        <v>0</v>
      </c>
      <c r="O117" s="229">
        <v>2</v>
      </c>
    </row>
    <row r="118" spans="1:17" x14ac:dyDescent="0.3">
      <c r="A118" s="377" t="s">
        <v>179</v>
      </c>
      <c r="B118" s="378" t="s">
        <v>180</v>
      </c>
      <c r="C118" s="379" t="s">
        <v>251</v>
      </c>
      <c r="D118" s="105">
        <v>372</v>
      </c>
      <c r="E118" s="1465">
        <v>117</v>
      </c>
      <c r="F118" s="229">
        <v>174</v>
      </c>
      <c r="G118" s="229">
        <v>3</v>
      </c>
      <c r="H118" s="1872">
        <v>78</v>
      </c>
      <c r="I118" s="1465">
        <v>88</v>
      </c>
      <c r="J118" s="229">
        <v>249</v>
      </c>
      <c r="K118" s="1136">
        <v>29</v>
      </c>
      <c r="L118" s="1465">
        <v>223</v>
      </c>
      <c r="M118" s="229">
        <v>146</v>
      </c>
      <c r="N118" s="229">
        <v>0</v>
      </c>
      <c r="O118" s="229">
        <v>3</v>
      </c>
    </row>
    <row r="119" spans="1:17" x14ac:dyDescent="0.3">
      <c r="A119" s="377" t="s">
        <v>191</v>
      </c>
      <c r="B119" s="378" t="s">
        <v>192</v>
      </c>
      <c r="C119" s="379" t="s">
        <v>255</v>
      </c>
      <c r="D119" s="229">
        <v>67</v>
      </c>
      <c r="E119" s="1465">
        <v>54</v>
      </c>
      <c r="F119" s="229">
        <v>5</v>
      </c>
      <c r="G119" s="229">
        <v>0</v>
      </c>
      <c r="H119" s="1872">
        <v>8</v>
      </c>
      <c r="I119" s="1465">
        <v>11</v>
      </c>
      <c r="J119" s="229">
        <v>48</v>
      </c>
      <c r="K119" s="1136">
        <v>5</v>
      </c>
      <c r="L119" s="1465">
        <v>34</v>
      </c>
      <c r="M119" s="229">
        <v>32</v>
      </c>
      <c r="N119" s="229">
        <v>0</v>
      </c>
      <c r="O119" s="229">
        <v>1</v>
      </c>
    </row>
    <row r="120" spans="1:17" x14ac:dyDescent="0.3">
      <c r="A120" s="377" t="s">
        <v>195</v>
      </c>
      <c r="B120" s="378" t="s">
        <v>196</v>
      </c>
      <c r="C120" s="379" t="s">
        <v>253</v>
      </c>
      <c r="D120" s="105">
        <v>1024</v>
      </c>
      <c r="E120" s="1465">
        <v>321</v>
      </c>
      <c r="F120" s="229">
        <v>573</v>
      </c>
      <c r="G120" s="229">
        <v>3</v>
      </c>
      <c r="H120" s="1872">
        <v>127</v>
      </c>
      <c r="I120" s="1465">
        <v>216</v>
      </c>
      <c r="J120" s="229">
        <v>735</v>
      </c>
      <c r="K120" s="1136">
        <v>59</v>
      </c>
      <c r="L120" s="1465">
        <v>577</v>
      </c>
      <c r="M120" s="229">
        <v>438</v>
      </c>
      <c r="N120" s="229">
        <v>3</v>
      </c>
      <c r="O120" s="229">
        <v>6</v>
      </c>
    </row>
    <row r="121" spans="1:17" x14ac:dyDescent="0.3">
      <c r="A121" s="377" t="s">
        <v>199</v>
      </c>
      <c r="B121" s="378" t="s">
        <v>200</v>
      </c>
      <c r="C121" s="379" t="s">
        <v>252</v>
      </c>
      <c r="D121" s="105">
        <v>1191</v>
      </c>
      <c r="E121" s="1465">
        <v>743</v>
      </c>
      <c r="F121" s="229">
        <v>282</v>
      </c>
      <c r="G121" s="229">
        <v>18</v>
      </c>
      <c r="H121" s="1872">
        <v>148</v>
      </c>
      <c r="I121" s="1465">
        <v>334</v>
      </c>
      <c r="J121" s="229">
        <v>788</v>
      </c>
      <c r="K121" s="1136">
        <v>53</v>
      </c>
      <c r="L121" s="1465">
        <v>667</v>
      </c>
      <c r="M121" s="229">
        <v>516</v>
      </c>
      <c r="N121" s="229">
        <v>2</v>
      </c>
      <c r="O121" s="229">
        <v>6</v>
      </c>
    </row>
    <row r="122" spans="1:17" x14ac:dyDescent="0.3">
      <c r="A122" s="377" t="s">
        <v>221</v>
      </c>
      <c r="B122" s="378" t="s">
        <v>222</v>
      </c>
      <c r="C122" s="379" t="s">
        <v>251</v>
      </c>
      <c r="D122" s="105">
        <v>393</v>
      </c>
      <c r="E122" s="1465">
        <v>160</v>
      </c>
      <c r="F122" s="229">
        <v>173</v>
      </c>
      <c r="G122" s="229">
        <v>1</v>
      </c>
      <c r="H122" s="1872">
        <v>59</v>
      </c>
      <c r="I122" s="1465">
        <v>76</v>
      </c>
      <c r="J122" s="229">
        <v>270</v>
      </c>
      <c r="K122" s="1136">
        <v>35</v>
      </c>
      <c r="L122" s="1465">
        <v>235</v>
      </c>
      <c r="M122" s="229">
        <v>154</v>
      </c>
      <c r="N122" s="229">
        <v>0</v>
      </c>
      <c r="O122" s="229">
        <v>4</v>
      </c>
    </row>
    <row r="123" spans="1:17" x14ac:dyDescent="0.3">
      <c r="A123" s="377" t="s">
        <v>229</v>
      </c>
      <c r="B123" s="378" t="s">
        <v>230</v>
      </c>
      <c r="C123" s="379" t="s">
        <v>251</v>
      </c>
      <c r="D123" s="105">
        <v>2001</v>
      </c>
      <c r="E123" s="1465">
        <v>1167</v>
      </c>
      <c r="F123" s="229">
        <v>378</v>
      </c>
      <c r="G123" s="229">
        <v>56</v>
      </c>
      <c r="H123" s="1873">
        <v>400</v>
      </c>
      <c r="I123" s="1465">
        <v>370</v>
      </c>
      <c r="J123" s="229">
        <v>1460</v>
      </c>
      <c r="K123" s="1136">
        <v>134</v>
      </c>
      <c r="L123" s="1465">
        <v>1221</v>
      </c>
      <c r="M123" s="229">
        <v>771</v>
      </c>
      <c r="N123" s="229">
        <v>0</v>
      </c>
      <c r="O123" s="229">
        <v>9</v>
      </c>
    </row>
    <row r="124" spans="1:17" x14ac:dyDescent="0.3">
      <c r="A124" s="377" t="s">
        <v>237</v>
      </c>
      <c r="B124" s="378" t="s">
        <v>238</v>
      </c>
      <c r="C124" s="379" t="s">
        <v>251</v>
      </c>
      <c r="D124" s="105">
        <v>106</v>
      </c>
      <c r="E124" s="1465">
        <v>57</v>
      </c>
      <c r="F124" s="229">
        <v>39</v>
      </c>
      <c r="G124" s="229">
        <v>5</v>
      </c>
      <c r="H124" s="1872">
        <v>5</v>
      </c>
      <c r="I124" s="1465">
        <v>25</v>
      </c>
      <c r="J124" s="229">
        <v>79</v>
      </c>
      <c r="K124" s="1136">
        <v>1</v>
      </c>
      <c r="L124" s="1465">
        <v>60</v>
      </c>
      <c r="M124" s="229">
        <v>44</v>
      </c>
      <c r="N124" s="229">
        <v>0</v>
      </c>
      <c r="O124" s="229">
        <v>2</v>
      </c>
    </row>
    <row r="125" spans="1:17" x14ac:dyDescent="0.3">
      <c r="A125" s="380" t="s">
        <v>239</v>
      </c>
      <c r="B125" s="381" t="s">
        <v>240</v>
      </c>
      <c r="C125" s="382" t="s">
        <v>254</v>
      </c>
      <c r="D125" s="2025">
        <v>223</v>
      </c>
      <c r="E125" s="2026">
        <v>154</v>
      </c>
      <c r="F125" s="2027">
        <v>17</v>
      </c>
      <c r="G125" s="2027">
        <v>2</v>
      </c>
      <c r="H125" s="1874">
        <v>50</v>
      </c>
      <c r="I125" s="2026">
        <v>77</v>
      </c>
      <c r="J125" s="2027">
        <v>131</v>
      </c>
      <c r="K125" s="1470">
        <v>12</v>
      </c>
      <c r="L125" s="2026">
        <v>127</v>
      </c>
      <c r="M125" s="2027">
        <v>95</v>
      </c>
      <c r="N125" s="2027">
        <v>0</v>
      </c>
      <c r="O125" s="2027">
        <v>1</v>
      </c>
      <c r="P125" s="1458"/>
      <c r="Q125" s="1458"/>
    </row>
    <row r="126" spans="1:17" x14ac:dyDescent="0.3">
      <c r="A126" s="377"/>
      <c r="B126" s="378"/>
      <c r="C126" s="379"/>
    </row>
    <row r="127" spans="1:17" ht="45" customHeight="1" x14ac:dyDescent="0.3">
      <c r="A127" s="2567" t="s">
        <v>950</v>
      </c>
      <c r="B127" s="2567"/>
      <c r="C127" s="2567"/>
      <c r="D127" s="2567"/>
      <c r="E127" s="2567"/>
      <c r="F127" s="2567"/>
      <c r="G127" s="2567"/>
      <c r="H127" s="2567"/>
      <c r="I127" s="2567"/>
      <c r="J127" s="2567"/>
      <c r="K127" s="1460"/>
      <c r="L127" s="1049"/>
      <c r="M127" s="1049"/>
      <c r="N127" s="2150"/>
      <c r="O127" s="1049"/>
    </row>
    <row r="128" spans="1:17" x14ac:dyDescent="0.3">
      <c r="A128" s="512"/>
      <c r="B128" s="512"/>
      <c r="C128" s="512"/>
      <c r="D128" s="512"/>
      <c r="E128" s="512"/>
      <c r="F128" s="512"/>
      <c r="G128" s="510"/>
      <c r="H128" s="510"/>
      <c r="I128" s="510"/>
      <c r="J128" s="510"/>
      <c r="K128" s="510"/>
      <c r="L128" s="510"/>
      <c r="M128" s="510"/>
      <c r="N128" s="510"/>
      <c r="O128" s="510"/>
    </row>
    <row r="129" spans="1:15" s="193" customFormat="1" x14ac:dyDescent="0.3">
      <c r="A129" s="2566" t="s">
        <v>247</v>
      </c>
      <c r="B129" s="2566"/>
      <c r="C129" s="2566"/>
      <c r="D129" s="2566"/>
      <c r="E129" s="2566"/>
      <c r="F129" s="2566"/>
      <c r="G129" s="2566"/>
      <c r="H129" s="2566"/>
      <c r="I129" s="2566"/>
      <c r="J129" s="2566"/>
      <c r="K129" s="1459"/>
      <c r="L129" s="1048"/>
      <c r="M129" s="1048"/>
      <c r="N129" s="2149"/>
      <c r="O129" s="1048"/>
    </row>
    <row r="130" spans="1:15" s="105" customFormat="1" x14ac:dyDescent="0.3">
      <c r="A130" s="194" t="s">
        <v>248</v>
      </c>
      <c r="B130" s="195" t="s">
        <v>249</v>
      </c>
      <c r="C130" s="513"/>
    </row>
    <row r="136" spans="1:15" ht="15.75" customHeight="1" x14ac:dyDescent="0.3">
      <c r="A136" s="2565" t="s">
        <v>502</v>
      </c>
      <c r="B136" s="2565"/>
      <c r="C136" s="2565"/>
      <c r="D136" s="2565"/>
      <c r="E136" s="2565"/>
      <c r="F136" s="2565"/>
    </row>
  </sheetData>
  <autoFilter ref="A4:C125"/>
  <sortState ref="A6:P125">
    <sortCondition ref="A6:A125"/>
  </sortState>
  <mergeCells count="6">
    <mergeCell ref="A136:F136"/>
    <mergeCell ref="A129:J129"/>
    <mergeCell ref="A127:J127"/>
    <mergeCell ref="L3:O3"/>
    <mergeCell ref="I3:K3"/>
    <mergeCell ref="E3:H3"/>
  </mergeCells>
  <hyperlinks>
    <hyperlink ref="B130"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1" tint="0.499984740745262"/>
  </sheetPr>
  <dimension ref="A1:M135"/>
  <sheetViews>
    <sheetView workbookViewId="0">
      <pane xSplit="2" ySplit="3" topLeftCell="F96" activePane="bottomRight" state="frozen"/>
      <selection pane="topRight" activeCell="C1" sqref="C1"/>
      <selection pane="bottomLeft" activeCell="A4" sqref="A4"/>
      <selection pane="bottomRight" activeCell="F133" sqref="F133"/>
    </sheetView>
  </sheetViews>
  <sheetFormatPr defaultColWidth="9" defaultRowHeight="15.6" x14ac:dyDescent="0.3"/>
  <cols>
    <col min="1" max="1" width="8.69921875" style="261" customWidth="1"/>
    <col min="2" max="2" width="33.796875" style="105" customWidth="1"/>
    <col min="3" max="3" width="11.59765625" style="105" customWidth="1"/>
    <col min="4" max="4" width="12.09765625" style="105" customWidth="1"/>
    <col min="5" max="5" width="16.69921875" style="261" customWidth="1"/>
    <col min="6" max="6" width="24.5" style="105" customWidth="1"/>
    <col min="7" max="7" width="26" style="105" customWidth="1"/>
    <col min="8" max="8" width="9" style="105"/>
    <col min="9" max="9" width="29.796875" style="105" customWidth="1"/>
    <col min="10" max="10" width="25.59765625" style="105" customWidth="1"/>
    <col min="11" max="16384" width="9" style="105"/>
  </cols>
  <sheetData>
    <row r="1" spans="1:10" x14ac:dyDescent="0.3">
      <c r="A1" s="1" t="s">
        <v>701</v>
      </c>
    </row>
    <row r="2" spans="1:10" x14ac:dyDescent="0.3">
      <c r="A2" s="1"/>
    </row>
    <row r="3" spans="1:10" ht="62.4" x14ac:dyDescent="0.3">
      <c r="A3" s="264" t="s">
        <v>4</v>
      </c>
      <c r="B3" s="265" t="s">
        <v>5</v>
      </c>
      <c r="C3" s="258" t="s">
        <v>250</v>
      </c>
      <c r="D3" s="266" t="s">
        <v>280</v>
      </c>
      <c r="E3" s="971" t="s">
        <v>673</v>
      </c>
      <c r="F3" s="969" t="s">
        <v>644</v>
      </c>
      <c r="G3" s="969" t="s">
        <v>702</v>
      </c>
      <c r="H3" s="262" t="s">
        <v>813</v>
      </c>
      <c r="I3" s="260" t="s">
        <v>700</v>
      </c>
      <c r="J3" s="969" t="s">
        <v>645</v>
      </c>
    </row>
    <row r="4" spans="1:10" x14ac:dyDescent="0.3">
      <c r="A4" s="267" t="s">
        <v>9</v>
      </c>
      <c r="B4" s="229" t="s">
        <v>10</v>
      </c>
      <c r="C4" s="229" t="s">
        <v>251</v>
      </c>
      <c r="D4" s="268" t="s">
        <v>9</v>
      </c>
      <c r="E4" s="261" t="s">
        <v>463</v>
      </c>
      <c r="F4" s="105" t="s">
        <v>429</v>
      </c>
      <c r="H4" s="263" t="s">
        <v>563</v>
      </c>
      <c r="I4" s="257" t="s">
        <v>461</v>
      </c>
      <c r="J4" s="105" t="s">
        <v>807</v>
      </c>
    </row>
    <row r="5" spans="1:10" hidden="1" x14ac:dyDescent="0.3">
      <c r="A5" s="267" t="s">
        <v>11</v>
      </c>
      <c r="B5" s="229" t="s">
        <v>12</v>
      </c>
      <c r="C5" s="229" t="s">
        <v>252</v>
      </c>
      <c r="D5" s="268" t="s">
        <v>11</v>
      </c>
      <c r="E5" s="261" t="s">
        <v>465</v>
      </c>
      <c r="F5" s="105" t="s">
        <v>425</v>
      </c>
      <c r="G5" s="105" t="s">
        <v>436</v>
      </c>
      <c r="H5" s="263" t="s">
        <v>563</v>
      </c>
      <c r="I5" s="257" t="s">
        <v>461</v>
      </c>
      <c r="J5" s="105" t="s">
        <v>808</v>
      </c>
    </row>
    <row r="6" spans="1:10" x14ac:dyDescent="0.3">
      <c r="A6" s="267" t="s">
        <v>15</v>
      </c>
      <c r="B6" s="229" t="s">
        <v>396</v>
      </c>
      <c r="C6" s="229" t="s">
        <v>252</v>
      </c>
      <c r="D6" s="268" t="s">
        <v>15</v>
      </c>
      <c r="E6" s="1973" t="s">
        <v>463</v>
      </c>
      <c r="F6" s="105" t="s">
        <v>429</v>
      </c>
      <c r="H6" s="263" t="s">
        <v>563</v>
      </c>
      <c r="I6" s="257" t="s">
        <v>461</v>
      </c>
      <c r="J6" s="105" t="s">
        <v>648</v>
      </c>
    </row>
    <row r="7" spans="1:10" hidden="1" x14ac:dyDescent="0.3">
      <c r="A7" s="267" t="s">
        <v>17</v>
      </c>
      <c r="B7" s="229" t="s">
        <v>18</v>
      </c>
      <c r="C7" s="229" t="s">
        <v>253</v>
      </c>
      <c r="D7" s="268" t="s">
        <v>17</v>
      </c>
      <c r="E7" s="261" t="s">
        <v>464</v>
      </c>
      <c r="F7" s="105" t="s">
        <v>425</v>
      </c>
      <c r="G7" s="105" t="s">
        <v>437</v>
      </c>
      <c r="H7" s="263" t="s">
        <v>563</v>
      </c>
      <c r="I7" s="257" t="s">
        <v>461</v>
      </c>
      <c r="J7" s="105" t="s">
        <v>649</v>
      </c>
    </row>
    <row r="8" spans="1:10" x14ac:dyDescent="0.3">
      <c r="A8" s="267" t="s">
        <v>19</v>
      </c>
      <c r="B8" s="229" t="s">
        <v>20</v>
      </c>
      <c r="C8" s="229" t="s">
        <v>252</v>
      </c>
      <c r="D8" s="268" t="s">
        <v>19</v>
      </c>
      <c r="E8" s="261" t="s">
        <v>463</v>
      </c>
      <c r="F8" s="105" t="s">
        <v>429</v>
      </c>
      <c r="H8" s="263" t="s">
        <v>403</v>
      </c>
      <c r="I8" s="257" t="s">
        <v>460</v>
      </c>
      <c r="J8" s="105" t="s">
        <v>646</v>
      </c>
    </row>
    <row r="9" spans="1:10" x14ac:dyDescent="0.3">
      <c r="A9" s="267" t="s">
        <v>21</v>
      </c>
      <c r="B9" s="229" t="s">
        <v>22</v>
      </c>
      <c r="C9" s="229" t="s">
        <v>252</v>
      </c>
      <c r="D9" s="268" t="s">
        <v>21</v>
      </c>
      <c r="E9" s="261" t="s">
        <v>464</v>
      </c>
      <c r="F9" s="105" t="s">
        <v>429</v>
      </c>
      <c r="H9" s="263" t="s">
        <v>563</v>
      </c>
      <c r="I9" s="257" t="s">
        <v>461</v>
      </c>
      <c r="J9" s="105" t="s">
        <v>648</v>
      </c>
    </row>
    <row r="10" spans="1:10" hidden="1" x14ac:dyDescent="0.3">
      <c r="A10" s="267" t="s">
        <v>23</v>
      </c>
      <c r="B10" s="229" t="s">
        <v>24</v>
      </c>
      <c r="C10" s="229" t="s">
        <v>254</v>
      </c>
      <c r="D10" s="268" t="s">
        <v>23</v>
      </c>
      <c r="E10" s="269" t="s">
        <v>465</v>
      </c>
      <c r="F10" s="105" t="s">
        <v>425</v>
      </c>
      <c r="G10" s="105" t="s">
        <v>650</v>
      </c>
      <c r="H10" s="263" t="s">
        <v>404</v>
      </c>
      <c r="I10" s="257" t="s">
        <v>462</v>
      </c>
      <c r="J10" s="105" t="s">
        <v>647</v>
      </c>
    </row>
    <row r="11" spans="1:10" hidden="1" x14ac:dyDescent="0.3">
      <c r="A11" s="267" t="s">
        <v>25</v>
      </c>
      <c r="B11" s="229" t="s">
        <v>274</v>
      </c>
      <c r="C11" s="229" t="s">
        <v>252</v>
      </c>
      <c r="D11" s="268" t="s">
        <v>25</v>
      </c>
      <c r="E11" s="1973" t="s">
        <v>465</v>
      </c>
      <c r="F11" s="105" t="s">
        <v>425</v>
      </c>
      <c r="G11" s="105" t="s">
        <v>1010</v>
      </c>
      <c r="H11" s="263" t="s">
        <v>563</v>
      </c>
      <c r="I11" s="257" t="s">
        <v>461</v>
      </c>
      <c r="J11" s="105" t="s">
        <v>1011</v>
      </c>
    </row>
    <row r="12" spans="1:10" x14ac:dyDescent="0.3">
      <c r="A12" s="267" t="s">
        <v>26</v>
      </c>
      <c r="B12" s="229" t="s">
        <v>27</v>
      </c>
      <c r="C12" s="229" t="s">
        <v>252</v>
      </c>
      <c r="D12" s="268" t="s">
        <v>26</v>
      </c>
      <c r="E12" s="261" t="s">
        <v>464</v>
      </c>
      <c r="F12" s="105" t="s">
        <v>429</v>
      </c>
      <c r="H12" s="263" t="s">
        <v>403</v>
      </c>
      <c r="I12" s="257" t="s">
        <v>460</v>
      </c>
      <c r="J12" s="105" t="s">
        <v>646</v>
      </c>
    </row>
    <row r="13" spans="1:10" x14ac:dyDescent="0.3">
      <c r="A13" s="267" t="s">
        <v>28</v>
      </c>
      <c r="B13" s="229" t="s">
        <v>568</v>
      </c>
      <c r="C13" s="229" t="s">
        <v>252</v>
      </c>
      <c r="D13" s="268" t="s">
        <v>28</v>
      </c>
      <c r="E13" s="261" t="s">
        <v>465</v>
      </c>
      <c r="F13" s="105" t="s">
        <v>429</v>
      </c>
      <c r="H13" s="263" t="s">
        <v>563</v>
      </c>
      <c r="I13" s="257" t="s">
        <v>461</v>
      </c>
      <c r="J13" s="105" t="s">
        <v>648</v>
      </c>
    </row>
    <row r="14" spans="1:10" x14ac:dyDescent="0.3">
      <c r="A14" s="267" t="s">
        <v>29</v>
      </c>
      <c r="B14" s="229" t="s">
        <v>30</v>
      </c>
      <c r="C14" s="229" t="s">
        <v>255</v>
      </c>
      <c r="D14" s="268" t="s">
        <v>29</v>
      </c>
      <c r="E14" s="261" t="s">
        <v>464</v>
      </c>
      <c r="F14" s="105" t="s">
        <v>429</v>
      </c>
      <c r="H14" s="263" t="s">
        <v>563</v>
      </c>
      <c r="I14" s="257" t="s">
        <v>461</v>
      </c>
      <c r="J14" s="105" t="s">
        <v>649</v>
      </c>
    </row>
    <row r="15" spans="1:10" x14ac:dyDescent="0.3">
      <c r="A15" s="267" t="s">
        <v>31</v>
      </c>
      <c r="B15" s="229" t="s">
        <v>32</v>
      </c>
      <c r="C15" s="229" t="s">
        <v>252</v>
      </c>
      <c r="D15" s="268" t="s">
        <v>31</v>
      </c>
      <c r="E15" s="261" t="s">
        <v>464</v>
      </c>
      <c r="F15" s="105" t="s">
        <v>429</v>
      </c>
      <c r="H15" s="263" t="s">
        <v>403</v>
      </c>
      <c r="I15" s="257" t="s">
        <v>460</v>
      </c>
      <c r="J15" s="105" t="s">
        <v>646</v>
      </c>
    </row>
    <row r="16" spans="1:10" x14ac:dyDescent="0.3">
      <c r="A16" s="267" t="s">
        <v>35</v>
      </c>
      <c r="B16" s="229" t="s">
        <v>36</v>
      </c>
      <c r="C16" s="229" t="s">
        <v>251</v>
      </c>
      <c r="D16" s="268" t="s">
        <v>35</v>
      </c>
      <c r="E16" s="261" t="s">
        <v>463</v>
      </c>
      <c r="F16" s="105" t="s">
        <v>429</v>
      </c>
      <c r="H16" s="263" t="s">
        <v>403</v>
      </c>
      <c r="I16" s="257" t="s">
        <v>460</v>
      </c>
      <c r="J16" s="105" t="s">
        <v>646</v>
      </c>
    </row>
    <row r="17" spans="1:10" x14ac:dyDescent="0.3">
      <c r="A17" s="267" t="s">
        <v>37</v>
      </c>
      <c r="B17" s="229" t="s">
        <v>38</v>
      </c>
      <c r="C17" s="229" t="s">
        <v>255</v>
      </c>
      <c r="D17" s="268" t="s">
        <v>37</v>
      </c>
      <c r="E17" s="261" t="s">
        <v>463</v>
      </c>
      <c r="F17" s="105" t="s">
        <v>429</v>
      </c>
      <c r="H17" s="263" t="s">
        <v>563</v>
      </c>
      <c r="I17" s="257" t="s">
        <v>461</v>
      </c>
      <c r="J17" s="105" t="s">
        <v>649</v>
      </c>
    </row>
    <row r="18" spans="1:10" x14ac:dyDescent="0.3">
      <c r="A18" s="267" t="s">
        <v>39</v>
      </c>
      <c r="B18" s="229" t="s">
        <v>40</v>
      </c>
      <c r="C18" s="229" t="s">
        <v>253</v>
      </c>
      <c r="D18" s="268" t="s">
        <v>39</v>
      </c>
      <c r="E18" s="261" t="s">
        <v>463</v>
      </c>
      <c r="F18" s="105" t="s">
        <v>429</v>
      </c>
      <c r="H18" s="263" t="s">
        <v>563</v>
      </c>
      <c r="I18" s="257" t="s">
        <v>461</v>
      </c>
      <c r="J18" s="105" t="s">
        <v>649</v>
      </c>
    </row>
    <row r="19" spans="1:10" x14ac:dyDescent="0.3">
      <c r="A19" s="267" t="s">
        <v>41</v>
      </c>
      <c r="B19" s="229" t="s">
        <v>42</v>
      </c>
      <c r="C19" s="229" t="s">
        <v>252</v>
      </c>
      <c r="D19" s="268" t="s">
        <v>41</v>
      </c>
      <c r="E19" s="261" t="s">
        <v>463</v>
      </c>
      <c r="F19" s="105" t="s">
        <v>429</v>
      </c>
      <c r="H19" s="263" t="s">
        <v>563</v>
      </c>
      <c r="I19" s="257" t="s">
        <v>461</v>
      </c>
      <c r="J19" s="105" t="s">
        <v>651</v>
      </c>
    </row>
    <row r="20" spans="1:10" x14ac:dyDescent="0.3">
      <c r="A20" s="267" t="s">
        <v>43</v>
      </c>
      <c r="B20" s="229" t="s">
        <v>44</v>
      </c>
      <c r="C20" s="229" t="s">
        <v>253</v>
      </c>
      <c r="D20" s="268" t="s">
        <v>43</v>
      </c>
      <c r="E20" s="261" t="s">
        <v>463</v>
      </c>
      <c r="F20" s="105" t="s">
        <v>429</v>
      </c>
      <c r="H20" s="263" t="s">
        <v>563</v>
      </c>
      <c r="I20" s="257" t="s">
        <v>461</v>
      </c>
      <c r="J20" s="105" t="s">
        <v>648</v>
      </c>
    </row>
    <row r="21" spans="1:10" x14ac:dyDescent="0.3">
      <c r="A21" s="267" t="s">
        <v>45</v>
      </c>
      <c r="B21" s="229" t="s">
        <v>46</v>
      </c>
      <c r="C21" s="229" t="s">
        <v>255</v>
      </c>
      <c r="D21" s="268" t="s">
        <v>45</v>
      </c>
      <c r="E21" s="261" t="s">
        <v>463</v>
      </c>
      <c r="F21" s="105" t="s">
        <v>429</v>
      </c>
      <c r="H21" s="263" t="s">
        <v>563</v>
      </c>
      <c r="I21" s="257" t="s">
        <v>461</v>
      </c>
      <c r="J21" s="105" t="s">
        <v>649</v>
      </c>
    </row>
    <row r="22" spans="1:10" x14ac:dyDescent="0.3">
      <c r="A22" s="267" t="s">
        <v>47</v>
      </c>
      <c r="B22" s="229" t="s">
        <v>256</v>
      </c>
      <c r="C22" s="229" t="s">
        <v>253</v>
      </c>
      <c r="D22" s="268" t="s">
        <v>47</v>
      </c>
      <c r="E22" s="261" t="s">
        <v>464</v>
      </c>
      <c r="F22" s="105" t="s">
        <v>429</v>
      </c>
      <c r="H22" s="263" t="s">
        <v>563</v>
      </c>
      <c r="I22" s="257" t="s">
        <v>461</v>
      </c>
      <c r="J22" s="105" t="s">
        <v>658</v>
      </c>
    </row>
    <row r="23" spans="1:10" x14ac:dyDescent="0.3">
      <c r="A23" s="267" t="s">
        <v>49</v>
      </c>
      <c r="B23" s="229" t="s">
        <v>50</v>
      </c>
      <c r="C23" s="229" t="s">
        <v>252</v>
      </c>
      <c r="D23" s="268" t="s">
        <v>49</v>
      </c>
      <c r="E23" s="261" t="s">
        <v>463</v>
      </c>
      <c r="F23" s="105" t="s">
        <v>429</v>
      </c>
      <c r="H23" s="263" t="s">
        <v>563</v>
      </c>
      <c r="I23" s="257" t="s">
        <v>461</v>
      </c>
      <c r="J23" s="105" t="s">
        <v>649</v>
      </c>
    </row>
    <row r="24" spans="1:10" x14ac:dyDescent="0.3">
      <c r="A24" s="267" t="s">
        <v>55</v>
      </c>
      <c r="B24" s="229" t="s">
        <v>271</v>
      </c>
      <c r="C24" s="229" t="s">
        <v>253</v>
      </c>
      <c r="D24" s="268" t="s">
        <v>55</v>
      </c>
      <c r="E24" s="261" t="s">
        <v>465</v>
      </c>
      <c r="F24" s="105" t="s">
        <v>429</v>
      </c>
      <c r="H24" s="263" t="s">
        <v>404</v>
      </c>
      <c r="I24" s="257" t="s">
        <v>462</v>
      </c>
      <c r="J24" s="105" t="s">
        <v>647</v>
      </c>
    </row>
    <row r="25" spans="1:10" x14ac:dyDescent="0.3">
      <c r="A25" s="267" t="s">
        <v>57</v>
      </c>
      <c r="B25" s="229" t="s">
        <v>58</v>
      </c>
      <c r="C25" s="229" t="s">
        <v>254</v>
      </c>
      <c r="D25" s="268" t="s">
        <v>57</v>
      </c>
      <c r="E25" s="261" t="s">
        <v>464</v>
      </c>
      <c r="F25" s="105" t="s">
        <v>429</v>
      </c>
      <c r="H25" s="263" t="s">
        <v>653</v>
      </c>
      <c r="I25" s="257" t="s">
        <v>460</v>
      </c>
      <c r="J25" s="105" t="s">
        <v>646</v>
      </c>
    </row>
    <row r="26" spans="1:10" x14ac:dyDescent="0.3">
      <c r="A26" s="267" t="s">
        <v>59</v>
      </c>
      <c r="B26" s="229" t="s">
        <v>60</v>
      </c>
      <c r="C26" s="229" t="s">
        <v>252</v>
      </c>
      <c r="D26" s="268" t="s">
        <v>59</v>
      </c>
      <c r="E26" s="261" t="s">
        <v>464</v>
      </c>
      <c r="F26" s="105" t="s">
        <v>429</v>
      </c>
      <c r="H26" s="263" t="s">
        <v>403</v>
      </c>
      <c r="I26" s="257" t="s">
        <v>460</v>
      </c>
      <c r="J26" s="105" t="s">
        <v>646</v>
      </c>
    </row>
    <row r="27" spans="1:10" x14ac:dyDescent="0.3">
      <c r="A27" s="267" t="s">
        <v>61</v>
      </c>
      <c r="B27" s="229" t="s">
        <v>62</v>
      </c>
      <c r="C27" s="229" t="s">
        <v>254</v>
      </c>
      <c r="D27" s="268" t="s">
        <v>61</v>
      </c>
      <c r="E27" s="261" t="s">
        <v>463</v>
      </c>
      <c r="F27" s="105" t="s">
        <v>429</v>
      </c>
      <c r="H27" s="263" t="s">
        <v>563</v>
      </c>
      <c r="I27" s="257" t="s">
        <v>461</v>
      </c>
      <c r="J27" s="105" t="s">
        <v>648</v>
      </c>
    </row>
    <row r="28" spans="1:10" x14ac:dyDescent="0.3">
      <c r="A28" s="267" t="s">
        <v>63</v>
      </c>
      <c r="B28" s="229" t="s">
        <v>64</v>
      </c>
      <c r="C28" s="229" t="s">
        <v>253</v>
      </c>
      <c r="D28" s="268" t="s">
        <v>63</v>
      </c>
      <c r="E28" s="261" t="s">
        <v>464</v>
      </c>
      <c r="F28" s="105" t="s">
        <v>429</v>
      </c>
      <c r="H28" s="263" t="s">
        <v>563</v>
      </c>
      <c r="I28" s="257" t="s">
        <v>461</v>
      </c>
      <c r="J28" s="105" t="s">
        <v>652</v>
      </c>
    </row>
    <row r="29" spans="1:10" x14ac:dyDescent="0.3">
      <c r="A29" s="267" t="s">
        <v>67</v>
      </c>
      <c r="B29" s="229" t="s">
        <v>68</v>
      </c>
      <c r="C29" s="229" t="s">
        <v>255</v>
      </c>
      <c r="D29" s="268" t="s">
        <v>67</v>
      </c>
      <c r="E29" s="261" t="s">
        <v>463</v>
      </c>
      <c r="F29" s="105" t="s">
        <v>429</v>
      </c>
      <c r="H29" s="263" t="s">
        <v>403</v>
      </c>
      <c r="I29" s="257" t="s">
        <v>460</v>
      </c>
      <c r="J29" s="105" t="s">
        <v>646</v>
      </c>
    </row>
    <row r="30" spans="1:10" hidden="1" x14ac:dyDescent="0.3">
      <c r="A30" s="267" t="s">
        <v>69</v>
      </c>
      <c r="B30" s="229" t="s">
        <v>70</v>
      </c>
      <c r="C30" s="229" t="s">
        <v>251</v>
      </c>
      <c r="D30" s="268" t="s">
        <v>69</v>
      </c>
      <c r="E30" s="261" t="s">
        <v>463</v>
      </c>
      <c r="F30" s="105" t="s">
        <v>425</v>
      </c>
      <c r="G30" s="105" t="s">
        <v>437</v>
      </c>
      <c r="H30" s="263" t="s">
        <v>563</v>
      </c>
      <c r="I30" s="257" t="s">
        <v>461</v>
      </c>
      <c r="J30" s="105" t="s">
        <v>648</v>
      </c>
    </row>
    <row r="31" spans="1:10" x14ac:dyDescent="0.3">
      <c r="A31" s="267" t="s">
        <v>71</v>
      </c>
      <c r="B31" s="229" t="s">
        <v>72</v>
      </c>
      <c r="C31" s="229" t="s">
        <v>253</v>
      </c>
      <c r="D31" s="268" t="s">
        <v>71</v>
      </c>
      <c r="E31" s="261" t="s">
        <v>464</v>
      </c>
      <c r="F31" s="105" t="s">
        <v>429</v>
      </c>
      <c r="H31" s="263" t="s">
        <v>563</v>
      </c>
      <c r="I31" s="257" t="s">
        <v>461</v>
      </c>
      <c r="J31" s="105" t="s">
        <v>652</v>
      </c>
    </row>
    <row r="32" spans="1:10" hidden="1" x14ac:dyDescent="0.3">
      <c r="A32" s="267" t="s">
        <v>73</v>
      </c>
      <c r="B32" s="229" t="s">
        <v>501</v>
      </c>
      <c r="C32" s="229" t="s">
        <v>254</v>
      </c>
      <c r="D32" s="268" t="s">
        <v>73</v>
      </c>
      <c r="E32" s="261" t="s">
        <v>465</v>
      </c>
      <c r="F32" s="105" t="s">
        <v>425</v>
      </c>
      <c r="G32" s="105" t="s">
        <v>623</v>
      </c>
      <c r="H32" s="263" t="s">
        <v>404</v>
      </c>
      <c r="I32" s="257" t="s">
        <v>462</v>
      </c>
      <c r="J32" s="105" t="s">
        <v>647</v>
      </c>
    </row>
    <row r="33" spans="1:10" hidden="1" x14ac:dyDescent="0.3">
      <c r="A33" s="267" t="s">
        <v>75</v>
      </c>
      <c r="B33" s="229" t="s">
        <v>76</v>
      </c>
      <c r="C33" s="229" t="s">
        <v>254</v>
      </c>
      <c r="D33" s="268" t="s">
        <v>75</v>
      </c>
      <c r="E33" s="261" t="s">
        <v>463</v>
      </c>
      <c r="F33" s="105" t="s">
        <v>425</v>
      </c>
      <c r="G33" s="105" t="s">
        <v>437</v>
      </c>
      <c r="H33" s="263" t="s">
        <v>404</v>
      </c>
      <c r="I33" s="257" t="s">
        <v>462</v>
      </c>
      <c r="J33" s="105" t="s">
        <v>647</v>
      </c>
    </row>
    <row r="34" spans="1:10" x14ac:dyDescent="0.3">
      <c r="A34" s="267" t="s">
        <v>77</v>
      </c>
      <c r="B34" s="229" t="s">
        <v>78</v>
      </c>
      <c r="C34" s="229" t="s">
        <v>255</v>
      </c>
      <c r="D34" s="268" t="s">
        <v>77</v>
      </c>
      <c r="E34" s="261" t="s">
        <v>464</v>
      </c>
      <c r="F34" s="105" t="s">
        <v>429</v>
      </c>
      <c r="H34" s="263" t="s">
        <v>403</v>
      </c>
      <c r="I34" s="257" t="s">
        <v>460</v>
      </c>
      <c r="J34" s="105" t="s">
        <v>646</v>
      </c>
    </row>
    <row r="35" spans="1:10" x14ac:dyDescent="0.3">
      <c r="A35" s="267" t="s">
        <v>79</v>
      </c>
      <c r="B35" s="229" t="s">
        <v>80</v>
      </c>
      <c r="C35" s="229" t="s">
        <v>253</v>
      </c>
      <c r="D35" s="268" t="s">
        <v>79</v>
      </c>
      <c r="E35" s="261" t="s">
        <v>463</v>
      </c>
      <c r="F35" s="105" t="s">
        <v>429</v>
      </c>
      <c r="H35" s="263" t="s">
        <v>563</v>
      </c>
      <c r="I35" s="257" t="s">
        <v>461</v>
      </c>
      <c r="J35" s="105" t="s">
        <v>654</v>
      </c>
    </row>
    <row r="36" spans="1:10" x14ac:dyDescent="0.3">
      <c r="A36" s="267" t="s">
        <v>83</v>
      </c>
      <c r="B36" s="229" t="s">
        <v>281</v>
      </c>
      <c r="C36" s="229" t="s">
        <v>252</v>
      </c>
      <c r="D36" s="268" t="s">
        <v>83</v>
      </c>
      <c r="E36" s="261" t="s">
        <v>463</v>
      </c>
      <c r="F36" s="105" t="s">
        <v>429</v>
      </c>
      <c r="H36" s="263" t="s">
        <v>403</v>
      </c>
      <c r="I36" s="257" t="s">
        <v>460</v>
      </c>
      <c r="J36" s="105" t="s">
        <v>646</v>
      </c>
    </row>
    <row r="37" spans="1:10" x14ac:dyDescent="0.3">
      <c r="A37" s="267" t="s">
        <v>85</v>
      </c>
      <c r="B37" s="229" t="s">
        <v>86</v>
      </c>
      <c r="C37" s="229" t="s">
        <v>254</v>
      </c>
      <c r="D37" s="268" t="s">
        <v>85</v>
      </c>
      <c r="E37" s="261" t="s">
        <v>463</v>
      </c>
      <c r="F37" s="105" t="s">
        <v>429</v>
      </c>
      <c r="H37" s="263" t="s">
        <v>563</v>
      </c>
      <c r="I37" s="257" t="s">
        <v>461</v>
      </c>
      <c r="J37" s="105" t="s">
        <v>652</v>
      </c>
    </row>
    <row r="38" spans="1:10" x14ac:dyDescent="0.3">
      <c r="A38" s="267" t="s">
        <v>91</v>
      </c>
      <c r="B38" s="229" t="s">
        <v>92</v>
      </c>
      <c r="C38" s="229" t="s">
        <v>255</v>
      </c>
      <c r="D38" s="268" t="s">
        <v>91</v>
      </c>
      <c r="E38" s="261" t="s">
        <v>463</v>
      </c>
      <c r="F38" s="105" t="s">
        <v>429</v>
      </c>
      <c r="H38" s="263" t="s">
        <v>563</v>
      </c>
      <c r="I38" s="257" t="s">
        <v>461</v>
      </c>
      <c r="J38" s="105" t="s">
        <v>649</v>
      </c>
    </row>
    <row r="39" spans="1:10" x14ac:dyDescent="0.3">
      <c r="A39" s="267" t="s">
        <v>93</v>
      </c>
      <c r="B39" s="229" t="s">
        <v>94</v>
      </c>
      <c r="C39" s="229" t="s">
        <v>251</v>
      </c>
      <c r="D39" s="268" t="s">
        <v>93</v>
      </c>
      <c r="E39" s="261" t="s">
        <v>463</v>
      </c>
      <c r="F39" s="105" t="s">
        <v>429</v>
      </c>
      <c r="H39" s="263" t="s">
        <v>563</v>
      </c>
      <c r="I39" s="257" t="s">
        <v>461</v>
      </c>
      <c r="J39" s="105" t="s">
        <v>656</v>
      </c>
    </row>
    <row r="40" spans="1:10" x14ac:dyDescent="0.3">
      <c r="A40" s="267" t="s">
        <v>95</v>
      </c>
      <c r="B40" s="229" t="s">
        <v>96</v>
      </c>
      <c r="C40" s="229" t="s">
        <v>253</v>
      </c>
      <c r="D40" s="268" t="s">
        <v>95</v>
      </c>
      <c r="E40" s="261" t="s">
        <v>464</v>
      </c>
      <c r="F40" s="105" t="s">
        <v>429</v>
      </c>
      <c r="H40" s="263" t="s">
        <v>563</v>
      </c>
      <c r="I40" s="257" t="s">
        <v>461</v>
      </c>
      <c r="J40" s="105" t="s">
        <v>648</v>
      </c>
    </row>
    <row r="41" spans="1:10" x14ac:dyDescent="0.3">
      <c r="A41" s="267" t="s">
        <v>97</v>
      </c>
      <c r="B41" s="229" t="s">
        <v>98</v>
      </c>
      <c r="C41" s="229" t="s">
        <v>255</v>
      </c>
      <c r="D41" s="268" t="s">
        <v>97</v>
      </c>
      <c r="E41" s="261" t="s">
        <v>463</v>
      </c>
      <c r="F41" s="105" t="s">
        <v>429</v>
      </c>
      <c r="H41" s="263" t="s">
        <v>563</v>
      </c>
      <c r="I41" s="257" t="s">
        <v>461</v>
      </c>
      <c r="J41" s="105" t="s">
        <v>652</v>
      </c>
    </row>
    <row r="42" spans="1:10" x14ac:dyDescent="0.3">
      <c r="A42" s="267" t="s">
        <v>99</v>
      </c>
      <c r="B42" s="229" t="s">
        <v>100</v>
      </c>
      <c r="C42" s="229" t="s">
        <v>254</v>
      </c>
      <c r="D42" s="268" t="s">
        <v>99</v>
      </c>
      <c r="E42" s="261" t="s">
        <v>464</v>
      </c>
      <c r="F42" s="105" t="s">
        <v>429</v>
      </c>
      <c r="H42" s="263" t="s">
        <v>563</v>
      </c>
      <c r="I42" s="257" t="s">
        <v>461</v>
      </c>
      <c r="J42" s="105" t="s">
        <v>657</v>
      </c>
    </row>
    <row r="43" spans="1:10" x14ac:dyDescent="0.3">
      <c r="A43" s="267" t="s">
        <v>101</v>
      </c>
      <c r="B43" s="229" t="s">
        <v>263</v>
      </c>
      <c r="C43" s="229" t="s">
        <v>251</v>
      </c>
      <c r="D43" s="268" t="s">
        <v>101</v>
      </c>
      <c r="E43" s="261" t="s">
        <v>463</v>
      </c>
      <c r="F43" s="105" t="s">
        <v>429</v>
      </c>
      <c r="H43" s="263" t="s">
        <v>563</v>
      </c>
      <c r="I43" s="257" t="s">
        <v>461</v>
      </c>
      <c r="J43" s="105" t="s">
        <v>649</v>
      </c>
    </row>
    <row r="44" spans="1:10" x14ac:dyDescent="0.3">
      <c r="A44" s="267" t="s">
        <v>103</v>
      </c>
      <c r="B44" s="229" t="s">
        <v>398</v>
      </c>
      <c r="C44" s="229" t="s">
        <v>252</v>
      </c>
      <c r="D44" s="268" t="s">
        <v>103</v>
      </c>
      <c r="E44" s="261" t="s">
        <v>463</v>
      </c>
      <c r="F44" s="105" t="s">
        <v>429</v>
      </c>
      <c r="H44" s="263" t="s">
        <v>403</v>
      </c>
      <c r="I44" s="257" t="s">
        <v>460</v>
      </c>
      <c r="J44" s="105" t="s">
        <v>646</v>
      </c>
    </row>
    <row r="45" spans="1:10" hidden="1" x14ac:dyDescent="0.3">
      <c r="A45" s="267" t="s">
        <v>107</v>
      </c>
      <c r="B45" s="229" t="s">
        <v>108</v>
      </c>
      <c r="C45" s="229" t="s">
        <v>253</v>
      </c>
      <c r="D45" s="268" t="s">
        <v>107</v>
      </c>
      <c r="E45" s="261" t="s">
        <v>463</v>
      </c>
      <c r="F45" s="105" t="s">
        <v>425</v>
      </c>
      <c r="G45" s="105" t="s">
        <v>436</v>
      </c>
      <c r="H45" s="263" t="s">
        <v>404</v>
      </c>
      <c r="I45" s="257" t="s">
        <v>462</v>
      </c>
      <c r="J45" s="105" t="s">
        <v>647</v>
      </c>
    </row>
    <row r="46" spans="1:10" x14ac:dyDescent="0.3">
      <c r="A46" s="267" t="s">
        <v>109</v>
      </c>
      <c r="B46" s="229" t="s">
        <v>110</v>
      </c>
      <c r="C46" s="229" t="s">
        <v>253</v>
      </c>
      <c r="D46" s="268" t="s">
        <v>109</v>
      </c>
      <c r="E46" s="261" t="s">
        <v>465</v>
      </c>
      <c r="F46" s="105" t="s">
        <v>429</v>
      </c>
      <c r="H46" s="263" t="s">
        <v>404</v>
      </c>
      <c r="I46" s="257" t="s">
        <v>462</v>
      </c>
      <c r="J46" s="105" t="s">
        <v>647</v>
      </c>
    </row>
    <row r="47" spans="1:10" x14ac:dyDescent="0.3">
      <c r="A47" s="267" t="s">
        <v>111</v>
      </c>
      <c r="B47" s="229" t="s">
        <v>275</v>
      </c>
      <c r="C47" s="229" t="s">
        <v>252</v>
      </c>
      <c r="D47" s="268" t="s">
        <v>111</v>
      </c>
      <c r="E47" s="261" t="s">
        <v>465</v>
      </c>
      <c r="F47" s="105" t="s">
        <v>429</v>
      </c>
      <c r="H47" s="263" t="s">
        <v>403</v>
      </c>
      <c r="I47" s="257" t="s">
        <v>460</v>
      </c>
      <c r="J47" s="105" t="s">
        <v>646</v>
      </c>
    </row>
    <row r="48" spans="1:10" x14ac:dyDescent="0.3">
      <c r="A48" s="267" t="s">
        <v>113</v>
      </c>
      <c r="B48" s="229" t="s">
        <v>114</v>
      </c>
      <c r="C48" s="229" t="s">
        <v>252</v>
      </c>
      <c r="D48" s="268" t="s">
        <v>113</v>
      </c>
      <c r="E48" s="261" t="s">
        <v>464</v>
      </c>
      <c r="F48" s="105" t="s">
        <v>429</v>
      </c>
      <c r="H48" s="263" t="s">
        <v>403</v>
      </c>
      <c r="I48" s="257" t="s">
        <v>460</v>
      </c>
      <c r="J48" s="105" t="s">
        <v>646</v>
      </c>
    </row>
    <row r="49" spans="1:10" x14ac:dyDescent="0.3">
      <c r="A49" s="267" t="s">
        <v>117</v>
      </c>
      <c r="B49" s="229" t="s">
        <v>118</v>
      </c>
      <c r="C49" s="229" t="s">
        <v>251</v>
      </c>
      <c r="D49" s="268" t="s">
        <v>117</v>
      </c>
      <c r="E49" s="261" t="s">
        <v>463</v>
      </c>
      <c r="F49" s="105" t="s">
        <v>429</v>
      </c>
      <c r="H49" s="263" t="s">
        <v>563</v>
      </c>
      <c r="I49" s="257" t="s">
        <v>461</v>
      </c>
      <c r="J49" s="105" t="s">
        <v>649</v>
      </c>
    </row>
    <row r="50" spans="1:10" hidden="1" x14ac:dyDescent="0.3">
      <c r="A50" s="267" t="s">
        <v>119</v>
      </c>
      <c r="B50" s="229" t="s">
        <v>120</v>
      </c>
      <c r="C50" s="229" t="s">
        <v>251</v>
      </c>
      <c r="D50" s="268" t="s">
        <v>119</v>
      </c>
      <c r="E50" s="261" t="s">
        <v>463</v>
      </c>
      <c r="F50" s="105" t="s">
        <v>425</v>
      </c>
      <c r="G50" s="105" t="s">
        <v>436</v>
      </c>
      <c r="H50" s="263" t="s">
        <v>404</v>
      </c>
      <c r="I50" s="257" t="s">
        <v>462</v>
      </c>
      <c r="J50" s="105" t="s">
        <v>647</v>
      </c>
    </row>
    <row r="51" spans="1:10" hidden="1" x14ac:dyDescent="0.3">
      <c r="A51" s="267" t="s">
        <v>121</v>
      </c>
      <c r="B51" s="229" t="s">
        <v>258</v>
      </c>
      <c r="C51" s="229" t="s">
        <v>253</v>
      </c>
      <c r="D51" s="268" t="s">
        <v>121</v>
      </c>
      <c r="E51" s="261" t="s">
        <v>464</v>
      </c>
      <c r="F51" s="105" t="s">
        <v>425</v>
      </c>
      <c r="G51" s="105" t="s">
        <v>437</v>
      </c>
      <c r="H51" s="263" t="s">
        <v>563</v>
      </c>
      <c r="I51" s="257" t="s">
        <v>461</v>
      </c>
      <c r="J51" s="105" t="s">
        <v>648</v>
      </c>
    </row>
    <row r="52" spans="1:10" x14ac:dyDescent="0.3">
      <c r="A52" s="267" t="s">
        <v>123</v>
      </c>
      <c r="B52" s="229" t="s">
        <v>124</v>
      </c>
      <c r="C52" s="229" t="s">
        <v>254</v>
      </c>
      <c r="D52" s="268" t="s">
        <v>123</v>
      </c>
      <c r="E52" s="261" t="s">
        <v>464</v>
      </c>
      <c r="F52" s="105" t="s">
        <v>429</v>
      </c>
      <c r="H52" s="263" t="s">
        <v>563</v>
      </c>
      <c r="I52" s="257" t="s">
        <v>461</v>
      </c>
      <c r="J52" s="105" t="s">
        <v>652</v>
      </c>
    </row>
    <row r="53" spans="1:10" x14ac:dyDescent="0.3">
      <c r="A53" s="267" t="s">
        <v>125</v>
      </c>
      <c r="B53" s="229" t="s">
        <v>126</v>
      </c>
      <c r="C53" s="229" t="s">
        <v>253</v>
      </c>
      <c r="D53" s="268" t="s">
        <v>125</v>
      </c>
      <c r="E53" s="261" t="s">
        <v>464</v>
      </c>
      <c r="F53" s="105" t="s">
        <v>429</v>
      </c>
      <c r="H53" s="263" t="s">
        <v>563</v>
      </c>
      <c r="I53" s="257" t="s">
        <v>461</v>
      </c>
      <c r="J53" s="105" t="s">
        <v>663</v>
      </c>
    </row>
    <row r="54" spans="1:10" x14ac:dyDescent="0.3">
      <c r="A54" s="267" t="s">
        <v>127</v>
      </c>
      <c r="B54" s="229" t="s">
        <v>128</v>
      </c>
      <c r="C54" s="229" t="s">
        <v>253</v>
      </c>
      <c r="D54" s="268" t="s">
        <v>127</v>
      </c>
      <c r="E54" s="261" t="s">
        <v>464</v>
      </c>
      <c r="F54" s="105" t="s">
        <v>429</v>
      </c>
      <c r="H54" s="263" t="s">
        <v>563</v>
      </c>
      <c r="I54" s="257" t="s">
        <v>461</v>
      </c>
      <c r="J54" s="105" t="s">
        <v>652</v>
      </c>
    </row>
    <row r="55" spans="1:10" x14ac:dyDescent="0.3">
      <c r="A55" s="267" t="s">
        <v>129</v>
      </c>
      <c r="B55" s="229" t="s">
        <v>130</v>
      </c>
      <c r="C55" s="229" t="s">
        <v>255</v>
      </c>
      <c r="D55" s="268" t="s">
        <v>129</v>
      </c>
      <c r="E55" s="261" t="s">
        <v>463</v>
      </c>
      <c r="F55" s="105" t="s">
        <v>429</v>
      </c>
      <c r="H55" s="263" t="s">
        <v>403</v>
      </c>
      <c r="I55" s="257" t="s">
        <v>460</v>
      </c>
      <c r="J55" s="105" t="s">
        <v>646</v>
      </c>
    </row>
    <row r="56" spans="1:10" hidden="1" x14ac:dyDescent="0.3">
      <c r="A56" s="267" t="s">
        <v>131</v>
      </c>
      <c r="B56" s="229" t="s">
        <v>132</v>
      </c>
      <c r="C56" s="229" t="s">
        <v>254</v>
      </c>
      <c r="D56" s="268" t="s">
        <v>131</v>
      </c>
      <c r="E56" s="261" t="s">
        <v>465</v>
      </c>
      <c r="F56" s="105" t="s">
        <v>425</v>
      </c>
      <c r="G56" s="105" t="s">
        <v>437</v>
      </c>
      <c r="H56" s="263" t="s">
        <v>404</v>
      </c>
      <c r="I56" s="257" t="s">
        <v>462</v>
      </c>
      <c r="J56" s="105" t="s">
        <v>647</v>
      </c>
    </row>
    <row r="57" spans="1:10" hidden="1" x14ac:dyDescent="0.3">
      <c r="A57" s="267" t="s">
        <v>133</v>
      </c>
      <c r="B57" s="229" t="s">
        <v>134</v>
      </c>
      <c r="C57" s="229" t="s">
        <v>254</v>
      </c>
      <c r="D57" s="268" t="s">
        <v>133</v>
      </c>
      <c r="E57" s="261" t="s">
        <v>463</v>
      </c>
      <c r="F57" s="105" t="s">
        <v>425</v>
      </c>
      <c r="G57" s="105" t="s">
        <v>437</v>
      </c>
      <c r="H57" s="263" t="s">
        <v>404</v>
      </c>
      <c r="I57" s="257" t="s">
        <v>462</v>
      </c>
      <c r="J57" s="105" t="s">
        <v>647</v>
      </c>
    </row>
    <row r="58" spans="1:10" hidden="1" x14ac:dyDescent="0.3">
      <c r="A58" s="267" t="s">
        <v>135</v>
      </c>
      <c r="B58" s="229" t="s">
        <v>136</v>
      </c>
      <c r="C58" s="229" t="s">
        <v>253</v>
      </c>
      <c r="D58" s="268" t="s">
        <v>135</v>
      </c>
      <c r="E58" s="261" t="s">
        <v>464</v>
      </c>
      <c r="F58" s="105" t="s">
        <v>425</v>
      </c>
      <c r="G58" s="105" t="s">
        <v>437</v>
      </c>
      <c r="H58" s="263" t="s">
        <v>563</v>
      </c>
      <c r="I58" s="257" t="s">
        <v>461</v>
      </c>
      <c r="J58" s="105" t="s">
        <v>649</v>
      </c>
    </row>
    <row r="59" spans="1:10" x14ac:dyDescent="0.3">
      <c r="A59" s="267" t="s">
        <v>139</v>
      </c>
      <c r="B59" s="229" t="s">
        <v>140</v>
      </c>
      <c r="C59" s="229" t="s">
        <v>254</v>
      </c>
      <c r="D59" s="268" t="s">
        <v>139</v>
      </c>
      <c r="E59" s="261" t="s">
        <v>464</v>
      </c>
      <c r="F59" s="105" t="s">
        <v>429</v>
      </c>
      <c r="H59" s="263" t="s">
        <v>403</v>
      </c>
      <c r="I59" s="257" t="s">
        <v>460</v>
      </c>
      <c r="J59" s="105" t="s">
        <v>646</v>
      </c>
    </row>
    <row r="60" spans="1:10" x14ac:dyDescent="0.3">
      <c r="A60" s="267" t="s">
        <v>145</v>
      </c>
      <c r="B60" s="229" t="s">
        <v>146</v>
      </c>
      <c r="C60" s="229" t="s">
        <v>251</v>
      </c>
      <c r="D60" s="268" t="s">
        <v>145</v>
      </c>
      <c r="E60" s="261" t="s">
        <v>464</v>
      </c>
      <c r="F60" s="105" t="s">
        <v>429</v>
      </c>
      <c r="H60" s="263" t="s">
        <v>563</v>
      </c>
      <c r="I60" s="257" t="s">
        <v>461</v>
      </c>
      <c r="J60" s="105" t="s">
        <v>652</v>
      </c>
    </row>
    <row r="61" spans="1:10" x14ac:dyDescent="0.3">
      <c r="A61" s="267" t="s">
        <v>147</v>
      </c>
      <c r="B61" s="229" t="s">
        <v>148</v>
      </c>
      <c r="C61" s="229" t="s">
        <v>252</v>
      </c>
      <c r="D61" s="268" t="s">
        <v>147</v>
      </c>
      <c r="E61" s="261" t="s">
        <v>463</v>
      </c>
      <c r="F61" s="105" t="s">
        <v>429</v>
      </c>
      <c r="H61" s="263" t="s">
        <v>563</v>
      </c>
      <c r="I61" s="257" t="s">
        <v>461</v>
      </c>
      <c r="J61" s="105" t="s">
        <v>654</v>
      </c>
    </row>
    <row r="62" spans="1:10" hidden="1" x14ac:dyDescent="0.3">
      <c r="A62" s="267" t="s">
        <v>149</v>
      </c>
      <c r="B62" s="229" t="s">
        <v>150</v>
      </c>
      <c r="C62" s="229" t="s">
        <v>253</v>
      </c>
      <c r="D62" s="268" t="s">
        <v>149</v>
      </c>
      <c r="E62" s="261" t="s">
        <v>464</v>
      </c>
      <c r="F62" s="105" t="s">
        <v>425</v>
      </c>
      <c r="G62" s="105" t="s">
        <v>437</v>
      </c>
      <c r="H62" s="263" t="s">
        <v>563</v>
      </c>
      <c r="I62" s="257" t="s">
        <v>461</v>
      </c>
      <c r="J62" s="105" t="s">
        <v>652</v>
      </c>
    </row>
    <row r="63" spans="1:10" x14ac:dyDescent="0.3">
      <c r="A63" s="267" t="s">
        <v>151</v>
      </c>
      <c r="B63" s="229" t="s">
        <v>152</v>
      </c>
      <c r="C63" s="229" t="s">
        <v>255</v>
      </c>
      <c r="D63" s="268" t="s">
        <v>151</v>
      </c>
      <c r="E63" s="261" t="s">
        <v>463</v>
      </c>
      <c r="F63" s="105" t="s">
        <v>429</v>
      </c>
      <c r="H63" s="263" t="s">
        <v>404</v>
      </c>
      <c r="I63" s="257" t="s">
        <v>462</v>
      </c>
      <c r="J63" s="105" t="s">
        <v>647</v>
      </c>
    </row>
    <row r="64" spans="1:10" x14ac:dyDescent="0.3">
      <c r="A64" s="267" t="s">
        <v>153</v>
      </c>
      <c r="B64" s="229" t="s">
        <v>154</v>
      </c>
      <c r="C64" s="229" t="s">
        <v>252</v>
      </c>
      <c r="D64" s="268" t="s">
        <v>153</v>
      </c>
      <c r="E64" s="261" t="s">
        <v>464</v>
      </c>
      <c r="F64" s="105" t="s">
        <v>429</v>
      </c>
      <c r="H64" s="263" t="s">
        <v>403</v>
      </c>
      <c r="I64" s="257" t="s">
        <v>460</v>
      </c>
      <c r="J64" s="105" t="s">
        <v>646</v>
      </c>
    </row>
    <row r="65" spans="1:10" hidden="1" x14ac:dyDescent="0.3">
      <c r="A65" s="267" t="s">
        <v>155</v>
      </c>
      <c r="B65" s="229" t="s">
        <v>156</v>
      </c>
      <c r="C65" s="229" t="s">
        <v>253</v>
      </c>
      <c r="D65" s="268" t="s">
        <v>155</v>
      </c>
      <c r="E65" s="261" t="s">
        <v>464</v>
      </c>
      <c r="F65" s="105" t="s">
        <v>425</v>
      </c>
      <c r="G65" s="105" t="s">
        <v>437</v>
      </c>
      <c r="H65" s="263" t="s">
        <v>563</v>
      </c>
      <c r="I65" s="257" t="s">
        <v>461</v>
      </c>
      <c r="J65" s="105" t="s">
        <v>648</v>
      </c>
    </row>
    <row r="66" spans="1:10" x14ac:dyDescent="0.3">
      <c r="A66" s="267" t="s">
        <v>161</v>
      </c>
      <c r="B66" s="229" t="s">
        <v>162</v>
      </c>
      <c r="C66" s="229" t="s">
        <v>251</v>
      </c>
      <c r="D66" s="268" t="s">
        <v>161</v>
      </c>
      <c r="E66" s="261" t="s">
        <v>463</v>
      </c>
      <c r="F66" s="105" t="s">
        <v>429</v>
      </c>
      <c r="H66" s="263" t="s">
        <v>563</v>
      </c>
      <c r="I66" s="257" t="s">
        <v>461</v>
      </c>
      <c r="J66" s="105" t="s">
        <v>654</v>
      </c>
    </row>
    <row r="67" spans="1:10" x14ac:dyDescent="0.3">
      <c r="A67" s="267" t="s">
        <v>163</v>
      </c>
      <c r="B67" s="229" t="s">
        <v>164</v>
      </c>
      <c r="C67" s="229" t="s">
        <v>253</v>
      </c>
      <c r="D67" s="268" t="s">
        <v>163</v>
      </c>
      <c r="E67" s="261" t="s">
        <v>464</v>
      </c>
      <c r="F67" s="105" t="s">
        <v>429</v>
      </c>
      <c r="H67" s="263" t="s">
        <v>403</v>
      </c>
      <c r="I67" s="257" t="s">
        <v>460</v>
      </c>
      <c r="J67" s="105" t="s">
        <v>646</v>
      </c>
    </row>
    <row r="68" spans="1:10" x14ac:dyDescent="0.3">
      <c r="A68" s="267" t="s">
        <v>167</v>
      </c>
      <c r="B68" s="229" t="s">
        <v>168</v>
      </c>
      <c r="C68" s="229" t="s">
        <v>253</v>
      </c>
      <c r="D68" s="268" t="s">
        <v>167</v>
      </c>
      <c r="E68" s="261" t="s">
        <v>464</v>
      </c>
      <c r="F68" s="105" t="s">
        <v>429</v>
      </c>
      <c r="H68" s="263" t="s">
        <v>403</v>
      </c>
      <c r="I68" s="257" t="s">
        <v>460</v>
      </c>
      <c r="J68" s="105" t="s">
        <v>646</v>
      </c>
    </row>
    <row r="69" spans="1:10" hidden="1" x14ac:dyDescent="0.3">
      <c r="A69" s="267" t="s">
        <v>169</v>
      </c>
      <c r="B69" s="229" t="s">
        <v>170</v>
      </c>
      <c r="C69" s="229" t="s">
        <v>254</v>
      </c>
      <c r="D69" s="268" t="s">
        <v>169</v>
      </c>
      <c r="E69" s="261" t="s">
        <v>463</v>
      </c>
      <c r="F69" s="105" t="s">
        <v>425</v>
      </c>
      <c r="G69" s="105" t="s">
        <v>437</v>
      </c>
      <c r="H69" s="263" t="s">
        <v>403</v>
      </c>
      <c r="I69" s="257" t="s">
        <v>460</v>
      </c>
      <c r="J69" s="105" t="s">
        <v>646</v>
      </c>
    </row>
    <row r="70" spans="1:10" x14ac:dyDescent="0.3">
      <c r="A70" s="267" t="s">
        <v>171</v>
      </c>
      <c r="B70" s="229" t="s">
        <v>172</v>
      </c>
      <c r="C70" s="229" t="s">
        <v>254</v>
      </c>
      <c r="D70" s="268" t="s">
        <v>171</v>
      </c>
      <c r="E70" s="261" t="s">
        <v>463</v>
      </c>
      <c r="F70" s="105" t="s">
        <v>429</v>
      </c>
      <c r="H70" s="263" t="s">
        <v>403</v>
      </c>
      <c r="I70" s="257" t="s">
        <v>460</v>
      </c>
      <c r="J70" s="105" t="s">
        <v>646</v>
      </c>
    </row>
    <row r="71" spans="1:10" x14ac:dyDescent="0.3">
      <c r="A71" s="267" t="s">
        <v>173</v>
      </c>
      <c r="B71" s="229" t="s">
        <v>174</v>
      </c>
      <c r="C71" s="229" t="s">
        <v>255</v>
      </c>
      <c r="D71" s="268" t="s">
        <v>173</v>
      </c>
      <c r="E71" s="261" t="s">
        <v>463</v>
      </c>
      <c r="F71" s="105" t="s">
        <v>429</v>
      </c>
      <c r="H71" s="263" t="s">
        <v>403</v>
      </c>
      <c r="I71" s="257" t="s">
        <v>460</v>
      </c>
      <c r="J71" s="105" t="s">
        <v>646</v>
      </c>
    </row>
    <row r="72" spans="1:10" x14ac:dyDescent="0.3">
      <c r="A72" s="267" t="s">
        <v>177</v>
      </c>
      <c r="B72" s="229" t="s">
        <v>178</v>
      </c>
      <c r="C72" s="229" t="s">
        <v>252</v>
      </c>
      <c r="D72" s="268" t="s">
        <v>177</v>
      </c>
      <c r="E72" s="261" t="s">
        <v>463</v>
      </c>
      <c r="F72" s="105" t="s">
        <v>429</v>
      </c>
      <c r="H72" s="263" t="s">
        <v>563</v>
      </c>
      <c r="I72" s="257" t="s">
        <v>461</v>
      </c>
      <c r="J72" s="105" t="s">
        <v>837</v>
      </c>
    </row>
    <row r="73" spans="1:10" x14ac:dyDescent="0.3">
      <c r="A73" s="267" t="s">
        <v>181</v>
      </c>
      <c r="B73" s="229" t="s">
        <v>182</v>
      </c>
      <c r="C73" s="229" t="s">
        <v>253</v>
      </c>
      <c r="D73" s="268" t="s">
        <v>181</v>
      </c>
      <c r="E73" s="261" t="s">
        <v>463</v>
      </c>
      <c r="F73" s="105" t="s">
        <v>429</v>
      </c>
      <c r="H73" s="263" t="s">
        <v>563</v>
      </c>
      <c r="I73" s="257" t="s">
        <v>461</v>
      </c>
      <c r="J73" s="105" t="s">
        <v>1012</v>
      </c>
    </row>
    <row r="74" spans="1:10" x14ac:dyDescent="0.3">
      <c r="A74" s="267" t="s">
        <v>183</v>
      </c>
      <c r="B74" s="229" t="s">
        <v>184</v>
      </c>
      <c r="C74" s="229" t="s">
        <v>253</v>
      </c>
      <c r="D74" s="268" t="s">
        <v>183</v>
      </c>
      <c r="E74" s="261" t="s">
        <v>463</v>
      </c>
      <c r="F74" s="105" t="s">
        <v>429</v>
      </c>
      <c r="H74" s="263" t="s">
        <v>563</v>
      </c>
      <c r="I74" s="257" t="s">
        <v>461</v>
      </c>
      <c r="J74" s="105" t="s">
        <v>811</v>
      </c>
    </row>
    <row r="75" spans="1:10" hidden="1" x14ac:dyDescent="0.3">
      <c r="A75" s="267" t="s">
        <v>185</v>
      </c>
      <c r="B75" s="229" t="s">
        <v>186</v>
      </c>
      <c r="C75" s="229" t="s">
        <v>251</v>
      </c>
      <c r="D75" s="268" t="s">
        <v>185</v>
      </c>
      <c r="E75" s="261" t="s">
        <v>463</v>
      </c>
      <c r="F75" s="105" t="s">
        <v>425</v>
      </c>
      <c r="G75" s="105" t="s">
        <v>437</v>
      </c>
      <c r="H75" s="263" t="s">
        <v>404</v>
      </c>
      <c r="I75" s="257" t="s">
        <v>462</v>
      </c>
      <c r="J75" s="105" t="s">
        <v>647</v>
      </c>
    </row>
    <row r="76" spans="1:10" hidden="1" x14ac:dyDescent="0.3">
      <c r="A76" s="267" t="s">
        <v>187</v>
      </c>
      <c r="B76" s="229" t="s">
        <v>188</v>
      </c>
      <c r="C76" s="229" t="s">
        <v>254</v>
      </c>
      <c r="D76" s="268" t="s">
        <v>187</v>
      </c>
      <c r="E76" s="261" t="s">
        <v>465</v>
      </c>
      <c r="F76" s="105" t="s">
        <v>425</v>
      </c>
      <c r="G76" s="105" t="s">
        <v>661</v>
      </c>
      <c r="H76" s="263" t="s">
        <v>404</v>
      </c>
      <c r="I76" s="257" t="s">
        <v>462</v>
      </c>
      <c r="J76" s="105" t="s">
        <v>647</v>
      </c>
    </row>
    <row r="77" spans="1:10" x14ac:dyDescent="0.3">
      <c r="A77" s="267" t="s">
        <v>189</v>
      </c>
      <c r="B77" s="229" t="s">
        <v>190</v>
      </c>
      <c r="C77" s="229" t="s">
        <v>255</v>
      </c>
      <c r="D77" s="268" t="s">
        <v>189</v>
      </c>
      <c r="E77" s="261" t="s">
        <v>463</v>
      </c>
      <c r="F77" s="105" t="s">
        <v>429</v>
      </c>
      <c r="H77" s="263" t="s">
        <v>563</v>
      </c>
      <c r="I77" s="257" t="s">
        <v>461</v>
      </c>
      <c r="J77" s="105" t="s">
        <v>649</v>
      </c>
    </row>
    <row r="78" spans="1:10" x14ac:dyDescent="0.3">
      <c r="A78" s="267" t="s">
        <v>193</v>
      </c>
      <c r="B78" s="229" t="s">
        <v>194</v>
      </c>
      <c r="C78" s="229" t="s">
        <v>254</v>
      </c>
      <c r="D78" s="268" t="s">
        <v>193</v>
      </c>
      <c r="E78" s="261" t="s">
        <v>464</v>
      </c>
      <c r="F78" s="105" t="s">
        <v>429</v>
      </c>
      <c r="H78" s="263" t="s">
        <v>403</v>
      </c>
      <c r="I78" s="257" t="s">
        <v>460</v>
      </c>
      <c r="J78" s="105" t="s">
        <v>646</v>
      </c>
    </row>
    <row r="79" spans="1:10" x14ac:dyDescent="0.3">
      <c r="A79" s="267" t="s">
        <v>197</v>
      </c>
      <c r="B79" s="229" t="s">
        <v>198</v>
      </c>
      <c r="C79" s="229" t="s">
        <v>253</v>
      </c>
      <c r="D79" s="268" t="s">
        <v>197</v>
      </c>
      <c r="E79" s="261" t="s">
        <v>464</v>
      </c>
      <c r="F79" s="105" t="s">
        <v>429</v>
      </c>
      <c r="H79" s="263" t="s">
        <v>563</v>
      </c>
      <c r="I79" s="257" t="s">
        <v>461</v>
      </c>
      <c r="J79" s="105" t="s">
        <v>648</v>
      </c>
    </row>
    <row r="80" spans="1:10" hidden="1" x14ac:dyDescent="0.3">
      <c r="A80" s="267" t="s">
        <v>201</v>
      </c>
      <c r="B80" s="229" t="s">
        <v>406</v>
      </c>
      <c r="C80" s="229" t="s">
        <v>252</v>
      </c>
      <c r="D80" s="268" t="s">
        <v>201</v>
      </c>
      <c r="E80" s="261" t="s">
        <v>465</v>
      </c>
      <c r="F80" s="105" t="s">
        <v>425</v>
      </c>
      <c r="G80" s="105" t="s">
        <v>436</v>
      </c>
      <c r="H80" s="263" t="s">
        <v>404</v>
      </c>
      <c r="I80" s="257" t="s">
        <v>462</v>
      </c>
      <c r="J80" s="105" t="s">
        <v>647</v>
      </c>
    </row>
    <row r="81" spans="1:13" x14ac:dyDescent="0.3">
      <c r="A81" s="267" t="s">
        <v>203</v>
      </c>
      <c r="B81" s="229" t="s">
        <v>269</v>
      </c>
      <c r="C81" s="229" t="s">
        <v>252</v>
      </c>
      <c r="D81" s="268" t="s">
        <v>203</v>
      </c>
      <c r="E81" s="261" t="s">
        <v>463</v>
      </c>
      <c r="F81" s="105" t="s">
        <v>429</v>
      </c>
      <c r="H81" s="263" t="s">
        <v>403</v>
      </c>
      <c r="I81" s="257" t="s">
        <v>460</v>
      </c>
      <c r="J81" s="105" t="s">
        <v>646</v>
      </c>
    </row>
    <row r="82" spans="1:13" hidden="1" x14ac:dyDescent="0.3">
      <c r="A82" s="267" t="s">
        <v>205</v>
      </c>
      <c r="B82" s="229" t="s">
        <v>270</v>
      </c>
      <c r="C82" s="229" t="s">
        <v>254</v>
      </c>
      <c r="D82" s="268" t="s">
        <v>205</v>
      </c>
      <c r="E82" s="261" t="s">
        <v>465</v>
      </c>
      <c r="F82" s="105" t="s">
        <v>425</v>
      </c>
      <c r="G82" s="105" t="s">
        <v>445</v>
      </c>
      <c r="H82" s="263" t="s">
        <v>563</v>
      </c>
      <c r="I82" s="257" t="s">
        <v>461</v>
      </c>
      <c r="J82" s="105" t="s">
        <v>1013</v>
      </c>
      <c r="L82" s="2" t="s">
        <v>674</v>
      </c>
      <c r="M82" s="2" t="s">
        <v>675</v>
      </c>
    </row>
    <row r="83" spans="1:13" x14ac:dyDescent="0.3">
      <c r="A83" s="267" t="s">
        <v>207</v>
      </c>
      <c r="B83" s="229" t="s">
        <v>208</v>
      </c>
      <c r="C83" s="229" t="s">
        <v>255</v>
      </c>
      <c r="D83" s="268" t="s">
        <v>207</v>
      </c>
      <c r="E83" s="261" t="s">
        <v>463</v>
      </c>
      <c r="F83" s="105" t="s">
        <v>429</v>
      </c>
      <c r="H83" s="263" t="s">
        <v>563</v>
      </c>
      <c r="I83" s="257" t="s">
        <v>461</v>
      </c>
      <c r="J83" s="105" t="s">
        <v>649</v>
      </c>
      <c r="L83" s="105" t="s">
        <v>676</v>
      </c>
      <c r="M83" s="105" t="s">
        <v>677</v>
      </c>
    </row>
    <row r="84" spans="1:13" x14ac:dyDescent="0.3">
      <c r="A84" s="267" t="s">
        <v>209</v>
      </c>
      <c r="B84" s="229" t="s">
        <v>210</v>
      </c>
      <c r="C84" s="229" t="s">
        <v>255</v>
      </c>
      <c r="D84" s="268" t="s">
        <v>209</v>
      </c>
      <c r="E84" s="261" t="s">
        <v>463</v>
      </c>
      <c r="F84" s="105" t="s">
        <v>429</v>
      </c>
      <c r="H84" s="263" t="s">
        <v>563</v>
      </c>
      <c r="I84" s="257" t="s">
        <v>461</v>
      </c>
      <c r="J84" s="105" t="s">
        <v>652</v>
      </c>
      <c r="L84" s="105" t="s">
        <v>678</v>
      </c>
      <c r="M84" s="105" t="s">
        <v>679</v>
      </c>
    </row>
    <row r="85" spans="1:13" x14ac:dyDescent="0.3">
      <c r="A85" s="267" t="s">
        <v>211</v>
      </c>
      <c r="B85" s="229" t="s">
        <v>212</v>
      </c>
      <c r="C85" s="229" t="s">
        <v>254</v>
      </c>
      <c r="D85" s="268" t="s">
        <v>211</v>
      </c>
      <c r="E85" s="261" t="s">
        <v>463</v>
      </c>
      <c r="F85" s="105" t="s">
        <v>429</v>
      </c>
      <c r="H85" s="263" t="s">
        <v>403</v>
      </c>
      <c r="I85" s="257" t="s">
        <v>460</v>
      </c>
      <c r="J85" s="105" t="s">
        <v>646</v>
      </c>
      <c r="L85" s="105" t="s">
        <v>680</v>
      </c>
      <c r="M85" s="105" t="s">
        <v>681</v>
      </c>
    </row>
    <row r="86" spans="1:13" x14ac:dyDescent="0.3">
      <c r="A86" s="267" t="s">
        <v>213</v>
      </c>
      <c r="B86" s="229" t="s">
        <v>214</v>
      </c>
      <c r="C86" s="229" t="s">
        <v>255</v>
      </c>
      <c r="D86" s="268" t="s">
        <v>213</v>
      </c>
      <c r="E86" s="261" t="s">
        <v>463</v>
      </c>
      <c r="F86" s="105" t="s">
        <v>429</v>
      </c>
      <c r="H86" s="263" t="s">
        <v>403</v>
      </c>
      <c r="I86" s="257" t="s">
        <v>460</v>
      </c>
      <c r="J86" s="105" t="s">
        <v>646</v>
      </c>
      <c r="L86" s="105" t="s">
        <v>682</v>
      </c>
      <c r="M86" s="105" t="s">
        <v>683</v>
      </c>
    </row>
    <row r="87" spans="1:13" x14ac:dyDescent="0.3">
      <c r="A87" s="267" t="s">
        <v>215</v>
      </c>
      <c r="B87" s="229" t="s">
        <v>216</v>
      </c>
      <c r="C87" s="229" t="s">
        <v>251</v>
      </c>
      <c r="D87" s="268" t="s">
        <v>215</v>
      </c>
      <c r="E87" s="261" t="s">
        <v>463</v>
      </c>
      <c r="F87" s="105" t="s">
        <v>429</v>
      </c>
      <c r="H87" s="263" t="s">
        <v>403</v>
      </c>
      <c r="I87" s="257" t="s">
        <v>460</v>
      </c>
      <c r="J87" s="105" t="s">
        <v>646</v>
      </c>
      <c r="L87" s="105" t="s">
        <v>684</v>
      </c>
      <c r="M87" s="105" t="s">
        <v>685</v>
      </c>
    </row>
    <row r="88" spans="1:13" hidden="1" x14ac:dyDescent="0.3">
      <c r="A88" s="267" t="s">
        <v>217</v>
      </c>
      <c r="B88" s="229" t="s">
        <v>218</v>
      </c>
      <c r="C88" s="229" t="s">
        <v>254</v>
      </c>
      <c r="D88" s="268" t="s">
        <v>217</v>
      </c>
      <c r="E88" s="261" t="s">
        <v>465</v>
      </c>
      <c r="F88" s="105" t="s">
        <v>425</v>
      </c>
      <c r="G88" s="105" t="s">
        <v>437</v>
      </c>
      <c r="H88" s="263" t="s">
        <v>404</v>
      </c>
      <c r="I88" s="257" t="s">
        <v>462</v>
      </c>
      <c r="J88" s="105" t="s">
        <v>647</v>
      </c>
      <c r="L88" s="105" t="s">
        <v>686</v>
      </c>
      <c r="M88" s="105" t="s">
        <v>687</v>
      </c>
    </row>
    <row r="89" spans="1:13" x14ac:dyDescent="0.3">
      <c r="A89" s="267" t="s">
        <v>219</v>
      </c>
      <c r="B89" s="229" t="s">
        <v>220</v>
      </c>
      <c r="C89" s="229" t="s">
        <v>254</v>
      </c>
      <c r="D89" s="268" t="s">
        <v>219</v>
      </c>
      <c r="E89" s="261" t="s">
        <v>463</v>
      </c>
      <c r="F89" s="105" t="s">
        <v>429</v>
      </c>
      <c r="H89" s="263" t="s">
        <v>563</v>
      </c>
      <c r="I89" s="257" t="s">
        <v>461</v>
      </c>
      <c r="J89" s="105" t="s">
        <v>656</v>
      </c>
      <c r="L89" s="105" t="s">
        <v>688</v>
      </c>
      <c r="M89" s="105" t="s">
        <v>689</v>
      </c>
    </row>
    <row r="90" spans="1:13" x14ac:dyDescent="0.3">
      <c r="A90" s="267" t="s">
        <v>223</v>
      </c>
      <c r="B90" s="229" t="s">
        <v>224</v>
      </c>
      <c r="C90" s="229" t="s">
        <v>251</v>
      </c>
      <c r="D90" s="268" t="s">
        <v>223</v>
      </c>
      <c r="E90" s="261" t="s">
        <v>463</v>
      </c>
      <c r="F90" s="105" t="s">
        <v>429</v>
      </c>
      <c r="H90" s="263" t="s">
        <v>403</v>
      </c>
      <c r="I90" s="257" t="s">
        <v>460</v>
      </c>
      <c r="J90" s="105" t="s">
        <v>646</v>
      </c>
      <c r="L90" s="105" t="s">
        <v>692</v>
      </c>
      <c r="M90" s="105" t="s">
        <v>693</v>
      </c>
    </row>
    <row r="91" spans="1:13" x14ac:dyDescent="0.3">
      <c r="A91" s="267" t="s">
        <v>225</v>
      </c>
      <c r="B91" s="229" t="s">
        <v>226</v>
      </c>
      <c r="C91" s="229" t="s">
        <v>251</v>
      </c>
      <c r="D91" s="268" t="s">
        <v>225</v>
      </c>
      <c r="E91" s="261" t="s">
        <v>463</v>
      </c>
      <c r="F91" s="105" t="s">
        <v>429</v>
      </c>
      <c r="H91" s="263" t="s">
        <v>403</v>
      </c>
      <c r="I91" s="257" t="s">
        <v>460</v>
      </c>
      <c r="J91" s="105" t="s">
        <v>646</v>
      </c>
      <c r="L91" s="105" t="s">
        <v>694</v>
      </c>
      <c r="M91" s="105" t="s">
        <v>695</v>
      </c>
    </row>
    <row r="92" spans="1:13" x14ac:dyDescent="0.3">
      <c r="A92" s="267" t="s">
        <v>227</v>
      </c>
      <c r="B92" s="229" t="s">
        <v>228</v>
      </c>
      <c r="C92" s="229" t="s">
        <v>255</v>
      </c>
      <c r="D92" s="268" t="s">
        <v>227</v>
      </c>
      <c r="E92" s="261" t="s">
        <v>463</v>
      </c>
      <c r="F92" s="105" t="s">
        <v>429</v>
      </c>
      <c r="H92" s="263" t="s">
        <v>403</v>
      </c>
      <c r="I92" s="257" t="s">
        <v>460</v>
      </c>
      <c r="J92" s="105" t="s">
        <v>646</v>
      </c>
      <c r="L92" s="105" t="s">
        <v>696</v>
      </c>
      <c r="M92" s="105" t="s">
        <v>697</v>
      </c>
    </row>
    <row r="93" spans="1:13" hidden="1" x14ac:dyDescent="0.3">
      <c r="A93" s="267" t="s">
        <v>231</v>
      </c>
      <c r="B93" s="229" t="s">
        <v>232</v>
      </c>
      <c r="C93" s="229" t="s">
        <v>254</v>
      </c>
      <c r="D93" s="268" t="s">
        <v>231</v>
      </c>
      <c r="E93" s="261" t="s">
        <v>463</v>
      </c>
      <c r="F93" s="105" t="s">
        <v>425</v>
      </c>
      <c r="G93" s="105" t="s">
        <v>437</v>
      </c>
      <c r="H93" s="263" t="s">
        <v>563</v>
      </c>
      <c r="I93" s="257" t="s">
        <v>461</v>
      </c>
      <c r="J93" s="105" t="s">
        <v>663</v>
      </c>
    </row>
    <row r="94" spans="1:13" x14ac:dyDescent="0.3">
      <c r="A94" s="267" t="s">
        <v>233</v>
      </c>
      <c r="B94" s="229" t="s">
        <v>234</v>
      </c>
      <c r="C94" s="229" t="s">
        <v>255</v>
      </c>
      <c r="D94" s="268" t="s">
        <v>233</v>
      </c>
      <c r="E94" s="261" t="s">
        <v>463</v>
      </c>
      <c r="F94" s="105" t="s">
        <v>429</v>
      </c>
      <c r="H94" s="263" t="s">
        <v>403</v>
      </c>
      <c r="I94" s="257" t="s">
        <v>460</v>
      </c>
      <c r="J94" s="105" t="s">
        <v>646</v>
      </c>
    </row>
    <row r="95" spans="1:13" x14ac:dyDescent="0.3">
      <c r="A95" s="267" t="s">
        <v>235</v>
      </c>
      <c r="B95" s="229" t="s">
        <v>236</v>
      </c>
      <c r="C95" s="229" t="s">
        <v>253</v>
      </c>
      <c r="D95" s="268" t="s">
        <v>235</v>
      </c>
      <c r="E95" s="261" t="s">
        <v>463</v>
      </c>
      <c r="F95" s="105" t="s">
        <v>429</v>
      </c>
      <c r="H95" s="263" t="s">
        <v>403</v>
      </c>
      <c r="I95" s="257" t="s">
        <v>460</v>
      </c>
      <c r="J95" s="105" t="s">
        <v>646</v>
      </c>
    </row>
    <row r="96" spans="1:13" x14ac:dyDescent="0.3">
      <c r="A96" s="267" t="s">
        <v>241</v>
      </c>
      <c r="B96" s="229" t="s">
        <v>242</v>
      </c>
      <c r="C96" s="229" t="s">
        <v>255</v>
      </c>
      <c r="D96" s="268" t="s">
        <v>241</v>
      </c>
      <c r="E96" s="261" t="s">
        <v>465</v>
      </c>
      <c r="F96" s="105" t="s">
        <v>429</v>
      </c>
      <c r="H96" s="263" t="s">
        <v>403</v>
      </c>
      <c r="I96" s="257" t="s">
        <v>460</v>
      </c>
      <c r="J96" s="105" t="s">
        <v>646</v>
      </c>
    </row>
    <row r="97" spans="1:10" x14ac:dyDescent="0.3">
      <c r="A97" s="267" t="s">
        <v>243</v>
      </c>
      <c r="B97" s="229" t="s">
        <v>244</v>
      </c>
      <c r="C97" s="229" t="s">
        <v>255</v>
      </c>
      <c r="D97" s="268" t="s">
        <v>243</v>
      </c>
      <c r="E97" s="261" t="s">
        <v>463</v>
      </c>
      <c r="F97" s="105" t="s">
        <v>429</v>
      </c>
      <c r="H97" s="263" t="s">
        <v>563</v>
      </c>
      <c r="I97" s="257" t="s">
        <v>461</v>
      </c>
      <c r="J97" s="105" t="s">
        <v>649</v>
      </c>
    </row>
    <row r="98" spans="1:10" hidden="1" x14ac:dyDescent="0.3">
      <c r="A98" s="267" t="s">
        <v>245</v>
      </c>
      <c r="B98" s="229" t="s">
        <v>246</v>
      </c>
      <c r="C98" s="229" t="s">
        <v>251</v>
      </c>
      <c r="D98" s="268" t="s">
        <v>245</v>
      </c>
      <c r="E98" s="261" t="s">
        <v>463</v>
      </c>
      <c r="F98" s="105" t="s">
        <v>425</v>
      </c>
      <c r="G98" s="105" t="s">
        <v>838</v>
      </c>
      <c r="H98" s="263" t="s">
        <v>563</v>
      </c>
      <c r="I98" s="257" t="s">
        <v>461</v>
      </c>
      <c r="J98" s="105" t="s">
        <v>651</v>
      </c>
    </row>
    <row r="99" spans="1:10" hidden="1" x14ac:dyDescent="0.3">
      <c r="A99" s="267" t="s">
        <v>13</v>
      </c>
      <c r="B99" s="229" t="s">
        <v>14</v>
      </c>
      <c r="C99" s="229" t="s">
        <v>254</v>
      </c>
      <c r="D99" s="268" t="s">
        <v>13</v>
      </c>
      <c r="E99" s="269" t="s">
        <v>465</v>
      </c>
      <c r="F99" s="105" t="s">
        <v>425</v>
      </c>
      <c r="G99" s="105" t="s">
        <v>624</v>
      </c>
      <c r="H99" s="263" t="s">
        <v>563</v>
      </c>
      <c r="I99" s="257" t="s">
        <v>461</v>
      </c>
      <c r="J99" s="105" t="s">
        <v>1011</v>
      </c>
    </row>
    <row r="100" spans="1:10" x14ac:dyDescent="0.3">
      <c r="A100" s="267" t="s">
        <v>33</v>
      </c>
      <c r="B100" s="229" t="s">
        <v>34</v>
      </c>
      <c r="C100" s="229" t="s">
        <v>255</v>
      </c>
      <c r="D100" s="268" t="s">
        <v>33</v>
      </c>
      <c r="E100" s="261" t="s">
        <v>463</v>
      </c>
      <c r="F100" s="105" t="s">
        <v>429</v>
      </c>
      <c r="H100" s="263" t="s">
        <v>403</v>
      </c>
      <c r="I100" s="257" t="s">
        <v>460</v>
      </c>
      <c r="J100" s="105" t="s">
        <v>646</v>
      </c>
    </row>
    <row r="101" spans="1:10" hidden="1" x14ac:dyDescent="0.3">
      <c r="A101" s="267" t="s">
        <v>51</v>
      </c>
      <c r="B101" s="229" t="s">
        <v>52</v>
      </c>
      <c r="C101" s="229" t="s">
        <v>252</v>
      </c>
      <c r="D101" s="268" t="s">
        <v>51</v>
      </c>
      <c r="E101" s="261" t="s">
        <v>465</v>
      </c>
      <c r="F101" s="105" t="s">
        <v>425</v>
      </c>
      <c r="G101" s="105" t="s">
        <v>436</v>
      </c>
      <c r="H101" s="263" t="s">
        <v>404</v>
      </c>
      <c r="I101" s="257" t="s">
        <v>462</v>
      </c>
      <c r="J101" s="105" t="s">
        <v>647</v>
      </c>
    </row>
    <row r="102" spans="1:10" hidden="1" x14ac:dyDescent="0.3">
      <c r="A102" s="267" t="s">
        <v>53</v>
      </c>
      <c r="B102" s="229" t="s">
        <v>54</v>
      </c>
      <c r="C102" s="229" t="s">
        <v>251</v>
      </c>
      <c r="D102" s="268" t="s">
        <v>53</v>
      </c>
      <c r="E102" s="261" t="s">
        <v>465</v>
      </c>
      <c r="F102" s="105" t="s">
        <v>425</v>
      </c>
      <c r="G102" s="105" t="s">
        <v>624</v>
      </c>
      <c r="H102" s="263" t="s">
        <v>404</v>
      </c>
      <c r="I102" s="257" t="s">
        <v>462</v>
      </c>
      <c r="J102" s="105" t="s">
        <v>647</v>
      </c>
    </row>
    <row r="103" spans="1:10" hidden="1" x14ac:dyDescent="0.3">
      <c r="A103" s="267" t="s">
        <v>65</v>
      </c>
      <c r="B103" s="229" t="s">
        <v>66</v>
      </c>
      <c r="C103" s="229" t="s">
        <v>252</v>
      </c>
      <c r="D103" s="268" t="s">
        <v>65</v>
      </c>
      <c r="E103" s="261" t="s">
        <v>465</v>
      </c>
      <c r="F103" s="105" t="s">
        <v>425</v>
      </c>
      <c r="G103" s="105" t="s">
        <v>436</v>
      </c>
      <c r="H103" s="263" t="s">
        <v>404</v>
      </c>
      <c r="I103" s="257" t="s">
        <v>462</v>
      </c>
      <c r="J103" s="105" t="s">
        <v>647</v>
      </c>
    </row>
    <row r="104" spans="1:10" hidden="1" x14ac:dyDescent="0.3">
      <c r="A104" s="267" t="s">
        <v>81</v>
      </c>
      <c r="B104" s="229" t="s">
        <v>284</v>
      </c>
      <c r="C104" s="229" t="s">
        <v>251</v>
      </c>
      <c r="D104" s="268" t="s">
        <v>81</v>
      </c>
      <c r="E104" s="261" t="s">
        <v>463</v>
      </c>
      <c r="F104" s="105" t="s">
        <v>425</v>
      </c>
      <c r="G104" s="105" t="s">
        <v>624</v>
      </c>
      <c r="H104" s="263" t="s">
        <v>403</v>
      </c>
      <c r="I104" s="257" t="s">
        <v>460</v>
      </c>
      <c r="J104" s="105" t="s">
        <v>646</v>
      </c>
    </row>
    <row r="105" spans="1:10" x14ac:dyDescent="0.3">
      <c r="A105" s="267" t="s">
        <v>87</v>
      </c>
      <c r="B105" s="229" t="s">
        <v>88</v>
      </c>
      <c r="C105" s="229" t="s">
        <v>254</v>
      </c>
      <c r="D105" s="268" t="s">
        <v>87</v>
      </c>
      <c r="E105" s="261" t="s">
        <v>463</v>
      </c>
      <c r="F105" s="105" t="s">
        <v>429</v>
      </c>
      <c r="H105" s="263" t="s">
        <v>563</v>
      </c>
      <c r="I105" s="257" t="s">
        <v>461</v>
      </c>
      <c r="J105" s="105" t="s">
        <v>809</v>
      </c>
    </row>
    <row r="106" spans="1:10" hidden="1" x14ac:dyDescent="0.3">
      <c r="A106" s="267" t="s">
        <v>89</v>
      </c>
      <c r="B106" s="229" t="s">
        <v>90</v>
      </c>
      <c r="C106" s="229" t="s">
        <v>255</v>
      </c>
      <c r="D106" s="268" t="s">
        <v>89</v>
      </c>
      <c r="E106" s="261" t="s">
        <v>464</v>
      </c>
      <c r="F106" s="105" t="s">
        <v>425</v>
      </c>
      <c r="G106" s="105" t="s">
        <v>624</v>
      </c>
      <c r="H106" s="263" t="s">
        <v>563</v>
      </c>
      <c r="I106" s="257" t="s">
        <v>461</v>
      </c>
      <c r="J106" s="105" t="s">
        <v>655</v>
      </c>
    </row>
    <row r="107" spans="1:10" hidden="1" x14ac:dyDescent="0.3">
      <c r="A107" s="267" t="s">
        <v>105</v>
      </c>
      <c r="B107" s="229" t="s">
        <v>106</v>
      </c>
      <c r="C107" s="229" t="s">
        <v>251</v>
      </c>
      <c r="D107" s="268" t="s">
        <v>105</v>
      </c>
      <c r="E107" s="261" t="s">
        <v>465</v>
      </c>
      <c r="F107" s="105" t="s">
        <v>425</v>
      </c>
      <c r="G107" s="105" t="s">
        <v>436</v>
      </c>
      <c r="H107" s="263" t="s">
        <v>404</v>
      </c>
      <c r="I107" s="257" t="s">
        <v>462</v>
      </c>
      <c r="J107" s="105" t="s">
        <v>647</v>
      </c>
    </row>
    <row r="108" spans="1:10" hidden="1" x14ac:dyDescent="0.3">
      <c r="A108" s="267" t="s">
        <v>115</v>
      </c>
      <c r="B108" s="229" t="s">
        <v>116</v>
      </c>
      <c r="C108" s="229" t="s">
        <v>253</v>
      </c>
      <c r="D108" s="268" t="s">
        <v>115</v>
      </c>
      <c r="E108" s="261" t="s">
        <v>463</v>
      </c>
      <c r="F108" s="105" t="s">
        <v>425</v>
      </c>
      <c r="G108" s="105" t="s">
        <v>624</v>
      </c>
      <c r="H108" s="263" t="s">
        <v>563</v>
      </c>
      <c r="I108" s="257" t="s">
        <v>461</v>
      </c>
      <c r="J108" s="105" t="s">
        <v>658</v>
      </c>
    </row>
    <row r="109" spans="1:10" hidden="1" x14ac:dyDescent="0.3">
      <c r="A109" s="267" t="s">
        <v>137</v>
      </c>
      <c r="B109" s="229" t="s">
        <v>138</v>
      </c>
      <c r="C109" s="229" t="s">
        <v>252</v>
      </c>
      <c r="D109" s="268" t="s">
        <v>137</v>
      </c>
      <c r="E109" s="261" t="s">
        <v>465</v>
      </c>
      <c r="F109" s="105" t="s">
        <v>425</v>
      </c>
      <c r="G109" s="105" t="s">
        <v>436</v>
      </c>
      <c r="H109" s="263" t="s">
        <v>404</v>
      </c>
      <c r="I109" s="257" t="s">
        <v>462</v>
      </c>
      <c r="J109" s="105" t="s">
        <v>647</v>
      </c>
    </row>
    <row r="110" spans="1:10" hidden="1" x14ac:dyDescent="0.3">
      <c r="A110" s="267" t="s">
        <v>141</v>
      </c>
      <c r="B110" s="229" t="s">
        <v>142</v>
      </c>
      <c r="C110" s="229" t="s">
        <v>254</v>
      </c>
      <c r="D110" s="268" t="s">
        <v>141</v>
      </c>
      <c r="E110" s="261" t="s">
        <v>463</v>
      </c>
      <c r="F110" s="105" t="s">
        <v>425</v>
      </c>
      <c r="G110" s="105" t="s">
        <v>436</v>
      </c>
      <c r="H110" s="263" t="s">
        <v>563</v>
      </c>
      <c r="I110" s="257" t="s">
        <v>461</v>
      </c>
      <c r="J110" s="105" t="s">
        <v>1011</v>
      </c>
    </row>
    <row r="111" spans="1:10" hidden="1" x14ac:dyDescent="0.3">
      <c r="A111" s="267" t="s">
        <v>143</v>
      </c>
      <c r="B111" s="229" t="s">
        <v>144</v>
      </c>
      <c r="C111" s="229" t="s">
        <v>254</v>
      </c>
      <c r="D111" s="268" t="s">
        <v>143</v>
      </c>
      <c r="E111" s="261" t="s">
        <v>464</v>
      </c>
      <c r="F111" s="105" t="s">
        <v>425</v>
      </c>
      <c r="G111" s="105" t="s">
        <v>659</v>
      </c>
      <c r="H111" s="263" t="s">
        <v>563</v>
      </c>
      <c r="I111" s="257" t="s">
        <v>461</v>
      </c>
      <c r="J111" s="105" t="s">
        <v>660</v>
      </c>
    </row>
    <row r="112" spans="1:10" hidden="1" x14ac:dyDescent="0.3">
      <c r="A112" s="267" t="s">
        <v>157</v>
      </c>
      <c r="B112" s="229" t="s">
        <v>158</v>
      </c>
      <c r="C112" s="229" t="s">
        <v>251</v>
      </c>
      <c r="D112" s="268" t="s">
        <v>157</v>
      </c>
      <c r="E112" s="261" t="s">
        <v>465</v>
      </c>
      <c r="F112" s="105" t="s">
        <v>425</v>
      </c>
      <c r="G112" s="105" t="s">
        <v>436</v>
      </c>
      <c r="H112" s="263" t="s">
        <v>404</v>
      </c>
      <c r="I112" s="257" t="s">
        <v>462</v>
      </c>
      <c r="J112" s="105" t="s">
        <v>647</v>
      </c>
    </row>
    <row r="113" spans="1:13" hidden="1" x14ac:dyDescent="0.3">
      <c r="A113" s="267" t="s">
        <v>159</v>
      </c>
      <c r="B113" s="229" t="s">
        <v>160</v>
      </c>
      <c r="C113" s="229" t="s">
        <v>251</v>
      </c>
      <c r="D113" s="268" t="s">
        <v>159</v>
      </c>
      <c r="E113" s="261" t="s">
        <v>465</v>
      </c>
      <c r="F113" s="105" t="s">
        <v>425</v>
      </c>
      <c r="G113" s="105" t="s">
        <v>436</v>
      </c>
      <c r="H113" s="263" t="s">
        <v>404</v>
      </c>
      <c r="I113" s="257" t="s">
        <v>462</v>
      </c>
      <c r="J113" s="105" t="s">
        <v>647</v>
      </c>
    </row>
    <row r="114" spans="1:13" hidden="1" x14ac:dyDescent="0.3">
      <c r="A114" s="267" t="s">
        <v>165</v>
      </c>
      <c r="B114" s="229" t="s">
        <v>166</v>
      </c>
      <c r="C114" s="229" t="s">
        <v>255</v>
      </c>
      <c r="D114" s="268" t="s">
        <v>165</v>
      </c>
      <c r="E114" s="261" t="s">
        <v>464</v>
      </c>
      <c r="F114" s="105" t="s">
        <v>425</v>
      </c>
      <c r="G114" s="105" t="s">
        <v>624</v>
      </c>
      <c r="H114" s="263" t="s">
        <v>563</v>
      </c>
      <c r="I114" s="257" t="s">
        <v>461</v>
      </c>
      <c r="J114" s="105" t="s">
        <v>652</v>
      </c>
    </row>
    <row r="115" spans="1:13" hidden="1" x14ac:dyDescent="0.3">
      <c r="A115" s="267" t="s">
        <v>175</v>
      </c>
      <c r="B115" s="229" t="s">
        <v>176</v>
      </c>
      <c r="C115" s="229" t="s">
        <v>253</v>
      </c>
      <c r="D115" s="268" t="s">
        <v>175</v>
      </c>
      <c r="E115" s="261" t="s">
        <v>465</v>
      </c>
      <c r="F115" s="105" t="s">
        <v>425</v>
      </c>
      <c r="G115" s="105" t="s">
        <v>831</v>
      </c>
      <c r="H115" s="263" t="s">
        <v>563</v>
      </c>
      <c r="I115" s="257" t="s">
        <v>461</v>
      </c>
      <c r="J115" s="105" t="s">
        <v>810</v>
      </c>
    </row>
    <row r="116" spans="1:13" hidden="1" x14ac:dyDescent="0.3">
      <c r="A116" s="267" t="s">
        <v>179</v>
      </c>
      <c r="B116" s="229" t="s">
        <v>180</v>
      </c>
      <c r="C116" s="229" t="s">
        <v>251</v>
      </c>
      <c r="D116" s="268" t="s">
        <v>179</v>
      </c>
      <c r="E116" s="261" t="s">
        <v>465</v>
      </c>
      <c r="F116" s="105" t="s">
        <v>425</v>
      </c>
      <c r="G116" s="105" t="s">
        <v>436</v>
      </c>
      <c r="H116" s="263" t="s">
        <v>404</v>
      </c>
      <c r="I116" s="257" t="s">
        <v>462</v>
      </c>
      <c r="J116" s="105" t="s">
        <v>647</v>
      </c>
    </row>
    <row r="117" spans="1:13" x14ac:dyDescent="0.3">
      <c r="A117" s="267" t="s">
        <v>191</v>
      </c>
      <c r="B117" s="229" t="s">
        <v>192</v>
      </c>
      <c r="C117" s="229" t="s">
        <v>255</v>
      </c>
      <c r="D117" s="268" t="s">
        <v>191</v>
      </c>
      <c r="E117" s="261" t="s">
        <v>464</v>
      </c>
      <c r="F117" s="105" t="s">
        <v>429</v>
      </c>
      <c r="H117" s="263" t="s">
        <v>403</v>
      </c>
      <c r="I117" s="257" t="s">
        <v>460</v>
      </c>
      <c r="J117" s="105" t="s">
        <v>646</v>
      </c>
    </row>
    <row r="118" spans="1:13" hidden="1" x14ac:dyDescent="0.3">
      <c r="A118" s="267" t="s">
        <v>195</v>
      </c>
      <c r="B118" s="229" t="s">
        <v>285</v>
      </c>
      <c r="C118" s="229" t="s">
        <v>253</v>
      </c>
      <c r="D118" s="268" t="s">
        <v>195</v>
      </c>
      <c r="E118" s="261" t="s">
        <v>465</v>
      </c>
      <c r="F118" s="105" t="s">
        <v>425</v>
      </c>
      <c r="G118" s="105" t="s">
        <v>436</v>
      </c>
      <c r="H118" s="263" t="s">
        <v>404</v>
      </c>
      <c r="I118" s="257" t="s">
        <v>462</v>
      </c>
      <c r="J118" s="105" t="s">
        <v>647</v>
      </c>
    </row>
    <row r="119" spans="1:13" hidden="1" x14ac:dyDescent="0.3">
      <c r="A119" s="267" t="s">
        <v>199</v>
      </c>
      <c r="B119" s="229" t="s">
        <v>286</v>
      </c>
      <c r="C119" s="229" t="s">
        <v>252</v>
      </c>
      <c r="D119" s="268" t="s">
        <v>199</v>
      </c>
      <c r="E119" s="261" t="s">
        <v>465</v>
      </c>
      <c r="F119" s="105" t="s">
        <v>425</v>
      </c>
      <c r="G119" s="105" t="s">
        <v>436</v>
      </c>
      <c r="H119" s="263" t="s">
        <v>404</v>
      </c>
      <c r="I119" s="257" t="s">
        <v>462</v>
      </c>
      <c r="J119" s="105" t="s">
        <v>647</v>
      </c>
    </row>
    <row r="120" spans="1:13" hidden="1" x14ac:dyDescent="0.3">
      <c r="A120" s="267" t="s">
        <v>221</v>
      </c>
      <c r="B120" s="229" t="s">
        <v>222</v>
      </c>
      <c r="C120" s="229" t="s">
        <v>251</v>
      </c>
      <c r="D120" s="268" t="s">
        <v>221</v>
      </c>
      <c r="E120" s="261" t="s">
        <v>465</v>
      </c>
      <c r="F120" s="105" t="s">
        <v>425</v>
      </c>
      <c r="G120" s="105" t="s">
        <v>436</v>
      </c>
      <c r="H120" s="263" t="s">
        <v>563</v>
      </c>
      <c r="I120" s="257" t="s">
        <v>461</v>
      </c>
      <c r="J120" s="105" t="s">
        <v>812</v>
      </c>
      <c r="L120" s="105" t="s">
        <v>690</v>
      </c>
      <c r="M120" s="105" t="s">
        <v>691</v>
      </c>
    </row>
    <row r="121" spans="1:13" hidden="1" x14ac:dyDescent="0.3">
      <c r="A121" s="267" t="s">
        <v>229</v>
      </c>
      <c r="B121" s="229" t="s">
        <v>230</v>
      </c>
      <c r="C121" s="229" t="s">
        <v>251</v>
      </c>
      <c r="D121" s="268" t="s">
        <v>229</v>
      </c>
      <c r="E121" s="261" t="s">
        <v>465</v>
      </c>
      <c r="F121" s="105" t="s">
        <v>425</v>
      </c>
      <c r="G121" s="105" t="s">
        <v>662</v>
      </c>
      <c r="H121" s="263" t="s">
        <v>404</v>
      </c>
      <c r="I121" s="257" t="s">
        <v>462</v>
      </c>
      <c r="J121" s="105" t="s">
        <v>647</v>
      </c>
      <c r="L121" s="105" t="s">
        <v>698</v>
      </c>
      <c r="M121" s="105" t="s">
        <v>699</v>
      </c>
    </row>
    <row r="122" spans="1:13" hidden="1" x14ac:dyDescent="0.3">
      <c r="A122" s="267" t="s">
        <v>237</v>
      </c>
      <c r="B122" s="229" t="s">
        <v>238</v>
      </c>
      <c r="C122" s="229" t="s">
        <v>251</v>
      </c>
      <c r="D122" s="268" t="s">
        <v>237</v>
      </c>
      <c r="E122" s="261" t="s">
        <v>464</v>
      </c>
      <c r="F122" s="105" t="s">
        <v>425</v>
      </c>
      <c r="G122" s="105" t="s">
        <v>436</v>
      </c>
      <c r="H122" s="263" t="s">
        <v>563</v>
      </c>
      <c r="I122" s="257" t="s">
        <v>461</v>
      </c>
      <c r="J122" s="105" t="s">
        <v>1011</v>
      </c>
    </row>
    <row r="123" spans="1:13" hidden="1" x14ac:dyDescent="0.3">
      <c r="A123" s="267" t="s">
        <v>239</v>
      </c>
      <c r="B123" s="229" t="s">
        <v>240</v>
      </c>
      <c r="C123" s="229" t="s">
        <v>254</v>
      </c>
      <c r="D123" s="268" t="s">
        <v>239</v>
      </c>
      <c r="E123" s="261" t="s">
        <v>463</v>
      </c>
      <c r="F123" s="105" t="s">
        <v>425</v>
      </c>
      <c r="G123" s="105" t="s">
        <v>624</v>
      </c>
      <c r="H123" s="263" t="s">
        <v>404</v>
      </c>
      <c r="I123" s="257" t="s">
        <v>462</v>
      </c>
      <c r="J123" s="105" t="s">
        <v>647</v>
      </c>
    </row>
    <row r="124" spans="1:13" x14ac:dyDescent="0.3">
      <c r="A124" s="267"/>
      <c r="B124" s="229"/>
      <c r="C124" s="229"/>
      <c r="D124" s="268"/>
    </row>
    <row r="125" spans="1:13" x14ac:dyDescent="0.3">
      <c r="A125" s="267"/>
      <c r="B125" s="229"/>
      <c r="C125" s="229"/>
      <c r="D125" s="148"/>
      <c r="E125" s="261" t="s">
        <v>664</v>
      </c>
      <c r="F125" s="105" t="s">
        <v>668</v>
      </c>
      <c r="I125" s="105" t="s">
        <v>669</v>
      </c>
    </row>
    <row r="126" spans="1:13" x14ac:dyDescent="0.3">
      <c r="A126" s="267"/>
      <c r="B126" s="229"/>
      <c r="C126" s="229"/>
      <c r="D126" s="148"/>
      <c r="E126" s="261" t="s">
        <v>665</v>
      </c>
      <c r="F126" s="105" t="s">
        <v>840</v>
      </c>
      <c r="I126" s="105" t="s">
        <v>670</v>
      </c>
    </row>
    <row r="127" spans="1:13" x14ac:dyDescent="0.3">
      <c r="A127" s="267"/>
      <c r="B127" s="229"/>
      <c r="C127" s="229"/>
      <c r="D127" s="148"/>
      <c r="E127" s="261" t="s">
        <v>666</v>
      </c>
      <c r="F127" s="105" t="s">
        <v>839</v>
      </c>
      <c r="I127" s="105" t="s">
        <v>671</v>
      </c>
    </row>
    <row r="128" spans="1:13" x14ac:dyDescent="0.3">
      <c r="E128" s="261" t="s">
        <v>667</v>
      </c>
      <c r="I128" s="105" t="s">
        <v>672</v>
      </c>
    </row>
    <row r="130" spans="1:2" x14ac:dyDescent="0.3">
      <c r="A130" s="270" t="s">
        <v>1014</v>
      </c>
    </row>
    <row r="131" spans="1:2" x14ac:dyDescent="0.3">
      <c r="A131" s="259" t="s">
        <v>440</v>
      </c>
    </row>
    <row r="132" spans="1:2" x14ac:dyDescent="0.3">
      <c r="A132" s="259" t="s">
        <v>642</v>
      </c>
    </row>
    <row r="133" spans="1:2" x14ac:dyDescent="0.3">
      <c r="A133" s="259"/>
    </row>
    <row r="134" spans="1:2" s="193" customFormat="1" x14ac:dyDescent="0.3">
      <c r="A134" s="193" t="s">
        <v>247</v>
      </c>
    </row>
    <row r="135" spans="1:2" s="193" customFormat="1" x14ac:dyDescent="0.3">
      <c r="A135" s="194" t="s">
        <v>248</v>
      </c>
      <c r="B135" s="195" t="s">
        <v>249</v>
      </c>
    </row>
  </sheetData>
  <autoFilter ref="A3:I123">
    <filterColumn colId="5">
      <filters>
        <filter val="Administrative"/>
      </filters>
    </filterColumn>
  </autoFilter>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E129"/>
  <sheetViews>
    <sheetView workbookViewId="0">
      <pane xSplit="3" ySplit="4" topLeftCell="D118" activePane="bottomRight" state="frozen"/>
      <selection pane="topRight" activeCell="D1" sqref="D1"/>
      <selection pane="bottomLeft" activeCell="A5" sqref="A5"/>
      <selection pane="bottomRight" activeCell="M129" sqref="M129"/>
    </sheetView>
  </sheetViews>
  <sheetFormatPr defaultColWidth="9" defaultRowHeight="15.6" x14ac:dyDescent="0.3"/>
  <cols>
    <col min="1" max="1" width="9.09765625" style="385" customWidth="1"/>
    <col min="2" max="2" width="30.59765625" style="385" customWidth="1"/>
    <col min="3" max="3" width="11.19921875" style="403" customWidth="1"/>
    <col min="4" max="4" width="9" style="375"/>
    <col min="5" max="7" width="9" style="426"/>
    <col min="8" max="8" width="2.5" style="426" customWidth="1"/>
    <col min="9" max="10" width="9" style="426"/>
    <col min="11" max="14" width="9" style="375"/>
    <col min="15" max="15" width="9" style="426"/>
    <col min="16" max="16" width="4.19921875" style="375" customWidth="1"/>
    <col min="17" max="19" width="9" style="375"/>
    <col min="20" max="20" width="2.59765625" style="375" customWidth="1"/>
    <col min="21" max="27" width="9" style="375"/>
    <col min="28" max="28" width="3.09765625" style="375" customWidth="1"/>
    <col min="29" max="16384" width="9" style="375"/>
  </cols>
  <sheetData>
    <row r="1" spans="1:31" ht="15.75" customHeight="1" x14ac:dyDescent="0.3">
      <c r="A1" s="2572" t="s">
        <v>924</v>
      </c>
      <c r="B1" s="2572"/>
      <c r="C1" s="2572"/>
      <c r="D1" s="2572"/>
      <c r="E1" s="2572"/>
      <c r="F1" s="2572"/>
      <c r="G1" s="2572"/>
      <c r="H1" s="2572"/>
      <c r="I1" s="2572"/>
      <c r="J1" s="2572"/>
      <c r="K1" s="2572"/>
      <c r="L1" s="2572"/>
      <c r="M1" s="2572"/>
      <c r="O1" s="625"/>
    </row>
    <row r="2" spans="1:31" x14ac:dyDescent="0.3">
      <c r="A2" s="375"/>
      <c r="B2" s="375"/>
      <c r="C2" s="397"/>
    </row>
    <row r="3" spans="1:31" ht="46.8" x14ac:dyDescent="0.3">
      <c r="A3" s="386" t="s">
        <v>4</v>
      </c>
      <c r="B3" s="386" t="s">
        <v>267</v>
      </c>
      <c r="C3" s="398" t="s">
        <v>250</v>
      </c>
      <c r="D3" s="391" t="s">
        <v>262</v>
      </c>
      <c r="E3" s="1068" t="s">
        <v>380</v>
      </c>
      <c r="F3" s="1068" t="s">
        <v>381</v>
      </c>
      <c r="G3" s="1419" t="s">
        <v>382</v>
      </c>
      <c r="H3" s="1419"/>
      <c r="I3" s="633" t="s">
        <v>2</v>
      </c>
      <c r="J3" s="633" t="s">
        <v>298</v>
      </c>
      <c r="K3" s="387" t="s">
        <v>379</v>
      </c>
      <c r="L3" s="387" t="s">
        <v>499</v>
      </c>
      <c r="M3" s="387" t="s">
        <v>471</v>
      </c>
      <c r="N3" s="1420" t="s">
        <v>384</v>
      </c>
      <c r="O3" s="633" t="s">
        <v>633</v>
      </c>
      <c r="P3" s="105"/>
      <c r="Q3" s="391" t="s">
        <v>2</v>
      </c>
      <c r="R3" s="387" t="s">
        <v>298</v>
      </c>
      <c r="S3" s="633" t="s">
        <v>634</v>
      </c>
      <c r="U3" s="817" t="s">
        <v>636</v>
      </c>
      <c r="V3" s="817" t="s">
        <v>637</v>
      </c>
      <c r="W3" s="817" t="s">
        <v>638</v>
      </c>
      <c r="X3" s="817" t="s">
        <v>639</v>
      </c>
      <c r="Y3" s="817" t="s">
        <v>640</v>
      </c>
      <c r="Z3" s="817" t="s">
        <v>641</v>
      </c>
      <c r="AA3" s="817" t="s">
        <v>500</v>
      </c>
      <c r="AC3" s="817" t="s">
        <v>635</v>
      </c>
      <c r="AD3" s="817" t="s">
        <v>713</v>
      </c>
      <c r="AE3" s="817" t="s">
        <v>712</v>
      </c>
    </row>
    <row r="4" spans="1:31" x14ac:dyDescent="0.3">
      <c r="A4" s="388">
        <v>999</v>
      </c>
      <c r="B4" s="376" t="s">
        <v>8</v>
      </c>
      <c r="C4" s="376"/>
      <c r="D4" s="335">
        <f>SUM(D5:D124)</f>
        <v>107986</v>
      </c>
      <c r="E4" s="336">
        <f t="shared" ref="E4:G4" si="0">SUM(E5:E124)</f>
        <v>52736</v>
      </c>
      <c r="F4" s="336">
        <f t="shared" si="0"/>
        <v>53676</v>
      </c>
      <c r="G4" s="336">
        <f t="shared" si="0"/>
        <v>1574</v>
      </c>
      <c r="H4" s="336"/>
      <c r="I4" s="336">
        <f t="shared" ref="I4:N4" si="1">SUM(I5:I124)</f>
        <v>69931</v>
      </c>
      <c r="J4" s="336">
        <f t="shared" si="1"/>
        <v>33208</v>
      </c>
      <c r="K4" s="336">
        <f t="shared" si="1"/>
        <v>1869</v>
      </c>
      <c r="L4" s="336">
        <f t="shared" si="1"/>
        <v>404</v>
      </c>
      <c r="M4" s="336">
        <f t="shared" si="1"/>
        <v>205</v>
      </c>
      <c r="N4" s="336">
        <f t="shared" si="1"/>
        <v>9865</v>
      </c>
      <c r="O4" s="336">
        <f>SUM(O5:O124)</f>
        <v>12666</v>
      </c>
      <c r="P4" s="105"/>
      <c r="Q4" s="395">
        <f>SUM(Q5:Q124)</f>
        <v>69931</v>
      </c>
      <c r="R4" s="396">
        <f>SUM(R5:R124)</f>
        <v>33208</v>
      </c>
      <c r="S4" s="396">
        <f>SUM(S5:S124)</f>
        <v>2478</v>
      </c>
      <c r="U4" s="396">
        <f t="shared" ref="U4:AE4" si="2">SUM(U5:U124)</f>
        <v>8128</v>
      </c>
      <c r="V4" s="396">
        <f t="shared" si="2"/>
        <v>15295</v>
      </c>
      <c r="W4" s="396">
        <f t="shared" si="2"/>
        <v>23011</v>
      </c>
      <c r="X4" s="396">
        <f t="shared" si="2"/>
        <v>22121</v>
      </c>
      <c r="Y4" s="396">
        <f t="shared" si="2"/>
        <v>20663</v>
      </c>
      <c r="Z4" s="396">
        <f t="shared" si="2"/>
        <v>8118</v>
      </c>
      <c r="AA4" s="396">
        <f t="shared" si="2"/>
        <v>10650</v>
      </c>
      <c r="AC4" s="396">
        <f t="shared" si="2"/>
        <v>23423</v>
      </c>
      <c r="AD4" s="396">
        <f t="shared" si="2"/>
        <v>45132</v>
      </c>
      <c r="AE4" s="396">
        <f t="shared" si="2"/>
        <v>28781</v>
      </c>
    </row>
    <row r="5" spans="1:31" x14ac:dyDescent="0.3">
      <c r="A5" s="389" t="s">
        <v>9</v>
      </c>
      <c r="B5" s="85" t="s">
        <v>10</v>
      </c>
      <c r="C5" s="399" t="s">
        <v>251</v>
      </c>
      <c r="D5" s="337">
        <v>336</v>
      </c>
      <c r="E5" s="338">
        <v>173</v>
      </c>
      <c r="F5" s="338">
        <v>163</v>
      </c>
      <c r="G5" s="338">
        <v>0</v>
      </c>
      <c r="H5" s="338"/>
      <c r="I5" s="338">
        <v>201</v>
      </c>
      <c r="J5" s="338">
        <v>134</v>
      </c>
      <c r="K5" s="338">
        <v>0</v>
      </c>
      <c r="L5" s="338">
        <v>1</v>
      </c>
      <c r="M5" s="338">
        <v>2</v>
      </c>
      <c r="N5" s="338">
        <v>4</v>
      </c>
      <c r="O5" s="338">
        <v>26</v>
      </c>
      <c r="P5" s="105"/>
      <c r="Q5" s="393">
        <f t="shared" ref="Q5:Q36" si="3">I5</f>
        <v>201</v>
      </c>
      <c r="R5" s="394">
        <f t="shared" ref="R5:R36" si="4">J5</f>
        <v>134</v>
      </c>
      <c r="S5" s="394">
        <f t="shared" ref="S5:S36" si="5">SUM(K5:M5)</f>
        <v>3</v>
      </c>
      <c r="U5" s="105">
        <v>32</v>
      </c>
      <c r="V5" s="105">
        <v>55</v>
      </c>
      <c r="W5" s="105">
        <v>73</v>
      </c>
      <c r="X5" s="105">
        <v>80</v>
      </c>
      <c r="Y5" s="105">
        <v>54</v>
      </c>
      <c r="Z5" s="105">
        <v>26</v>
      </c>
      <c r="AA5" s="105">
        <v>16</v>
      </c>
      <c r="AC5" s="375">
        <f t="shared" ref="AC5:AC36" si="6">U5+V5</f>
        <v>87</v>
      </c>
      <c r="AD5" s="375">
        <f t="shared" ref="AD5:AD36" si="7">W5+X5</f>
        <v>153</v>
      </c>
      <c r="AE5" s="375">
        <f t="shared" ref="AE5:AE36" si="8">Y5+Z5</f>
        <v>80</v>
      </c>
    </row>
    <row r="6" spans="1:31" x14ac:dyDescent="0.3">
      <c r="A6" s="389" t="s">
        <v>11</v>
      </c>
      <c r="B6" s="85" t="s">
        <v>12</v>
      </c>
      <c r="C6" s="399" t="s">
        <v>252</v>
      </c>
      <c r="D6" s="337">
        <v>1220</v>
      </c>
      <c r="E6" s="338">
        <v>580</v>
      </c>
      <c r="F6" s="338">
        <v>627</v>
      </c>
      <c r="G6" s="338">
        <v>13</v>
      </c>
      <c r="H6" s="338"/>
      <c r="I6" s="338">
        <v>860</v>
      </c>
      <c r="J6" s="338">
        <v>305</v>
      </c>
      <c r="K6" s="338">
        <v>21</v>
      </c>
      <c r="L6" s="338">
        <v>11</v>
      </c>
      <c r="M6" s="338">
        <v>0</v>
      </c>
      <c r="N6" s="338">
        <v>111</v>
      </c>
      <c r="O6" s="338">
        <v>171</v>
      </c>
      <c r="P6" s="105"/>
      <c r="Q6" s="393">
        <f t="shared" si="3"/>
        <v>860</v>
      </c>
      <c r="R6" s="394">
        <f t="shared" si="4"/>
        <v>305</v>
      </c>
      <c r="S6" s="394">
        <f t="shared" si="5"/>
        <v>32</v>
      </c>
      <c r="U6" s="105">
        <v>66</v>
      </c>
      <c r="V6" s="105">
        <v>171</v>
      </c>
      <c r="W6" s="105">
        <v>240</v>
      </c>
      <c r="X6" s="105">
        <v>252</v>
      </c>
      <c r="Y6" s="105">
        <v>245</v>
      </c>
      <c r="Z6" s="105">
        <v>130</v>
      </c>
      <c r="AA6" s="105">
        <v>116</v>
      </c>
      <c r="AC6" s="426">
        <f t="shared" si="6"/>
        <v>237</v>
      </c>
      <c r="AD6" s="426">
        <f t="shared" si="7"/>
        <v>492</v>
      </c>
      <c r="AE6" s="426">
        <f t="shared" si="8"/>
        <v>375</v>
      </c>
    </row>
    <row r="7" spans="1:31" x14ac:dyDescent="0.3">
      <c r="A7" s="389" t="s">
        <v>15</v>
      </c>
      <c r="B7" s="85" t="s">
        <v>273</v>
      </c>
      <c r="C7" s="399" t="s">
        <v>252</v>
      </c>
      <c r="D7" s="337">
        <v>488</v>
      </c>
      <c r="E7" s="338">
        <v>235</v>
      </c>
      <c r="F7" s="338">
        <v>247</v>
      </c>
      <c r="G7" s="338">
        <v>6</v>
      </c>
      <c r="H7" s="338"/>
      <c r="I7" s="338">
        <v>429</v>
      </c>
      <c r="J7" s="338">
        <v>49</v>
      </c>
      <c r="K7" s="338">
        <v>2</v>
      </c>
      <c r="L7" s="338">
        <v>2</v>
      </c>
      <c r="M7" s="338">
        <v>0</v>
      </c>
      <c r="N7" s="338">
        <v>44</v>
      </c>
      <c r="O7" s="338">
        <v>18</v>
      </c>
      <c r="P7" s="105"/>
      <c r="Q7" s="393">
        <f t="shared" si="3"/>
        <v>429</v>
      </c>
      <c r="R7" s="394">
        <f t="shared" si="4"/>
        <v>49</v>
      </c>
      <c r="S7" s="394">
        <f t="shared" si="5"/>
        <v>4</v>
      </c>
      <c r="U7" s="105">
        <v>38</v>
      </c>
      <c r="V7" s="105">
        <v>82</v>
      </c>
      <c r="W7" s="105">
        <v>115</v>
      </c>
      <c r="X7" s="105">
        <v>100</v>
      </c>
      <c r="Y7" s="105">
        <v>85</v>
      </c>
      <c r="Z7" s="105">
        <v>23</v>
      </c>
      <c r="AA7" s="105">
        <v>45</v>
      </c>
      <c r="AC7" s="426">
        <f t="shared" si="6"/>
        <v>120</v>
      </c>
      <c r="AD7" s="426">
        <f t="shared" si="7"/>
        <v>215</v>
      </c>
      <c r="AE7" s="426">
        <f t="shared" si="8"/>
        <v>108</v>
      </c>
    </row>
    <row r="8" spans="1:31" x14ac:dyDescent="0.3">
      <c r="A8" s="389" t="s">
        <v>17</v>
      </c>
      <c r="B8" s="85" t="s">
        <v>18</v>
      </c>
      <c r="C8" s="399" t="s">
        <v>253</v>
      </c>
      <c r="D8" s="337">
        <v>135</v>
      </c>
      <c r="E8" s="338">
        <v>69</v>
      </c>
      <c r="F8" s="338">
        <v>64</v>
      </c>
      <c r="G8" s="338">
        <v>2</v>
      </c>
      <c r="H8" s="338"/>
      <c r="I8" s="338">
        <v>112</v>
      </c>
      <c r="J8" s="338">
        <v>20</v>
      </c>
      <c r="K8" s="338">
        <v>0</v>
      </c>
      <c r="L8" s="338">
        <v>2</v>
      </c>
      <c r="M8" s="338">
        <v>0</v>
      </c>
      <c r="N8" s="338">
        <v>5</v>
      </c>
      <c r="O8" s="338">
        <v>10</v>
      </c>
      <c r="P8" s="105"/>
      <c r="Q8" s="393">
        <f t="shared" si="3"/>
        <v>112</v>
      </c>
      <c r="R8" s="394">
        <f t="shared" si="4"/>
        <v>20</v>
      </c>
      <c r="S8" s="394">
        <f t="shared" si="5"/>
        <v>2</v>
      </c>
      <c r="U8" s="105">
        <v>3</v>
      </c>
      <c r="V8" s="105">
        <v>15</v>
      </c>
      <c r="W8" s="105">
        <v>38</v>
      </c>
      <c r="X8" s="105">
        <v>41</v>
      </c>
      <c r="Y8" s="105">
        <v>26</v>
      </c>
      <c r="Z8" s="105">
        <v>5</v>
      </c>
      <c r="AA8" s="105">
        <v>7</v>
      </c>
      <c r="AC8" s="426">
        <f t="shared" si="6"/>
        <v>18</v>
      </c>
      <c r="AD8" s="426">
        <f t="shared" si="7"/>
        <v>79</v>
      </c>
      <c r="AE8" s="426">
        <f t="shared" si="8"/>
        <v>31</v>
      </c>
    </row>
    <row r="9" spans="1:31" x14ac:dyDescent="0.3">
      <c r="A9" s="389" t="s">
        <v>19</v>
      </c>
      <c r="B9" s="85" t="s">
        <v>20</v>
      </c>
      <c r="C9" s="399" t="s">
        <v>252</v>
      </c>
      <c r="D9" s="337">
        <v>587</v>
      </c>
      <c r="E9" s="338">
        <v>289</v>
      </c>
      <c r="F9" s="338">
        <v>288</v>
      </c>
      <c r="G9" s="338">
        <v>10</v>
      </c>
      <c r="H9" s="338"/>
      <c r="I9" s="338">
        <v>465</v>
      </c>
      <c r="J9" s="338">
        <v>113</v>
      </c>
      <c r="K9" s="338">
        <v>0</v>
      </c>
      <c r="L9" s="338">
        <v>4</v>
      </c>
      <c r="M9" s="338">
        <v>3</v>
      </c>
      <c r="N9" s="338">
        <v>42</v>
      </c>
      <c r="O9" s="338">
        <v>18</v>
      </c>
      <c r="P9" s="105"/>
      <c r="Q9" s="393">
        <f t="shared" si="3"/>
        <v>465</v>
      </c>
      <c r="R9" s="394">
        <f t="shared" si="4"/>
        <v>113</v>
      </c>
      <c r="S9" s="394">
        <f t="shared" si="5"/>
        <v>7</v>
      </c>
      <c r="U9" s="105">
        <v>63</v>
      </c>
      <c r="V9" s="105">
        <v>83</v>
      </c>
      <c r="W9" s="105">
        <v>115</v>
      </c>
      <c r="X9" s="105">
        <v>130</v>
      </c>
      <c r="Y9" s="105">
        <v>110</v>
      </c>
      <c r="Z9" s="105">
        <v>35</v>
      </c>
      <c r="AA9" s="105">
        <v>51</v>
      </c>
      <c r="AC9" s="426">
        <f t="shared" si="6"/>
        <v>146</v>
      </c>
      <c r="AD9" s="426">
        <f t="shared" si="7"/>
        <v>245</v>
      </c>
      <c r="AE9" s="426">
        <f t="shared" si="8"/>
        <v>145</v>
      </c>
    </row>
    <row r="10" spans="1:31" x14ac:dyDescent="0.3">
      <c r="A10" s="389" t="s">
        <v>21</v>
      </c>
      <c r="B10" s="85" t="s">
        <v>22</v>
      </c>
      <c r="C10" s="399" t="s">
        <v>252</v>
      </c>
      <c r="D10" s="337">
        <v>185</v>
      </c>
      <c r="E10" s="338">
        <v>95</v>
      </c>
      <c r="F10" s="338">
        <v>87</v>
      </c>
      <c r="G10" s="338">
        <v>3</v>
      </c>
      <c r="H10" s="338"/>
      <c r="I10" s="338">
        <v>130</v>
      </c>
      <c r="J10" s="338">
        <v>51</v>
      </c>
      <c r="K10" s="338">
        <v>1</v>
      </c>
      <c r="L10" s="338">
        <v>0</v>
      </c>
      <c r="M10" s="338">
        <v>0</v>
      </c>
      <c r="N10" s="338">
        <v>16</v>
      </c>
      <c r="O10" s="338">
        <v>4</v>
      </c>
      <c r="P10" s="105"/>
      <c r="Q10" s="393">
        <f t="shared" si="3"/>
        <v>130</v>
      </c>
      <c r="R10" s="394">
        <f t="shared" si="4"/>
        <v>51</v>
      </c>
      <c r="S10" s="394">
        <f t="shared" si="5"/>
        <v>1</v>
      </c>
      <c r="U10" s="105">
        <v>17</v>
      </c>
      <c r="V10" s="105">
        <v>39</v>
      </c>
      <c r="W10" s="105">
        <v>51</v>
      </c>
      <c r="X10" s="105">
        <v>32</v>
      </c>
      <c r="Y10" s="105">
        <v>24</v>
      </c>
      <c r="Z10" s="105">
        <v>7</v>
      </c>
      <c r="AA10" s="105">
        <v>15</v>
      </c>
      <c r="AC10" s="426">
        <f t="shared" si="6"/>
        <v>56</v>
      </c>
      <c r="AD10" s="426">
        <f t="shared" si="7"/>
        <v>83</v>
      </c>
      <c r="AE10" s="426">
        <f t="shared" si="8"/>
        <v>31</v>
      </c>
    </row>
    <row r="11" spans="1:31" x14ac:dyDescent="0.3">
      <c r="A11" s="389" t="s">
        <v>23</v>
      </c>
      <c r="B11" s="85" t="s">
        <v>24</v>
      </c>
      <c r="C11" s="399" t="s">
        <v>254</v>
      </c>
      <c r="D11" s="337">
        <v>1372</v>
      </c>
      <c r="E11" s="338">
        <v>666</v>
      </c>
      <c r="F11" s="338">
        <v>690</v>
      </c>
      <c r="G11" s="338">
        <v>16</v>
      </c>
      <c r="H11" s="338"/>
      <c r="I11" s="338">
        <v>831</v>
      </c>
      <c r="J11" s="338">
        <v>401</v>
      </c>
      <c r="K11" s="338">
        <v>83</v>
      </c>
      <c r="L11" s="338">
        <v>1</v>
      </c>
      <c r="M11" s="338">
        <v>1</v>
      </c>
      <c r="N11" s="338">
        <v>94</v>
      </c>
      <c r="O11" s="338">
        <v>551</v>
      </c>
      <c r="P11" s="105"/>
      <c r="Q11" s="393">
        <f t="shared" si="3"/>
        <v>831</v>
      </c>
      <c r="R11" s="394">
        <f t="shared" si="4"/>
        <v>401</v>
      </c>
      <c r="S11" s="394">
        <f t="shared" si="5"/>
        <v>85</v>
      </c>
      <c r="U11" s="105">
        <v>75</v>
      </c>
      <c r="V11" s="105">
        <v>161</v>
      </c>
      <c r="W11" s="105">
        <v>329</v>
      </c>
      <c r="X11" s="105">
        <v>270</v>
      </c>
      <c r="Y11" s="105">
        <v>267</v>
      </c>
      <c r="Z11" s="105">
        <v>114</v>
      </c>
      <c r="AA11" s="105">
        <v>156</v>
      </c>
      <c r="AC11" s="426">
        <f t="shared" si="6"/>
        <v>236</v>
      </c>
      <c r="AD11" s="426">
        <f t="shared" si="7"/>
        <v>599</v>
      </c>
      <c r="AE11" s="426">
        <f t="shared" si="8"/>
        <v>381</v>
      </c>
    </row>
    <row r="12" spans="1:31" x14ac:dyDescent="0.3">
      <c r="A12" s="389" t="s">
        <v>25</v>
      </c>
      <c r="B12" s="85" t="s">
        <v>274</v>
      </c>
      <c r="C12" s="399" t="s">
        <v>252</v>
      </c>
      <c r="D12" s="337">
        <v>3114</v>
      </c>
      <c r="E12" s="338">
        <v>1519</v>
      </c>
      <c r="F12" s="338">
        <v>1531</v>
      </c>
      <c r="G12" s="338">
        <v>64</v>
      </c>
      <c r="H12" s="338"/>
      <c r="I12" s="338">
        <v>2601</v>
      </c>
      <c r="J12" s="338">
        <v>519</v>
      </c>
      <c r="K12" s="338">
        <v>27</v>
      </c>
      <c r="L12" s="338">
        <v>12</v>
      </c>
      <c r="M12" s="338">
        <v>7</v>
      </c>
      <c r="N12" s="338">
        <v>218</v>
      </c>
      <c r="O12" s="338">
        <v>178</v>
      </c>
      <c r="P12" s="105"/>
      <c r="Q12" s="393">
        <f t="shared" si="3"/>
        <v>2601</v>
      </c>
      <c r="R12" s="394">
        <f t="shared" si="4"/>
        <v>519</v>
      </c>
      <c r="S12" s="394">
        <f t="shared" si="5"/>
        <v>46</v>
      </c>
      <c r="U12" s="105">
        <v>176</v>
      </c>
      <c r="V12" s="105">
        <v>401</v>
      </c>
      <c r="W12" s="105">
        <v>631</v>
      </c>
      <c r="X12" s="105">
        <v>584</v>
      </c>
      <c r="Y12" s="105">
        <v>648</v>
      </c>
      <c r="Z12" s="105">
        <v>239</v>
      </c>
      <c r="AA12" s="105">
        <v>435</v>
      </c>
      <c r="AC12" s="426">
        <f t="shared" si="6"/>
        <v>577</v>
      </c>
      <c r="AD12" s="426">
        <f t="shared" si="7"/>
        <v>1215</v>
      </c>
      <c r="AE12" s="426">
        <f t="shared" si="8"/>
        <v>887</v>
      </c>
    </row>
    <row r="13" spans="1:31" x14ac:dyDescent="0.3">
      <c r="A13" s="389" t="s">
        <v>26</v>
      </c>
      <c r="B13" s="85" t="s">
        <v>27</v>
      </c>
      <c r="C13" s="399" t="s">
        <v>252</v>
      </c>
      <c r="D13" s="337">
        <v>89</v>
      </c>
      <c r="E13" s="338">
        <v>44</v>
      </c>
      <c r="F13" s="338">
        <v>45</v>
      </c>
      <c r="G13" s="338">
        <v>0</v>
      </c>
      <c r="H13" s="338"/>
      <c r="I13" s="338">
        <v>85</v>
      </c>
      <c r="J13" s="338">
        <v>1</v>
      </c>
      <c r="K13" s="338">
        <v>0</v>
      </c>
      <c r="L13" s="338">
        <v>0</v>
      </c>
      <c r="M13" s="338">
        <v>0</v>
      </c>
      <c r="N13" s="338">
        <v>4</v>
      </c>
      <c r="O13" s="338">
        <v>1</v>
      </c>
      <c r="P13" s="105"/>
      <c r="Q13" s="393">
        <f t="shared" si="3"/>
        <v>85</v>
      </c>
      <c r="R13" s="394">
        <f t="shared" si="4"/>
        <v>1</v>
      </c>
      <c r="S13" s="394">
        <f t="shared" si="5"/>
        <v>0</v>
      </c>
      <c r="U13" s="105">
        <v>11</v>
      </c>
      <c r="V13" s="105">
        <v>14</v>
      </c>
      <c r="W13" s="105">
        <v>22</v>
      </c>
      <c r="X13" s="105">
        <v>18</v>
      </c>
      <c r="Y13" s="105">
        <v>13</v>
      </c>
      <c r="Z13" s="105">
        <v>4</v>
      </c>
      <c r="AA13" s="105">
        <v>7</v>
      </c>
      <c r="AC13" s="426">
        <f t="shared" si="6"/>
        <v>25</v>
      </c>
      <c r="AD13" s="426">
        <f t="shared" si="7"/>
        <v>40</v>
      </c>
      <c r="AE13" s="426">
        <f t="shared" si="8"/>
        <v>17</v>
      </c>
    </row>
    <row r="14" spans="1:31" x14ac:dyDescent="0.3">
      <c r="A14" s="389" t="s">
        <v>28</v>
      </c>
      <c r="B14" s="85" t="s">
        <v>568</v>
      </c>
      <c r="C14" s="399" t="s">
        <v>252</v>
      </c>
      <c r="D14" s="337">
        <v>1406</v>
      </c>
      <c r="E14" s="338">
        <v>690</v>
      </c>
      <c r="F14" s="338">
        <v>695</v>
      </c>
      <c r="G14" s="338">
        <v>21</v>
      </c>
      <c r="H14" s="338"/>
      <c r="I14" s="338">
        <v>1196</v>
      </c>
      <c r="J14" s="338">
        <v>194</v>
      </c>
      <c r="K14" s="338">
        <v>0</v>
      </c>
      <c r="L14" s="338">
        <v>3</v>
      </c>
      <c r="M14" s="338">
        <v>0</v>
      </c>
      <c r="N14" s="338">
        <v>87</v>
      </c>
      <c r="O14" s="338">
        <v>38</v>
      </c>
      <c r="P14" s="105"/>
      <c r="Q14" s="393">
        <f t="shared" si="3"/>
        <v>1196</v>
      </c>
      <c r="R14" s="394">
        <f t="shared" si="4"/>
        <v>194</v>
      </c>
      <c r="S14" s="394">
        <f t="shared" si="5"/>
        <v>3</v>
      </c>
      <c r="U14" s="105">
        <v>98</v>
      </c>
      <c r="V14" s="105">
        <v>214</v>
      </c>
      <c r="W14" s="105">
        <v>293</v>
      </c>
      <c r="X14" s="105">
        <v>299</v>
      </c>
      <c r="Y14" s="105">
        <v>281</v>
      </c>
      <c r="Z14" s="105">
        <v>119</v>
      </c>
      <c r="AA14" s="105">
        <v>102</v>
      </c>
      <c r="AC14" s="426">
        <f t="shared" si="6"/>
        <v>312</v>
      </c>
      <c r="AD14" s="426">
        <f t="shared" si="7"/>
        <v>592</v>
      </c>
      <c r="AE14" s="426">
        <f t="shared" si="8"/>
        <v>400</v>
      </c>
    </row>
    <row r="15" spans="1:31" x14ac:dyDescent="0.3">
      <c r="A15" s="389" t="s">
        <v>29</v>
      </c>
      <c r="B15" s="85" t="s">
        <v>30</v>
      </c>
      <c r="C15" s="399" t="s">
        <v>255</v>
      </c>
      <c r="D15" s="337">
        <v>65</v>
      </c>
      <c r="E15" s="338">
        <v>30</v>
      </c>
      <c r="F15" s="338">
        <v>34</v>
      </c>
      <c r="G15" s="338">
        <v>1</v>
      </c>
      <c r="H15" s="338"/>
      <c r="I15" s="338">
        <v>60</v>
      </c>
      <c r="J15" s="338">
        <v>5</v>
      </c>
      <c r="K15" s="338">
        <v>0</v>
      </c>
      <c r="L15" s="338">
        <v>0</v>
      </c>
      <c r="M15" s="338">
        <v>1</v>
      </c>
      <c r="N15" s="338">
        <v>11</v>
      </c>
      <c r="O15" s="338">
        <v>9</v>
      </c>
      <c r="P15" s="105"/>
      <c r="Q15" s="393">
        <f t="shared" si="3"/>
        <v>60</v>
      </c>
      <c r="R15" s="394">
        <f t="shared" si="4"/>
        <v>5</v>
      </c>
      <c r="S15" s="394">
        <f t="shared" si="5"/>
        <v>1</v>
      </c>
      <c r="U15" s="105">
        <v>9</v>
      </c>
      <c r="V15" s="105">
        <v>12</v>
      </c>
      <c r="W15" s="105">
        <v>10</v>
      </c>
      <c r="X15" s="105">
        <v>12</v>
      </c>
      <c r="Y15" s="105">
        <v>10</v>
      </c>
      <c r="Z15" s="105">
        <v>9</v>
      </c>
      <c r="AA15" s="105">
        <v>3</v>
      </c>
      <c r="AC15" s="426">
        <f t="shared" si="6"/>
        <v>21</v>
      </c>
      <c r="AD15" s="426">
        <f t="shared" si="7"/>
        <v>22</v>
      </c>
      <c r="AE15" s="426">
        <f t="shared" si="8"/>
        <v>19</v>
      </c>
    </row>
    <row r="16" spans="1:31" x14ac:dyDescent="0.3">
      <c r="A16" s="389" t="s">
        <v>31</v>
      </c>
      <c r="B16" s="85" t="s">
        <v>32</v>
      </c>
      <c r="C16" s="399" t="s">
        <v>252</v>
      </c>
      <c r="D16" s="337">
        <v>415</v>
      </c>
      <c r="E16" s="338">
        <v>231</v>
      </c>
      <c r="F16" s="338">
        <v>184</v>
      </c>
      <c r="G16" s="338">
        <v>0</v>
      </c>
      <c r="H16" s="338"/>
      <c r="I16" s="338">
        <v>390</v>
      </c>
      <c r="J16" s="338">
        <v>20</v>
      </c>
      <c r="K16" s="338">
        <v>1</v>
      </c>
      <c r="L16" s="338">
        <v>1</v>
      </c>
      <c r="M16" s="338">
        <v>0</v>
      </c>
      <c r="N16" s="338">
        <v>18</v>
      </c>
      <c r="O16" s="338">
        <v>12</v>
      </c>
      <c r="P16" s="105"/>
      <c r="Q16" s="393">
        <f t="shared" si="3"/>
        <v>390</v>
      </c>
      <c r="R16" s="394">
        <f t="shared" si="4"/>
        <v>20</v>
      </c>
      <c r="S16" s="394">
        <f t="shared" si="5"/>
        <v>2</v>
      </c>
      <c r="U16" s="105">
        <v>42</v>
      </c>
      <c r="V16" s="105">
        <v>38</v>
      </c>
      <c r="W16" s="105">
        <v>105</v>
      </c>
      <c r="X16" s="105">
        <v>88</v>
      </c>
      <c r="Y16" s="105">
        <v>92</v>
      </c>
      <c r="Z16" s="105">
        <v>34</v>
      </c>
      <c r="AA16" s="105">
        <v>16</v>
      </c>
      <c r="AC16" s="426">
        <f t="shared" si="6"/>
        <v>80</v>
      </c>
      <c r="AD16" s="426">
        <f t="shared" si="7"/>
        <v>193</v>
      </c>
      <c r="AE16" s="426">
        <f t="shared" si="8"/>
        <v>126</v>
      </c>
    </row>
    <row r="17" spans="1:31" x14ac:dyDescent="0.3">
      <c r="A17" s="389" t="s">
        <v>35</v>
      </c>
      <c r="B17" s="85" t="s">
        <v>36</v>
      </c>
      <c r="C17" s="399" t="s">
        <v>251</v>
      </c>
      <c r="D17" s="337">
        <v>124</v>
      </c>
      <c r="E17" s="338">
        <v>69</v>
      </c>
      <c r="F17" s="338">
        <v>52</v>
      </c>
      <c r="G17" s="338">
        <v>3</v>
      </c>
      <c r="H17" s="338"/>
      <c r="I17" s="338">
        <v>45</v>
      </c>
      <c r="J17" s="338">
        <v>78</v>
      </c>
      <c r="K17" s="338">
        <v>0</v>
      </c>
      <c r="L17" s="338">
        <v>0</v>
      </c>
      <c r="M17" s="338">
        <v>0</v>
      </c>
      <c r="N17" s="338">
        <v>18</v>
      </c>
      <c r="O17" s="338">
        <v>3</v>
      </c>
      <c r="P17" s="105"/>
      <c r="Q17" s="393">
        <f t="shared" si="3"/>
        <v>45</v>
      </c>
      <c r="R17" s="394">
        <f t="shared" si="4"/>
        <v>78</v>
      </c>
      <c r="S17" s="394">
        <f t="shared" si="5"/>
        <v>0</v>
      </c>
      <c r="U17" s="105">
        <v>19</v>
      </c>
      <c r="V17" s="105">
        <v>16</v>
      </c>
      <c r="W17" s="105">
        <v>23</v>
      </c>
      <c r="X17" s="105">
        <v>25</v>
      </c>
      <c r="Y17" s="105">
        <v>22</v>
      </c>
      <c r="Z17" s="105">
        <v>0</v>
      </c>
      <c r="AA17" s="105">
        <v>19</v>
      </c>
      <c r="AC17" s="426">
        <f t="shared" si="6"/>
        <v>35</v>
      </c>
      <c r="AD17" s="426">
        <f t="shared" si="7"/>
        <v>48</v>
      </c>
      <c r="AE17" s="426">
        <f t="shared" si="8"/>
        <v>22</v>
      </c>
    </row>
    <row r="18" spans="1:31" x14ac:dyDescent="0.3">
      <c r="A18" s="389" t="s">
        <v>37</v>
      </c>
      <c r="B18" s="85" t="s">
        <v>38</v>
      </c>
      <c r="C18" s="399" t="s">
        <v>255</v>
      </c>
      <c r="D18" s="337">
        <v>336</v>
      </c>
      <c r="E18" s="338">
        <v>166</v>
      </c>
      <c r="F18" s="338">
        <v>169</v>
      </c>
      <c r="G18" s="338">
        <v>1</v>
      </c>
      <c r="H18" s="338"/>
      <c r="I18" s="338">
        <v>330</v>
      </c>
      <c r="J18" s="338">
        <v>3</v>
      </c>
      <c r="K18" s="338">
        <v>0</v>
      </c>
      <c r="L18" s="338">
        <v>1</v>
      </c>
      <c r="M18" s="338">
        <v>0</v>
      </c>
      <c r="N18" s="338">
        <v>4</v>
      </c>
      <c r="O18" s="338">
        <v>3</v>
      </c>
      <c r="P18" s="105"/>
      <c r="Q18" s="393">
        <f t="shared" si="3"/>
        <v>330</v>
      </c>
      <c r="R18" s="394">
        <f t="shared" si="4"/>
        <v>3</v>
      </c>
      <c r="S18" s="394">
        <f t="shared" si="5"/>
        <v>1</v>
      </c>
      <c r="U18" s="105">
        <v>37</v>
      </c>
      <c r="V18" s="105">
        <v>51</v>
      </c>
      <c r="W18" s="105">
        <v>70</v>
      </c>
      <c r="X18" s="105">
        <v>87</v>
      </c>
      <c r="Y18" s="105">
        <v>61</v>
      </c>
      <c r="Z18" s="105">
        <v>26</v>
      </c>
      <c r="AA18" s="105">
        <v>4</v>
      </c>
      <c r="AC18" s="426">
        <f t="shared" si="6"/>
        <v>88</v>
      </c>
      <c r="AD18" s="426">
        <f t="shared" si="7"/>
        <v>157</v>
      </c>
      <c r="AE18" s="426">
        <f t="shared" si="8"/>
        <v>87</v>
      </c>
    </row>
    <row r="19" spans="1:31" x14ac:dyDescent="0.3">
      <c r="A19" s="389" t="s">
        <v>39</v>
      </c>
      <c r="B19" s="85" t="s">
        <v>40</v>
      </c>
      <c r="C19" s="399" t="s">
        <v>253</v>
      </c>
      <c r="D19" s="337">
        <v>253</v>
      </c>
      <c r="E19" s="338">
        <v>131</v>
      </c>
      <c r="F19" s="338">
        <v>121</v>
      </c>
      <c r="G19" s="338">
        <v>1</v>
      </c>
      <c r="H19" s="338"/>
      <c r="I19" s="338">
        <v>173</v>
      </c>
      <c r="J19" s="338">
        <v>82</v>
      </c>
      <c r="K19" s="338">
        <v>0</v>
      </c>
      <c r="L19" s="338">
        <v>0</v>
      </c>
      <c r="M19" s="338">
        <v>0</v>
      </c>
      <c r="N19" s="338">
        <v>19</v>
      </c>
      <c r="O19" s="338">
        <v>12</v>
      </c>
      <c r="P19" s="105"/>
      <c r="Q19" s="393">
        <f t="shared" si="3"/>
        <v>173</v>
      </c>
      <c r="R19" s="394">
        <f t="shared" si="4"/>
        <v>82</v>
      </c>
      <c r="S19" s="394">
        <f t="shared" si="5"/>
        <v>0</v>
      </c>
      <c r="U19" s="105">
        <v>25</v>
      </c>
      <c r="V19" s="105">
        <v>41</v>
      </c>
      <c r="W19" s="105">
        <v>60</v>
      </c>
      <c r="X19" s="105">
        <v>62</v>
      </c>
      <c r="Y19" s="105">
        <v>35</v>
      </c>
      <c r="Z19" s="105">
        <v>17</v>
      </c>
      <c r="AA19" s="105">
        <v>13</v>
      </c>
      <c r="AC19" s="426">
        <f t="shared" si="6"/>
        <v>66</v>
      </c>
      <c r="AD19" s="426">
        <f t="shared" si="7"/>
        <v>122</v>
      </c>
      <c r="AE19" s="426">
        <f t="shared" si="8"/>
        <v>52</v>
      </c>
    </row>
    <row r="20" spans="1:31" x14ac:dyDescent="0.3">
      <c r="A20" s="389" t="s">
        <v>41</v>
      </c>
      <c r="B20" s="85" t="s">
        <v>42</v>
      </c>
      <c r="C20" s="399" t="s">
        <v>252</v>
      </c>
      <c r="D20" s="337">
        <v>1338</v>
      </c>
      <c r="E20" s="338">
        <v>644</v>
      </c>
      <c r="F20" s="338">
        <v>679</v>
      </c>
      <c r="G20" s="338">
        <v>15</v>
      </c>
      <c r="H20" s="338"/>
      <c r="I20" s="338">
        <v>1075</v>
      </c>
      <c r="J20" s="338">
        <v>244</v>
      </c>
      <c r="K20" s="338">
        <v>13</v>
      </c>
      <c r="L20" s="338">
        <v>1</v>
      </c>
      <c r="M20" s="338">
        <v>0</v>
      </c>
      <c r="N20" s="338">
        <v>116</v>
      </c>
      <c r="O20" s="338">
        <v>57</v>
      </c>
      <c r="P20" s="105"/>
      <c r="Q20" s="393">
        <f t="shared" si="3"/>
        <v>1075</v>
      </c>
      <c r="R20" s="394">
        <f t="shared" si="4"/>
        <v>244</v>
      </c>
      <c r="S20" s="394">
        <f t="shared" si="5"/>
        <v>14</v>
      </c>
      <c r="U20" s="105">
        <v>100</v>
      </c>
      <c r="V20" s="105">
        <v>193</v>
      </c>
      <c r="W20" s="105">
        <v>315</v>
      </c>
      <c r="X20" s="105">
        <v>317</v>
      </c>
      <c r="Y20" s="105">
        <v>242</v>
      </c>
      <c r="Z20" s="105">
        <v>87</v>
      </c>
      <c r="AA20" s="105">
        <v>84</v>
      </c>
      <c r="AC20" s="426">
        <f t="shared" si="6"/>
        <v>293</v>
      </c>
      <c r="AD20" s="426">
        <f t="shared" si="7"/>
        <v>632</v>
      </c>
      <c r="AE20" s="426">
        <f t="shared" si="8"/>
        <v>329</v>
      </c>
    </row>
    <row r="21" spans="1:31" x14ac:dyDescent="0.3">
      <c r="A21" s="389" t="s">
        <v>43</v>
      </c>
      <c r="B21" s="85" t="s">
        <v>44</v>
      </c>
      <c r="C21" s="399" t="s">
        <v>253</v>
      </c>
      <c r="D21" s="337">
        <v>454</v>
      </c>
      <c r="E21" s="338">
        <v>229</v>
      </c>
      <c r="F21" s="338">
        <v>219</v>
      </c>
      <c r="G21" s="338">
        <v>6</v>
      </c>
      <c r="H21" s="338"/>
      <c r="I21" s="338">
        <v>326</v>
      </c>
      <c r="J21" s="338">
        <v>113</v>
      </c>
      <c r="K21" s="338">
        <v>3</v>
      </c>
      <c r="L21" s="338">
        <v>2</v>
      </c>
      <c r="M21" s="338">
        <v>6</v>
      </c>
      <c r="N21" s="338">
        <v>39</v>
      </c>
      <c r="O21" s="338">
        <v>31</v>
      </c>
      <c r="P21" s="105"/>
      <c r="Q21" s="393">
        <f t="shared" si="3"/>
        <v>326</v>
      </c>
      <c r="R21" s="394">
        <f t="shared" si="4"/>
        <v>113</v>
      </c>
      <c r="S21" s="394">
        <f t="shared" si="5"/>
        <v>11</v>
      </c>
      <c r="U21" s="105">
        <v>33</v>
      </c>
      <c r="V21" s="105">
        <v>49</v>
      </c>
      <c r="W21" s="105">
        <v>108</v>
      </c>
      <c r="X21" s="105">
        <v>96</v>
      </c>
      <c r="Y21" s="105">
        <v>62</v>
      </c>
      <c r="Z21" s="105">
        <v>35</v>
      </c>
      <c r="AA21" s="105">
        <v>71</v>
      </c>
      <c r="AC21" s="426">
        <f t="shared" si="6"/>
        <v>82</v>
      </c>
      <c r="AD21" s="426">
        <f t="shared" si="7"/>
        <v>204</v>
      </c>
      <c r="AE21" s="426">
        <f t="shared" si="8"/>
        <v>97</v>
      </c>
    </row>
    <row r="22" spans="1:31" x14ac:dyDescent="0.3">
      <c r="A22" s="389" t="s">
        <v>45</v>
      </c>
      <c r="B22" s="85" t="s">
        <v>46</v>
      </c>
      <c r="C22" s="399" t="s">
        <v>255</v>
      </c>
      <c r="D22" s="337">
        <v>510</v>
      </c>
      <c r="E22" s="338">
        <v>254</v>
      </c>
      <c r="F22" s="338">
        <v>254</v>
      </c>
      <c r="G22" s="338">
        <v>2</v>
      </c>
      <c r="H22" s="338"/>
      <c r="I22" s="338">
        <v>494</v>
      </c>
      <c r="J22" s="338">
        <v>7</v>
      </c>
      <c r="K22" s="338">
        <v>0</v>
      </c>
      <c r="L22" s="338">
        <v>0</v>
      </c>
      <c r="M22" s="338">
        <v>0</v>
      </c>
      <c r="N22" s="338">
        <v>15</v>
      </c>
      <c r="O22" s="338">
        <v>26</v>
      </c>
      <c r="P22" s="105"/>
      <c r="Q22" s="393">
        <f t="shared" si="3"/>
        <v>494</v>
      </c>
      <c r="R22" s="394">
        <f t="shared" si="4"/>
        <v>7</v>
      </c>
      <c r="S22" s="394">
        <f t="shared" si="5"/>
        <v>0</v>
      </c>
      <c r="U22" s="105">
        <v>60</v>
      </c>
      <c r="V22" s="105">
        <v>69</v>
      </c>
      <c r="W22" s="105">
        <v>114</v>
      </c>
      <c r="X22" s="105">
        <v>95</v>
      </c>
      <c r="Y22" s="105">
        <v>101</v>
      </c>
      <c r="Z22" s="105">
        <v>42</v>
      </c>
      <c r="AA22" s="105">
        <v>29</v>
      </c>
      <c r="AC22" s="426">
        <f t="shared" si="6"/>
        <v>129</v>
      </c>
      <c r="AD22" s="426">
        <f t="shared" si="7"/>
        <v>209</v>
      </c>
      <c r="AE22" s="426">
        <f t="shared" si="8"/>
        <v>143</v>
      </c>
    </row>
    <row r="23" spans="1:31" x14ac:dyDescent="0.3">
      <c r="A23" s="389" t="s">
        <v>47</v>
      </c>
      <c r="B23" s="85" t="s">
        <v>256</v>
      </c>
      <c r="C23" s="399" t="s">
        <v>253</v>
      </c>
      <c r="D23" s="337">
        <v>64</v>
      </c>
      <c r="E23" s="338">
        <v>26</v>
      </c>
      <c r="F23" s="338">
        <v>38</v>
      </c>
      <c r="G23" s="338">
        <v>0</v>
      </c>
      <c r="H23" s="338"/>
      <c r="I23" s="338">
        <v>46</v>
      </c>
      <c r="J23" s="338">
        <v>20</v>
      </c>
      <c r="K23" s="338">
        <v>0</v>
      </c>
      <c r="L23" s="338">
        <v>0</v>
      </c>
      <c r="M23" s="338">
        <v>2</v>
      </c>
      <c r="N23" s="338">
        <v>1</v>
      </c>
      <c r="O23" s="338">
        <v>1</v>
      </c>
      <c r="P23" s="105"/>
      <c r="Q23" s="393">
        <f t="shared" si="3"/>
        <v>46</v>
      </c>
      <c r="R23" s="394">
        <f t="shared" si="4"/>
        <v>20</v>
      </c>
      <c r="S23" s="394">
        <f t="shared" si="5"/>
        <v>2</v>
      </c>
      <c r="U23" s="105">
        <v>4</v>
      </c>
      <c r="V23" s="105">
        <v>8</v>
      </c>
      <c r="W23" s="105">
        <v>13</v>
      </c>
      <c r="X23" s="105">
        <v>23</v>
      </c>
      <c r="Y23" s="105">
        <v>12</v>
      </c>
      <c r="Z23" s="105">
        <v>2</v>
      </c>
      <c r="AA23" s="105">
        <v>2</v>
      </c>
      <c r="AC23" s="426">
        <f t="shared" si="6"/>
        <v>12</v>
      </c>
      <c r="AD23" s="426">
        <f t="shared" si="7"/>
        <v>36</v>
      </c>
      <c r="AE23" s="426">
        <f t="shared" si="8"/>
        <v>14</v>
      </c>
    </row>
    <row r="24" spans="1:31" x14ac:dyDescent="0.3">
      <c r="A24" s="389" t="s">
        <v>49</v>
      </c>
      <c r="B24" s="85" t="s">
        <v>50</v>
      </c>
      <c r="C24" s="399" t="s">
        <v>252</v>
      </c>
      <c r="D24" s="337">
        <v>154</v>
      </c>
      <c r="E24" s="338">
        <v>81</v>
      </c>
      <c r="F24" s="338">
        <v>71</v>
      </c>
      <c r="G24" s="338">
        <v>2</v>
      </c>
      <c r="H24" s="338"/>
      <c r="I24" s="338">
        <v>128</v>
      </c>
      <c r="J24" s="338">
        <v>36</v>
      </c>
      <c r="K24" s="338">
        <v>0</v>
      </c>
      <c r="L24" s="338">
        <v>0</v>
      </c>
      <c r="M24" s="338">
        <v>5</v>
      </c>
      <c r="N24" s="338">
        <v>4</v>
      </c>
      <c r="O24" s="338">
        <v>5</v>
      </c>
      <c r="P24" s="105"/>
      <c r="Q24" s="393">
        <f t="shared" si="3"/>
        <v>128</v>
      </c>
      <c r="R24" s="394">
        <f t="shared" si="4"/>
        <v>36</v>
      </c>
      <c r="S24" s="394">
        <f t="shared" si="5"/>
        <v>5</v>
      </c>
      <c r="U24" s="105">
        <v>16</v>
      </c>
      <c r="V24" s="105">
        <v>29</v>
      </c>
      <c r="W24" s="105">
        <v>38</v>
      </c>
      <c r="X24" s="105">
        <v>21</v>
      </c>
      <c r="Y24" s="105">
        <v>27</v>
      </c>
      <c r="Z24" s="105">
        <v>15</v>
      </c>
      <c r="AA24" s="105">
        <v>8</v>
      </c>
      <c r="AC24" s="426">
        <f t="shared" si="6"/>
        <v>45</v>
      </c>
      <c r="AD24" s="426">
        <f t="shared" si="7"/>
        <v>59</v>
      </c>
      <c r="AE24" s="426">
        <f t="shared" si="8"/>
        <v>42</v>
      </c>
    </row>
    <row r="25" spans="1:31" x14ac:dyDescent="0.3">
      <c r="A25" s="389" t="s">
        <v>55</v>
      </c>
      <c r="B25" s="85" t="s">
        <v>271</v>
      </c>
      <c r="C25" s="399" t="s">
        <v>253</v>
      </c>
      <c r="D25" s="337">
        <v>2659</v>
      </c>
      <c r="E25" s="338">
        <v>1280</v>
      </c>
      <c r="F25" s="338">
        <v>1326</v>
      </c>
      <c r="G25" s="338">
        <v>53</v>
      </c>
      <c r="H25" s="338"/>
      <c r="I25" s="338">
        <v>1630</v>
      </c>
      <c r="J25" s="338">
        <v>976</v>
      </c>
      <c r="K25" s="338">
        <v>26</v>
      </c>
      <c r="L25" s="338">
        <v>3</v>
      </c>
      <c r="M25" s="338">
        <v>9</v>
      </c>
      <c r="N25" s="338">
        <v>204</v>
      </c>
      <c r="O25" s="338">
        <v>344</v>
      </c>
      <c r="P25" s="105"/>
      <c r="Q25" s="393">
        <f t="shared" si="3"/>
        <v>1630</v>
      </c>
      <c r="R25" s="394">
        <f t="shared" si="4"/>
        <v>976</v>
      </c>
      <c r="S25" s="394">
        <f t="shared" si="5"/>
        <v>38</v>
      </c>
      <c r="U25" s="105">
        <v>168</v>
      </c>
      <c r="V25" s="105">
        <v>287</v>
      </c>
      <c r="W25" s="105">
        <v>473</v>
      </c>
      <c r="X25" s="105">
        <v>503</v>
      </c>
      <c r="Y25" s="105">
        <v>541</v>
      </c>
      <c r="Z25" s="105">
        <v>245</v>
      </c>
      <c r="AA25" s="105">
        <v>442</v>
      </c>
      <c r="AC25" s="426">
        <f t="shared" si="6"/>
        <v>455</v>
      </c>
      <c r="AD25" s="426">
        <f t="shared" si="7"/>
        <v>976</v>
      </c>
      <c r="AE25" s="426">
        <f t="shared" si="8"/>
        <v>786</v>
      </c>
    </row>
    <row r="26" spans="1:31" x14ac:dyDescent="0.3">
      <c r="A26" s="389" t="s">
        <v>57</v>
      </c>
      <c r="B26" s="85" t="s">
        <v>58</v>
      </c>
      <c r="C26" s="399" t="s">
        <v>254</v>
      </c>
      <c r="D26" s="337">
        <v>164</v>
      </c>
      <c r="E26" s="338">
        <v>87</v>
      </c>
      <c r="F26" s="338">
        <v>75</v>
      </c>
      <c r="G26" s="338">
        <v>2</v>
      </c>
      <c r="H26" s="338"/>
      <c r="I26" s="338">
        <v>107</v>
      </c>
      <c r="J26" s="338">
        <v>24</v>
      </c>
      <c r="K26" s="338">
        <v>1</v>
      </c>
      <c r="L26" s="338">
        <v>1</v>
      </c>
      <c r="M26" s="338">
        <v>2</v>
      </c>
      <c r="N26" s="338">
        <v>40</v>
      </c>
      <c r="O26" s="338">
        <v>6</v>
      </c>
      <c r="P26" s="105"/>
      <c r="Q26" s="393">
        <f t="shared" si="3"/>
        <v>107</v>
      </c>
      <c r="R26" s="394">
        <f t="shared" si="4"/>
        <v>24</v>
      </c>
      <c r="S26" s="394">
        <f t="shared" si="5"/>
        <v>4</v>
      </c>
      <c r="U26" s="105">
        <v>14</v>
      </c>
      <c r="V26" s="105">
        <v>18</v>
      </c>
      <c r="W26" s="105">
        <v>32</v>
      </c>
      <c r="X26" s="105">
        <v>25</v>
      </c>
      <c r="Y26" s="105">
        <v>31</v>
      </c>
      <c r="Z26" s="105">
        <v>18</v>
      </c>
      <c r="AA26" s="105">
        <v>26</v>
      </c>
      <c r="AC26" s="426">
        <f t="shared" si="6"/>
        <v>32</v>
      </c>
      <c r="AD26" s="426">
        <f t="shared" si="7"/>
        <v>57</v>
      </c>
      <c r="AE26" s="426">
        <f t="shared" si="8"/>
        <v>49</v>
      </c>
    </row>
    <row r="27" spans="1:31" x14ac:dyDescent="0.3">
      <c r="A27" s="389" t="s">
        <v>59</v>
      </c>
      <c r="B27" s="85" t="s">
        <v>60</v>
      </c>
      <c r="C27" s="399" t="s">
        <v>252</v>
      </c>
      <c r="D27" s="337">
        <v>111</v>
      </c>
      <c r="E27" s="338">
        <v>47</v>
      </c>
      <c r="F27" s="338">
        <v>64</v>
      </c>
      <c r="G27" s="338">
        <v>0</v>
      </c>
      <c r="H27" s="338"/>
      <c r="I27" s="338">
        <v>109</v>
      </c>
      <c r="J27" s="338">
        <v>2</v>
      </c>
      <c r="K27" s="338">
        <v>0</v>
      </c>
      <c r="L27" s="338">
        <v>0</v>
      </c>
      <c r="M27" s="338">
        <v>1</v>
      </c>
      <c r="N27" s="338">
        <v>2</v>
      </c>
      <c r="O27" s="338">
        <v>3</v>
      </c>
      <c r="P27" s="105"/>
      <c r="Q27" s="393">
        <f t="shared" si="3"/>
        <v>109</v>
      </c>
      <c r="R27" s="394">
        <f t="shared" si="4"/>
        <v>2</v>
      </c>
      <c r="S27" s="394">
        <f t="shared" si="5"/>
        <v>1</v>
      </c>
      <c r="U27" s="105">
        <v>6</v>
      </c>
      <c r="V27" s="105">
        <v>17</v>
      </c>
      <c r="W27" s="105">
        <v>23</v>
      </c>
      <c r="X27" s="105">
        <v>25</v>
      </c>
      <c r="Y27" s="105">
        <v>25</v>
      </c>
      <c r="Z27" s="105">
        <v>11</v>
      </c>
      <c r="AA27" s="105">
        <v>4</v>
      </c>
      <c r="AC27" s="426">
        <f t="shared" si="6"/>
        <v>23</v>
      </c>
      <c r="AD27" s="426">
        <f t="shared" si="7"/>
        <v>48</v>
      </c>
      <c r="AE27" s="426">
        <f t="shared" si="8"/>
        <v>36</v>
      </c>
    </row>
    <row r="28" spans="1:31" x14ac:dyDescent="0.3">
      <c r="A28" s="389" t="s">
        <v>61</v>
      </c>
      <c r="B28" s="85" t="s">
        <v>62</v>
      </c>
      <c r="C28" s="399" t="s">
        <v>254</v>
      </c>
      <c r="D28" s="337">
        <v>673</v>
      </c>
      <c r="E28" s="338">
        <v>337</v>
      </c>
      <c r="F28" s="338">
        <v>325</v>
      </c>
      <c r="G28" s="338">
        <v>11</v>
      </c>
      <c r="H28" s="338"/>
      <c r="I28" s="338">
        <v>496</v>
      </c>
      <c r="J28" s="338">
        <v>192</v>
      </c>
      <c r="K28" s="338">
        <v>2</v>
      </c>
      <c r="L28" s="338">
        <v>1</v>
      </c>
      <c r="M28" s="338">
        <v>0</v>
      </c>
      <c r="N28" s="338">
        <v>71</v>
      </c>
      <c r="O28" s="338">
        <v>89</v>
      </c>
      <c r="P28" s="105"/>
      <c r="Q28" s="393">
        <f t="shared" si="3"/>
        <v>496</v>
      </c>
      <c r="R28" s="394">
        <f t="shared" si="4"/>
        <v>192</v>
      </c>
      <c r="S28" s="394">
        <f t="shared" si="5"/>
        <v>3</v>
      </c>
      <c r="U28" s="105">
        <v>50</v>
      </c>
      <c r="V28" s="105">
        <v>112</v>
      </c>
      <c r="W28" s="105">
        <v>146</v>
      </c>
      <c r="X28" s="105">
        <v>134</v>
      </c>
      <c r="Y28" s="105">
        <v>123</v>
      </c>
      <c r="Z28" s="105">
        <v>52</v>
      </c>
      <c r="AA28" s="105">
        <v>56</v>
      </c>
      <c r="AC28" s="426">
        <f t="shared" si="6"/>
        <v>162</v>
      </c>
      <c r="AD28" s="426">
        <f t="shared" si="7"/>
        <v>280</v>
      </c>
      <c r="AE28" s="426">
        <f t="shared" si="8"/>
        <v>175</v>
      </c>
    </row>
    <row r="29" spans="1:31" x14ac:dyDescent="0.3">
      <c r="A29" s="389" t="s">
        <v>63</v>
      </c>
      <c r="B29" s="85" t="s">
        <v>64</v>
      </c>
      <c r="C29" s="399" t="s">
        <v>253</v>
      </c>
      <c r="D29" s="337">
        <v>117</v>
      </c>
      <c r="E29" s="338">
        <v>54</v>
      </c>
      <c r="F29" s="338">
        <v>63</v>
      </c>
      <c r="G29" s="338">
        <v>0</v>
      </c>
      <c r="H29" s="338"/>
      <c r="I29" s="338">
        <v>87</v>
      </c>
      <c r="J29" s="338">
        <v>28</v>
      </c>
      <c r="K29" s="338">
        <v>0</v>
      </c>
      <c r="L29" s="338">
        <v>0</v>
      </c>
      <c r="M29" s="338">
        <v>0</v>
      </c>
      <c r="N29" s="338">
        <v>5</v>
      </c>
      <c r="O29" s="338">
        <v>8</v>
      </c>
      <c r="P29" s="105"/>
      <c r="Q29" s="393">
        <f t="shared" si="3"/>
        <v>87</v>
      </c>
      <c r="R29" s="394">
        <f t="shared" si="4"/>
        <v>28</v>
      </c>
      <c r="S29" s="394">
        <f t="shared" si="5"/>
        <v>0</v>
      </c>
      <c r="U29" s="105">
        <v>7</v>
      </c>
      <c r="V29" s="105">
        <v>24</v>
      </c>
      <c r="W29" s="105">
        <v>26</v>
      </c>
      <c r="X29" s="105">
        <v>27</v>
      </c>
      <c r="Y29" s="105">
        <v>13</v>
      </c>
      <c r="Z29" s="105">
        <v>9</v>
      </c>
      <c r="AA29" s="105">
        <v>11</v>
      </c>
      <c r="AC29" s="426">
        <f t="shared" si="6"/>
        <v>31</v>
      </c>
      <c r="AD29" s="426">
        <f t="shared" si="7"/>
        <v>53</v>
      </c>
      <c r="AE29" s="426">
        <f t="shared" si="8"/>
        <v>22</v>
      </c>
    </row>
    <row r="30" spans="1:31" x14ac:dyDescent="0.3">
      <c r="A30" s="389" t="s">
        <v>67</v>
      </c>
      <c r="B30" s="85" t="s">
        <v>68</v>
      </c>
      <c r="C30" s="399" t="s">
        <v>255</v>
      </c>
      <c r="D30" s="337">
        <v>337</v>
      </c>
      <c r="E30" s="338">
        <v>166</v>
      </c>
      <c r="F30" s="338">
        <v>168</v>
      </c>
      <c r="G30" s="338">
        <v>3</v>
      </c>
      <c r="H30" s="338"/>
      <c r="I30" s="338">
        <v>324</v>
      </c>
      <c r="J30" s="338">
        <v>0</v>
      </c>
      <c r="K30" s="338">
        <v>0</v>
      </c>
      <c r="L30" s="338">
        <v>1</v>
      </c>
      <c r="M30" s="338">
        <v>0</v>
      </c>
      <c r="N30" s="338">
        <v>20</v>
      </c>
      <c r="O30" s="338">
        <v>10</v>
      </c>
      <c r="P30" s="105"/>
      <c r="Q30" s="393">
        <f t="shared" si="3"/>
        <v>324</v>
      </c>
      <c r="R30" s="394">
        <f t="shared" si="4"/>
        <v>0</v>
      </c>
      <c r="S30" s="394">
        <f t="shared" si="5"/>
        <v>1</v>
      </c>
      <c r="U30" s="105">
        <v>27</v>
      </c>
      <c r="V30" s="105">
        <v>61</v>
      </c>
      <c r="W30" s="105">
        <v>85</v>
      </c>
      <c r="X30" s="105">
        <v>57</v>
      </c>
      <c r="Y30" s="105">
        <v>60</v>
      </c>
      <c r="Z30" s="105">
        <v>28</v>
      </c>
      <c r="AA30" s="105">
        <v>19</v>
      </c>
      <c r="AC30" s="426">
        <f t="shared" si="6"/>
        <v>88</v>
      </c>
      <c r="AD30" s="426">
        <f t="shared" si="7"/>
        <v>142</v>
      </c>
      <c r="AE30" s="426">
        <f t="shared" si="8"/>
        <v>88</v>
      </c>
    </row>
    <row r="31" spans="1:31" x14ac:dyDescent="0.3">
      <c r="A31" s="389" t="s">
        <v>69</v>
      </c>
      <c r="B31" s="85" t="s">
        <v>70</v>
      </c>
      <c r="C31" s="399" t="s">
        <v>251</v>
      </c>
      <c r="D31" s="337">
        <v>260</v>
      </c>
      <c r="E31" s="338">
        <v>114</v>
      </c>
      <c r="F31" s="338">
        <v>137</v>
      </c>
      <c r="G31" s="338">
        <v>9</v>
      </c>
      <c r="H31" s="338"/>
      <c r="I31" s="338">
        <v>189</v>
      </c>
      <c r="J31" s="338">
        <v>65</v>
      </c>
      <c r="K31" s="338">
        <v>0</v>
      </c>
      <c r="L31" s="338">
        <v>1</v>
      </c>
      <c r="M31" s="338">
        <v>2</v>
      </c>
      <c r="N31" s="338">
        <v>18</v>
      </c>
      <c r="O31" s="338">
        <v>8</v>
      </c>
      <c r="P31" s="105"/>
      <c r="Q31" s="393">
        <f t="shared" si="3"/>
        <v>189</v>
      </c>
      <c r="R31" s="394">
        <f t="shared" si="4"/>
        <v>65</v>
      </c>
      <c r="S31" s="394">
        <f t="shared" si="5"/>
        <v>3</v>
      </c>
      <c r="U31" s="105">
        <v>15</v>
      </c>
      <c r="V31" s="105">
        <v>52</v>
      </c>
      <c r="W31" s="105">
        <v>49</v>
      </c>
      <c r="X31" s="105">
        <v>48</v>
      </c>
      <c r="Y31" s="105">
        <v>46</v>
      </c>
      <c r="Z31" s="105">
        <v>20</v>
      </c>
      <c r="AA31" s="105">
        <v>30</v>
      </c>
      <c r="AC31" s="426">
        <f t="shared" si="6"/>
        <v>67</v>
      </c>
      <c r="AD31" s="426">
        <f t="shared" si="7"/>
        <v>97</v>
      </c>
      <c r="AE31" s="426">
        <f t="shared" si="8"/>
        <v>66</v>
      </c>
    </row>
    <row r="32" spans="1:31" x14ac:dyDescent="0.3">
      <c r="A32" s="389" t="s">
        <v>71</v>
      </c>
      <c r="B32" s="85" t="s">
        <v>72</v>
      </c>
      <c r="C32" s="399" t="s">
        <v>253</v>
      </c>
      <c r="D32" s="337">
        <v>220</v>
      </c>
      <c r="E32" s="338">
        <v>103</v>
      </c>
      <c r="F32" s="338">
        <v>114</v>
      </c>
      <c r="G32" s="338">
        <v>3</v>
      </c>
      <c r="H32" s="338"/>
      <c r="I32" s="338">
        <v>90</v>
      </c>
      <c r="J32" s="338">
        <v>102</v>
      </c>
      <c r="K32" s="338">
        <v>0</v>
      </c>
      <c r="L32" s="338">
        <v>0</v>
      </c>
      <c r="M32" s="338">
        <v>0</v>
      </c>
      <c r="N32" s="338">
        <v>43</v>
      </c>
      <c r="O32" s="338">
        <v>4</v>
      </c>
      <c r="P32" s="105"/>
      <c r="Q32" s="393">
        <f t="shared" si="3"/>
        <v>90</v>
      </c>
      <c r="R32" s="394">
        <f t="shared" si="4"/>
        <v>102</v>
      </c>
      <c r="S32" s="394">
        <f t="shared" si="5"/>
        <v>0</v>
      </c>
      <c r="U32" s="105">
        <v>19</v>
      </c>
      <c r="V32" s="105">
        <v>33</v>
      </c>
      <c r="W32" s="105">
        <v>63</v>
      </c>
      <c r="X32" s="105">
        <v>37</v>
      </c>
      <c r="Y32" s="105">
        <v>29</v>
      </c>
      <c r="Z32" s="105">
        <v>17</v>
      </c>
      <c r="AA32" s="105">
        <v>22</v>
      </c>
      <c r="AC32" s="426">
        <f t="shared" si="6"/>
        <v>52</v>
      </c>
      <c r="AD32" s="426">
        <f t="shared" si="7"/>
        <v>100</v>
      </c>
      <c r="AE32" s="426">
        <f t="shared" si="8"/>
        <v>46</v>
      </c>
    </row>
    <row r="33" spans="1:31" x14ac:dyDescent="0.3">
      <c r="A33" s="389" t="s">
        <v>73</v>
      </c>
      <c r="B33" s="85" t="s">
        <v>272</v>
      </c>
      <c r="C33" s="399" t="s">
        <v>254</v>
      </c>
      <c r="D33" s="337">
        <v>6647</v>
      </c>
      <c r="E33" s="338">
        <v>3242</v>
      </c>
      <c r="F33" s="338">
        <v>3315</v>
      </c>
      <c r="G33" s="338">
        <v>90</v>
      </c>
      <c r="H33" s="338"/>
      <c r="I33" s="338">
        <v>4185</v>
      </c>
      <c r="J33" s="338">
        <v>1580</v>
      </c>
      <c r="K33" s="338">
        <v>543</v>
      </c>
      <c r="L33" s="338">
        <v>39</v>
      </c>
      <c r="M33" s="338">
        <v>9</v>
      </c>
      <c r="N33" s="338">
        <v>697</v>
      </c>
      <c r="O33" s="338">
        <v>2494</v>
      </c>
      <c r="P33" s="105"/>
      <c r="Q33" s="393">
        <f t="shared" si="3"/>
        <v>4185</v>
      </c>
      <c r="R33" s="394">
        <f t="shared" si="4"/>
        <v>1580</v>
      </c>
      <c r="S33" s="394">
        <f t="shared" si="5"/>
        <v>591</v>
      </c>
      <c r="U33" s="105">
        <v>315</v>
      </c>
      <c r="V33" s="105">
        <v>705</v>
      </c>
      <c r="W33" s="105">
        <v>1528</v>
      </c>
      <c r="X33" s="105">
        <v>1463</v>
      </c>
      <c r="Y33" s="105">
        <v>1449</v>
      </c>
      <c r="Z33" s="105">
        <v>559</v>
      </c>
      <c r="AA33" s="105">
        <v>628</v>
      </c>
      <c r="AC33" s="426">
        <f t="shared" si="6"/>
        <v>1020</v>
      </c>
      <c r="AD33" s="426">
        <f t="shared" si="7"/>
        <v>2991</v>
      </c>
      <c r="AE33" s="426">
        <f t="shared" si="8"/>
        <v>2008</v>
      </c>
    </row>
    <row r="34" spans="1:31" x14ac:dyDescent="0.3">
      <c r="A34" s="389" t="s">
        <v>75</v>
      </c>
      <c r="B34" s="85" t="s">
        <v>76</v>
      </c>
      <c r="C34" s="399" t="s">
        <v>254</v>
      </c>
      <c r="D34" s="337">
        <v>544</v>
      </c>
      <c r="E34" s="338">
        <v>262</v>
      </c>
      <c r="F34" s="338">
        <v>277</v>
      </c>
      <c r="G34" s="338">
        <v>5</v>
      </c>
      <c r="H34" s="338"/>
      <c r="I34" s="338">
        <v>424</v>
      </c>
      <c r="J34" s="338">
        <v>129</v>
      </c>
      <c r="K34" s="338">
        <v>3</v>
      </c>
      <c r="L34" s="338">
        <v>4</v>
      </c>
      <c r="M34" s="338">
        <v>3</v>
      </c>
      <c r="N34" s="338">
        <v>28</v>
      </c>
      <c r="O34" s="338">
        <v>50</v>
      </c>
      <c r="P34" s="105"/>
      <c r="Q34" s="393">
        <f t="shared" si="3"/>
        <v>424</v>
      </c>
      <c r="R34" s="394">
        <f t="shared" si="4"/>
        <v>129</v>
      </c>
      <c r="S34" s="394">
        <f t="shared" si="5"/>
        <v>10</v>
      </c>
      <c r="U34" s="105">
        <v>30</v>
      </c>
      <c r="V34" s="105">
        <v>64</v>
      </c>
      <c r="W34" s="105">
        <v>113</v>
      </c>
      <c r="X34" s="105">
        <v>109</v>
      </c>
      <c r="Y34" s="105">
        <v>109</v>
      </c>
      <c r="Z34" s="105">
        <v>43</v>
      </c>
      <c r="AA34" s="105">
        <v>76</v>
      </c>
      <c r="AC34" s="426">
        <f t="shared" si="6"/>
        <v>94</v>
      </c>
      <c r="AD34" s="426">
        <f t="shared" si="7"/>
        <v>222</v>
      </c>
      <c r="AE34" s="426">
        <f t="shared" si="8"/>
        <v>152</v>
      </c>
    </row>
    <row r="35" spans="1:31" x14ac:dyDescent="0.3">
      <c r="A35" s="389" t="s">
        <v>77</v>
      </c>
      <c r="B35" s="85" t="s">
        <v>78</v>
      </c>
      <c r="C35" s="399" t="s">
        <v>255</v>
      </c>
      <c r="D35" s="337">
        <v>275</v>
      </c>
      <c r="E35" s="338">
        <v>142</v>
      </c>
      <c r="F35" s="338">
        <v>131</v>
      </c>
      <c r="G35" s="338">
        <v>2</v>
      </c>
      <c r="H35" s="338"/>
      <c r="I35" s="338">
        <v>269</v>
      </c>
      <c r="J35" s="338">
        <v>2</v>
      </c>
      <c r="K35" s="338">
        <v>0</v>
      </c>
      <c r="L35" s="338">
        <v>1</v>
      </c>
      <c r="M35" s="338">
        <v>2</v>
      </c>
      <c r="N35" s="338">
        <v>6</v>
      </c>
      <c r="O35" s="338">
        <v>6</v>
      </c>
      <c r="P35" s="105"/>
      <c r="Q35" s="393">
        <f t="shared" si="3"/>
        <v>269</v>
      </c>
      <c r="R35" s="394">
        <f t="shared" si="4"/>
        <v>2</v>
      </c>
      <c r="S35" s="394">
        <f t="shared" si="5"/>
        <v>3</v>
      </c>
      <c r="U35" s="105">
        <v>18</v>
      </c>
      <c r="V35" s="105">
        <v>50</v>
      </c>
      <c r="W35" s="105">
        <v>54</v>
      </c>
      <c r="X35" s="105">
        <v>60</v>
      </c>
      <c r="Y35" s="105">
        <v>64</v>
      </c>
      <c r="Z35" s="105">
        <v>13</v>
      </c>
      <c r="AA35" s="105">
        <v>16</v>
      </c>
      <c r="AC35" s="426">
        <f t="shared" si="6"/>
        <v>68</v>
      </c>
      <c r="AD35" s="426">
        <f t="shared" si="7"/>
        <v>114</v>
      </c>
      <c r="AE35" s="426">
        <f t="shared" si="8"/>
        <v>77</v>
      </c>
    </row>
    <row r="36" spans="1:31" x14ac:dyDescent="0.3">
      <c r="A36" s="389" t="s">
        <v>79</v>
      </c>
      <c r="B36" s="85" t="s">
        <v>80</v>
      </c>
      <c r="C36" s="399" t="s">
        <v>253</v>
      </c>
      <c r="D36" s="337">
        <v>390</v>
      </c>
      <c r="E36" s="338">
        <v>184</v>
      </c>
      <c r="F36" s="338">
        <v>196</v>
      </c>
      <c r="G36" s="338">
        <v>10</v>
      </c>
      <c r="H36" s="338"/>
      <c r="I36" s="338">
        <v>286</v>
      </c>
      <c r="J36" s="338">
        <v>68</v>
      </c>
      <c r="K36" s="338">
        <v>1</v>
      </c>
      <c r="L36" s="338">
        <v>1</v>
      </c>
      <c r="M36" s="338">
        <v>0</v>
      </c>
      <c r="N36" s="338">
        <v>55</v>
      </c>
      <c r="O36" s="338">
        <v>8</v>
      </c>
      <c r="P36" s="105"/>
      <c r="Q36" s="393">
        <f t="shared" si="3"/>
        <v>286</v>
      </c>
      <c r="R36" s="394">
        <f t="shared" si="4"/>
        <v>68</v>
      </c>
      <c r="S36" s="394">
        <f t="shared" si="5"/>
        <v>2</v>
      </c>
      <c r="U36" s="105">
        <v>19</v>
      </c>
      <c r="V36" s="105">
        <v>50</v>
      </c>
      <c r="W36" s="105">
        <v>71</v>
      </c>
      <c r="X36" s="105">
        <v>91</v>
      </c>
      <c r="Y36" s="105">
        <v>90</v>
      </c>
      <c r="Z36" s="105">
        <v>25</v>
      </c>
      <c r="AA36" s="105">
        <v>44</v>
      </c>
      <c r="AC36" s="426">
        <f t="shared" si="6"/>
        <v>69</v>
      </c>
      <c r="AD36" s="426">
        <f t="shared" si="7"/>
        <v>162</v>
      </c>
      <c r="AE36" s="426">
        <f t="shared" si="8"/>
        <v>115</v>
      </c>
    </row>
    <row r="37" spans="1:31" x14ac:dyDescent="0.3">
      <c r="A37" s="389" t="s">
        <v>83</v>
      </c>
      <c r="B37" s="85" t="s">
        <v>84</v>
      </c>
      <c r="C37" s="399" t="s">
        <v>252</v>
      </c>
      <c r="D37" s="337">
        <v>1546</v>
      </c>
      <c r="E37" s="338">
        <v>735</v>
      </c>
      <c r="F37" s="338">
        <v>777</v>
      </c>
      <c r="G37" s="338">
        <v>34</v>
      </c>
      <c r="H37" s="338"/>
      <c r="I37" s="338">
        <v>1341</v>
      </c>
      <c r="J37" s="338">
        <v>188</v>
      </c>
      <c r="K37" s="338">
        <v>0</v>
      </c>
      <c r="L37" s="338">
        <v>2</v>
      </c>
      <c r="M37" s="338">
        <v>0</v>
      </c>
      <c r="N37" s="338">
        <v>108</v>
      </c>
      <c r="O37" s="338">
        <v>101</v>
      </c>
      <c r="P37" s="105"/>
      <c r="Q37" s="393">
        <f t="shared" ref="Q37:Q68" si="9">I37</f>
        <v>1341</v>
      </c>
      <c r="R37" s="394">
        <f t="shared" ref="R37:R68" si="10">J37</f>
        <v>188</v>
      </c>
      <c r="S37" s="394">
        <f t="shared" ref="S37:S68" si="11">SUM(K37:M37)</f>
        <v>2</v>
      </c>
      <c r="U37" s="105">
        <v>90</v>
      </c>
      <c r="V37" s="105">
        <v>230</v>
      </c>
      <c r="W37" s="105">
        <v>339</v>
      </c>
      <c r="X37" s="105">
        <v>350</v>
      </c>
      <c r="Y37" s="105">
        <v>270</v>
      </c>
      <c r="Z37" s="105">
        <v>116</v>
      </c>
      <c r="AA37" s="105">
        <v>151</v>
      </c>
      <c r="AC37" s="426">
        <f t="shared" ref="AC37:AC68" si="12">U37+V37</f>
        <v>320</v>
      </c>
      <c r="AD37" s="426">
        <f t="shared" ref="AD37:AD68" si="13">W37+X37</f>
        <v>689</v>
      </c>
      <c r="AE37" s="426">
        <f t="shared" ref="AE37:AE68" si="14">Y37+Z37</f>
        <v>386</v>
      </c>
    </row>
    <row r="38" spans="1:31" x14ac:dyDescent="0.3">
      <c r="A38" s="389" t="s">
        <v>85</v>
      </c>
      <c r="B38" s="85" t="s">
        <v>86</v>
      </c>
      <c r="C38" s="399" t="s">
        <v>254</v>
      </c>
      <c r="D38" s="337">
        <v>1384</v>
      </c>
      <c r="E38" s="338">
        <v>741</v>
      </c>
      <c r="F38" s="338">
        <v>632</v>
      </c>
      <c r="G38" s="338">
        <v>11</v>
      </c>
      <c r="H38" s="338"/>
      <c r="I38" s="338">
        <v>998</v>
      </c>
      <c r="J38" s="338">
        <v>153</v>
      </c>
      <c r="K38" s="338">
        <v>5</v>
      </c>
      <c r="L38" s="338">
        <v>1</v>
      </c>
      <c r="M38" s="338">
        <v>4</v>
      </c>
      <c r="N38" s="338">
        <v>304</v>
      </c>
      <c r="O38" s="338">
        <v>161</v>
      </c>
      <c r="P38" s="105"/>
      <c r="Q38" s="393">
        <f t="shared" si="9"/>
        <v>998</v>
      </c>
      <c r="R38" s="394">
        <f t="shared" si="10"/>
        <v>153</v>
      </c>
      <c r="S38" s="394">
        <f t="shared" si="11"/>
        <v>10</v>
      </c>
      <c r="U38" s="105">
        <v>153</v>
      </c>
      <c r="V38" s="105">
        <v>190</v>
      </c>
      <c r="W38" s="105">
        <v>269</v>
      </c>
      <c r="X38" s="105">
        <v>292</v>
      </c>
      <c r="Y38" s="105">
        <v>276</v>
      </c>
      <c r="Z38" s="105">
        <v>111</v>
      </c>
      <c r="AA38" s="105">
        <v>93</v>
      </c>
      <c r="AC38" s="426">
        <f t="shared" si="12"/>
        <v>343</v>
      </c>
      <c r="AD38" s="426">
        <f t="shared" si="13"/>
        <v>561</v>
      </c>
      <c r="AE38" s="426">
        <f t="shared" si="14"/>
        <v>387</v>
      </c>
    </row>
    <row r="39" spans="1:31" x14ac:dyDescent="0.3">
      <c r="A39" s="389" t="s">
        <v>91</v>
      </c>
      <c r="B39" s="85" t="s">
        <v>92</v>
      </c>
      <c r="C39" s="399" t="s">
        <v>255</v>
      </c>
      <c r="D39" s="337">
        <v>361</v>
      </c>
      <c r="E39" s="338">
        <v>192</v>
      </c>
      <c r="F39" s="338">
        <v>164</v>
      </c>
      <c r="G39" s="338">
        <v>5</v>
      </c>
      <c r="H39" s="338"/>
      <c r="I39" s="338">
        <v>333</v>
      </c>
      <c r="J39" s="338">
        <v>15</v>
      </c>
      <c r="K39" s="338">
        <v>0</v>
      </c>
      <c r="L39" s="338">
        <v>0</v>
      </c>
      <c r="M39" s="338">
        <v>0</v>
      </c>
      <c r="N39" s="338">
        <v>15</v>
      </c>
      <c r="O39" s="338">
        <v>8</v>
      </c>
      <c r="P39" s="105"/>
      <c r="Q39" s="393">
        <f t="shared" si="9"/>
        <v>333</v>
      </c>
      <c r="R39" s="394">
        <f t="shared" si="10"/>
        <v>15</v>
      </c>
      <c r="S39" s="394">
        <f t="shared" si="11"/>
        <v>0</v>
      </c>
      <c r="U39" s="105">
        <v>31</v>
      </c>
      <c r="V39" s="105">
        <v>75</v>
      </c>
      <c r="W39" s="105">
        <v>81</v>
      </c>
      <c r="X39" s="105">
        <v>64</v>
      </c>
      <c r="Y39" s="105">
        <v>53</v>
      </c>
      <c r="Z39" s="105">
        <v>30</v>
      </c>
      <c r="AA39" s="105">
        <v>27</v>
      </c>
      <c r="AC39" s="426">
        <f t="shared" si="12"/>
        <v>106</v>
      </c>
      <c r="AD39" s="426">
        <f t="shared" si="13"/>
        <v>145</v>
      </c>
      <c r="AE39" s="426">
        <f t="shared" si="14"/>
        <v>83</v>
      </c>
    </row>
    <row r="40" spans="1:31" x14ac:dyDescent="0.3">
      <c r="A40" s="389" t="s">
        <v>93</v>
      </c>
      <c r="B40" s="85" t="s">
        <v>94</v>
      </c>
      <c r="C40" s="399" t="s">
        <v>251</v>
      </c>
      <c r="D40" s="337">
        <v>639</v>
      </c>
      <c r="E40" s="338">
        <v>333</v>
      </c>
      <c r="F40" s="338">
        <v>300</v>
      </c>
      <c r="G40" s="338">
        <v>6</v>
      </c>
      <c r="H40" s="338"/>
      <c r="I40" s="338">
        <v>554</v>
      </c>
      <c r="J40" s="338">
        <v>90</v>
      </c>
      <c r="K40" s="338">
        <v>0</v>
      </c>
      <c r="L40" s="338">
        <v>1</v>
      </c>
      <c r="M40" s="338">
        <v>0</v>
      </c>
      <c r="N40" s="338">
        <v>61</v>
      </c>
      <c r="O40" s="338">
        <v>20</v>
      </c>
      <c r="P40" s="105"/>
      <c r="Q40" s="393">
        <f t="shared" si="9"/>
        <v>554</v>
      </c>
      <c r="R40" s="394">
        <f t="shared" si="10"/>
        <v>90</v>
      </c>
      <c r="S40" s="394">
        <f t="shared" si="11"/>
        <v>1</v>
      </c>
      <c r="U40" s="105">
        <v>42</v>
      </c>
      <c r="V40" s="105">
        <v>86</v>
      </c>
      <c r="W40" s="105">
        <v>144</v>
      </c>
      <c r="X40" s="105">
        <v>158</v>
      </c>
      <c r="Y40" s="105">
        <v>114</v>
      </c>
      <c r="Z40" s="105">
        <v>34</v>
      </c>
      <c r="AA40" s="105">
        <v>61</v>
      </c>
      <c r="AC40" s="426">
        <f t="shared" si="12"/>
        <v>128</v>
      </c>
      <c r="AD40" s="426">
        <f t="shared" si="13"/>
        <v>302</v>
      </c>
      <c r="AE40" s="426">
        <f t="shared" si="14"/>
        <v>148</v>
      </c>
    </row>
    <row r="41" spans="1:31" x14ac:dyDescent="0.3">
      <c r="A41" s="389" t="s">
        <v>95</v>
      </c>
      <c r="B41" s="85" t="s">
        <v>96</v>
      </c>
      <c r="C41" s="399" t="s">
        <v>253</v>
      </c>
      <c r="D41" s="337">
        <v>125</v>
      </c>
      <c r="E41" s="338">
        <v>64</v>
      </c>
      <c r="F41" s="338">
        <v>61</v>
      </c>
      <c r="G41" s="338">
        <v>0</v>
      </c>
      <c r="H41" s="338"/>
      <c r="I41" s="338">
        <v>77</v>
      </c>
      <c r="J41" s="338">
        <v>33</v>
      </c>
      <c r="K41" s="338">
        <v>0</v>
      </c>
      <c r="L41" s="338">
        <v>0</v>
      </c>
      <c r="M41" s="338">
        <v>1</v>
      </c>
      <c r="N41" s="338">
        <v>23</v>
      </c>
      <c r="O41" s="338">
        <v>6</v>
      </c>
      <c r="P41" s="105"/>
      <c r="Q41" s="393">
        <f t="shared" si="9"/>
        <v>77</v>
      </c>
      <c r="R41" s="394">
        <f t="shared" si="10"/>
        <v>33</v>
      </c>
      <c r="S41" s="394">
        <f t="shared" si="11"/>
        <v>1</v>
      </c>
      <c r="U41" s="105">
        <v>5</v>
      </c>
      <c r="V41" s="105">
        <v>15</v>
      </c>
      <c r="W41" s="105">
        <v>22</v>
      </c>
      <c r="X41" s="105">
        <v>24</v>
      </c>
      <c r="Y41" s="105">
        <v>33</v>
      </c>
      <c r="Z41" s="105">
        <v>14</v>
      </c>
      <c r="AA41" s="105">
        <v>12</v>
      </c>
      <c r="AC41" s="426">
        <f t="shared" si="12"/>
        <v>20</v>
      </c>
      <c r="AD41" s="426">
        <f t="shared" si="13"/>
        <v>46</v>
      </c>
      <c r="AE41" s="426">
        <f t="shared" si="14"/>
        <v>47</v>
      </c>
    </row>
    <row r="42" spans="1:31" x14ac:dyDescent="0.3">
      <c r="A42" s="389" t="s">
        <v>97</v>
      </c>
      <c r="B42" s="85" t="s">
        <v>98</v>
      </c>
      <c r="C42" s="399" t="s">
        <v>255</v>
      </c>
      <c r="D42" s="337">
        <v>285</v>
      </c>
      <c r="E42" s="338">
        <v>149</v>
      </c>
      <c r="F42" s="338">
        <v>136</v>
      </c>
      <c r="G42" s="338">
        <v>0</v>
      </c>
      <c r="H42" s="338"/>
      <c r="I42" s="338">
        <v>275</v>
      </c>
      <c r="J42" s="338">
        <v>13</v>
      </c>
      <c r="K42" s="338">
        <v>0</v>
      </c>
      <c r="L42" s="338">
        <v>0</v>
      </c>
      <c r="M42" s="338">
        <v>0</v>
      </c>
      <c r="N42" s="338">
        <v>3</v>
      </c>
      <c r="O42" s="338">
        <v>11</v>
      </c>
      <c r="P42" s="105"/>
      <c r="Q42" s="393">
        <f t="shared" si="9"/>
        <v>275</v>
      </c>
      <c r="R42" s="394">
        <f t="shared" si="10"/>
        <v>13</v>
      </c>
      <c r="S42" s="394">
        <f t="shared" si="11"/>
        <v>0</v>
      </c>
      <c r="U42" s="105">
        <v>29</v>
      </c>
      <c r="V42" s="105">
        <v>45</v>
      </c>
      <c r="W42" s="105">
        <v>78</v>
      </c>
      <c r="X42" s="105">
        <v>49</v>
      </c>
      <c r="Y42" s="105">
        <v>58</v>
      </c>
      <c r="Z42" s="105">
        <v>20</v>
      </c>
      <c r="AA42" s="105">
        <v>6</v>
      </c>
      <c r="AC42" s="426">
        <f t="shared" si="12"/>
        <v>74</v>
      </c>
      <c r="AD42" s="426">
        <f t="shared" si="13"/>
        <v>127</v>
      </c>
      <c r="AE42" s="426">
        <f t="shared" si="14"/>
        <v>78</v>
      </c>
    </row>
    <row r="43" spans="1:31" x14ac:dyDescent="0.3">
      <c r="A43" s="389" t="s">
        <v>99</v>
      </c>
      <c r="B43" s="85" t="s">
        <v>100</v>
      </c>
      <c r="C43" s="399" t="s">
        <v>254</v>
      </c>
      <c r="D43" s="337">
        <v>270</v>
      </c>
      <c r="E43" s="338">
        <v>116</v>
      </c>
      <c r="F43" s="338">
        <v>152</v>
      </c>
      <c r="G43" s="338">
        <v>2</v>
      </c>
      <c r="H43" s="338"/>
      <c r="I43" s="338">
        <v>222</v>
      </c>
      <c r="J43" s="338">
        <v>34</v>
      </c>
      <c r="K43" s="338">
        <v>2</v>
      </c>
      <c r="L43" s="338">
        <v>0</v>
      </c>
      <c r="M43" s="338">
        <v>0</v>
      </c>
      <c r="N43" s="338">
        <v>24</v>
      </c>
      <c r="O43" s="338">
        <v>3</v>
      </c>
      <c r="P43" s="105"/>
      <c r="Q43" s="393">
        <f t="shared" si="9"/>
        <v>222</v>
      </c>
      <c r="R43" s="394">
        <f t="shared" si="10"/>
        <v>34</v>
      </c>
      <c r="S43" s="394">
        <f t="shared" si="11"/>
        <v>2</v>
      </c>
      <c r="U43" s="105">
        <v>19</v>
      </c>
      <c r="V43" s="105">
        <v>47</v>
      </c>
      <c r="W43" s="105">
        <v>65</v>
      </c>
      <c r="X43" s="105">
        <v>54</v>
      </c>
      <c r="Y43" s="105">
        <v>56</v>
      </c>
      <c r="Z43" s="105">
        <v>18</v>
      </c>
      <c r="AA43" s="105">
        <v>11</v>
      </c>
      <c r="AC43" s="426">
        <f t="shared" si="12"/>
        <v>66</v>
      </c>
      <c r="AD43" s="426">
        <f t="shared" si="13"/>
        <v>119</v>
      </c>
      <c r="AE43" s="426">
        <f t="shared" si="14"/>
        <v>74</v>
      </c>
    </row>
    <row r="44" spans="1:31" x14ac:dyDescent="0.3">
      <c r="A44" s="389" t="s">
        <v>101</v>
      </c>
      <c r="B44" s="85" t="s">
        <v>263</v>
      </c>
      <c r="C44" s="399" t="s">
        <v>251</v>
      </c>
      <c r="D44" s="337">
        <v>216</v>
      </c>
      <c r="E44" s="338">
        <v>105</v>
      </c>
      <c r="F44" s="338">
        <v>108</v>
      </c>
      <c r="G44" s="338">
        <v>3</v>
      </c>
      <c r="H44" s="338"/>
      <c r="I44" s="338">
        <v>75</v>
      </c>
      <c r="J44" s="338">
        <v>134</v>
      </c>
      <c r="K44" s="338">
        <v>0</v>
      </c>
      <c r="L44" s="338">
        <v>0</v>
      </c>
      <c r="M44" s="338">
        <v>0</v>
      </c>
      <c r="N44" s="338">
        <v>14</v>
      </c>
      <c r="O44" s="338">
        <v>5</v>
      </c>
      <c r="P44" s="105"/>
      <c r="Q44" s="393">
        <f t="shared" si="9"/>
        <v>75</v>
      </c>
      <c r="R44" s="394">
        <f t="shared" si="10"/>
        <v>134</v>
      </c>
      <c r="S44" s="394">
        <f t="shared" si="11"/>
        <v>0</v>
      </c>
      <c r="U44" s="105">
        <v>25</v>
      </c>
      <c r="V44" s="105">
        <v>34</v>
      </c>
      <c r="W44" s="105">
        <v>35</v>
      </c>
      <c r="X44" s="105">
        <v>36</v>
      </c>
      <c r="Y44" s="105">
        <v>40</v>
      </c>
      <c r="Z44" s="105">
        <v>21</v>
      </c>
      <c r="AA44" s="105">
        <v>25</v>
      </c>
      <c r="AC44" s="426">
        <f t="shared" si="12"/>
        <v>59</v>
      </c>
      <c r="AD44" s="426">
        <f t="shared" si="13"/>
        <v>71</v>
      </c>
      <c r="AE44" s="426">
        <f t="shared" si="14"/>
        <v>61</v>
      </c>
    </row>
    <row r="45" spans="1:31" x14ac:dyDescent="0.3">
      <c r="A45" s="389" t="s">
        <v>103</v>
      </c>
      <c r="B45" s="85" t="s">
        <v>104</v>
      </c>
      <c r="C45" s="399" t="s">
        <v>252</v>
      </c>
      <c r="D45" s="337">
        <v>383</v>
      </c>
      <c r="E45" s="338">
        <v>211</v>
      </c>
      <c r="F45" s="338">
        <v>168</v>
      </c>
      <c r="G45" s="338">
        <v>4</v>
      </c>
      <c r="H45" s="338"/>
      <c r="I45" s="338">
        <v>233</v>
      </c>
      <c r="J45" s="338">
        <v>145</v>
      </c>
      <c r="K45" s="338">
        <v>0</v>
      </c>
      <c r="L45" s="338">
        <v>0</v>
      </c>
      <c r="M45" s="338">
        <v>0</v>
      </c>
      <c r="N45" s="338">
        <v>25</v>
      </c>
      <c r="O45" s="338">
        <v>13</v>
      </c>
      <c r="P45" s="105"/>
      <c r="Q45" s="393">
        <f t="shared" si="9"/>
        <v>233</v>
      </c>
      <c r="R45" s="394">
        <f t="shared" si="10"/>
        <v>145</v>
      </c>
      <c r="S45" s="394">
        <f t="shared" si="11"/>
        <v>0</v>
      </c>
      <c r="U45" s="105">
        <v>52</v>
      </c>
      <c r="V45" s="105">
        <v>57</v>
      </c>
      <c r="W45" s="105">
        <v>65</v>
      </c>
      <c r="X45" s="105">
        <v>55</v>
      </c>
      <c r="Y45" s="105">
        <v>63</v>
      </c>
      <c r="Z45" s="105">
        <v>35</v>
      </c>
      <c r="AA45" s="105">
        <v>56</v>
      </c>
      <c r="AC45" s="426">
        <f t="shared" si="12"/>
        <v>109</v>
      </c>
      <c r="AD45" s="426">
        <f t="shared" si="13"/>
        <v>120</v>
      </c>
      <c r="AE45" s="426">
        <f t="shared" si="14"/>
        <v>98</v>
      </c>
    </row>
    <row r="46" spans="1:31" x14ac:dyDescent="0.3">
      <c r="A46" s="389" t="s">
        <v>107</v>
      </c>
      <c r="B46" s="85" t="s">
        <v>108</v>
      </c>
      <c r="C46" s="399" t="s">
        <v>253</v>
      </c>
      <c r="D46" s="337">
        <v>840</v>
      </c>
      <c r="E46" s="338">
        <v>418</v>
      </c>
      <c r="F46" s="338">
        <v>401</v>
      </c>
      <c r="G46" s="338">
        <v>21</v>
      </c>
      <c r="H46" s="338"/>
      <c r="I46" s="338">
        <v>697</v>
      </c>
      <c r="J46" s="338">
        <v>169</v>
      </c>
      <c r="K46" s="338">
        <v>6</v>
      </c>
      <c r="L46" s="338">
        <v>1</v>
      </c>
      <c r="M46" s="338">
        <v>0</v>
      </c>
      <c r="N46" s="338">
        <v>39</v>
      </c>
      <c r="O46" s="338">
        <v>50</v>
      </c>
      <c r="P46" s="105"/>
      <c r="Q46" s="393">
        <f t="shared" si="9"/>
        <v>697</v>
      </c>
      <c r="R46" s="394">
        <f t="shared" si="10"/>
        <v>169</v>
      </c>
      <c r="S46" s="394">
        <f t="shared" si="11"/>
        <v>7</v>
      </c>
      <c r="U46" s="105">
        <v>42</v>
      </c>
      <c r="V46" s="105">
        <v>90</v>
      </c>
      <c r="W46" s="105">
        <v>183</v>
      </c>
      <c r="X46" s="105">
        <v>192</v>
      </c>
      <c r="Y46" s="105">
        <v>182</v>
      </c>
      <c r="Z46" s="105">
        <v>69</v>
      </c>
      <c r="AA46" s="105">
        <v>82</v>
      </c>
      <c r="AC46" s="426">
        <f t="shared" si="12"/>
        <v>132</v>
      </c>
      <c r="AD46" s="426">
        <f t="shared" si="13"/>
        <v>375</v>
      </c>
      <c r="AE46" s="426">
        <f t="shared" si="14"/>
        <v>251</v>
      </c>
    </row>
    <row r="47" spans="1:31" x14ac:dyDescent="0.3">
      <c r="A47" s="389" t="s">
        <v>109</v>
      </c>
      <c r="B47" s="85" t="s">
        <v>110</v>
      </c>
      <c r="C47" s="399" t="s">
        <v>253</v>
      </c>
      <c r="D47" s="337">
        <v>3149</v>
      </c>
      <c r="E47" s="338">
        <v>1524</v>
      </c>
      <c r="F47" s="338">
        <v>1586</v>
      </c>
      <c r="G47" s="338">
        <v>39</v>
      </c>
      <c r="H47" s="338"/>
      <c r="I47" s="338">
        <v>1311</v>
      </c>
      <c r="J47" s="338">
        <v>1750</v>
      </c>
      <c r="K47" s="338">
        <v>94</v>
      </c>
      <c r="L47" s="338">
        <v>4</v>
      </c>
      <c r="M47" s="338">
        <v>15</v>
      </c>
      <c r="N47" s="338">
        <v>232</v>
      </c>
      <c r="O47" s="338">
        <v>350</v>
      </c>
      <c r="P47" s="105"/>
      <c r="Q47" s="393">
        <f t="shared" si="9"/>
        <v>1311</v>
      </c>
      <c r="R47" s="394">
        <f t="shared" si="10"/>
        <v>1750</v>
      </c>
      <c r="S47" s="394">
        <f t="shared" si="11"/>
        <v>113</v>
      </c>
      <c r="U47" s="105">
        <v>238</v>
      </c>
      <c r="V47" s="105">
        <v>489</v>
      </c>
      <c r="W47" s="105">
        <v>672</v>
      </c>
      <c r="X47" s="105">
        <v>671</v>
      </c>
      <c r="Y47" s="105">
        <v>587</v>
      </c>
      <c r="Z47" s="105">
        <v>257</v>
      </c>
      <c r="AA47" s="105">
        <v>235</v>
      </c>
      <c r="AC47" s="426">
        <f t="shared" si="12"/>
        <v>727</v>
      </c>
      <c r="AD47" s="426">
        <f t="shared" si="13"/>
        <v>1343</v>
      </c>
      <c r="AE47" s="426">
        <f t="shared" si="14"/>
        <v>844</v>
      </c>
    </row>
    <row r="48" spans="1:31" x14ac:dyDescent="0.3">
      <c r="A48" s="389" t="s">
        <v>111</v>
      </c>
      <c r="B48" s="85" t="s">
        <v>275</v>
      </c>
      <c r="C48" s="399" t="s">
        <v>252</v>
      </c>
      <c r="D48" s="337">
        <v>1505</v>
      </c>
      <c r="E48" s="338">
        <v>723</v>
      </c>
      <c r="F48" s="338">
        <v>732</v>
      </c>
      <c r="G48" s="338">
        <v>50</v>
      </c>
      <c r="H48" s="338"/>
      <c r="I48" s="338">
        <v>952</v>
      </c>
      <c r="J48" s="338">
        <v>492</v>
      </c>
      <c r="K48" s="338">
        <v>7</v>
      </c>
      <c r="L48" s="338">
        <v>6</v>
      </c>
      <c r="M48" s="338">
        <v>0</v>
      </c>
      <c r="N48" s="338">
        <v>174</v>
      </c>
      <c r="O48" s="338">
        <v>86</v>
      </c>
      <c r="P48" s="105"/>
      <c r="Q48" s="393">
        <f t="shared" si="9"/>
        <v>952</v>
      </c>
      <c r="R48" s="394">
        <f t="shared" si="10"/>
        <v>492</v>
      </c>
      <c r="S48" s="394">
        <f t="shared" si="11"/>
        <v>13</v>
      </c>
      <c r="U48" s="105">
        <v>131</v>
      </c>
      <c r="V48" s="105">
        <v>204</v>
      </c>
      <c r="W48" s="105">
        <v>332</v>
      </c>
      <c r="X48" s="105">
        <v>271</v>
      </c>
      <c r="Y48" s="105">
        <v>234</v>
      </c>
      <c r="Z48" s="105">
        <v>80</v>
      </c>
      <c r="AA48" s="105">
        <v>253</v>
      </c>
      <c r="AC48" s="426">
        <f t="shared" si="12"/>
        <v>335</v>
      </c>
      <c r="AD48" s="426">
        <f t="shared" si="13"/>
        <v>603</v>
      </c>
      <c r="AE48" s="426">
        <f t="shared" si="14"/>
        <v>314</v>
      </c>
    </row>
    <row r="49" spans="1:31" x14ac:dyDescent="0.3">
      <c r="A49" s="389" t="s">
        <v>113</v>
      </c>
      <c r="B49" s="85" t="s">
        <v>114</v>
      </c>
      <c r="C49" s="399" t="s">
        <v>252</v>
      </c>
      <c r="D49" s="337">
        <v>36</v>
      </c>
      <c r="E49" s="338">
        <v>11</v>
      </c>
      <c r="F49" s="338">
        <v>25</v>
      </c>
      <c r="G49" s="338">
        <v>0</v>
      </c>
      <c r="H49" s="338"/>
      <c r="I49" s="338">
        <v>34</v>
      </c>
      <c r="J49" s="338">
        <v>1</v>
      </c>
      <c r="K49" s="338">
        <v>0</v>
      </c>
      <c r="L49" s="338">
        <v>0</v>
      </c>
      <c r="M49" s="338">
        <v>0</v>
      </c>
      <c r="N49" s="338">
        <v>2</v>
      </c>
      <c r="O49" s="338">
        <v>0</v>
      </c>
      <c r="P49" s="105"/>
      <c r="Q49" s="393">
        <f t="shared" si="9"/>
        <v>34</v>
      </c>
      <c r="R49" s="394">
        <f t="shared" si="10"/>
        <v>1</v>
      </c>
      <c r="S49" s="394">
        <f t="shared" si="11"/>
        <v>0</v>
      </c>
      <c r="U49" s="105">
        <v>0</v>
      </c>
      <c r="V49" s="105">
        <v>4</v>
      </c>
      <c r="W49" s="105">
        <v>14</v>
      </c>
      <c r="X49" s="105">
        <v>5</v>
      </c>
      <c r="Y49" s="105">
        <v>6</v>
      </c>
      <c r="Z49" s="105">
        <v>4</v>
      </c>
      <c r="AA49" s="105">
        <v>3</v>
      </c>
      <c r="AC49" s="426">
        <f t="shared" si="12"/>
        <v>4</v>
      </c>
      <c r="AD49" s="426">
        <f t="shared" si="13"/>
        <v>19</v>
      </c>
      <c r="AE49" s="426">
        <f t="shared" si="14"/>
        <v>10</v>
      </c>
    </row>
    <row r="50" spans="1:31" x14ac:dyDescent="0.3">
      <c r="A50" s="389" t="s">
        <v>117</v>
      </c>
      <c r="B50" s="85" t="s">
        <v>257</v>
      </c>
      <c r="C50" s="399" t="s">
        <v>251</v>
      </c>
      <c r="D50" s="337">
        <v>376</v>
      </c>
      <c r="E50" s="338">
        <v>194</v>
      </c>
      <c r="F50" s="338">
        <v>172</v>
      </c>
      <c r="G50" s="338">
        <v>10</v>
      </c>
      <c r="H50" s="338"/>
      <c r="I50" s="338">
        <v>256</v>
      </c>
      <c r="J50" s="338">
        <v>99</v>
      </c>
      <c r="K50" s="338">
        <v>1</v>
      </c>
      <c r="L50" s="338">
        <v>2</v>
      </c>
      <c r="M50" s="338">
        <v>1</v>
      </c>
      <c r="N50" s="338">
        <v>39</v>
      </c>
      <c r="O50" s="338">
        <v>5</v>
      </c>
      <c r="P50" s="105"/>
      <c r="Q50" s="393">
        <f t="shared" si="9"/>
        <v>256</v>
      </c>
      <c r="R50" s="394">
        <f t="shared" si="10"/>
        <v>99</v>
      </c>
      <c r="S50" s="394">
        <f t="shared" si="11"/>
        <v>4</v>
      </c>
      <c r="U50" s="105">
        <v>24</v>
      </c>
      <c r="V50" s="105">
        <v>31</v>
      </c>
      <c r="W50" s="105">
        <v>99</v>
      </c>
      <c r="X50" s="105">
        <v>84</v>
      </c>
      <c r="Y50" s="105">
        <v>69</v>
      </c>
      <c r="Z50" s="105">
        <v>31</v>
      </c>
      <c r="AA50" s="105">
        <v>38</v>
      </c>
      <c r="AC50" s="426">
        <f t="shared" si="12"/>
        <v>55</v>
      </c>
      <c r="AD50" s="426">
        <f t="shared" si="13"/>
        <v>183</v>
      </c>
      <c r="AE50" s="426">
        <f t="shared" si="14"/>
        <v>100</v>
      </c>
    </row>
    <row r="51" spans="1:31" x14ac:dyDescent="0.3">
      <c r="A51" s="389" t="s">
        <v>119</v>
      </c>
      <c r="B51" s="85" t="s">
        <v>120</v>
      </c>
      <c r="C51" s="399" t="s">
        <v>251</v>
      </c>
      <c r="D51" s="337">
        <v>1008</v>
      </c>
      <c r="E51" s="338">
        <v>482</v>
      </c>
      <c r="F51" s="338">
        <v>520</v>
      </c>
      <c r="G51" s="338">
        <v>6</v>
      </c>
      <c r="H51" s="338"/>
      <c r="I51" s="338">
        <v>600</v>
      </c>
      <c r="J51" s="338">
        <v>405</v>
      </c>
      <c r="K51" s="338">
        <v>8</v>
      </c>
      <c r="L51" s="338">
        <v>6</v>
      </c>
      <c r="M51" s="338">
        <v>5</v>
      </c>
      <c r="N51" s="338">
        <v>57</v>
      </c>
      <c r="O51" s="338">
        <v>94</v>
      </c>
      <c r="P51" s="105"/>
      <c r="Q51" s="393">
        <f t="shared" si="9"/>
        <v>600</v>
      </c>
      <c r="R51" s="394">
        <f t="shared" si="10"/>
        <v>405</v>
      </c>
      <c r="S51" s="394">
        <f t="shared" si="11"/>
        <v>19</v>
      </c>
      <c r="U51" s="105">
        <v>46</v>
      </c>
      <c r="V51" s="105">
        <v>174</v>
      </c>
      <c r="W51" s="105">
        <v>218</v>
      </c>
      <c r="X51" s="105">
        <v>196</v>
      </c>
      <c r="Y51" s="105">
        <v>226</v>
      </c>
      <c r="Z51" s="105">
        <v>83</v>
      </c>
      <c r="AA51" s="105">
        <v>65</v>
      </c>
      <c r="AC51" s="426">
        <f t="shared" si="12"/>
        <v>220</v>
      </c>
      <c r="AD51" s="426">
        <f t="shared" si="13"/>
        <v>414</v>
      </c>
      <c r="AE51" s="426">
        <f t="shared" si="14"/>
        <v>309</v>
      </c>
    </row>
    <row r="52" spans="1:31" x14ac:dyDescent="0.3">
      <c r="A52" s="389" t="s">
        <v>121</v>
      </c>
      <c r="B52" s="85" t="s">
        <v>268</v>
      </c>
      <c r="C52" s="399" t="s">
        <v>253</v>
      </c>
      <c r="D52" s="337">
        <v>109</v>
      </c>
      <c r="E52" s="338">
        <v>51</v>
      </c>
      <c r="F52" s="338">
        <v>57</v>
      </c>
      <c r="G52" s="338">
        <v>1</v>
      </c>
      <c r="H52" s="338"/>
      <c r="I52" s="338">
        <v>66</v>
      </c>
      <c r="J52" s="338">
        <v>40</v>
      </c>
      <c r="K52" s="338">
        <v>1</v>
      </c>
      <c r="L52" s="338">
        <v>1</v>
      </c>
      <c r="M52" s="338">
        <v>0</v>
      </c>
      <c r="N52" s="338">
        <v>23</v>
      </c>
      <c r="O52" s="338">
        <v>0</v>
      </c>
      <c r="P52" s="105"/>
      <c r="Q52" s="393">
        <f t="shared" si="9"/>
        <v>66</v>
      </c>
      <c r="R52" s="394">
        <f t="shared" si="10"/>
        <v>40</v>
      </c>
      <c r="S52" s="394">
        <f t="shared" si="11"/>
        <v>2</v>
      </c>
      <c r="U52" s="105">
        <v>7</v>
      </c>
      <c r="V52" s="105">
        <v>18</v>
      </c>
      <c r="W52" s="105">
        <v>17</v>
      </c>
      <c r="X52" s="105">
        <v>19</v>
      </c>
      <c r="Y52" s="105">
        <v>21</v>
      </c>
      <c r="Z52" s="105">
        <v>7</v>
      </c>
      <c r="AA52" s="105">
        <v>20</v>
      </c>
      <c r="AC52" s="426">
        <f t="shared" si="12"/>
        <v>25</v>
      </c>
      <c r="AD52" s="426">
        <f t="shared" si="13"/>
        <v>36</v>
      </c>
      <c r="AE52" s="426">
        <f t="shared" si="14"/>
        <v>28</v>
      </c>
    </row>
    <row r="53" spans="1:31" x14ac:dyDescent="0.3">
      <c r="A53" s="389" t="s">
        <v>123</v>
      </c>
      <c r="B53" s="85" t="s">
        <v>124</v>
      </c>
      <c r="C53" s="399" t="s">
        <v>254</v>
      </c>
      <c r="D53" s="337">
        <v>315</v>
      </c>
      <c r="E53" s="338">
        <v>147</v>
      </c>
      <c r="F53" s="338">
        <v>163</v>
      </c>
      <c r="G53" s="338">
        <v>5</v>
      </c>
      <c r="H53" s="338"/>
      <c r="I53" s="338">
        <v>227</v>
      </c>
      <c r="J53" s="338">
        <v>91</v>
      </c>
      <c r="K53" s="338">
        <v>2</v>
      </c>
      <c r="L53" s="338">
        <v>0</v>
      </c>
      <c r="M53" s="338">
        <v>0</v>
      </c>
      <c r="N53" s="338">
        <v>31</v>
      </c>
      <c r="O53" s="338">
        <v>18</v>
      </c>
      <c r="P53" s="105"/>
      <c r="Q53" s="393">
        <f t="shared" si="9"/>
        <v>227</v>
      </c>
      <c r="R53" s="394">
        <f t="shared" si="10"/>
        <v>91</v>
      </c>
      <c r="S53" s="394">
        <f t="shared" si="11"/>
        <v>2</v>
      </c>
      <c r="U53" s="105">
        <v>30</v>
      </c>
      <c r="V53" s="105">
        <v>41</v>
      </c>
      <c r="W53" s="105">
        <v>55</v>
      </c>
      <c r="X53" s="105">
        <v>71</v>
      </c>
      <c r="Y53" s="105">
        <v>71</v>
      </c>
      <c r="Z53" s="105">
        <v>34</v>
      </c>
      <c r="AA53" s="105">
        <v>13</v>
      </c>
      <c r="AC53" s="426">
        <f t="shared" si="12"/>
        <v>71</v>
      </c>
      <c r="AD53" s="426">
        <f t="shared" si="13"/>
        <v>126</v>
      </c>
      <c r="AE53" s="426">
        <f t="shared" si="14"/>
        <v>105</v>
      </c>
    </row>
    <row r="54" spans="1:31" x14ac:dyDescent="0.3">
      <c r="A54" s="389" t="s">
        <v>125</v>
      </c>
      <c r="B54" s="85" t="s">
        <v>126</v>
      </c>
      <c r="C54" s="399" t="s">
        <v>253</v>
      </c>
      <c r="D54" s="337">
        <v>195</v>
      </c>
      <c r="E54" s="338">
        <v>92</v>
      </c>
      <c r="F54" s="338">
        <v>100</v>
      </c>
      <c r="G54" s="338">
        <v>3</v>
      </c>
      <c r="H54" s="338"/>
      <c r="I54" s="338">
        <v>168</v>
      </c>
      <c r="J54" s="338">
        <v>28</v>
      </c>
      <c r="K54" s="338">
        <v>1</v>
      </c>
      <c r="L54" s="338">
        <v>3</v>
      </c>
      <c r="M54" s="338">
        <v>2</v>
      </c>
      <c r="N54" s="338">
        <v>6</v>
      </c>
      <c r="O54" s="338">
        <v>10</v>
      </c>
      <c r="P54" s="105"/>
      <c r="Q54" s="393">
        <f t="shared" si="9"/>
        <v>168</v>
      </c>
      <c r="R54" s="394">
        <f t="shared" si="10"/>
        <v>28</v>
      </c>
      <c r="S54" s="394">
        <f t="shared" si="11"/>
        <v>6</v>
      </c>
      <c r="U54" s="105">
        <v>10</v>
      </c>
      <c r="V54" s="105">
        <v>34</v>
      </c>
      <c r="W54" s="105">
        <v>45</v>
      </c>
      <c r="X54" s="105">
        <v>32</v>
      </c>
      <c r="Y54" s="105">
        <v>36</v>
      </c>
      <c r="Z54" s="105">
        <v>9</v>
      </c>
      <c r="AA54" s="105">
        <v>29</v>
      </c>
      <c r="AC54" s="426">
        <f t="shared" si="12"/>
        <v>44</v>
      </c>
      <c r="AD54" s="426">
        <f t="shared" si="13"/>
        <v>77</v>
      </c>
      <c r="AE54" s="426">
        <f t="shared" si="14"/>
        <v>45</v>
      </c>
    </row>
    <row r="55" spans="1:31" x14ac:dyDescent="0.3">
      <c r="A55" s="389" t="s">
        <v>127</v>
      </c>
      <c r="B55" s="85" t="s">
        <v>128</v>
      </c>
      <c r="C55" s="399" t="s">
        <v>253</v>
      </c>
      <c r="D55" s="337">
        <v>123</v>
      </c>
      <c r="E55" s="338">
        <v>61</v>
      </c>
      <c r="F55" s="338">
        <v>59</v>
      </c>
      <c r="G55" s="338">
        <v>3</v>
      </c>
      <c r="H55" s="338"/>
      <c r="I55" s="338">
        <v>44</v>
      </c>
      <c r="J55" s="338">
        <v>77</v>
      </c>
      <c r="K55" s="338">
        <v>0</v>
      </c>
      <c r="L55" s="338">
        <v>0</v>
      </c>
      <c r="M55" s="338">
        <v>0</v>
      </c>
      <c r="N55" s="338">
        <v>5</v>
      </c>
      <c r="O55" s="338">
        <v>3</v>
      </c>
      <c r="P55" s="105"/>
      <c r="Q55" s="393">
        <f t="shared" si="9"/>
        <v>44</v>
      </c>
      <c r="R55" s="394">
        <f t="shared" si="10"/>
        <v>77</v>
      </c>
      <c r="S55" s="394">
        <f t="shared" si="11"/>
        <v>0</v>
      </c>
      <c r="U55" s="105">
        <v>3</v>
      </c>
      <c r="V55" s="105">
        <v>14</v>
      </c>
      <c r="W55" s="105">
        <v>22</v>
      </c>
      <c r="X55" s="105">
        <v>18</v>
      </c>
      <c r="Y55" s="105">
        <v>27</v>
      </c>
      <c r="Z55" s="105">
        <v>13</v>
      </c>
      <c r="AA55" s="105">
        <v>26</v>
      </c>
      <c r="AC55" s="426">
        <f t="shared" si="12"/>
        <v>17</v>
      </c>
      <c r="AD55" s="426">
        <f t="shared" si="13"/>
        <v>40</v>
      </c>
      <c r="AE55" s="426">
        <f t="shared" si="14"/>
        <v>40</v>
      </c>
    </row>
    <row r="56" spans="1:31" x14ac:dyDescent="0.3">
      <c r="A56" s="389" t="s">
        <v>129</v>
      </c>
      <c r="B56" s="85" t="s">
        <v>130</v>
      </c>
      <c r="C56" s="399" t="s">
        <v>255</v>
      </c>
      <c r="D56" s="337">
        <v>771</v>
      </c>
      <c r="E56" s="338">
        <v>382</v>
      </c>
      <c r="F56" s="338">
        <v>377</v>
      </c>
      <c r="G56" s="338">
        <v>12</v>
      </c>
      <c r="H56" s="338"/>
      <c r="I56" s="338">
        <v>733</v>
      </c>
      <c r="J56" s="338">
        <v>2</v>
      </c>
      <c r="K56" s="338">
        <v>0</v>
      </c>
      <c r="L56" s="338">
        <v>0</v>
      </c>
      <c r="M56" s="338">
        <v>0</v>
      </c>
      <c r="N56" s="338">
        <v>40</v>
      </c>
      <c r="O56" s="338">
        <v>16</v>
      </c>
      <c r="P56" s="105"/>
      <c r="Q56" s="393">
        <f t="shared" si="9"/>
        <v>733</v>
      </c>
      <c r="R56" s="394">
        <f t="shared" si="10"/>
        <v>2</v>
      </c>
      <c r="S56" s="394">
        <f t="shared" si="11"/>
        <v>0</v>
      </c>
      <c r="U56" s="105">
        <v>63</v>
      </c>
      <c r="V56" s="105">
        <v>106</v>
      </c>
      <c r="W56" s="105">
        <v>162</v>
      </c>
      <c r="X56" s="105">
        <v>198</v>
      </c>
      <c r="Y56" s="105">
        <v>143</v>
      </c>
      <c r="Z56" s="105">
        <v>61</v>
      </c>
      <c r="AA56" s="105">
        <v>38</v>
      </c>
      <c r="AC56" s="426">
        <f t="shared" si="12"/>
        <v>169</v>
      </c>
      <c r="AD56" s="426">
        <f t="shared" si="13"/>
        <v>360</v>
      </c>
      <c r="AE56" s="426">
        <f t="shared" si="14"/>
        <v>204</v>
      </c>
    </row>
    <row r="57" spans="1:31" x14ac:dyDescent="0.3">
      <c r="A57" s="389" t="s">
        <v>131</v>
      </c>
      <c r="B57" s="85" t="s">
        <v>132</v>
      </c>
      <c r="C57" s="399" t="s">
        <v>254</v>
      </c>
      <c r="D57" s="337">
        <v>3351</v>
      </c>
      <c r="E57" s="338">
        <v>1590</v>
      </c>
      <c r="F57" s="338">
        <v>1705</v>
      </c>
      <c r="G57" s="338">
        <v>56</v>
      </c>
      <c r="H57" s="338"/>
      <c r="I57" s="338">
        <v>1327</v>
      </c>
      <c r="J57" s="338">
        <v>408</v>
      </c>
      <c r="K57" s="338">
        <v>274</v>
      </c>
      <c r="L57" s="338">
        <v>3</v>
      </c>
      <c r="M57" s="338">
        <v>5</v>
      </c>
      <c r="N57" s="338">
        <v>1528</v>
      </c>
      <c r="O57" s="338">
        <v>799</v>
      </c>
      <c r="P57" s="105"/>
      <c r="Q57" s="393">
        <f t="shared" si="9"/>
        <v>1327</v>
      </c>
      <c r="R57" s="394">
        <f t="shared" si="10"/>
        <v>408</v>
      </c>
      <c r="S57" s="394">
        <f t="shared" si="11"/>
        <v>282</v>
      </c>
      <c r="U57" s="105">
        <v>112</v>
      </c>
      <c r="V57" s="105">
        <v>349</v>
      </c>
      <c r="W57" s="105">
        <v>621</v>
      </c>
      <c r="X57" s="105">
        <v>788</v>
      </c>
      <c r="Y57" s="105">
        <v>729</v>
      </c>
      <c r="Z57" s="105">
        <v>375</v>
      </c>
      <c r="AA57" s="105">
        <v>377</v>
      </c>
      <c r="AC57" s="426">
        <f t="shared" si="12"/>
        <v>461</v>
      </c>
      <c r="AD57" s="426">
        <f t="shared" si="13"/>
        <v>1409</v>
      </c>
      <c r="AE57" s="426">
        <f t="shared" si="14"/>
        <v>1104</v>
      </c>
    </row>
    <row r="58" spans="1:31" x14ac:dyDescent="0.3">
      <c r="A58" s="389" t="s">
        <v>133</v>
      </c>
      <c r="B58" s="85" t="s">
        <v>134</v>
      </c>
      <c r="C58" s="399" t="s">
        <v>254</v>
      </c>
      <c r="D58" s="337">
        <v>639</v>
      </c>
      <c r="E58" s="338">
        <v>290</v>
      </c>
      <c r="F58" s="338">
        <v>338</v>
      </c>
      <c r="G58" s="338">
        <v>11</v>
      </c>
      <c r="H58" s="338"/>
      <c r="I58" s="338">
        <v>518</v>
      </c>
      <c r="J58" s="338">
        <v>147</v>
      </c>
      <c r="K58" s="338">
        <v>0</v>
      </c>
      <c r="L58" s="338">
        <v>3</v>
      </c>
      <c r="M58" s="338">
        <v>1</v>
      </c>
      <c r="N58" s="338">
        <v>27</v>
      </c>
      <c r="O58" s="338">
        <v>13</v>
      </c>
      <c r="P58" s="105"/>
      <c r="Q58" s="393">
        <f t="shared" si="9"/>
        <v>518</v>
      </c>
      <c r="R58" s="394">
        <f t="shared" si="10"/>
        <v>147</v>
      </c>
      <c r="S58" s="394">
        <f t="shared" si="11"/>
        <v>4</v>
      </c>
      <c r="U58" s="105">
        <v>42</v>
      </c>
      <c r="V58" s="105">
        <v>107</v>
      </c>
      <c r="W58" s="105">
        <v>125</v>
      </c>
      <c r="X58" s="105">
        <v>136</v>
      </c>
      <c r="Y58" s="105">
        <v>126</v>
      </c>
      <c r="Z58" s="105">
        <v>38</v>
      </c>
      <c r="AA58" s="105">
        <v>65</v>
      </c>
      <c r="AC58" s="426">
        <f t="shared" si="12"/>
        <v>149</v>
      </c>
      <c r="AD58" s="426">
        <f t="shared" si="13"/>
        <v>261</v>
      </c>
      <c r="AE58" s="426">
        <f t="shared" si="14"/>
        <v>164</v>
      </c>
    </row>
    <row r="59" spans="1:31" x14ac:dyDescent="0.3">
      <c r="A59" s="389" t="s">
        <v>135</v>
      </c>
      <c r="B59" s="85" t="s">
        <v>136</v>
      </c>
      <c r="C59" s="399" t="s">
        <v>253</v>
      </c>
      <c r="D59" s="337">
        <v>124</v>
      </c>
      <c r="E59" s="338">
        <v>54</v>
      </c>
      <c r="F59" s="338">
        <v>66</v>
      </c>
      <c r="G59" s="338">
        <v>4</v>
      </c>
      <c r="H59" s="338"/>
      <c r="I59" s="338">
        <v>66</v>
      </c>
      <c r="J59" s="338">
        <v>61</v>
      </c>
      <c r="K59" s="338">
        <v>3</v>
      </c>
      <c r="L59" s="338">
        <v>0</v>
      </c>
      <c r="M59" s="338">
        <v>0</v>
      </c>
      <c r="N59" s="338">
        <v>5</v>
      </c>
      <c r="O59" s="338">
        <v>0</v>
      </c>
      <c r="P59" s="105"/>
      <c r="Q59" s="393">
        <f t="shared" si="9"/>
        <v>66</v>
      </c>
      <c r="R59" s="394">
        <f t="shared" si="10"/>
        <v>61</v>
      </c>
      <c r="S59" s="394">
        <f t="shared" si="11"/>
        <v>3</v>
      </c>
      <c r="U59" s="105">
        <v>13</v>
      </c>
      <c r="V59" s="105">
        <v>19</v>
      </c>
      <c r="W59" s="105">
        <v>16</v>
      </c>
      <c r="X59" s="105">
        <v>22</v>
      </c>
      <c r="Y59" s="105">
        <v>22</v>
      </c>
      <c r="Z59" s="105">
        <v>19</v>
      </c>
      <c r="AA59" s="105">
        <v>13</v>
      </c>
      <c r="AC59" s="426">
        <f t="shared" si="12"/>
        <v>32</v>
      </c>
      <c r="AD59" s="426">
        <f t="shared" si="13"/>
        <v>38</v>
      </c>
      <c r="AE59" s="426">
        <f t="shared" si="14"/>
        <v>41</v>
      </c>
    </row>
    <row r="60" spans="1:31" x14ac:dyDescent="0.3">
      <c r="A60" s="389" t="s">
        <v>139</v>
      </c>
      <c r="B60" s="85" t="s">
        <v>140</v>
      </c>
      <c r="C60" s="399" t="s">
        <v>254</v>
      </c>
      <c r="D60" s="337">
        <v>208</v>
      </c>
      <c r="E60" s="338">
        <v>94</v>
      </c>
      <c r="F60" s="338">
        <v>110</v>
      </c>
      <c r="G60" s="338">
        <v>4</v>
      </c>
      <c r="H60" s="338"/>
      <c r="I60" s="338">
        <v>168</v>
      </c>
      <c r="J60" s="338">
        <v>26</v>
      </c>
      <c r="K60" s="338">
        <v>0</v>
      </c>
      <c r="L60" s="338">
        <v>0</v>
      </c>
      <c r="M60" s="338">
        <v>0</v>
      </c>
      <c r="N60" s="338">
        <v>27</v>
      </c>
      <c r="O60" s="338">
        <v>10</v>
      </c>
      <c r="P60" s="105"/>
      <c r="Q60" s="393">
        <f t="shared" si="9"/>
        <v>168</v>
      </c>
      <c r="R60" s="394">
        <f t="shared" si="10"/>
        <v>26</v>
      </c>
      <c r="S60" s="394">
        <f t="shared" si="11"/>
        <v>0</v>
      </c>
      <c r="U60" s="105">
        <v>22</v>
      </c>
      <c r="V60" s="105">
        <v>37</v>
      </c>
      <c r="W60" s="105">
        <v>36</v>
      </c>
      <c r="X60" s="105">
        <v>41</v>
      </c>
      <c r="Y60" s="105">
        <v>33</v>
      </c>
      <c r="Z60" s="105">
        <v>15</v>
      </c>
      <c r="AA60" s="105">
        <v>24</v>
      </c>
      <c r="AC60" s="426">
        <f t="shared" si="12"/>
        <v>59</v>
      </c>
      <c r="AD60" s="426">
        <f t="shared" si="13"/>
        <v>77</v>
      </c>
      <c r="AE60" s="426">
        <f t="shared" si="14"/>
        <v>48</v>
      </c>
    </row>
    <row r="61" spans="1:31" x14ac:dyDescent="0.3">
      <c r="A61" s="389" t="s">
        <v>145</v>
      </c>
      <c r="B61" s="85" t="s">
        <v>146</v>
      </c>
      <c r="C61" s="399" t="s">
        <v>251</v>
      </c>
      <c r="D61" s="337">
        <v>141</v>
      </c>
      <c r="E61" s="338">
        <v>82</v>
      </c>
      <c r="F61" s="338">
        <v>58</v>
      </c>
      <c r="G61" s="338">
        <v>1</v>
      </c>
      <c r="H61" s="338"/>
      <c r="I61" s="338">
        <v>104</v>
      </c>
      <c r="J61" s="338">
        <v>18</v>
      </c>
      <c r="K61" s="338">
        <v>0</v>
      </c>
      <c r="L61" s="338">
        <v>2</v>
      </c>
      <c r="M61" s="338">
        <v>0</v>
      </c>
      <c r="N61" s="338">
        <v>21</v>
      </c>
      <c r="O61" s="338">
        <v>1</v>
      </c>
      <c r="P61" s="105"/>
      <c r="Q61" s="393">
        <f t="shared" si="9"/>
        <v>104</v>
      </c>
      <c r="R61" s="394">
        <f t="shared" si="10"/>
        <v>18</v>
      </c>
      <c r="S61" s="394">
        <f t="shared" si="11"/>
        <v>2</v>
      </c>
      <c r="U61" s="105">
        <v>10</v>
      </c>
      <c r="V61" s="105">
        <v>14</v>
      </c>
      <c r="W61" s="105">
        <v>28</v>
      </c>
      <c r="X61" s="105">
        <v>30</v>
      </c>
      <c r="Y61" s="105">
        <v>21</v>
      </c>
      <c r="Z61" s="105">
        <v>16</v>
      </c>
      <c r="AA61" s="105">
        <v>22</v>
      </c>
      <c r="AC61" s="426">
        <f t="shared" si="12"/>
        <v>24</v>
      </c>
      <c r="AD61" s="426">
        <f t="shared" si="13"/>
        <v>58</v>
      </c>
      <c r="AE61" s="426">
        <f t="shared" si="14"/>
        <v>37</v>
      </c>
    </row>
    <row r="62" spans="1:31" x14ac:dyDescent="0.3">
      <c r="A62" s="389" t="s">
        <v>147</v>
      </c>
      <c r="B62" s="85" t="s">
        <v>148</v>
      </c>
      <c r="C62" s="399" t="s">
        <v>252</v>
      </c>
      <c r="D62" s="337">
        <v>413</v>
      </c>
      <c r="E62" s="338">
        <v>228</v>
      </c>
      <c r="F62" s="338">
        <v>183</v>
      </c>
      <c r="G62" s="338">
        <v>2</v>
      </c>
      <c r="H62" s="338"/>
      <c r="I62" s="338">
        <v>276</v>
      </c>
      <c r="J62" s="338">
        <v>162</v>
      </c>
      <c r="K62" s="338">
        <v>0</v>
      </c>
      <c r="L62" s="338">
        <v>3</v>
      </c>
      <c r="M62" s="338">
        <v>1</v>
      </c>
      <c r="N62" s="338">
        <v>5</v>
      </c>
      <c r="O62" s="338">
        <v>8</v>
      </c>
      <c r="P62" s="105"/>
      <c r="Q62" s="393">
        <f t="shared" si="9"/>
        <v>276</v>
      </c>
      <c r="R62" s="394">
        <f t="shared" si="10"/>
        <v>162</v>
      </c>
      <c r="S62" s="394">
        <f t="shared" si="11"/>
        <v>4</v>
      </c>
      <c r="U62" s="105">
        <v>32</v>
      </c>
      <c r="V62" s="105">
        <v>71</v>
      </c>
      <c r="W62" s="105">
        <v>86</v>
      </c>
      <c r="X62" s="105">
        <v>98</v>
      </c>
      <c r="Y62" s="105">
        <v>74</v>
      </c>
      <c r="Z62" s="105">
        <v>32</v>
      </c>
      <c r="AA62" s="105">
        <v>20</v>
      </c>
      <c r="AC62" s="426">
        <f t="shared" si="12"/>
        <v>103</v>
      </c>
      <c r="AD62" s="426">
        <f t="shared" si="13"/>
        <v>184</v>
      </c>
      <c r="AE62" s="426">
        <f t="shared" si="14"/>
        <v>106</v>
      </c>
    </row>
    <row r="63" spans="1:31" x14ac:dyDescent="0.3">
      <c r="A63" s="389" t="s">
        <v>149</v>
      </c>
      <c r="B63" s="85" t="s">
        <v>150</v>
      </c>
      <c r="C63" s="399" t="s">
        <v>253</v>
      </c>
      <c r="D63" s="337">
        <v>203</v>
      </c>
      <c r="E63" s="338">
        <v>118</v>
      </c>
      <c r="F63" s="338">
        <v>82</v>
      </c>
      <c r="G63" s="338">
        <v>3</v>
      </c>
      <c r="H63" s="338"/>
      <c r="I63" s="338">
        <v>151</v>
      </c>
      <c r="J63" s="338">
        <v>20</v>
      </c>
      <c r="K63" s="338">
        <v>0</v>
      </c>
      <c r="L63" s="338">
        <v>13</v>
      </c>
      <c r="M63" s="338">
        <v>2</v>
      </c>
      <c r="N63" s="338">
        <v>36</v>
      </c>
      <c r="O63" s="338">
        <v>9</v>
      </c>
      <c r="P63" s="105"/>
      <c r="Q63" s="393">
        <f t="shared" si="9"/>
        <v>151</v>
      </c>
      <c r="R63" s="394">
        <f t="shared" si="10"/>
        <v>20</v>
      </c>
      <c r="S63" s="394">
        <f t="shared" si="11"/>
        <v>15</v>
      </c>
      <c r="U63" s="105">
        <v>20</v>
      </c>
      <c r="V63" s="105">
        <v>34</v>
      </c>
      <c r="W63" s="105">
        <v>66</v>
      </c>
      <c r="X63" s="105">
        <v>36</v>
      </c>
      <c r="Y63" s="105">
        <v>20</v>
      </c>
      <c r="Z63" s="105">
        <v>13</v>
      </c>
      <c r="AA63" s="105">
        <v>14</v>
      </c>
      <c r="AC63" s="426">
        <f t="shared" si="12"/>
        <v>54</v>
      </c>
      <c r="AD63" s="426">
        <f t="shared" si="13"/>
        <v>102</v>
      </c>
      <c r="AE63" s="426">
        <f t="shared" si="14"/>
        <v>33</v>
      </c>
    </row>
    <row r="64" spans="1:31" x14ac:dyDescent="0.3">
      <c r="A64" s="389" t="s">
        <v>151</v>
      </c>
      <c r="B64" s="85" t="s">
        <v>152</v>
      </c>
      <c r="C64" s="399" t="s">
        <v>255</v>
      </c>
      <c r="D64" s="337">
        <v>1341</v>
      </c>
      <c r="E64" s="338">
        <v>723</v>
      </c>
      <c r="F64" s="338">
        <v>603</v>
      </c>
      <c r="G64" s="338">
        <v>15</v>
      </c>
      <c r="H64" s="338"/>
      <c r="I64" s="338">
        <v>1139</v>
      </c>
      <c r="J64" s="338">
        <v>163</v>
      </c>
      <c r="K64" s="338">
        <v>19</v>
      </c>
      <c r="L64" s="338">
        <v>4</v>
      </c>
      <c r="M64" s="338">
        <v>2</v>
      </c>
      <c r="N64" s="338">
        <v>132</v>
      </c>
      <c r="O64" s="338">
        <v>70</v>
      </c>
      <c r="P64" s="105"/>
      <c r="Q64" s="393">
        <f t="shared" si="9"/>
        <v>1139</v>
      </c>
      <c r="R64" s="394">
        <f t="shared" si="10"/>
        <v>163</v>
      </c>
      <c r="S64" s="394">
        <f t="shared" si="11"/>
        <v>25</v>
      </c>
      <c r="U64" s="105">
        <v>97</v>
      </c>
      <c r="V64" s="105">
        <v>179</v>
      </c>
      <c r="W64" s="105">
        <v>301</v>
      </c>
      <c r="X64" s="105">
        <v>289</v>
      </c>
      <c r="Y64" s="105">
        <v>257</v>
      </c>
      <c r="Z64" s="105">
        <v>97</v>
      </c>
      <c r="AA64" s="105">
        <v>121</v>
      </c>
      <c r="AC64" s="426">
        <f t="shared" si="12"/>
        <v>276</v>
      </c>
      <c r="AD64" s="426">
        <f t="shared" si="13"/>
        <v>590</v>
      </c>
      <c r="AE64" s="426">
        <f t="shared" si="14"/>
        <v>354</v>
      </c>
    </row>
    <row r="65" spans="1:31" x14ac:dyDescent="0.3">
      <c r="A65" s="389" t="s">
        <v>153</v>
      </c>
      <c r="B65" s="85" t="s">
        <v>154</v>
      </c>
      <c r="C65" s="399" t="s">
        <v>252</v>
      </c>
      <c r="D65" s="337">
        <v>295</v>
      </c>
      <c r="E65" s="338">
        <v>156</v>
      </c>
      <c r="F65" s="338">
        <v>137</v>
      </c>
      <c r="G65" s="338">
        <v>2</v>
      </c>
      <c r="H65" s="338"/>
      <c r="I65" s="338">
        <v>253</v>
      </c>
      <c r="J65" s="338">
        <v>71</v>
      </c>
      <c r="K65" s="338">
        <v>0</v>
      </c>
      <c r="L65" s="338">
        <v>0</v>
      </c>
      <c r="M65" s="338">
        <v>0</v>
      </c>
      <c r="N65" s="338">
        <v>13</v>
      </c>
      <c r="O65" s="338">
        <v>10</v>
      </c>
      <c r="P65" s="105"/>
      <c r="Q65" s="393">
        <f t="shared" si="9"/>
        <v>253</v>
      </c>
      <c r="R65" s="394">
        <f t="shared" si="10"/>
        <v>71</v>
      </c>
      <c r="S65" s="394">
        <f t="shared" si="11"/>
        <v>0</v>
      </c>
      <c r="U65" s="105">
        <v>17</v>
      </c>
      <c r="V65" s="105">
        <v>41</v>
      </c>
      <c r="W65" s="105">
        <v>75</v>
      </c>
      <c r="X65" s="105">
        <v>54</v>
      </c>
      <c r="Y65" s="105">
        <v>70</v>
      </c>
      <c r="Z65" s="105">
        <v>17</v>
      </c>
      <c r="AA65" s="105">
        <v>21</v>
      </c>
      <c r="AC65" s="426">
        <f t="shared" si="12"/>
        <v>58</v>
      </c>
      <c r="AD65" s="426">
        <f t="shared" si="13"/>
        <v>129</v>
      </c>
      <c r="AE65" s="426">
        <f t="shared" si="14"/>
        <v>87</v>
      </c>
    </row>
    <row r="66" spans="1:31" x14ac:dyDescent="0.3">
      <c r="A66" s="389" t="s">
        <v>155</v>
      </c>
      <c r="B66" s="85" t="s">
        <v>156</v>
      </c>
      <c r="C66" s="399" t="s">
        <v>253</v>
      </c>
      <c r="D66" s="337">
        <v>255</v>
      </c>
      <c r="E66" s="338">
        <v>108</v>
      </c>
      <c r="F66" s="338">
        <v>141</v>
      </c>
      <c r="G66" s="338">
        <v>6</v>
      </c>
      <c r="H66" s="338"/>
      <c r="I66" s="338">
        <v>203</v>
      </c>
      <c r="J66" s="338">
        <v>35</v>
      </c>
      <c r="K66" s="338">
        <v>1</v>
      </c>
      <c r="L66" s="338">
        <v>4</v>
      </c>
      <c r="M66" s="338">
        <v>1</v>
      </c>
      <c r="N66" s="338">
        <v>21</v>
      </c>
      <c r="O66" s="338">
        <v>9</v>
      </c>
      <c r="P66" s="105"/>
      <c r="Q66" s="393">
        <f t="shared" si="9"/>
        <v>203</v>
      </c>
      <c r="R66" s="394">
        <f t="shared" si="10"/>
        <v>35</v>
      </c>
      <c r="S66" s="394">
        <f t="shared" si="11"/>
        <v>6</v>
      </c>
      <c r="U66" s="105">
        <v>10</v>
      </c>
      <c r="V66" s="105">
        <v>29</v>
      </c>
      <c r="W66" s="105">
        <v>52</v>
      </c>
      <c r="X66" s="105">
        <v>51</v>
      </c>
      <c r="Y66" s="105">
        <v>67</v>
      </c>
      <c r="Z66" s="105">
        <v>19</v>
      </c>
      <c r="AA66" s="105">
        <v>27</v>
      </c>
      <c r="AC66" s="426">
        <f t="shared" si="12"/>
        <v>39</v>
      </c>
      <c r="AD66" s="426">
        <f t="shared" si="13"/>
        <v>103</v>
      </c>
      <c r="AE66" s="426">
        <f t="shared" si="14"/>
        <v>86</v>
      </c>
    </row>
    <row r="67" spans="1:31" x14ac:dyDescent="0.3">
      <c r="A67" s="389" t="s">
        <v>161</v>
      </c>
      <c r="B67" s="85" t="s">
        <v>162</v>
      </c>
      <c r="C67" s="399" t="s">
        <v>251</v>
      </c>
      <c r="D67" s="337">
        <v>92</v>
      </c>
      <c r="E67" s="338">
        <v>46</v>
      </c>
      <c r="F67" s="338">
        <v>45</v>
      </c>
      <c r="G67" s="338">
        <v>1</v>
      </c>
      <c r="H67" s="338"/>
      <c r="I67" s="338">
        <v>52</v>
      </c>
      <c r="J67" s="338">
        <v>34</v>
      </c>
      <c r="K67" s="338">
        <v>0</v>
      </c>
      <c r="L67" s="338">
        <v>0</v>
      </c>
      <c r="M67" s="338">
        <v>0</v>
      </c>
      <c r="N67" s="338">
        <v>9</v>
      </c>
      <c r="O67" s="338">
        <v>3</v>
      </c>
      <c r="P67" s="105"/>
      <c r="Q67" s="393">
        <f t="shared" si="9"/>
        <v>52</v>
      </c>
      <c r="R67" s="394">
        <f t="shared" si="10"/>
        <v>34</v>
      </c>
      <c r="S67" s="394">
        <f t="shared" si="11"/>
        <v>0</v>
      </c>
      <c r="U67" s="105">
        <v>12</v>
      </c>
      <c r="V67" s="105">
        <v>17</v>
      </c>
      <c r="W67" s="105">
        <v>23</v>
      </c>
      <c r="X67" s="105">
        <v>15</v>
      </c>
      <c r="Y67" s="105">
        <v>10</v>
      </c>
      <c r="Z67" s="105">
        <v>5</v>
      </c>
      <c r="AA67" s="105">
        <v>10</v>
      </c>
      <c r="AC67" s="426">
        <f t="shared" si="12"/>
        <v>29</v>
      </c>
      <c r="AD67" s="426">
        <f t="shared" si="13"/>
        <v>38</v>
      </c>
      <c r="AE67" s="426">
        <f t="shared" si="14"/>
        <v>15</v>
      </c>
    </row>
    <row r="68" spans="1:31" x14ac:dyDescent="0.3">
      <c r="A68" s="389" t="s">
        <v>163</v>
      </c>
      <c r="B68" s="85" t="s">
        <v>164</v>
      </c>
      <c r="C68" s="399" t="s">
        <v>253</v>
      </c>
      <c r="D68" s="337">
        <v>147</v>
      </c>
      <c r="E68" s="338">
        <v>71</v>
      </c>
      <c r="F68" s="338">
        <v>55</v>
      </c>
      <c r="G68" s="338">
        <v>21</v>
      </c>
      <c r="H68" s="338"/>
      <c r="I68" s="338">
        <v>79</v>
      </c>
      <c r="J68" s="338">
        <v>69</v>
      </c>
      <c r="K68" s="338">
        <v>1</v>
      </c>
      <c r="L68" s="338">
        <v>0</v>
      </c>
      <c r="M68" s="338">
        <v>0</v>
      </c>
      <c r="N68" s="338">
        <v>10</v>
      </c>
      <c r="O68" s="338">
        <v>8</v>
      </c>
      <c r="P68" s="105"/>
      <c r="Q68" s="393">
        <f t="shared" si="9"/>
        <v>79</v>
      </c>
      <c r="R68" s="394">
        <f t="shared" si="10"/>
        <v>69</v>
      </c>
      <c r="S68" s="394">
        <f t="shared" si="11"/>
        <v>1</v>
      </c>
      <c r="U68" s="105">
        <v>16</v>
      </c>
      <c r="V68" s="105">
        <v>25</v>
      </c>
      <c r="W68" s="105">
        <v>20</v>
      </c>
      <c r="X68" s="105">
        <v>19</v>
      </c>
      <c r="Y68" s="105">
        <v>29</v>
      </c>
      <c r="Z68" s="105">
        <v>6</v>
      </c>
      <c r="AA68" s="105">
        <v>32</v>
      </c>
      <c r="AC68" s="426">
        <f t="shared" si="12"/>
        <v>41</v>
      </c>
      <c r="AD68" s="426">
        <f t="shared" si="13"/>
        <v>39</v>
      </c>
      <c r="AE68" s="426">
        <f t="shared" si="14"/>
        <v>35</v>
      </c>
    </row>
    <row r="69" spans="1:31" x14ac:dyDescent="0.3">
      <c r="A69" s="389" t="s">
        <v>167</v>
      </c>
      <c r="B69" s="85" t="s">
        <v>168</v>
      </c>
      <c r="C69" s="399" t="s">
        <v>253</v>
      </c>
      <c r="D69" s="337">
        <v>152</v>
      </c>
      <c r="E69" s="338">
        <v>86</v>
      </c>
      <c r="F69" s="338">
        <v>65</v>
      </c>
      <c r="G69" s="338">
        <v>1</v>
      </c>
      <c r="H69" s="338"/>
      <c r="I69" s="338">
        <v>97</v>
      </c>
      <c r="J69" s="338">
        <v>66</v>
      </c>
      <c r="K69" s="338">
        <v>0</v>
      </c>
      <c r="L69" s="338">
        <v>0</v>
      </c>
      <c r="M69" s="338">
        <v>0</v>
      </c>
      <c r="N69" s="338">
        <v>10</v>
      </c>
      <c r="O69" s="338">
        <v>6</v>
      </c>
      <c r="P69" s="105"/>
      <c r="Q69" s="393">
        <f t="shared" ref="Q69:Q100" si="15">I69</f>
        <v>97</v>
      </c>
      <c r="R69" s="394">
        <f t="shared" ref="R69:R100" si="16">J69</f>
        <v>66</v>
      </c>
      <c r="S69" s="394">
        <f t="shared" ref="S69:S100" si="17">SUM(K69:M69)</f>
        <v>0</v>
      </c>
      <c r="U69" s="105">
        <v>16</v>
      </c>
      <c r="V69" s="105">
        <v>21</v>
      </c>
      <c r="W69" s="105">
        <v>44</v>
      </c>
      <c r="X69" s="105">
        <v>26</v>
      </c>
      <c r="Y69" s="105">
        <v>17</v>
      </c>
      <c r="Z69" s="105">
        <v>9</v>
      </c>
      <c r="AA69" s="105">
        <v>19</v>
      </c>
      <c r="AC69" s="426">
        <f t="shared" ref="AC69:AC100" si="18">U69+V69</f>
        <v>37</v>
      </c>
      <c r="AD69" s="426">
        <f t="shared" ref="AD69:AD100" si="19">W69+X69</f>
        <v>70</v>
      </c>
      <c r="AE69" s="426">
        <f t="shared" ref="AE69:AE100" si="20">Y69+Z69</f>
        <v>26</v>
      </c>
    </row>
    <row r="70" spans="1:31" x14ac:dyDescent="0.3">
      <c r="A70" s="389" t="s">
        <v>169</v>
      </c>
      <c r="B70" s="85" t="s">
        <v>170</v>
      </c>
      <c r="C70" s="399" t="s">
        <v>254</v>
      </c>
      <c r="D70" s="337">
        <v>635</v>
      </c>
      <c r="E70" s="338">
        <v>291</v>
      </c>
      <c r="F70" s="338">
        <v>339</v>
      </c>
      <c r="G70" s="338">
        <v>5</v>
      </c>
      <c r="H70" s="338"/>
      <c r="I70" s="338">
        <v>530</v>
      </c>
      <c r="J70" s="338">
        <v>151</v>
      </c>
      <c r="K70" s="338">
        <v>0</v>
      </c>
      <c r="L70" s="338">
        <v>8</v>
      </c>
      <c r="M70" s="338">
        <v>2</v>
      </c>
      <c r="N70" s="338">
        <v>20</v>
      </c>
      <c r="O70" s="338">
        <v>17</v>
      </c>
      <c r="P70" s="105"/>
      <c r="Q70" s="393">
        <f t="shared" si="15"/>
        <v>530</v>
      </c>
      <c r="R70" s="394">
        <f t="shared" si="16"/>
        <v>151</v>
      </c>
      <c r="S70" s="394">
        <f t="shared" si="17"/>
        <v>10</v>
      </c>
      <c r="U70" s="105">
        <v>48</v>
      </c>
      <c r="V70" s="105">
        <v>129</v>
      </c>
      <c r="W70" s="105">
        <v>124</v>
      </c>
      <c r="X70" s="105">
        <v>148</v>
      </c>
      <c r="Y70" s="105">
        <v>101</v>
      </c>
      <c r="Z70" s="105">
        <v>40</v>
      </c>
      <c r="AA70" s="105">
        <v>45</v>
      </c>
      <c r="AC70" s="426">
        <f t="shared" si="18"/>
        <v>177</v>
      </c>
      <c r="AD70" s="426">
        <f t="shared" si="19"/>
        <v>272</v>
      </c>
      <c r="AE70" s="426">
        <f t="shared" si="20"/>
        <v>141</v>
      </c>
    </row>
    <row r="71" spans="1:31" x14ac:dyDescent="0.3">
      <c r="A71" s="389" t="s">
        <v>171</v>
      </c>
      <c r="B71" s="85" t="s">
        <v>172</v>
      </c>
      <c r="C71" s="399" t="s">
        <v>254</v>
      </c>
      <c r="D71" s="337">
        <v>312</v>
      </c>
      <c r="E71" s="338">
        <v>163</v>
      </c>
      <c r="F71" s="338">
        <v>148</v>
      </c>
      <c r="G71" s="338">
        <v>1</v>
      </c>
      <c r="H71" s="338"/>
      <c r="I71" s="338">
        <v>296</v>
      </c>
      <c r="J71" s="338">
        <v>15</v>
      </c>
      <c r="K71" s="338">
        <v>0</v>
      </c>
      <c r="L71" s="338">
        <v>0</v>
      </c>
      <c r="M71" s="338">
        <v>0</v>
      </c>
      <c r="N71" s="338">
        <v>7</v>
      </c>
      <c r="O71" s="338">
        <v>6</v>
      </c>
      <c r="P71" s="105"/>
      <c r="Q71" s="393">
        <f t="shared" si="15"/>
        <v>296</v>
      </c>
      <c r="R71" s="394">
        <f t="shared" si="16"/>
        <v>15</v>
      </c>
      <c r="S71" s="394">
        <f t="shared" si="17"/>
        <v>0</v>
      </c>
      <c r="U71" s="105">
        <v>46</v>
      </c>
      <c r="V71" s="105">
        <v>45</v>
      </c>
      <c r="W71" s="105">
        <v>61</v>
      </c>
      <c r="X71" s="105">
        <v>41</v>
      </c>
      <c r="Y71" s="105">
        <v>59</v>
      </c>
      <c r="Z71" s="105">
        <v>15</v>
      </c>
      <c r="AA71" s="105">
        <v>45</v>
      </c>
      <c r="AC71" s="426">
        <f t="shared" si="18"/>
        <v>91</v>
      </c>
      <c r="AD71" s="426">
        <f t="shared" si="19"/>
        <v>102</v>
      </c>
      <c r="AE71" s="426">
        <f t="shared" si="20"/>
        <v>74</v>
      </c>
    </row>
    <row r="72" spans="1:31" x14ac:dyDescent="0.3">
      <c r="A72" s="389" t="s">
        <v>173</v>
      </c>
      <c r="B72" s="85" t="s">
        <v>174</v>
      </c>
      <c r="C72" s="399" t="s">
        <v>255</v>
      </c>
      <c r="D72" s="337">
        <v>232</v>
      </c>
      <c r="E72" s="338">
        <v>102</v>
      </c>
      <c r="F72" s="338">
        <v>129</v>
      </c>
      <c r="G72" s="338">
        <v>1</v>
      </c>
      <c r="H72" s="338"/>
      <c r="I72" s="338">
        <v>228</v>
      </c>
      <c r="J72" s="338">
        <v>16</v>
      </c>
      <c r="K72" s="338">
        <v>0</v>
      </c>
      <c r="L72" s="338">
        <v>0</v>
      </c>
      <c r="M72" s="338">
        <v>0</v>
      </c>
      <c r="N72" s="338">
        <v>3</v>
      </c>
      <c r="O72" s="338">
        <v>11</v>
      </c>
      <c r="P72" s="105"/>
      <c r="Q72" s="393">
        <f t="shared" si="15"/>
        <v>228</v>
      </c>
      <c r="R72" s="394">
        <f t="shared" si="16"/>
        <v>16</v>
      </c>
      <c r="S72" s="394">
        <f t="shared" si="17"/>
        <v>0</v>
      </c>
      <c r="U72" s="105">
        <v>23</v>
      </c>
      <c r="V72" s="105">
        <v>50</v>
      </c>
      <c r="W72" s="105">
        <v>47</v>
      </c>
      <c r="X72" s="105">
        <v>49</v>
      </c>
      <c r="Y72" s="105">
        <v>47</v>
      </c>
      <c r="Z72" s="105">
        <v>8</v>
      </c>
      <c r="AA72" s="105">
        <v>8</v>
      </c>
      <c r="AC72" s="426">
        <f t="shared" si="18"/>
        <v>73</v>
      </c>
      <c r="AD72" s="426">
        <f t="shared" si="19"/>
        <v>96</v>
      </c>
      <c r="AE72" s="426">
        <f t="shared" si="20"/>
        <v>55</v>
      </c>
    </row>
    <row r="73" spans="1:31" x14ac:dyDescent="0.3">
      <c r="A73" s="389" t="s">
        <v>177</v>
      </c>
      <c r="B73" s="85" t="s">
        <v>178</v>
      </c>
      <c r="C73" s="399" t="s">
        <v>252</v>
      </c>
      <c r="D73" s="337">
        <v>867</v>
      </c>
      <c r="E73" s="338">
        <v>395</v>
      </c>
      <c r="F73" s="338">
        <v>461</v>
      </c>
      <c r="G73" s="338">
        <v>11</v>
      </c>
      <c r="H73" s="338"/>
      <c r="I73" s="338">
        <v>695</v>
      </c>
      <c r="J73" s="338">
        <v>134</v>
      </c>
      <c r="K73" s="338">
        <v>4</v>
      </c>
      <c r="L73" s="338">
        <v>4</v>
      </c>
      <c r="M73" s="338">
        <v>4</v>
      </c>
      <c r="N73" s="338">
        <v>72</v>
      </c>
      <c r="O73" s="338">
        <v>43</v>
      </c>
      <c r="P73" s="105"/>
      <c r="Q73" s="393">
        <f t="shared" si="15"/>
        <v>695</v>
      </c>
      <c r="R73" s="394">
        <f t="shared" si="16"/>
        <v>134</v>
      </c>
      <c r="S73" s="394">
        <f t="shared" si="17"/>
        <v>12</v>
      </c>
      <c r="U73" s="105">
        <v>72</v>
      </c>
      <c r="V73" s="105">
        <v>118</v>
      </c>
      <c r="W73" s="105">
        <v>131</v>
      </c>
      <c r="X73" s="105">
        <v>177</v>
      </c>
      <c r="Y73" s="105">
        <v>218</v>
      </c>
      <c r="Z73" s="105">
        <v>77</v>
      </c>
      <c r="AA73" s="105">
        <v>74</v>
      </c>
      <c r="AC73" s="426">
        <f t="shared" si="18"/>
        <v>190</v>
      </c>
      <c r="AD73" s="426">
        <f t="shared" si="19"/>
        <v>308</v>
      </c>
      <c r="AE73" s="426">
        <f t="shared" si="20"/>
        <v>295</v>
      </c>
    </row>
    <row r="74" spans="1:31" x14ac:dyDescent="0.3">
      <c r="A74" s="389" t="s">
        <v>181</v>
      </c>
      <c r="B74" s="85" t="s">
        <v>182</v>
      </c>
      <c r="C74" s="399" t="s">
        <v>253</v>
      </c>
      <c r="D74" s="337">
        <v>159</v>
      </c>
      <c r="E74" s="338">
        <v>65</v>
      </c>
      <c r="F74" s="338">
        <v>93</v>
      </c>
      <c r="G74" s="338">
        <v>1</v>
      </c>
      <c r="H74" s="338"/>
      <c r="I74" s="338">
        <v>139</v>
      </c>
      <c r="J74" s="338">
        <v>38</v>
      </c>
      <c r="K74" s="338">
        <v>0</v>
      </c>
      <c r="L74" s="338">
        <v>0</v>
      </c>
      <c r="M74" s="338">
        <v>0</v>
      </c>
      <c r="N74" s="338">
        <v>6</v>
      </c>
      <c r="O74" s="338">
        <v>0</v>
      </c>
      <c r="P74" s="105"/>
      <c r="Q74" s="393">
        <f t="shared" si="15"/>
        <v>139</v>
      </c>
      <c r="R74" s="394">
        <f t="shared" si="16"/>
        <v>38</v>
      </c>
      <c r="S74" s="394">
        <f t="shared" si="17"/>
        <v>0</v>
      </c>
      <c r="U74" s="105">
        <v>9</v>
      </c>
      <c r="V74" s="105">
        <v>19</v>
      </c>
      <c r="W74" s="105">
        <v>24</v>
      </c>
      <c r="X74" s="105">
        <v>34</v>
      </c>
      <c r="Y74" s="105">
        <v>33</v>
      </c>
      <c r="Z74" s="105">
        <v>7</v>
      </c>
      <c r="AA74" s="105">
        <v>33</v>
      </c>
      <c r="AC74" s="426">
        <f t="shared" si="18"/>
        <v>28</v>
      </c>
      <c r="AD74" s="426">
        <f t="shared" si="19"/>
        <v>58</v>
      </c>
      <c r="AE74" s="426">
        <f t="shared" si="20"/>
        <v>40</v>
      </c>
    </row>
    <row r="75" spans="1:31" x14ac:dyDescent="0.3">
      <c r="A75" s="389" t="s">
        <v>183</v>
      </c>
      <c r="B75" s="85" t="s">
        <v>184</v>
      </c>
      <c r="C75" s="399" t="s">
        <v>253</v>
      </c>
      <c r="D75" s="337">
        <v>224</v>
      </c>
      <c r="E75" s="338">
        <v>106</v>
      </c>
      <c r="F75" s="338">
        <v>117</v>
      </c>
      <c r="G75" s="338">
        <v>1</v>
      </c>
      <c r="H75" s="338"/>
      <c r="I75" s="338">
        <v>115</v>
      </c>
      <c r="J75" s="338">
        <v>105</v>
      </c>
      <c r="K75" s="338">
        <v>0</v>
      </c>
      <c r="L75" s="338">
        <v>0</v>
      </c>
      <c r="M75" s="338">
        <v>0</v>
      </c>
      <c r="N75" s="338">
        <v>20</v>
      </c>
      <c r="O75" s="338">
        <v>4</v>
      </c>
      <c r="P75" s="105"/>
      <c r="Q75" s="393">
        <f t="shared" si="15"/>
        <v>115</v>
      </c>
      <c r="R75" s="394">
        <f t="shared" si="16"/>
        <v>105</v>
      </c>
      <c r="S75" s="394">
        <f t="shared" si="17"/>
        <v>0</v>
      </c>
      <c r="U75" s="105">
        <v>16</v>
      </c>
      <c r="V75" s="105">
        <v>48</v>
      </c>
      <c r="W75" s="105">
        <v>45</v>
      </c>
      <c r="X75" s="105">
        <v>42</v>
      </c>
      <c r="Y75" s="105">
        <v>37</v>
      </c>
      <c r="Z75" s="105">
        <v>13</v>
      </c>
      <c r="AA75" s="105">
        <v>23</v>
      </c>
      <c r="AC75" s="426">
        <f t="shared" si="18"/>
        <v>64</v>
      </c>
      <c r="AD75" s="426">
        <f t="shared" si="19"/>
        <v>87</v>
      </c>
      <c r="AE75" s="426">
        <f t="shared" si="20"/>
        <v>50</v>
      </c>
    </row>
    <row r="76" spans="1:31" x14ac:dyDescent="0.3">
      <c r="A76" s="389" t="s">
        <v>185</v>
      </c>
      <c r="B76" s="85" t="s">
        <v>186</v>
      </c>
      <c r="C76" s="399" t="s">
        <v>251</v>
      </c>
      <c r="D76" s="337">
        <v>408</v>
      </c>
      <c r="E76" s="338">
        <v>192</v>
      </c>
      <c r="F76" s="338">
        <v>211</v>
      </c>
      <c r="G76" s="338">
        <v>5</v>
      </c>
      <c r="H76" s="338"/>
      <c r="I76" s="338">
        <v>245</v>
      </c>
      <c r="J76" s="338">
        <v>143</v>
      </c>
      <c r="K76" s="338">
        <v>6</v>
      </c>
      <c r="L76" s="338">
        <v>2</v>
      </c>
      <c r="M76" s="338">
        <v>0</v>
      </c>
      <c r="N76" s="338">
        <v>43</v>
      </c>
      <c r="O76" s="338">
        <v>24</v>
      </c>
      <c r="P76" s="105"/>
      <c r="Q76" s="393">
        <f t="shared" si="15"/>
        <v>245</v>
      </c>
      <c r="R76" s="394">
        <f t="shared" si="16"/>
        <v>143</v>
      </c>
      <c r="S76" s="394">
        <f t="shared" si="17"/>
        <v>8</v>
      </c>
      <c r="U76" s="105">
        <v>21</v>
      </c>
      <c r="V76" s="105">
        <v>51</v>
      </c>
      <c r="W76" s="105">
        <v>81</v>
      </c>
      <c r="X76" s="105">
        <v>89</v>
      </c>
      <c r="Y76" s="105">
        <v>76</v>
      </c>
      <c r="Z76" s="105">
        <v>39</v>
      </c>
      <c r="AA76" s="105">
        <v>51</v>
      </c>
      <c r="AC76" s="426">
        <f t="shared" si="18"/>
        <v>72</v>
      </c>
      <c r="AD76" s="426">
        <f t="shared" si="19"/>
        <v>170</v>
      </c>
      <c r="AE76" s="426">
        <f t="shared" si="20"/>
        <v>115</v>
      </c>
    </row>
    <row r="77" spans="1:31" x14ac:dyDescent="0.3">
      <c r="A77" s="389" t="s">
        <v>187</v>
      </c>
      <c r="B77" s="85" t="s">
        <v>188</v>
      </c>
      <c r="C77" s="399" t="s">
        <v>254</v>
      </c>
      <c r="D77" s="337">
        <v>5101</v>
      </c>
      <c r="E77" s="338">
        <v>2450</v>
      </c>
      <c r="F77" s="338">
        <v>2583</v>
      </c>
      <c r="G77" s="338">
        <v>68</v>
      </c>
      <c r="H77" s="338"/>
      <c r="I77" s="338">
        <v>2935</v>
      </c>
      <c r="J77" s="338">
        <v>1886</v>
      </c>
      <c r="K77" s="338">
        <v>149</v>
      </c>
      <c r="L77" s="338">
        <v>11</v>
      </c>
      <c r="M77" s="338">
        <v>8</v>
      </c>
      <c r="N77" s="338">
        <v>456</v>
      </c>
      <c r="O77" s="338">
        <v>1579</v>
      </c>
      <c r="P77" s="105"/>
      <c r="Q77" s="393">
        <f t="shared" si="15"/>
        <v>2935</v>
      </c>
      <c r="R77" s="394">
        <f t="shared" si="16"/>
        <v>1886</v>
      </c>
      <c r="S77" s="394">
        <f t="shared" si="17"/>
        <v>168</v>
      </c>
      <c r="U77" s="105">
        <v>275</v>
      </c>
      <c r="V77" s="105">
        <v>604</v>
      </c>
      <c r="W77" s="105">
        <v>957</v>
      </c>
      <c r="X77" s="105">
        <v>1160</v>
      </c>
      <c r="Y77" s="105">
        <v>1086</v>
      </c>
      <c r="Z77" s="105">
        <v>464</v>
      </c>
      <c r="AA77" s="105">
        <v>555</v>
      </c>
      <c r="AC77" s="426">
        <f t="shared" si="18"/>
        <v>879</v>
      </c>
      <c r="AD77" s="426">
        <f t="shared" si="19"/>
        <v>2117</v>
      </c>
      <c r="AE77" s="426">
        <f t="shared" si="20"/>
        <v>1550</v>
      </c>
    </row>
    <row r="78" spans="1:31" x14ac:dyDescent="0.3">
      <c r="A78" s="389" t="s">
        <v>189</v>
      </c>
      <c r="B78" s="85" t="s">
        <v>190</v>
      </c>
      <c r="C78" s="399" t="s">
        <v>255</v>
      </c>
      <c r="D78" s="337">
        <v>1389</v>
      </c>
      <c r="E78" s="338">
        <v>703</v>
      </c>
      <c r="F78" s="338">
        <v>677</v>
      </c>
      <c r="G78" s="338">
        <v>9</v>
      </c>
      <c r="H78" s="338"/>
      <c r="I78" s="338">
        <v>1233</v>
      </c>
      <c r="J78" s="338">
        <v>259</v>
      </c>
      <c r="K78" s="338">
        <v>2</v>
      </c>
      <c r="L78" s="338">
        <v>3</v>
      </c>
      <c r="M78" s="338">
        <v>3</v>
      </c>
      <c r="N78" s="338">
        <v>58</v>
      </c>
      <c r="O78" s="338">
        <v>53</v>
      </c>
      <c r="P78" s="105"/>
      <c r="Q78" s="393">
        <f t="shared" si="15"/>
        <v>1233</v>
      </c>
      <c r="R78" s="394">
        <f t="shared" si="16"/>
        <v>259</v>
      </c>
      <c r="S78" s="394">
        <f t="shared" si="17"/>
        <v>8</v>
      </c>
      <c r="U78" s="105">
        <v>121</v>
      </c>
      <c r="V78" s="105">
        <v>212</v>
      </c>
      <c r="W78" s="105">
        <v>341</v>
      </c>
      <c r="X78" s="105">
        <v>299</v>
      </c>
      <c r="Y78" s="105">
        <v>290</v>
      </c>
      <c r="Z78" s="105">
        <v>86</v>
      </c>
      <c r="AA78" s="105">
        <v>40</v>
      </c>
      <c r="AC78" s="426">
        <f t="shared" si="18"/>
        <v>333</v>
      </c>
      <c r="AD78" s="426">
        <f t="shared" si="19"/>
        <v>640</v>
      </c>
      <c r="AE78" s="426">
        <f t="shared" si="20"/>
        <v>376</v>
      </c>
    </row>
    <row r="79" spans="1:31" x14ac:dyDescent="0.3">
      <c r="A79" s="389" t="s">
        <v>193</v>
      </c>
      <c r="B79" s="85" t="s">
        <v>194</v>
      </c>
      <c r="C79" s="399" t="s">
        <v>254</v>
      </c>
      <c r="D79" s="337">
        <v>83</v>
      </c>
      <c r="E79" s="338">
        <v>44</v>
      </c>
      <c r="F79" s="338">
        <v>38</v>
      </c>
      <c r="G79" s="338">
        <v>1</v>
      </c>
      <c r="H79" s="338"/>
      <c r="I79" s="338">
        <v>77</v>
      </c>
      <c r="J79" s="338">
        <v>9</v>
      </c>
      <c r="K79" s="338">
        <v>0</v>
      </c>
      <c r="L79" s="338">
        <v>0</v>
      </c>
      <c r="M79" s="338">
        <v>0</v>
      </c>
      <c r="N79" s="338">
        <v>1</v>
      </c>
      <c r="O79" s="338">
        <v>8</v>
      </c>
      <c r="P79" s="105"/>
      <c r="Q79" s="393">
        <f t="shared" si="15"/>
        <v>77</v>
      </c>
      <c r="R79" s="394">
        <f t="shared" si="16"/>
        <v>9</v>
      </c>
      <c r="S79" s="394">
        <f t="shared" si="17"/>
        <v>0</v>
      </c>
      <c r="U79" s="105">
        <v>8</v>
      </c>
      <c r="V79" s="105">
        <v>14</v>
      </c>
      <c r="W79" s="105">
        <v>20</v>
      </c>
      <c r="X79" s="105">
        <v>18</v>
      </c>
      <c r="Y79" s="105">
        <v>12</v>
      </c>
      <c r="Z79" s="105">
        <v>6</v>
      </c>
      <c r="AA79" s="105">
        <v>5</v>
      </c>
      <c r="AC79" s="426">
        <f t="shared" si="18"/>
        <v>22</v>
      </c>
      <c r="AD79" s="426">
        <f t="shared" si="19"/>
        <v>38</v>
      </c>
      <c r="AE79" s="426">
        <f t="shared" si="20"/>
        <v>18</v>
      </c>
    </row>
    <row r="80" spans="1:31" x14ac:dyDescent="0.3">
      <c r="A80" s="389" t="s">
        <v>197</v>
      </c>
      <c r="B80" s="85" t="s">
        <v>259</v>
      </c>
      <c r="C80" s="399" t="s">
        <v>253</v>
      </c>
      <c r="D80" s="337">
        <v>80</v>
      </c>
      <c r="E80" s="338">
        <v>42</v>
      </c>
      <c r="F80" s="338">
        <v>37</v>
      </c>
      <c r="G80" s="338">
        <v>1</v>
      </c>
      <c r="H80" s="338"/>
      <c r="I80" s="338">
        <v>50</v>
      </c>
      <c r="J80" s="338">
        <v>33</v>
      </c>
      <c r="K80" s="338">
        <v>0</v>
      </c>
      <c r="L80" s="338">
        <v>0</v>
      </c>
      <c r="M80" s="338">
        <v>0</v>
      </c>
      <c r="N80" s="338">
        <v>2</v>
      </c>
      <c r="O80" s="338">
        <v>6</v>
      </c>
      <c r="P80" s="105"/>
      <c r="Q80" s="393">
        <f t="shared" si="15"/>
        <v>50</v>
      </c>
      <c r="R80" s="394">
        <f t="shared" si="16"/>
        <v>33</v>
      </c>
      <c r="S80" s="394">
        <f t="shared" si="17"/>
        <v>0</v>
      </c>
      <c r="U80" s="105">
        <v>5</v>
      </c>
      <c r="V80" s="105">
        <v>16</v>
      </c>
      <c r="W80" s="105">
        <v>16</v>
      </c>
      <c r="X80" s="105">
        <v>18</v>
      </c>
      <c r="Y80" s="105">
        <v>12</v>
      </c>
      <c r="Z80" s="105">
        <v>5</v>
      </c>
      <c r="AA80" s="105">
        <v>8</v>
      </c>
      <c r="AC80" s="426">
        <f t="shared" si="18"/>
        <v>21</v>
      </c>
      <c r="AD80" s="426">
        <f t="shared" si="19"/>
        <v>34</v>
      </c>
      <c r="AE80" s="426">
        <f t="shared" si="20"/>
        <v>17</v>
      </c>
    </row>
    <row r="81" spans="1:31" x14ac:dyDescent="0.3">
      <c r="A81" s="389" t="s">
        <v>201</v>
      </c>
      <c r="B81" s="85" t="s">
        <v>276</v>
      </c>
      <c r="C81" s="399" t="s">
        <v>252</v>
      </c>
      <c r="D81" s="337">
        <v>2110</v>
      </c>
      <c r="E81" s="338">
        <v>1113</v>
      </c>
      <c r="F81" s="338">
        <v>976</v>
      </c>
      <c r="G81" s="338">
        <v>21</v>
      </c>
      <c r="H81" s="338"/>
      <c r="I81" s="338">
        <v>1725</v>
      </c>
      <c r="J81" s="338">
        <v>381</v>
      </c>
      <c r="K81" s="338">
        <v>20</v>
      </c>
      <c r="L81" s="338">
        <v>9</v>
      </c>
      <c r="M81" s="338">
        <v>0</v>
      </c>
      <c r="N81" s="338">
        <v>150</v>
      </c>
      <c r="O81" s="338">
        <v>69</v>
      </c>
      <c r="P81" s="105"/>
      <c r="Q81" s="393">
        <f t="shared" si="15"/>
        <v>1725</v>
      </c>
      <c r="R81" s="394">
        <f t="shared" si="16"/>
        <v>381</v>
      </c>
      <c r="S81" s="394">
        <f t="shared" si="17"/>
        <v>29</v>
      </c>
      <c r="U81" s="105">
        <v>145</v>
      </c>
      <c r="V81" s="105">
        <v>302</v>
      </c>
      <c r="W81" s="105">
        <v>460</v>
      </c>
      <c r="X81" s="105">
        <v>465</v>
      </c>
      <c r="Y81" s="105">
        <v>437</v>
      </c>
      <c r="Z81" s="105">
        <v>159</v>
      </c>
      <c r="AA81" s="105">
        <v>142</v>
      </c>
      <c r="AC81" s="426">
        <f t="shared" si="18"/>
        <v>447</v>
      </c>
      <c r="AD81" s="426">
        <f t="shared" si="19"/>
        <v>925</v>
      </c>
      <c r="AE81" s="426">
        <f t="shared" si="20"/>
        <v>596</v>
      </c>
    </row>
    <row r="82" spans="1:31" x14ac:dyDescent="0.3">
      <c r="A82" s="389" t="s">
        <v>203</v>
      </c>
      <c r="B82" s="85" t="s">
        <v>269</v>
      </c>
      <c r="C82" s="399" t="s">
        <v>252</v>
      </c>
      <c r="D82" s="337">
        <v>774</v>
      </c>
      <c r="E82" s="338">
        <v>316</v>
      </c>
      <c r="F82" s="338">
        <v>448</v>
      </c>
      <c r="G82" s="338">
        <v>10</v>
      </c>
      <c r="H82" s="338"/>
      <c r="I82" s="338">
        <v>721</v>
      </c>
      <c r="J82" s="338">
        <v>46</v>
      </c>
      <c r="K82" s="338">
        <v>1</v>
      </c>
      <c r="L82" s="338">
        <v>0</v>
      </c>
      <c r="M82" s="338">
        <v>7</v>
      </c>
      <c r="N82" s="338">
        <v>39</v>
      </c>
      <c r="O82" s="338">
        <v>13</v>
      </c>
      <c r="P82" s="105"/>
      <c r="Q82" s="393">
        <f t="shared" si="15"/>
        <v>721</v>
      </c>
      <c r="R82" s="394">
        <f t="shared" si="16"/>
        <v>46</v>
      </c>
      <c r="S82" s="394">
        <f t="shared" si="17"/>
        <v>8</v>
      </c>
      <c r="U82" s="105">
        <v>46</v>
      </c>
      <c r="V82" s="105">
        <v>135</v>
      </c>
      <c r="W82" s="105">
        <v>158</v>
      </c>
      <c r="X82" s="105">
        <v>153</v>
      </c>
      <c r="Y82" s="105">
        <v>154</v>
      </c>
      <c r="Z82" s="105">
        <v>28</v>
      </c>
      <c r="AA82" s="105">
        <v>100</v>
      </c>
      <c r="AC82" s="426">
        <f t="shared" si="18"/>
        <v>181</v>
      </c>
      <c r="AD82" s="426">
        <f t="shared" si="19"/>
        <v>311</v>
      </c>
      <c r="AE82" s="426">
        <f t="shared" si="20"/>
        <v>182</v>
      </c>
    </row>
    <row r="83" spans="1:31" x14ac:dyDescent="0.3">
      <c r="A83" s="389" t="s">
        <v>205</v>
      </c>
      <c r="B83" s="85" t="s">
        <v>270</v>
      </c>
      <c r="C83" s="399" t="s">
        <v>254</v>
      </c>
      <c r="D83" s="337">
        <v>3179</v>
      </c>
      <c r="E83" s="338">
        <v>1565</v>
      </c>
      <c r="F83" s="338">
        <v>1567</v>
      </c>
      <c r="G83" s="338">
        <v>47</v>
      </c>
      <c r="H83" s="338"/>
      <c r="I83" s="338">
        <v>2844</v>
      </c>
      <c r="J83" s="338">
        <v>364</v>
      </c>
      <c r="K83" s="338">
        <v>13</v>
      </c>
      <c r="L83" s="338">
        <v>13</v>
      </c>
      <c r="M83" s="338">
        <v>0</v>
      </c>
      <c r="N83" s="338">
        <v>100</v>
      </c>
      <c r="O83" s="338">
        <v>553</v>
      </c>
      <c r="P83" s="105"/>
      <c r="Q83" s="393">
        <f t="shared" si="15"/>
        <v>2844</v>
      </c>
      <c r="R83" s="394">
        <f t="shared" si="16"/>
        <v>364</v>
      </c>
      <c r="S83" s="394">
        <f t="shared" si="17"/>
        <v>26</v>
      </c>
      <c r="U83" s="105">
        <v>218</v>
      </c>
      <c r="V83" s="105">
        <v>467</v>
      </c>
      <c r="W83" s="105">
        <v>804</v>
      </c>
      <c r="X83" s="105">
        <v>701</v>
      </c>
      <c r="Y83" s="105">
        <v>548</v>
      </c>
      <c r="Z83" s="105">
        <v>232</v>
      </c>
      <c r="AA83" s="105">
        <v>209</v>
      </c>
      <c r="AC83" s="426">
        <f t="shared" si="18"/>
        <v>685</v>
      </c>
      <c r="AD83" s="426">
        <f t="shared" si="19"/>
        <v>1505</v>
      </c>
      <c r="AE83" s="426">
        <f t="shared" si="20"/>
        <v>780</v>
      </c>
    </row>
    <row r="84" spans="1:31" x14ac:dyDescent="0.3">
      <c r="A84" s="389" t="s">
        <v>207</v>
      </c>
      <c r="B84" s="85" t="s">
        <v>208</v>
      </c>
      <c r="C84" s="399" t="s">
        <v>255</v>
      </c>
      <c r="D84" s="337">
        <v>864</v>
      </c>
      <c r="E84" s="338">
        <v>402</v>
      </c>
      <c r="F84" s="338">
        <v>455</v>
      </c>
      <c r="G84" s="338">
        <v>7</v>
      </c>
      <c r="H84" s="338"/>
      <c r="I84" s="338">
        <v>846</v>
      </c>
      <c r="J84" s="338">
        <v>19</v>
      </c>
      <c r="K84" s="338">
        <v>0</v>
      </c>
      <c r="L84" s="338">
        <v>0</v>
      </c>
      <c r="M84" s="338">
        <v>0</v>
      </c>
      <c r="N84" s="338">
        <v>11</v>
      </c>
      <c r="O84" s="338">
        <v>9</v>
      </c>
      <c r="P84" s="105"/>
      <c r="Q84" s="393">
        <f t="shared" si="15"/>
        <v>846</v>
      </c>
      <c r="R84" s="394">
        <f t="shared" si="16"/>
        <v>19</v>
      </c>
      <c r="S84" s="394">
        <f t="shared" si="17"/>
        <v>0</v>
      </c>
      <c r="U84" s="105">
        <v>90</v>
      </c>
      <c r="V84" s="105">
        <v>153</v>
      </c>
      <c r="W84" s="105">
        <v>212</v>
      </c>
      <c r="X84" s="105">
        <v>140</v>
      </c>
      <c r="Y84" s="105">
        <v>154</v>
      </c>
      <c r="Z84" s="105">
        <v>68</v>
      </c>
      <c r="AA84" s="105">
        <v>47</v>
      </c>
      <c r="AC84" s="426">
        <f t="shared" si="18"/>
        <v>243</v>
      </c>
      <c r="AD84" s="426">
        <f t="shared" si="19"/>
        <v>352</v>
      </c>
      <c r="AE84" s="426">
        <f t="shared" si="20"/>
        <v>222</v>
      </c>
    </row>
    <row r="85" spans="1:31" x14ac:dyDescent="0.3">
      <c r="A85" s="389" t="s">
        <v>209</v>
      </c>
      <c r="B85" s="85" t="s">
        <v>210</v>
      </c>
      <c r="C85" s="399" t="s">
        <v>255</v>
      </c>
      <c r="D85" s="337">
        <v>660</v>
      </c>
      <c r="E85" s="338">
        <v>349</v>
      </c>
      <c r="F85" s="338">
        <v>299</v>
      </c>
      <c r="G85" s="338">
        <v>12</v>
      </c>
      <c r="H85" s="338"/>
      <c r="I85" s="338">
        <v>639</v>
      </c>
      <c r="J85" s="338">
        <v>15</v>
      </c>
      <c r="K85" s="338">
        <v>0</v>
      </c>
      <c r="L85" s="338">
        <v>0</v>
      </c>
      <c r="M85" s="338">
        <v>0</v>
      </c>
      <c r="N85" s="338">
        <v>25</v>
      </c>
      <c r="O85" s="338">
        <v>6</v>
      </c>
      <c r="P85" s="105"/>
      <c r="Q85" s="393">
        <f t="shared" si="15"/>
        <v>639</v>
      </c>
      <c r="R85" s="394">
        <f t="shared" si="16"/>
        <v>15</v>
      </c>
      <c r="S85" s="394">
        <f t="shared" si="17"/>
        <v>0</v>
      </c>
      <c r="U85" s="105">
        <v>48</v>
      </c>
      <c r="V85" s="105">
        <v>71</v>
      </c>
      <c r="W85" s="105">
        <v>183</v>
      </c>
      <c r="X85" s="105">
        <v>146</v>
      </c>
      <c r="Y85" s="105">
        <v>132</v>
      </c>
      <c r="Z85" s="105">
        <v>42</v>
      </c>
      <c r="AA85" s="105">
        <v>38</v>
      </c>
      <c r="AC85" s="426">
        <f t="shared" si="18"/>
        <v>119</v>
      </c>
      <c r="AD85" s="426">
        <f t="shared" si="19"/>
        <v>329</v>
      </c>
      <c r="AE85" s="426">
        <f t="shared" si="20"/>
        <v>174</v>
      </c>
    </row>
    <row r="86" spans="1:31" x14ac:dyDescent="0.3">
      <c r="A86" s="389" t="s">
        <v>211</v>
      </c>
      <c r="B86" s="85" t="s">
        <v>212</v>
      </c>
      <c r="C86" s="399" t="s">
        <v>254</v>
      </c>
      <c r="D86" s="337">
        <v>1097</v>
      </c>
      <c r="E86" s="338">
        <v>528</v>
      </c>
      <c r="F86" s="338">
        <v>563</v>
      </c>
      <c r="G86" s="338">
        <v>6</v>
      </c>
      <c r="H86" s="338"/>
      <c r="I86" s="338">
        <v>1024</v>
      </c>
      <c r="J86" s="338">
        <v>84</v>
      </c>
      <c r="K86" s="338">
        <v>3</v>
      </c>
      <c r="L86" s="338">
        <v>0</v>
      </c>
      <c r="M86" s="338">
        <v>2</v>
      </c>
      <c r="N86" s="338">
        <v>46</v>
      </c>
      <c r="O86" s="338">
        <v>85</v>
      </c>
      <c r="P86" s="105"/>
      <c r="Q86" s="393">
        <f t="shared" si="15"/>
        <v>1024</v>
      </c>
      <c r="R86" s="394">
        <f t="shared" si="16"/>
        <v>84</v>
      </c>
      <c r="S86" s="394">
        <f t="shared" si="17"/>
        <v>5</v>
      </c>
      <c r="U86" s="105">
        <v>97</v>
      </c>
      <c r="V86" s="105">
        <v>172</v>
      </c>
      <c r="W86" s="105">
        <v>227</v>
      </c>
      <c r="X86" s="105">
        <v>226</v>
      </c>
      <c r="Y86" s="105">
        <v>248</v>
      </c>
      <c r="Z86" s="105">
        <v>84</v>
      </c>
      <c r="AA86" s="105">
        <v>43</v>
      </c>
      <c r="AC86" s="426">
        <f t="shared" si="18"/>
        <v>269</v>
      </c>
      <c r="AD86" s="426">
        <f t="shared" si="19"/>
        <v>453</v>
      </c>
      <c r="AE86" s="426">
        <f t="shared" si="20"/>
        <v>332</v>
      </c>
    </row>
    <row r="87" spans="1:31" x14ac:dyDescent="0.3">
      <c r="A87" s="389" t="s">
        <v>213</v>
      </c>
      <c r="B87" s="85" t="s">
        <v>214</v>
      </c>
      <c r="C87" s="399" t="s">
        <v>255</v>
      </c>
      <c r="D87" s="337">
        <v>905</v>
      </c>
      <c r="E87" s="338">
        <v>420</v>
      </c>
      <c r="F87" s="338">
        <v>480</v>
      </c>
      <c r="G87" s="338">
        <v>5</v>
      </c>
      <c r="H87" s="338"/>
      <c r="I87" s="338">
        <v>870</v>
      </c>
      <c r="J87" s="338">
        <v>25</v>
      </c>
      <c r="K87" s="338">
        <v>0</v>
      </c>
      <c r="L87" s="338">
        <v>4</v>
      </c>
      <c r="M87" s="338">
        <v>0</v>
      </c>
      <c r="N87" s="338">
        <v>25</v>
      </c>
      <c r="O87" s="338">
        <v>35</v>
      </c>
      <c r="P87" s="105"/>
      <c r="Q87" s="393">
        <f t="shared" si="15"/>
        <v>870</v>
      </c>
      <c r="R87" s="394">
        <f t="shared" si="16"/>
        <v>25</v>
      </c>
      <c r="S87" s="394">
        <f t="shared" si="17"/>
        <v>4</v>
      </c>
      <c r="U87" s="105">
        <v>80</v>
      </c>
      <c r="V87" s="105">
        <v>198</v>
      </c>
      <c r="W87" s="105">
        <v>248</v>
      </c>
      <c r="X87" s="105">
        <v>157</v>
      </c>
      <c r="Y87" s="105">
        <v>135</v>
      </c>
      <c r="Z87" s="105">
        <v>48</v>
      </c>
      <c r="AA87" s="105">
        <v>39</v>
      </c>
      <c r="AC87" s="426">
        <f t="shared" si="18"/>
        <v>278</v>
      </c>
      <c r="AD87" s="426">
        <f t="shared" si="19"/>
        <v>405</v>
      </c>
      <c r="AE87" s="426">
        <f t="shared" si="20"/>
        <v>183</v>
      </c>
    </row>
    <row r="88" spans="1:31" x14ac:dyDescent="0.3">
      <c r="A88" s="389" t="s">
        <v>215</v>
      </c>
      <c r="B88" s="85" t="s">
        <v>216</v>
      </c>
      <c r="C88" s="399" t="s">
        <v>251</v>
      </c>
      <c r="D88" s="337">
        <v>155</v>
      </c>
      <c r="E88" s="338">
        <v>78</v>
      </c>
      <c r="F88" s="338">
        <v>72</v>
      </c>
      <c r="G88" s="338">
        <v>5</v>
      </c>
      <c r="H88" s="338"/>
      <c r="I88" s="338">
        <v>91</v>
      </c>
      <c r="J88" s="338">
        <v>62</v>
      </c>
      <c r="K88" s="338">
        <v>0</v>
      </c>
      <c r="L88" s="338">
        <v>2</v>
      </c>
      <c r="M88" s="338">
        <v>0</v>
      </c>
      <c r="N88" s="338">
        <v>5</v>
      </c>
      <c r="O88" s="338">
        <v>1</v>
      </c>
      <c r="P88" s="105"/>
      <c r="Q88" s="393">
        <f t="shared" si="15"/>
        <v>91</v>
      </c>
      <c r="R88" s="394">
        <f t="shared" si="16"/>
        <v>62</v>
      </c>
      <c r="S88" s="394">
        <f t="shared" si="17"/>
        <v>2</v>
      </c>
      <c r="U88" s="105">
        <v>8</v>
      </c>
      <c r="V88" s="105">
        <v>20</v>
      </c>
      <c r="W88" s="105">
        <v>37</v>
      </c>
      <c r="X88" s="105">
        <v>25</v>
      </c>
      <c r="Y88" s="105">
        <v>21</v>
      </c>
      <c r="Z88" s="105">
        <v>13</v>
      </c>
      <c r="AA88" s="105">
        <v>31</v>
      </c>
      <c r="AC88" s="426">
        <f t="shared" si="18"/>
        <v>28</v>
      </c>
      <c r="AD88" s="426">
        <f t="shared" si="19"/>
        <v>62</v>
      </c>
      <c r="AE88" s="426">
        <f t="shared" si="20"/>
        <v>34</v>
      </c>
    </row>
    <row r="89" spans="1:31" x14ac:dyDescent="0.3">
      <c r="A89" s="389" t="s">
        <v>217</v>
      </c>
      <c r="B89" s="85" t="s">
        <v>218</v>
      </c>
      <c r="C89" s="399" t="s">
        <v>254</v>
      </c>
      <c r="D89" s="337">
        <v>1612</v>
      </c>
      <c r="E89" s="338">
        <v>775</v>
      </c>
      <c r="F89" s="338">
        <v>816</v>
      </c>
      <c r="G89" s="338">
        <v>21</v>
      </c>
      <c r="H89" s="338"/>
      <c r="I89" s="338">
        <v>977</v>
      </c>
      <c r="J89" s="338">
        <v>435</v>
      </c>
      <c r="K89" s="338">
        <v>29</v>
      </c>
      <c r="L89" s="338">
        <v>4</v>
      </c>
      <c r="M89" s="338">
        <v>1</v>
      </c>
      <c r="N89" s="338">
        <v>315</v>
      </c>
      <c r="O89" s="338">
        <v>174</v>
      </c>
      <c r="P89" s="105"/>
      <c r="Q89" s="393">
        <f t="shared" si="15"/>
        <v>977</v>
      </c>
      <c r="R89" s="394">
        <f t="shared" si="16"/>
        <v>435</v>
      </c>
      <c r="S89" s="394">
        <f t="shared" si="17"/>
        <v>34</v>
      </c>
      <c r="U89" s="105">
        <v>165</v>
      </c>
      <c r="V89" s="105">
        <v>189</v>
      </c>
      <c r="W89" s="105">
        <v>329</v>
      </c>
      <c r="X89" s="105">
        <v>320</v>
      </c>
      <c r="Y89" s="105">
        <v>310</v>
      </c>
      <c r="Z89" s="105">
        <v>122</v>
      </c>
      <c r="AA89" s="105">
        <v>177</v>
      </c>
      <c r="AC89" s="426">
        <f t="shared" si="18"/>
        <v>354</v>
      </c>
      <c r="AD89" s="426">
        <f t="shared" si="19"/>
        <v>649</v>
      </c>
      <c r="AE89" s="426">
        <f t="shared" si="20"/>
        <v>432</v>
      </c>
    </row>
    <row r="90" spans="1:31" x14ac:dyDescent="0.3">
      <c r="A90" s="389" t="s">
        <v>219</v>
      </c>
      <c r="B90" s="85" t="s">
        <v>220</v>
      </c>
      <c r="C90" s="399" t="s">
        <v>254</v>
      </c>
      <c r="D90" s="337">
        <v>1446</v>
      </c>
      <c r="E90" s="338">
        <v>673</v>
      </c>
      <c r="F90" s="338">
        <v>750</v>
      </c>
      <c r="G90" s="338">
        <v>23</v>
      </c>
      <c r="H90" s="338"/>
      <c r="I90" s="338">
        <v>869</v>
      </c>
      <c r="J90" s="338">
        <v>459</v>
      </c>
      <c r="K90" s="338">
        <v>16</v>
      </c>
      <c r="L90" s="338">
        <v>1</v>
      </c>
      <c r="M90" s="338">
        <v>6</v>
      </c>
      <c r="N90" s="338">
        <v>192</v>
      </c>
      <c r="O90" s="338">
        <v>186</v>
      </c>
      <c r="P90" s="105"/>
      <c r="Q90" s="393">
        <f t="shared" si="15"/>
        <v>869</v>
      </c>
      <c r="R90" s="394">
        <f t="shared" si="16"/>
        <v>459</v>
      </c>
      <c r="S90" s="394">
        <f t="shared" si="17"/>
        <v>23</v>
      </c>
      <c r="U90" s="105">
        <v>110</v>
      </c>
      <c r="V90" s="105">
        <v>204</v>
      </c>
      <c r="W90" s="105">
        <v>313</v>
      </c>
      <c r="X90" s="105">
        <v>299</v>
      </c>
      <c r="Y90" s="105">
        <v>279</v>
      </c>
      <c r="Z90" s="105">
        <v>113</v>
      </c>
      <c r="AA90" s="105">
        <v>128</v>
      </c>
      <c r="AC90" s="426">
        <f t="shared" si="18"/>
        <v>314</v>
      </c>
      <c r="AD90" s="426">
        <f t="shared" si="19"/>
        <v>612</v>
      </c>
      <c r="AE90" s="426">
        <f t="shared" si="20"/>
        <v>392</v>
      </c>
    </row>
    <row r="91" spans="1:31" x14ac:dyDescent="0.3">
      <c r="A91" s="389" t="s">
        <v>223</v>
      </c>
      <c r="B91" s="85" t="s">
        <v>224</v>
      </c>
      <c r="C91" s="399" t="s">
        <v>251</v>
      </c>
      <c r="D91" s="337">
        <v>70</v>
      </c>
      <c r="E91" s="338">
        <v>30</v>
      </c>
      <c r="F91" s="338">
        <v>40</v>
      </c>
      <c r="G91" s="338">
        <v>0</v>
      </c>
      <c r="H91" s="338"/>
      <c r="I91" s="338">
        <v>46</v>
      </c>
      <c r="J91" s="338">
        <v>26</v>
      </c>
      <c r="K91" s="338">
        <v>0</v>
      </c>
      <c r="L91" s="338">
        <v>0</v>
      </c>
      <c r="M91" s="338">
        <v>0</v>
      </c>
      <c r="N91" s="338">
        <v>1</v>
      </c>
      <c r="O91" s="338">
        <v>1</v>
      </c>
      <c r="P91" s="105"/>
      <c r="Q91" s="393">
        <f t="shared" si="15"/>
        <v>46</v>
      </c>
      <c r="R91" s="394">
        <f t="shared" si="16"/>
        <v>26</v>
      </c>
      <c r="S91" s="394">
        <f t="shared" si="17"/>
        <v>0</v>
      </c>
      <c r="U91" s="105">
        <v>7</v>
      </c>
      <c r="V91" s="105">
        <v>7</v>
      </c>
      <c r="W91" s="105">
        <v>25</v>
      </c>
      <c r="X91" s="105">
        <v>15</v>
      </c>
      <c r="Y91" s="105">
        <v>9</v>
      </c>
      <c r="Z91" s="105">
        <v>2</v>
      </c>
      <c r="AA91" s="105">
        <v>5</v>
      </c>
      <c r="AC91" s="426">
        <f t="shared" si="18"/>
        <v>14</v>
      </c>
      <c r="AD91" s="426">
        <f t="shared" si="19"/>
        <v>40</v>
      </c>
      <c r="AE91" s="426">
        <f t="shared" si="20"/>
        <v>11</v>
      </c>
    </row>
    <row r="92" spans="1:31" x14ac:dyDescent="0.3">
      <c r="A92" s="389" t="s">
        <v>225</v>
      </c>
      <c r="B92" s="85" t="s">
        <v>226</v>
      </c>
      <c r="C92" s="399" t="s">
        <v>251</v>
      </c>
      <c r="D92" s="337">
        <v>100</v>
      </c>
      <c r="E92" s="338">
        <v>46</v>
      </c>
      <c r="F92" s="338">
        <v>52</v>
      </c>
      <c r="G92" s="338">
        <v>2</v>
      </c>
      <c r="H92" s="338"/>
      <c r="I92" s="338">
        <v>43</v>
      </c>
      <c r="J92" s="338">
        <v>45</v>
      </c>
      <c r="K92" s="338">
        <v>0</v>
      </c>
      <c r="L92" s="338">
        <v>3</v>
      </c>
      <c r="M92" s="338">
        <v>0</v>
      </c>
      <c r="N92" s="338">
        <v>19</v>
      </c>
      <c r="O92" s="338">
        <v>3</v>
      </c>
      <c r="P92" s="105"/>
      <c r="Q92" s="393">
        <f t="shared" si="15"/>
        <v>43</v>
      </c>
      <c r="R92" s="394">
        <f t="shared" si="16"/>
        <v>45</v>
      </c>
      <c r="S92" s="394">
        <f t="shared" si="17"/>
        <v>3</v>
      </c>
      <c r="U92" s="105">
        <v>6</v>
      </c>
      <c r="V92" s="105">
        <v>20</v>
      </c>
      <c r="W92" s="105">
        <v>10</v>
      </c>
      <c r="X92" s="105">
        <v>12</v>
      </c>
      <c r="Y92" s="105">
        <v>23</v>
      </c>
      <c r="Z92" s="105">
        <v>5</v>
      </c>
      <c r="AA92" s="105">
        <v>24</v>
      </c>
      <c r="AC92" s="426">
        <f t="shared" si="18"/>
        <v>26</v>
      </c>
      <c r="AD92" s="426">
        <f t="shared" si="19"/>
        <v>22</v>
      </c>
      <c r="AE92" s="426">
        <f t="shared" si="20"/>
        <v>28</v>
      </c>
    </row>
    <row r="93" spans="1:31" x14ac:dyDescent="0.3">
      <c r="A93" s="389" t="s">
        <v>227</v>
      </c>
      <c r="B93" s="85" t="s">
        <v>228</v>
      </c>
      <c r="C93" s="399" t="s">
        <v>255</v>
      </c>
      <c r="D93" s="337">
        <v>964</v>
      </c>
      <c r="E93" s="338">
        <v>449</v>
      </c>
      <c r="F93" s="338">
        <v>501</v>
      </c>
      <c r="G93" s="338">
        <v>14</v>
      </c>
      <c r="H93" s="338"/>
      <c r="I93" s="338">
        <v>908</v>
      </c>
      <c r="J93" s="338">
        <v>41</v>
      </c>
      <c r="K93" s="338">
        <v>3</v>
      </c>
      <c r="L93" s="338">
        <v>1</v>
      </c>
      <c r="M93" s="338">
        <v>0</v>
      </c>
      <c r="N93" s="338">
        <v>38</v>
      </c>
      <c r="O93" s="338">
        <v>13</v>
      </c>
      <c r="P93" s="105"/>
      <c r="Q93" s="393">
        <f t="shared" si="15"/>
        <v>908</v>
      </c>
      <c r="R93" s="394">
        <f t="shared" si="16"/>
        <v>41</v>
      </c>
      <c r="S93" s="394">
        <f t="shared" si="17"/>
        <v>4</v>
      </c>
      <c r="U93" s="105">
        <v>87</v>
      </c>
      <c r="V93" s="105">
        <v>158</v>
      </c>
      <c r="W93" s="105">
        <v>207</v>
      </c>
      <c r="X93" s="105">
        <v>174</v>
      </c>
      <c r="Y93" s="105">
        <v>162</v>
      </c>
      <c r="Z93" s="105">
        <v>57</v>
      </c>
      <c r="AA93" s="105">
        <v>119</v>
      </c>
      <c r="AC93" s="426">
        <f t="shared" si="18"/>
        <v>245</v>
      </c>
      <c r="AD93" s="426">
        <f t="shared" si="19"/>
        <v>381</v>
      </c>
      <c r="AE93" s="426">
        <f t="shared" si="20"/>
        <v>219</v>
      </c>
    </row>
    <row r="94" spans="1:31" x14ac:dyDescent="0.3">
      <c r="A94" s="389" t="s">
        <v>231</v>
      </c>
      <c r="B94" s="85" t="s">
        <v>232</v>
      </c>
      <c r="C94" s="399" t="s">
        <v>254</v>
      </c>
      <c r="D94" s="337">
        <v>884</v>
      </c>
      <c r="E94" s="338">
        <v>466</v>
      </c>
      <c r="F94" s="338">
        <v>406</v>
      </c>
      <c r="G94" s="338">
        <v>12</v>
      </c>
      <c r="H94" s="338"/>
      <c r="I94" s="338">
        <v>712</v>
      </c>
      <c r="J94" s="338">
        <v>90</v>
      </c>
      <c r="K94" s="338">
        <v>5</v>
      </c>
      <c r="L94" s="338">
        <v>4</v>
      </c>
      <c r="M94" s="338">
        <v>3</v>
      </c>
      <c r="N94" s="338">
        <v>114</v>
      </c>
      <c r="O94" s="338">
        <v>40</v>
      </c>
      <c r="P94" s="105"/>
      <c r="Q94" s="393">
        <f t="shared" si="15"/>
        <v>712</v>
      </c>
      <c r="R94" s="394">
        <f t="shared" si="16"/>
        <v>90</v>
      </c>
      <c r="S94" s="394">
        <f t="shared" si="17"/>
        <v>12</v>
      </c>
      <c r="U94" s="105">
        <v>103</v>
      </c>
      <c r="V94" s="105">
        <v>97</v>
      </c>
      <c r="W94" s="105">
        <v>175</v>
      </c>
      <c r="X94" s="105">
        <v>173</v>
      </c>
      <c r="Y94" s="105">
        <v>179</v>
      </c>
      <c r="Z94" s="105">
        <v>43</v>
      </c>
      <c r="AA94" s="105">
        <v>114</v>
      </c>
      <c r="AC94" s="426">
        <f t="shared" si="18"/>
        <v>200</v>
      </c>
      <c r="AD94" s="426">
        <f t="shared" si="19"/>
        <v>348</v>
      </c>
      <c r="AE94" s="426">
        <f t="shared" si="20"/>
        <v>222</v>
      </c>
    </row>
    <row r="95" spans="1:31" x14ac:dyDescent="0.3">
      <c r="A95" s="389" t="s">
        <v>233</v>
      </c>
      <c r="B95" s="85" t="s">
        <v>234</v>
      </c>
      <c r="C95" s="399" t="s">
        <v>255</v>
      </c>
      <c r="D95" s="337">
        <v>1148</v>
      </c>
      <c r="E95" s="338">
        <v>552</v>
      </c>
      <c r="F95" s="338">
        <v>585</v>
      </c>
      <c r="G95" s="338">
        <v>11</v>
      </c>
      <c r="H95" s="338"/>
      <c r="I95" s="338">
        <v>1093</v>
      </c>
      <c r="J95" s="338">
        <v>35</v>
      </c>
      <c r="K95" s="338">
        <v>3</v>
      </c>
      <c r="L95" s="338">
        <v>2</v>
      </c>
      <c r="M95" s="338">
        <v>5</v>
      </c>
      <c r="N95" s="338">
        <v>41</v>
      </c>
      <c r="O95" s="338">
        <v>20</v>
      </c>
      <c r="P95" s="105"/>
      <c r="Q95" s="393">
        <f t="shared" si="15"/>
        <v>1093</v>
      </c>
      <c r="R95" s="394">
        <f t="shared" si="16"/>
        <v>35</v>
      </c>
      <c r="S95" s="394">
        <f t="shared" si="17"/>
        <v>10</v>
      </c>
      <c r="U95" s="105">
        <v>114</v>
      </c>
      <c r="V95" s="105">
        <v>165</v>
      </c>
      <c r="W95" s="105">
        <v>237</v>
      </c>
      <c r="X95" s="105">
        <v>208</v>
      </c>
      <c r="Y95" s="105">
        <v>261</v>
      </c>
      <c r="Z95" s="105">
        <v>95</v>
      </c>
      <c r="AA95" s="105">
        <v>68</v>
      </c>
      <c r="AC95" s="426">
        <f t="shared" si="18"/>
        <v>279</v>
      </c>
      <c r="AD95" s="426">
        <f t="shared" si="19"/>
        <v>445</v>
      </c>
      <c r="AE95" s="426">
        <f t="shared" si="20"/>
        <v>356</v>
      </c>
    </row>
    <row r="96" spans="1:31" x14ac:dyDescent="0.3">
      <c r="A96" s="389" t="s">
        <v>235</v>
      </c>
      <c r="B96" s="85" t="s">
        <v>236</v>
      </c>
      <c r="C96" s="399" t="s">
        <v>253</v>
      </c>
      <c r="D96" s="337">
        <v>296</v>
      </c>
      <c r="E96" s="338">
        <v>135</v>
      </c>
      <c r="F96" s="338">
        <v>158</v>
      </c>
      <c r="G96" s="338">
        <v>3</v>
      </c>
      <c r="H96" s="338"/>
      <c r="I96" s="338">
        <v>158</v>
      </c>
      <c r="J96" s="338">
        <v>110</v>
      </c>
      <c r="K96" s="338">
        <v>1</v>
      </c>
      <c r="L96" s="338">
        <v>1</v>
      </c>
      <c r="M96" s="338">
        <v>0</v>
      </c>
      <c r="N96" s="338">
        <v>40</v>
      </c>
      <c r="O96" s="338">
        <v>29</v>
      </c>
      <c r="P96" s="105"/>
      <c r="Q96" s="393">
        <f t="shared" si="15"/>
        <v>158</v>
      </c>
      <c r="R96" s="394">
        <f t="shared" si="16"/>
        <v>110</v>
      </c>
      <c r="S96" s="394">
        <f t="shared" si="17"/>
        <v>2</v>
      </c>
      <c r="U96" s="105">
        <v>20</v>
      </c>
      <c r="V96" s="105">
        <v>46</v>
      </c>
      <c r="W96" s="105">
        <v>81</v>
      </c>
      <c r="X96" s="105">
        <v>53</v>
      </c>
      <c r="Y96" s="105">
        <v>52</v>
      </c>
      <c r="Z96" s="105">
        <v>17</v>
      </c>
      <c r="AA96" s="105">
        <v>27</v>
      </c>
      <c r="AC96" s="426">
        <f t="shared" si="18"/>
        <v>66</v>
      </c>
      <c r="AD96" s="426">
        <f t="shared" si="19"/>
        <v>134</v>
      </c>
      <c r="AE96" s="426">
        <f t="shared" si="20"/>
        <v>69</v>
      </c>
    </row>
    <row r="97" spans="1:31" x14ac:dyDescent="0.3">
      <c r="A97" s="389" t="s">
        <v>241</v>
      </c>
      <c r="B97" s="85" t="s">
        <v>242</v>
      </c>
      <c r="C97" s="399" t="s">
        <v>255</v>
      </c>
      <c r="D97" s="337">
        <v>1203</v>
      </c>
      <c r="E97" s="338">
        <v>604</v>
      </c>
      <c r="F97" s="338">
        <v>589</v>
      </c>
      <c r="G97" s="338">
        <v>10</v>
      </c>
      <c r="H97" s="338"/>
      <c r="I97" s="338">
        <v>1165</v>
      </c>
      <c r="J97" s="338">
        <v>36</v>
      </c>
      <c r="K97" s="338">
        <v>0</v>
      </c>
      <c r="L97" s="338">
        <v>12</v>
      </c>
      <c r="M97" s="338">
        <v>0</v>
      </c>
      <c r="N97" s="338">
        <v>15</v>
      </c>
      <c r="O97" s="338">
        <v>16</v>
      </c>
      <c r="P97" s="105"/>
      <c r="Q97" s="393">
        <f t="shared" si="15"/>
        <v>1165</v>
      </c>
      <c r="R97" s="394">
        <f t="shared" si="16"/>
        <v>36</v>
      </c>
      <c r="S97" s="394">
        <f t="shared" si="17"/>
        <v>12</v>
      </c>
      <c r="U97" s="105">
        <v>114</v>
      </c>
      <c r="V97" s="105">
        <v>227</v>
      </c>
      <c r="W97" s="105">
        <v>280</v>
      </c>
      <c r="X97" s="105">
        <v>235</v>
      </c>
      <c r="Y97" s="105">
        <v>223</v>
      </c>
      <c r="Z97" s="105">
        <v>80</v>
      </c>
      <c r="AA97" s="105">
        <v>44</v>
      </c>
      <c r="AC97" s="426">
        <f t="shared" si="18"/>
        <v>341</v>
      </c>
      <c r="AD97" s="426">
        <f t="shared" si="19"/>
        <v>515</v>
      </c>
      <c r="AE97" s="426">
        <f t="shared" si="20"/>
        <v>303</v>
      </c>
    </row>
    <row r="98" spans="1:31" x14ac:dyDescent="0.3">
      <c r="A98" s="389" t="s">
        <v>243</v>
      </c>
      <c r="B98" s="85" t="s">
        <v>244</v>
      </c>
      <c r="C98" s="399" t="s">
        <v>255</v>
      </c>
      <c r="D98" s="337">
        <v>631</v>
      </c>
      <c r="E98" s="338">
        <v>316</v>
      </c>
      <c r="F98" s="338">
        <v>303</v>
      </c>
      <c r="G98" s="338">
        <v>12</v>
      </c>
      <c r="H98" s="338"/>
      <c r="I98" s="338">
        <v>594</v>
      </c>
      <c r="J98" s="338">
        <v>57</v>
      </c>
      <c r="K98" s="338">
        <v>0</v>
      </c>
      <c r="L98" s="338">
        <v>2</v>
      </c>
      <c r="M98" s="338">
        <v>0</v>
      </c>
      <c r="N98" s="338">
        <v>20</v>
      </c>
      <c r="O98" s="338">
        <v>20</v>
      </c>
      <c r="P98" s="105"/>
      <c r="Q98" s="393">
        <f t="shared" si="15"/>
        <v>594</v>
      </c>
      <c r="R98" s="394">
        <f t="shared" si="16"/>
        <v>57</v>
      </c>
      <c r="S98" s="394">
        <f t="shared" si="17"/>
        <v>2</v>
      </c>
      <c r="U98" s="105">
        <v>63</v>
      </c>
      <c r="V98" s="105">
        <v>88</v>
      </c>
      <c r="W98" s="105">
        <v>141</v>
      </c>
      <c r="X98" s="105">
        <v>131</v>
      </c>
      <c r="Y98" s="105">
        <v>113</v>
      </c>
      <c r="Z98" s="105">
        <v>44</v>
      </c>
      <c r="AA98" s="105">
        <v>51</v>
      </c>
      <c r="AC98" s="426">
        <f t="shared" si="18"/>
        <v>151</v>
      </c>
      <c r="AD98" s="426">
        <f t="shared" si="19"/>
        <v>272</v>
      </c>
      <c r="AE98" s="426">
        <f t="shared" si="20"/>
        <v>157</v>
      </c>
    </row>
    <row r="99" spans="1:31" x14ac:dyDescent="0.3">
      <c r="A99" s="389" t="s">
        <v>245</v>
      </c>
      <c r="B99" s="85" t="s">
        <v>246</v>
      </c>
      <c r="C99" s="399" t="s">
        <v>251</v>
      </c>
      <c r="D99" s="337">
        <v>885</v>
      </c>
      <c r="E99" s="338">
        <v>461</v>
      </c>
      <c r="F99" s="338">
        <v>414</v>
      </c>
      <c r="G99" s="338">
        <v>10</v>
      </c>
      <c r="H99" s="338"/>
      <c r="I99" s="338">
        <v>557</v>
      </c>
      <c r="J99" s="338">
        <v>230</v>
      </c>
      <c r="K99" s="338">
        <v>16</v>
      </c>
      <c r="L99" s="338">
        <v>3</v>
      </c>
      <c r="M99" s="338">
        <v>1</v>
      </c>
      <c r="N99" s="338">
        <v>131</v>
      </c>
      <c r="O99" s="338">
        <v>58</v>
      </c>
      <c r="P99" s="105"/>
      <c r="Q99" s="393">
        <f t="shared" si="15"/>
        <v>557</v>
      </c>
      <c r="R99" s="394">
        <f t="shared" si="16"/>
        <v>230</v>
      </c>
      <c r="S99" s="394">
        <f t="shared" si="17"/>
        <v>20</v>
      </c>
      <c r="U99" s="105">
        <v>43</v>
      </c>
      <c r="V99" s="105">
        <v>96</v>
      </c>
      <c r="W99" s="105">
        <v>212</v>
      </c>
      <c r="X99" s="105">
        <v>178</v>
      </c>
      <c r="Y99" s="105">
        <v>209</v>
      </c>
      <c r="Z99" s="105">
        <v>70</v>
      </c>
      <c r="AA99" s="105">
        <v>77</v>
      </c>
      <c r="AC99" s="426">
        <f t="shared" si="18"/>
        <v>139</v>
      </c>
      <c r="AD99" s="426">
        <f t="shared" si="19"/>
        <v>390</v>
      </c>
      <c r="AE99" s="426">
        <f t="shared" si="20"/>
        <v>279</v>
      </c>
    </row>
    <row r="100" spans="1:31" x14ac:dyDescent="0.3">
      <c r="A100" s="389" t="s">
        <v>13</v>
      </c>
      <c r="B100" s="85" t="s">
        <v>14</v>
      </c>
      <c r="C100" s="399" t="s">
        <v>254</v>
      </c>
      <c r="D100" s="337">
        <v>1791</v>
      </c>
      <c r="E100" s="338">
        <v>846</v>
      </c>
      <c r="F100" s="338">
        <v>936</v>
      </c>
      <c r="G100" s="338">
        <v>9</v>
      </c>
      <c r="H100" s="338"/>
      <c r="I100" s="338">
        <v>869</v>
      </c>
      <c r="J100" s="338">
        <v>809</v>
      </c>
      <c r="K100" s="338">
        <v>44</v>
      </c>
      <c r="L100" s="338">
        <v>4</v>
      </c>
      <c r="M100" s="338">
        <v>4</v>
      </c>
      <c r="N100" s="338">
        <v>142</v>
      </c>
      <c r="O100" s="338">
        <v>621</v>
      </c>
      <c r="P100" s="105"/>
      <c r="Q100" s="393">
        <f t="shared" si="15"/>
        <v>869</v>
      </c>
      <c r="R100" s="394">
        <f t="shared" si="16"/>
        <v>809</v>
      </c>
      <c r="S100" s="394">
        <f t="shared" si="17"/>
        <v>52</v>
      </c>
      <c r="U100" s="105">
        <v>148</v>
      </c>
      <c r="V100" s="105">
        <v>298</v>
      </c>
      <c r="W100" s="105">
        <v>409</v>
      </c>
      <c r="X100" s="105">
        <v>368</v>
      </c>
      <c r="Y100" s="105">
        <v>318</v>
      </c>
      <c r="Z100" s="105">
        <v>147</v>
      </c>
      <c r="AA100" s="105">
        <v>103</v>
      </c>
      <c r="AC100" s="426">
        <f t="shared" si="18"/>
        <v>446</v>
      </c>
      <c r="AD100" s="426">
        <f t="shared" si="19"/>
        <v>777</v>
      </c>
      <c r="AE100" s="426">
        <f t="shared" si="20"/>
        <v>465</v>
      </c>
    </row>
    <row r="101" spans="1:31" x14ac:dyDescent="0.3">
      <c r="A101" s="389" t="s">
        <v>33</v>
      </c>
      <c r="B101" s="85" t="s">
        <v>34</v>
      </c>
      <c r="C101" s="399" t="s">
        <v>255</v>
      </c>
      <c r="D101" s="337">
        <v>789</v>
      </c>
      <c r="E101" s="338">
        <v>392</v>
      </c>
      <c r="F101" s="338">
        <v>374</v>
      </c>
      <c r="G101" s="338">
        <v>23</v>
      </c>
      <c r="H101" s="338"/>
      <c r="I101" s="338">
        <v>657</v>
      </c>
      <c r="J101" s="338">
        <v>90</v>
      </c>
      <c r="K101" s="338">
        <v>1</v>
      </c>
      <c r="L101" s="338">
        <v>0</v>
      </c>
      <c r="M101" s="338">
        <v>2</v>
      </c>
      <c r="N101" s="338">
        <v>77</v>
      </c>
      <c r="O101" s="338">
        <v>20</v>
      </c>
      <c r="P101" s="105"/>
      <c r="Q101" s="393">
        <f t="shared" ref="Q101:Q124" si="21">I101</f>
        <v>657</v>
      </c>
      <c r="R101" s="394">
        <f t="shared" ref="R101:R124" si="22">J101</f>
        <v>90</v>
      </c>
      <c r="S101" s="394">
        <f t="shared" ref="S101:S124" si="23">SUM(K101:M101)</f>
        <v>3</v>
      </c>
      <c r="U101" s="105">
        <v>82</v>
      </c>
      <c r="V101" s="105">
        <v>126</v>
      </c>
      <c r="W101" s="105">
        <v>164</v>
      </c>
      <c r="X101" s="105">
        <v>153</v>
      </c>
      <c r="Y101" s="105">
        <v>105</v>
      </c>
      <c r="Z101" s="105">
        <v>46</v>
      </c>
      <c r="AA101" s="105">
        <v>113</v>
      </c>
      <c r="AC101" s="426">
        <f t="shared" ref="AC101:AC124" si="24">U101+V101</f>
        <v>208</v>
      </c>
      <c r="AD101" s="426">
        <f t="shared" ref="AD101:AD124" si="25">W101+X101</f>
        <v>317</v>
      </c>
      <c r="AE101" s="426">
        <f t="shared" ref="AE101:AE124" si="26">Y101+Z101</f>
        <v>151</v>
      </c>
    </row>
    <row r="102" spans="1:31" x14ac:dyDescent="0.3">
      <c r="A102" s="389" t="s">
        <v>51</v>
      </c>
      <c r="B102" s="85" t="s">
        <v>52</v>
      </c>
      <c r="C102" s="399" t="s">
        <v>252</v>
      </c>
      <c r="D102" s="337">
        <v>783</v>
      </c>
      <c r="E102" s="338">
        <v>382</v>
      </c>
      <c r="F102" s="338">
        <v>370</v>
      </c>
      <c r="G102" s="338">
        <v>31</v>
      </c>
      <c r="H102" s="338"/>
      <c r="I102" s="338">
        <v>308</v>
      </c>
      <c r="J102" s="338">
        <v>487</v>
      </c>
      <c r="K102" s="338">
        <v>24</v>
      </c>
      <c r="L102" s="338">
        <v>2</v>
      </c>
      <c r="M102" s="338">
        <v>0</v>
      </c>
      <c r="N102" s="338">
        <v>63</v>
      </c>
      <c r="O102" s="338">
        <v>71</v>
      </c>
      <c r="P102" s="105"/>
      <c r="Q102" s="393">
        <f t="shared" si="21"/>
        <v>308</v>
      </c>
      <c r="R102" s="394">
        <f t="shared" si="22"/>
        <v>487</v>
      </c>
      <c r="S102" s="394">
        <f t="shared" si="23"/>
        <v>26</v>
      </c>
      <c r="U102" s="105">
        <v>59</v>
      </c>
      <c r="V102" s="105">
        <v>106</v>
      </c>
      <c r="W102" s="105">
        <v>170</v>
      </c>
      <c r="X102" s="105">
        <v>143</v>
      </c>
      <c r="Y102" s="105">
        <v>145</v>
      </c>
      <c r="Z102" s="105">
        <v>65</v>
      </c>
      <c r="AA102" s="105">
        <v>95</v>
      </c>
      <c r="AC102" s="426">
        <f t="shared" si="24"/>
        <v>165</v>
      </c>
      <c r="AD102" s="426">
        <f t="shared" si="25"/>
        <v>313</v>
      </c>
      <c r="AE102" s="426">
        <f t="shared" si="26"/>
        <v>210</v>
      </c>
    </row>
    <row r="103" spans="1:31" x14ac:dyDescent="0.3">
      <c r="A103" s="389" t="s">
        <v>53</v>
      </c>
      <c r="B103" s="85" t="s">
        <v>54</v>
      </c>
      <c r="C103" s="399" t="s">
        <v>251</v>
      </c>
      <c r="D103" s="337">
        <v>2885</v>
      </c>
      <c r="E103" s="338">
        <v>1433</v>
      </c>
      <c r="F103" s="338">
        <v>1415</v>
      </c>
      <c r="G103" s="338">
        <v>37</v>
      </c>
      <c r="H103" s="338"/>
      <c r="I103" s="338">
        <v>1458</v>
      </c>
      <c r="J103" s="338">
        <v>1369</v>
      </c>
      <c r="K103" s="338">
        <v>33</v>
      </c>
      <c r="L103" s="338">
        <v>18</v>
      </c>
      <c r="M103" s="338">
        <v>9</v>
      </c>
      <c r="N103" s="338">
        <v>152</v>
      </c>
      <c r="O103" s="338">
        <v>183</v>
      </c>
      <c r="P103" s="105"/>
      <c r="Q103" s="393">
        <f t="shared" si="21"/>
        <v>1458</v>
      </c>
      <c r="R103" s="394">
        <f t="shared" si="22"/>
        <v>1369</v>
      </c>
      <c r="S103" s="394">
        <f t="shared" si="23"/>
        <v>60</v>
      </c>
      <c r="U103" s="105">
        <v>156</v>
      </c>
      <c r="V103" s="105">
        <v>438</v>
      </c>
      <c r="W103" s="105">
        <v>559</v>
      </c>
      <c r="X103" s="105">
        <v>630</v>
      </c>
      <c r="Y103" s="105">
        <v>599</v>
      </c>
      <c r="Z103" s="105">
        <v>237</v>
      </c>
      <c r="AA103" s="105">
        <v>266</v>
      </c>
      <c r="AC103" s="426">
        <f t="shared" si="24"/>
        <v>594</v>
      </c>
      <c r="AD103" s="426">
        <f t="shared" si="25"/>
        <v>1189</v>
      </c>
      <c r="AE103" s="426">
        <f t="shared" si="26"/>
        <v>836</v>
      </c>
    </row>
    <row r="104" spans="1:31" x14ac:dyDescent="0.3">
      <c r="A104" s="389" t="s">
        <v>65</v>
      </c>
      <c r="B104" s="85" t="s">
        <v>66</v>
      </c>
      <c r="C104" s="399" t="s">
        <v>252</v>
      </c>
      <c r="D104" s="337">
        <v>657</v>
      </c>
      <c r="E104" s="338">
        <v>297</v>
      </c>
      <c r="F104" s="338">
        <v>353</v>
      </c>
      <c r="G104" s="338">
        <v>7</v>
      </c>
      <c r="H104" s="338"/>
      <c r="I104" s="338">
        <v>273</v>
      </c>
      <c r="J104" s="338">
        <v>337</v>
      </c>
      <c r="K104" s="338">
        <v>1</v>
      </c>
      <c r="L104" s="338">
        <v>1</v>
      </c>
      <c r="M104" s="338">
        <v>0</v>
      </c>
      <c r="N104" s="338">
        <v>61</v>
      </c>
      <c r="O104" s="338">
        <v>17</v>
      </c>
      <c r="P104" s="105"/>
      <c r="Q104" s="393">
        <f t="shared" si="21"/>
        <v>273</v>
      </c>
      <c r="R104" s="394">
        <f t="shared" si="22"/>
        <v>337</v>
      </c>
      <c r="S104" s="394">
        <f t="shared" si="23"/>
        <v>2</v>
      </c>
      <c r="U104" s="105">
        <v>55</v>
      </c>
      <c r="V104" s="105">
        <v>92</v>
      </c>
      <c r="W104" s="105">
        <v>165</v>
      </c>
      <c r="X104" s="105">
        <v>126</v>
      </c>
      <c r="Y104" s="105">
        <v>127</v>
      </c>
      <c r="Z104" s="105">
        <v>35</v>
      </c>
      <c r="AA104" s="105">
        <v>57</v>
      </c>
      <c r="AC104" s="426">
        <f t="shared" si="24"/>
        <v>147</v>
      </c>
      <c r="AD104" s="426">
        <f t="shared" si="25"/>
        <v>291</v>
      </c>
      <c r="AE104" s="426">
        <f t="shared" si="26"/>
        <v>162</v>
      </c>
    </row>
    <row r="105" spans="1:31" x14ac:dyDescent="0.3">
      <c r="A105" s="389" t="s">
        <v>81</v>
      </c>
      <c r="B105" s="85" t="s">
        <v>82</v>
      </c>
      <c r="C105" s="399" t="s">
        <v>251</v>
      </c>
      <c r="D105" s="337">
        <v>198</v>
      </c>
      <c r="E105" s="338">
        <v>100</v>
      </c>
      <c r="F105" s="338">
        <v>96</v>
      </c>
      <c r="G105" s="338">
        <v>2</v>
      </c>
      <c r="H105" s="338"/>
      <c r="I105" s="338">
        <v>54</v>
      </c>
      <c r="J105" s="338">
        <v>133</v>
      </c>
      <c r="K105" s="338">
        <v>0</v>
      </c>
      <c r="L105" s="338">
        <v>7</v>
      </c>
      <c r="M105" s="338">
        <v>0</v>
      </c>
      <c r="N105" s="338">
        <v>9</v>
      </c>
      <c r="O105" s="338">
        <v>4</v>
      </c>
      <c r="P105" s="105"/>
      <c r="Q105" s="393">
        <f t="shared" si="21"/>
        <v>54</v>
      </c>
      <c r="R105" s="394">
        <f t="shared" si="22"/>
        <v>133</v>
      </c>
      <c r="S105" s="394">
        <f t="shared" si="23"/>
        <v>7</v>
      </c>
      <c r="U105" s="105">
        <v>16</v>
      </c>
      <c r="V105" s="105">
        <v>22</v>
      </c>
      <c r="W105" s="105">
        <v>41</v>
      </c>
      <c r="X105" s="105">
        <v>44</v>
      </c>
      <c r="Y105" s="105">
        <v>36</v>
      </c>
      <c r="Z105" s="105">
        <v>16</v>
      </c>
      <c r="AA105" s="105">
        <v>23</v>
      </c>
      <c r="AC105" s="426">
        <f t="shared" si="24"/>
        <v>38</v>
      </c>
      <c r="AD105" s="426">
        <f t="shared" si="25"/>
        <v>85</v>
      </c>
      <c r="AE105" s="426">
        <f t="shared" si="26"/>
        <v>52</v>
      </c>
    </row>
    <row r="106" spans="1:31" x14ac:dyDescent="0.3">
      <c r="A106" s="389" t="s">
        <v>87</v>
      </c>
      <c r="B106" s="85" t="s">
        <v>88</v>
      </c>
      <c r="C106" s="399" t="s">
        <v>254</v>
      </c>
      <c r="D106" s="337">
        <v>568</v>
      </c>
      <c r="E106" s="338">
        <v>294</v>
      </c>
      <c r="F106" s="338">
        <v>264</v>
      </c>
      <c r="G106" s="338">
        <v>10</v>
      </c>
      <c r="H106" s="338"/>
      <c r="I106" s="338">
        <v>285</v>
      </c>
      <c r="J106" s="338">
        <v>248</v>
      </c>
      <c r="K106" s="338">
        <v>7</v>
      </c>
      <c r="L106" s="338">
        <v>3</v>
      </c>
      <c r="M106" s="338">
        <v>0</v>
      </c>
      <c r="N106" s="338">
        <v>84</v>
      </c>
      <c r="O106" s="338">
        <v>70</v>
      </c>
      <c r="P106" s="105"/>
      <c r="Q106" s="393">
        <f t="shared" si="21"/>
        <v>285</v>
      </c>
      <c r="R106" s="394">
        <f t="shared" si="22"/>
        <v>248</v>
      </c>
      <c r="S106" s="394">
        <f t="shared" si="23"/>
        <v>10</v>
      </c>
      <c r="U106" s="105">
        <v>72</v>
      </c>
      <c r="V106" s="105">
        <v>128</v>
      </c>
      <c r="W106" s="105">
        <v>112</v>
      </c>
      <c r="X106" s="105">
        <v>92</v>
      </c>
      <c r="Y106" s="105">
        <v>102</v>
      </c>
      <c r="Z106" s="105">
        <v>22</v>
      </c>
      <c r="AA106" s="105">
        <v>40</v>
      </c>
      <c r="AC106" s="426">
        <f t="shared" si="24"/>
        <v>200</v>
      </c>
      <c r="AD106" s="426">
        <f t="shared" si="25"/>
        <v>204</v>
      </c>
      <c r="AE106" s="426">
        <f t="shared" si="26"/>
        <v>124</v>
      </c>
    </row>
    <row r="107" spans="1:31" x14ac:dyDescent="0.3">
      <c r="A107" s="389" t="s">
        <v>89</v>
      </c>
      <c r="B107" s="85" t="s">
        <v>90</v>
      </c>
      <c r="C107" s="399" t="s">
        <v>255</v>
      </c>
      <c r="D107" s="337">
        <v>250</v>
      </c>
      <c r="E107" s="338">
        <v>113</v>
      </c>
      <c r="F107" s="338">
        <v>137</v>
      </c>
      <c r="G107" s="338">
        <v>0</v>
      </c>
      <c r="H107" s="338"/>
      <c r="I107" s="338">
        <v>223</v>
      </c>
      <c r="J107" s="338">
        <v>31</v>
      </c>
      <c r="K107" s="338">
        <v>0</v>
      </c>
      <c r="L107" s="338">
        <v>0</v>
      </c>
      <c r="M107" s="338">
        <v>0</v>
      </c>
      <c r="N107" s="338">
        <v>7</v>
      </c>
      <c r="O107" s="338">
        <v>41</v>
      </c>
      <c r="P107" s="105"/>
      <c r="Q107" s="393">
        <f t="shared" si="21"/>
        <v>223</v>
      </c>
      <c r="R107" s="394">
        <f t="shared" si="22"/>
        <v>31</v>
      </c>
      <c r="S107" s="394">
        <f t="shared" si="23"/>
        <v>0</v>
      </c>
      <c r="U107" s="105">
        <v>26</v>
      </c>
      <c r="V107" s="105">
        <v>43</v>
      </c>
      <c r="W107" s="105">
        <v>67</v>
      </c>
      <c r="X107" s="105">
        <v>55</v>
      </c>
      <c r="Y107" s="105">
        <v>35</v>
      </c>
      <c r="Z107" s="105">
        <v>12</v>
      </c>
      <c r="AA107" s="105">
        <v>12</v>
      </c>
      <c r="AC107" s="426">
        <f t="shared" si="24"/>
        <v>69</v>
      </c>
      <c r="AD107" s="426">
        <f t="shared" si="25"/>
        <v>122</v>
      </c>
      <c r="AE107" s="426">
        <f t="shared" si="26"/>
        <v>47</v>
      </c>
    </row>
    <row r="108" spans="1:31" x14ac:dyDescent="0.3">
      <c r="A108" s="389" t="s">
        <v>105</v>
      </c>
      <c r="B108" s="85" t="s">
        <v>106</v>
      </c>
      <c r="C108" s="399" t="s">
        <v>251</v>
      </c>
      <c r="D108" s="337">
        <v>1741</v>
      </c>
      <c r="E108" s="338">
        <v>827</v>
      </c>
      <c r="F108" s="338">
        <v>880</v>
      </c>
      <c r="G108" s="338">
        <v>34</v>
      </c>
      <c r="H108" s="338"/>
      <c r="I108" s="338">
        <v>636</v>
      </c>
      <c r="J108" s="338">
        <v>1063</v>
      </c>
      <c r="K108" s="338">
        <v>15</v>
      </c>
      <c r="L108" s="338">
        <v>9</v>
      </c>
      <c r="M108" s="338">
        <v>6</v>
      </c>
      <c r="N108" s="338">
        <v>154</v>
      </c>
      <c r="O108" s="338">
        <v>94</v>
      </c>
      <c r="P108" s="105"/>
      <c r="Q108" s="393">
        <f t="shared" si="21"/>
        <v>636</v>
      </c>
      <c r="R108" s="394">
        <f t="shared" si="22"/>
        <v>1063</v>
      </c>
      <c r="S108" s="394">
        <f t="shared" si="23"/>
        <v>30</v>
      </c>
      <c r="U108" s="105">
        <v>113</v>
      </c>
      <c r="V108" s="105">
        <v>233</v>
      </c>
      <c r="W108" s="105">
        <v>321</v>
      </c>
      <c r="X108" s="105">
        <v>310</v>
      </c>
      <c r="Y108" s="105">
        <v>329</v>
      </c>
      <c r="Z108" s="105">
        <v>118</v>
      </c>
      <c r="AA108" s="105">
        <v>317</v>
      </c>
      <c r="AC108" s="426">
        <f t="shared" si="24"/>
        <v>346</v>
      </c>
      <c r="AD108" s="426">
        <f t="shared" si="25"/>
        <v>631</v>
      </c>
      <c r="AE108" s="426">
        <f t="shared" si="26"/>
        <v>447</v>
      </c>
    </row>
    <row r="109" spans="1:31" x14ac:dyDescent="0.3">
      <c r="A109" s="389" t="s">
        <v>115</v>
      </c>
      <c r="B109" s="85" t="s">
        <v>116</v>
      </c>
      <c r="C109" s="399" t="s">
        <v>253</v>
      </c>
      <c r="D109" s="337">
        <v>581</v>
      </c>
      <c r="E109" s="338">
        <v>298</v>
      </c>
      <c r="F109" s="338">
        <v>277</v>
      </c>
      <c r="G109" s="338">
        <v>6</v>
      </c>
      <c r="H109" s="338"/>
      <c r="I109" s="338">
        <v>288</v>
      </c>
      <c r="J109" s="338">
        <v>323</v>
      </c>
      <c r="K109" s="338">
        <v>2</v>
      </c>
      <c r="L109" s="338">
        <v>2</v>
      </c>
      <c r="M109" s="338">
        <v>2</v>
      </c>
      <c r="N109" s="338">
        <v>33</v>
      </c>
      <c r="O109" s="338">
        <v>41</v>
      </c>
      <c r="P109" s="105"/>
      <c r="Q109" s="393">
        <f t="shared" si="21"/>
        <v>288</v>
      </c>
      <c r="R109" s="394">
        <f t="shared" si="22"/>
        <v>323</v>
      </c>
      <c r="S109" s="394">
        <f t="shared" si="23"/>
        <v>6</v>
      </c>
      <c r="U109" s="105">
        <v>58</v>
      </c>
      <c r="V109" s="105">
        <v>124</v>
      </c>
      <c r="W109" s="105">
        <v>124</v>
      </c>
      <c r="X109" s="105">
        <v>95</v>
      </c>
      <c r="Y109" s="105">
        <v>76</v>
      </c>
      <c r="Z109" s="105">
        <v>27</v>
      </c>
      <c r="AA109" s="105">
        <v>77</v>
      </c>
      <c r="AC109" s="426">
        <f t="shared" si="24"/>
        <v>182</v>
      </c>
      <c r="AD109" s="426">
        <f t="shared" si="25"/>
        <v>219</v>
      </c>
      <c r="AE109" s="426">
        <f t="shared" si="26"/>
        <v>103</v>
      </c>
    </row>
    <row r="110" spans="1:31" x14ac:dyDescent="0.3">
      <c r="A110" s="389" t="s">
        <v>137</v>
      </c>
      <c r="B110" s="85" t="s">
        <v>138</v>
      </c>
      <c r="C110" s="399" t="s">
        <v>252</v>
      </c>
      <c r="D110" s="337">
        <v>1292</v>
      </c>
      <c r="E110" s="338">
        <v>636</v>
      </c>
      <c r="F110" s="338">
        <v>632</v>
      </c>
      <c r="G110" s="338">
        <v>24</v>
      </c>
      <c r="H110" s="338"/>
      <c r="I110" s="338">
        <v>627</v>
      </c>
      <c r="J110" s="338">
        <v>690</v>
      </c>
      <c r="K110" s="338">
        <v>15</v>
      </c>
      <c r="L110" s="338">
        <v>2</v>
      </c>
      <c r="M110" s="338">
        <v>1</v>
      </c>
      <c r="N110" s="338">
        <v>75</v>
      </c>
      <c r="O110" s="338">
        <v>38</v>
      </c>
      <c r="P110" s="105"/>
      <c r="Q110" s="393">
        <f t="shared" si="21"/>
        <v>627</v>
      </c>
      <c r="R110" s="394">
        <f t="shared" si="22"/>
        <v>690</v>
      </c>
      <c r="S110" s="394">
        <f t="shared" si="23"/>
        <v>18</v>
      </c>
      <c r="U110" s="105">
        <v>162</v>
      </c>
      <c r="V110" s="105">
        <v>215</v>
      </c>
      <c r="W110" s="105">
        <v>299</v>
      </c>
      <c r="X110" s="105">
        <v>257</v>
      </c>
      <c r="Y110" s="105">
        <v>168</v>
      </c>
      <c r="Z110" s="105">
        <v>71</v>
      </c>
      <c r="AA110" s="105">
        <v>120</v>
      </c>
      <c r="AC110" s="426">
        <f t="shared" si="24"/>
        <v>377</v>
      </c>
      <c r="AD110" s="426">
        <f t="shared" si="25"/>
        <v>556</v>
      </c>
      <c r="AE110" s="426">
        <f t="shared" si="26"/>
        <v>239</v>
      </c>
    </row>
    <row r="111" spans="1:31" x14ac:dyDescent="0.3">
      <c r="A111" s="389" t="s">
        <v>141</v>
      </c>
      <c r="B111" s="85" t="s">
        <v>142</v>
      </c>
      <c r="C111" s="399" t="s">
        <v>254</v>
      </c>
      <c r="D111" s="337">
        <v>542</v>
      </c>
      <c r="E111" s="338">
        <v>279</v>
      </c>
      <c r="F111" s="338">
        <v>250</v>
      </c>
      <c r="G111" s="338">
        <v>13</v>
      </c>
      <c r="H111" s="338"/>
      <c r="I111" s="338">
        <v>399</v>
      </c>
      <c r="J111" s="338">
        <v>127</v>
      </c>
      <c r="K111" s="338">
        <v>15</v>
      </c>
      <c r="L111" s="338">
        <v>2</v>
      </c>
      <c r="M111" s="338">
        <v>0</v>
      </c>
      <c r="N111" s="338">
        <v>29</v>
      </c>
      <c r="O111" s="338">
        <v>294</v>
      </c>
      <c r="P111" s="105"/>
      <c r="Q111" s="393">
        <f t="shared" si="21"/>
        <v>399</v>
      </c>
      <c r="R111" s="394">
        <f t="shared" si="22"/>
        <v>127</v>
      </c>
      <c r="S111" s="394">
        <f t="shared" si="23"/>
        <v>17</v>
      </c>
      <c r="U111" s="105">
        <v>16</v>
      </c>
      <c r="V111" s="105">
        <v>65</v>
      </c>
      <c r="W111" s="105">
        <v>101</v>
      </c>
      <c r="X111" s="105">
        <v>121</v>
      </c>
      <c r="Y111" s="105">
        <v>131</v>
      </c>
      <c r="Z111" s="105">
        <v>45</v>
      </c>
      <c r="AA111" s="105">
        <v>63</v>
      </c>
      <c r="AC111" s="426">
        <f t="shared" si="24"/>
        <v>81</v>
      </c>
      <c r="AD111" s="426">
        <f t="shared" si="25"/>
        <v>222</v>
      </c>
      <c r="AE111" s="426">
        <f t="shared" si="26"/>
        <v>176</v>
      </c>
    </row>
    <row r="112" spans="1:31" x14ac:dyDescent="0.3">
      <c r="A112" s="389" t="s">
        <v>143</v>
      </c>
      <c r="B112" s="85" t="s">
        <v>144</v>
      </c>
      <c r="C112" s="399" t="s">
        <v>254</v>
      </c>
      <c r="D112" s="337">
        <v>191</v>
      </c>
      <c r="E112" s="338">
        <v>83</v>
      </c>
      <c r="F112" s="338">
        <v>107</v>
      </c>
      <c r="G112" s="338">
        <v>1</v>
      </c>
      <c r="H112" s="338"/>
      <c r="I112" s="338">
        <v>147</v>
      </c>
      <c r="J112" s="338">
        <v>38</v>
      </c>
      <c r="K112" s="338">
        <v>6</v>
      </c>
      <c r="L112" s="338">
        <v>0</v>
      </c>
      <c r="M112" s="338">
        <v>1</v>
      </c>
      <c r="N112" s="338">
        <v>16</v>
      </c>
      <c r="O112" s="338">
        <v>98</v>
      </c>
      <c r="P112" s="105"/>
      <c r="Q112" s="393">
        <f t="shared" si="21"/>
        <v>147</v>
      </c>
      <c r="R112" s="394">
        <f t="shared" si="22"/>
        <v>38</v>
      </c>
      <c r="S112" s="394">
        <f t="shared" si="23"/>
        <v>7</v>
      </c>
      <c r="U112" s="105">
        <v>7</v>
      </c>
      <c r="V112" s="105">
        <v>20</v>
      </c>
      <c r="W112" s="105">
        <v>34</v>
      </c>
      <c r="X112" s="105">
        <v>50</v>
      </c>
      <c r="Y112" s="105">
        <v>44</v>
      </c>
      <c r="Z112" s="105">
        <v>22</v>
      </c>
      <c r="AA112" s="105">
        <v>14</v>
      </c>
      <c r="AC112" s="426">
        <f t="shared" si="24"/>
        <v>27</v>
      </c>
      <c r="AD112" s="426">
        <f t="shared" si="25"/>
        <v>84</v>
      </c>
      <c r="AE112" s="426">
        <f t="shared" si="26"/>
        <v>66</v>
      </c>
    </row>
    <row r="113" spans="1:31" x14ac:dyDescent="0.3">
      <c r="A113" s="389" t="s">
        <v>157</v>
      </c>
      <c r="B113" s="85" t="s">
        <v>158</v>
      </c>
      <c r="C113" s="399" t="s">
        <v>251</v>
      </c>
      <c r="D113" s="337">
        <v>2551</v>
      </c>
      <c r="E113" s="338">
        <v>1291</v>
      </c>
      <c r="F113" s="338">
        <v>1237</v>
      </c>
      <c r="G113" s="338">
        <v>23</v>
      </c>
      <c r="H113" s="338"/>
      <c r="I113" s="338">
        <v>904</v>
      </c>
      <c r="J113" s="338">
        <v>1588</v>
      </c>
      <c r="K113" s="338">
        <v>34</v>
      </c>
      <c r="L113" s="338">
        <v>21</v>
      </c>
      <c r="M113" s="338">
        <v>4</v>
      </c>
      <c r="N113" s="338">
        <v>251</v>
      </c>
      <c r="O113" s="338">
        <v>192</v>
      </c>
      <c r="P113" s="105"/>
      <c r="Q113" s="393">
        <f t="shared" si="21"/>
        <v>904</v>
      </c>
      <c r="R113" s="394">
        <f t="shared" si="22"/>
        <v>1588</v>
      </c>
      <c r="S113" s="394">
        <f t="shared" si="23"/>
        <v>59</v>
      </c>
      <c r="U113" s="105">
        <v>258</v>
      </c>
      <c r="V113" s="105">
        <v>439</v>
      </c>
      <c r="W113" s="105">
        <v>573</v>
      </c>
      <c r="X113" s="105">
        <v>464</v>
      </c>
      <c r="Y113" s="105">
        <v>415</v>
      </c>
      <c r="Z113" s="105">
        <v>197</v>
      </c>
      <c r="AA113" s="105">
        <v>205</v>
      </c>
      <c r="AC113" s="426">
        <f t="shared" si="24"/>
        <v>697</v>
      </c>
      <c r="AD113" s="426">
        <f t="shared" si="25"/>
        <v>1037</v>
      </c>
      <c r="AE113" s="426">
        <f t="shared" si="26"/>
        <v>612</v>
      </c>
    </row>
    <row r="114" spans="1:31" x14ac:dyDescent="0.3">
      <c r="A114" s="389" t="s">
        <v>159</v>
      </c>
      <c r="B114" s="85" t="s">
        <v>160</v>
      </c>
      <c r="C114" s="399" t="s">
        <v>251</v>
      </c>
      <c r="D114" s="337">
        <v>3376</v>
      </c>
      <c r="E114" s="338">
        <v>1687</v>
      </c>
      <c r="F114" s="338">
        <v>1649</v>
      </c>
      <c r="G114" s="338">
        <v>40</v>
      </c>
      <c r="H114" s="338"/>
      <c r="I114" s="338">
        <v>1229</v>
      </c>
      <c r="J114" s="338">
        <v>2174</v>
      </c>
      <c r="K114" s="338">
        <v>44</v>
      </c>
      <c r="L114" s="338">
        <v>29</v>
      </c>
      <c r="M114" s="338">
        <v>9</v>
      </c>
      <c r="N114" s="338">
        <v>187</v>
      </c>
      <c r="O114" s="338">
        <v>288</v>
      </c>
      <c r="P114" s="105"/>
      <c r="Q114" s="393">
        <f t="shared" si="21"/>
        <v>1229</v>
      </c>
      <c r="R114" s="394">
        <f t="shared" si="22"/>
        <v>2174</v>
      </c>
      <c r="S114" s="394">
        <f t="shared" si="23"/>
        <v>82</v>
      </c>
      <c r="U114" s="105">
        <v>290</v>
      </c>
      <c r="V114" s="105">
        <v>550</v>
      </c>
      <c r="W114" s="105">
        <v>682</v>
      </c>
      <c r="X114" s="105">
        <v>677</v>
      </c>
      <c r="Y114" s="105">
        <v>624</v>
      </c>
      <c r="Z114" s="105">
        <v>216</v>
      </c>
      <c r="AA114" s="105">
        <v>337</v>
      </c>
      <c r="AC114" s="426">
        <f t="shared" si="24"/>
        <v>840</v>
      </c>
      <c r="AD114" s="426">
        <f t="shared" si="25"/>
        <v>1359</v>
      </c>
      <c r="AE114" s="426">
        <f t="shared" si="26"/>
        <v>840</v>
      </c>
    </row>
    <row r="115" spans="1:31" x14ac:dyDescent="0.3">
      <c r="A115" s="389" t="s">
        <v>165</v>
      </c>
      <c r="B115" s="85" t="s">
        <v>166</v>
      </c>
      <c r="C115" s="399" t="s">
        <v>255</v>
      </c>
      <c r="D115" s="337">
        <v>165</v>
      </c>
      <c r="E115" s="338">
        <v>87</v>
      </c>
      <c r="F115" s="338">
        <v>78</v>
      </c>
      <c r="G115" s="338">
        <v>0</v>
      </c>
      <c r="H115" s="338"/>
      <c r="I115" s="338">
        <v>154</v>
      </c>
      <c r="J115" s="338">
        <v>33</v>
      </c>
      <c r="K115" s="338">
        <v>0</v>
      </c>
      <c r="L115" s="338">
        <v>0</v>
      </c>
      <c r="M115" s="338">
        <v>0</v>
      </c>
      <c r="N115" s="338">
        <v>4</v>
      </c>
      <c r="O115" s="338">
        <v>7</v>
      </c>
      <c r="P115" s="105"/>
      <c r="Q115" s="393">
        <f t="shared" si="21"/>
        <v>154</v>
      </c>
      <c r="R115" s="394">
        <f t="shared" si="22"/>
        <v>33</v>
      </c>
      <c r="S115" s="394">
        <f t="shared" si="23"/>
        <v>0</v>
      </c>
      <c r="U115" s="105">
        <v>19</v>
      </c>
      <c r="V115" s="105">
        <v>25</v>
      </c>
      <c r="W115" s="105">
        <v>36</v>
      </c>
      <c r="X115" s="105">
        <v>31</v>
      </c>
      <c r="Y115" s="105">
        <v>32</v>
      </c>
      <c r="Z115" s="105">
        <v>10</v>
      </c>
      <c r="AA115" s="105">
        <v>12</v>
      </c>
      <c r="AC115" s="426">
        <f t="shared" si="24"/>
        <v>44</v>
      </c>
      <c r="AD115" s="426">
        <f t="shared" si="25"/>
        <v>67</v>
      </c>
      <c r="AE115" s="426">
        <f t="shared" si="26"/>
        <v>42</v>
      </c>
    </row>
    <row r="116" spans="1:31" x14ac:dyDescent="0.3">
      <c r="A116" s="389" t="s">
        <v>175</v>
      </c>
      <c r="B116" s="85" t="s">
        <v>176</v>
      </c>
      <c r="C116" s="399" t="s">
        <v>253</v>
      </c>
      <c r="D116" s="337">
        <v>459</v>
      </c>
      <c r="E116" s="338">
        <v>227</v>
      </c>
      <c r="F116" s="338">
        <v>212</v>
      </c>
      <c r="G116" s="338">
        <v>20</v>
      </c>
      <c r="H116" s="338"/>
      <c r="I116" s="338">
        <v>104</v>
      </c>
      <c r="J116" s="338">
        <v>305</v>
      </c>
      <c r="K116" s="338">
        <v>0</v>
      </c>
      <c r="L116" s="338">
        <v>2</v>
      </c>
      <c r="M116" s="338">
        <v>0</v>
      </c>
      <c r="N116" s="338">
        <v>73</v>
      </c>
      <c r="O116" s="338">
        <v>31</v>
      </c>
      <c r="P116" s="105"/>
      <c r="Q116" s="393">
        <f t="shared" si="21"/>
        <v>104</v>
      </c>
      <c r="R116" s="394">
        <f t="shared" si="22"/>
        <v>305</v>
      </c>
      <c r="S116" s="394">
        <f t="shared" si="23"/>
        <v>2</v>
      </c>
      <c r="U116" s="105">
        <v>59</v>
      </c>
      <c r="V116" s="105">
        <v>71</v>
      </c>
      <c r="W116" s="105">
        <v>76</v>
      </c>
      <c r="X116" s="105">
        <v>64</v>
      </c>
      <c r="Y116" s="105">
        <v>51</v>
      </c>
      <c r="Z116" s="105">
        <v>32</v>
      </c>
      <c r="AA116" s="105">
        <v>106</v>
      </c>
      <c r="AC116" s="426">
        <f t="shared" si="24"/>
        <v>130</v>
      </c>
      <c r="AD116" s="426">
        <f t="shared" si="25"/>
        <v>140</v>
      </c>
      <c r="AE116" s="426">
        <f t="shared" si="26"/>
        <v>83</v>
      </c>
    </row>
    <row r="117" spans="1:31" x14ac:dyDescent="0.3">
      <c r="A117" s="389" t="s">
        <v>179</v>
      </c>
      <c r="B117" s="85" t="s">
        <v>180</v>
      </c>
      <c r="C117" s="399" t="s">
        <v>251</v>
      </c>
      <c r="D117" s="337">
        <v>1532</v>
      </c>
      <c r="E117" s="338">
        <v>742</v>
      </c>
      <c r="F117" s="338">
        <v>745</v>
      </c>
      <c r="G117" s="338">
        <v>45</v>
      </c>
      <c r="H117" s="338"/>
      <c r="I117" s="338">
        <v>556</v>
      </c>
      <c r="J117" s="338">
        <v>963</v>
      </c>
      <c r="K117" s="338">
        <v>5</v>
      </c>
      <c r="L117" s="338">
        <v>3</v>
      </c>
      <c r="M117" s="338">
        <v>0</v>
      </c>
      <c r="N117" s="338">
        <v>71</v>
      </c>
      <c r="O117" s="338">
        <v>62</v>
      </c>
      <c r="P117" s="105"/>
      <c r="Q117" s="393">
        <f t="shared" si="21"/>
        <v>556</v>
      </c>
      <c r="R117" s="394">
        <f t="shared" si="22"/>
        <v>963</v>
      </c>
      <c r="S117" s="394">
        <f t="shared" si="23"/>
        <v>8</v>
      </c>
      <c r="U117" s="105">
        <v>128</v>
      </c>
      <c r="V117" s="105">
        <v>197</v>
      </c>
      <c r="W117" s="105">
        <v>286</v>
      </c>
      <c r="X117" s="105">
        <v>279</v>
      </c>
      <c r="Y117" s="105">
        <v>314</v>
      </c>
      <c r="Z117" s="105">
        <v>77</v>
      </c>
      <c r="AA117" s="105">
        <v>251</v>
      </c>
      <c r="AC117" s="426">
        <f t="shared" si="24"/>
        <v>325</v>
      </c>
      <c r="AD117" s="426">
        <f t="shared" si="25"/>
        <v>565</v>
      </c>
      <c r="AE117" s="426">
        <f t="shared" si="26"/>
        <v>391</v>
      </c>
    </row>
    <row r="118" spans="1:31" x14ac:dyDescent="0.3">
      <c r="A118" s="389" t="s">
        <v>191</v>
      </c>
      <c r="B118" s="85" t="s">
        <v>192</v>
      </c>
      <c r="C118" s="399" t="s">
        <v>255</v>
      </c>
      <c r="D118" s="337">
        <v>290</v>
      </c>
      <c r="E118" s="338">
        <v>141</v>
      </c>
      <c r="F118" s="338">
        <v>146</v>
      </c>
      <c r="G118" s="338">
        <v>3</v>
      </c>
      <c r="H118" s="338"/>
      <c r="I118" s="338">
        <v>231</v>
      </c>
      <c r="J118" s="338">
        <v>71</v>
      </c>
      <c r="K118" s="338">
        <v>0</v>
      </c>
      <c r="L118" s="338">
        <v>0</v>
      </c>
      <c r="M118" s="338">
        <v>0</v>
      </c>
      <c r="N118" s="338">
        <v>11</v>
      </c>
      <c r="O118" s="338">
        <v>15</v>
      </c>
      <c r="P118" s="105"/>
      <c r="Q118" s="393">
        <f t="shared" si="21"/>
        <v>231</v>
      </c>
      <c r="R118" s="394">
        <f t="shared" si="22"/>
        <v>71</v>
      </c>
      <c r="S118" s="394">
        <f t="shared" si="23"/>
        <v>0</v>
      </c>
      <c r="U118" s="105">
        <v>35</v>
      </c>
      <c r="V118" s="105">
        <v>35</v>
      </c>
      <c r="W118" s="105">
        <v>72</v>
      </c>
      <c r="X118" s="105">
        <v>63</v>
      </c>
      <c r="Y118" s="105">
        <v>62</v>
      </c>
      <c r="Z118" s="105">
        <v>15</v>
      </c>
      <c r="AA118" s="105">
        <v>8</v>
      </c>
      <c r="AC118" s="426">
        <f t="shared" si="24"/>
        <v>70</v>
      </c>
      <c r="AD118" s="426">
        <f t="shared" si="25"/>
        <v>135</v>
      </c>
      <c r="AE118" s="426">
        <f t="shared" si="26"/>
        <v>77</v>
      </c>
    </row>
    <row r="119" spans="1:31" x14ac:dyDescent="0.3">
      <c r="A119" s="389" t="s">
        <v>195</v>
      </c>
      <c r="B119" s="85" t="s">
        <v>196</v>
      </c>
      <c r="C119" s="399" t="s">
        <v>253</v>
      </c>
      <c r="D119" s="337">
        <v>2515</v>
      </c>
      <c r="E119" s="338">
        <v>1213</v>
      </c>
      <c r="F119" s="338">
        <v>1236</v>
      </c>
      <c r="G119" s="338">
        <v>66</v>
      </c>
      <c r="H119" s="338"/>
      <c r="I119" s="338">
        <v>419</v>
      </c>
      <c r="J119" s="338">
        <v>1978</v>
      </c>
      <c r="K119" s="338">
        <v>14</v>
      </c>
      <c r="L119" s="338">
        <v>1</v>
      </c>
      <c r="M119" s="338">
        <v>5</v>
      </c>
      <c r="N119" s="338">
        <v>203</v>
      </c>
      <c r="O119" s="338">
        <v>216</v>
      </c>
      <c r="P119" s="105"/>
      <c r="Q119" s="393">
        <f t="shared" si="21"/>
        <v>419</v>
      </c>
      <c r="R119" s="394">
        <f t="shared" si="22"/>
        <v>1978</v>
      </c>
      <c r="S119" s="394">
        <f t="shared" si="23"/>
        <v>20</v>
      </c>
      <c r="U119" s="105">
        <v>253</v>
      </c>
      <c r="V119" s="105">
        <v>314</v>
      </c>
      <c r="W119" s="105">
        <v>499</v>
      </c>
      <c r="X119" s="105">
        <v>401</v>
      </c>
      <c r="Y119" s="105">
        <v>392</v>
      </c>
      <c r="Z119" s="105">
        <v>162</v>
      </c>
      <c r="AA119" s="105">
        <v>494</v>
      </c>
      <c r="AC119" s="426">
        <f t="shared" si="24"/>
        <v>567</v>
      </c>
      <c r="AD119" s="426">
        <f t="shared" si="25"/>
        <v>900</v>
      </c>
      <c r="AE119" s="426">
        <f t="shared" si="26"/>
        <v>554</v>
      </c>
    </row>
    <row r="120" spans="1:31" x14ac:dyDescent="0.3">
      <c r="A120" s="389" t="s">
        <v>199</v>
      </c>
      <c r="B120" s="85" t="s">
        <v>200</v>
      </c>
      <c r="C120" s="399" t="s">
        <v>252</v>
      </c>
      <c r="D120" s="337">
        <v>3510</v>
      </c>
      <c r="E120" s="338">
        <v>1655</v>
      </c>
      <c r="F120" s="338">
        <v>1790</v>
      </c>
      <c r="G120" s="338">
        <v>65</v>
      </c>
      <c r="H120" s="338"/>
      <c r="I120" s="338">
        <v>1921</v>
      </c>
      <c r="J120" s="338">
        <v>1537</v>
      </c>
      <c r="K120" s="338">
        <v>23</v>
      </c>
      <c r="L120" s="338">
        <v>4</v>
      </c>
      <c r="M120" s="338">
        <v>3</v>
      </c>
      <c r="N120" s="338">
        <v>512</v>
      </c>
      <c r="O120" s="338">
        <v>309</v>
      </c>
      <c r="P120" s="105"/>
      <c r="Q120" s="393">
        <f t="shared" si="21"/>
        <v>1921</v>
      </c>
      <c r="R120" s="394">
        <f t="shared" si="22"/>
        <v>1537</v>
      </c>
      <c r="S120" s="394">
        <f t="shared" si="23"/>
        <v>30</v>
      </c>
      <c r="U120" s="105">
        <v>392</v>
      </c>
      <c r="V120" s="105">
        <v>539</v>
      </c>
      <c r="W120" s="105">
        <v>724</v>
      </c>
      <c r="X120" s="105">
        <v>679</v>
      </c>
      <c r="Y120" s="105">
        <v>578</v>
      </c>
      <c r="Z120" s="105">
        <v>218</v>
      </c>
      <c r="AA120" s="105">
        <v>380</v>
      </c>
      <c r="AC120" s="426">
        <f t="shared" si="24"/>
        <v>931</v>
      </c>
      <c r="AD120" s="426">
        <f t="shared" si="25"/>
        <v>1403</v>
      </c>
      <c r="AE120" s="426">
        <f t="shared" si="26"/>
        <v>796</v>
      </c>
    </row>
    <row r="121" spans="1:31" x14ac:dyDescent="0.3">
      <c r="A121" s="389" t="s">
        <v>221</v>
      </c>
      <c r="B121" s="85" t="s">
        <v>222</v>
      </c>
      <c r="C121" s="399" t="s">
        <v>251</v>
      </c>
      <c r="D121" s="337">
        <v>1020</v>
      </c>
      <c r="E121" s="338">
        <v>476</v>
      </c>
      <c r="F121" s="338">
        <v>526</v>
      </c>
      <c r="G121" s="338">
        <v>18</v>
      </c>
      <c r="H121" s="338"/>
      <c r="I121" s="338">
        <v>431</v>
      </c>
      <c r="J121" s="338">
        <v>580</v>
      </c>
      <c r="K121" s="338">
        <v>2</v>
      </c>
      <c r="L121" s="338">
        <v>2</v>
      </c>
      <c r="M121" s="338">
        <v>0</v>
      </c>
      <c r="N121" s="338">
        <v>54</v>
      </c>
      <c r="O121" s="338">
        <v>52</v>
      </c>
      <c r="P121" s="105"/>
      <c r="Q121" s="393">
        <f t="shared" si="21"/>
        <v>431</v>
      </c>
      <c r="R121" s="394">
        <f t="shared" si="22"/>
        <v>580</v>
      </c>
      <c r="S121" s="394">
        <f t="shared" si="23"/>
        <v>4</v>
      </c>
      <c r="U121" s="105">
        <v>82</v>
      </c>
      <c r="V121" s="105">
        <v>140</v>
      </c>
      <c r="W121" s="105">
        <v>197</v>
      </c>
      <c r="X121" s="105">
        <v>188</v>
      </c>
      <c r="Y121" s="105">
        <v>202</v>
      </c>
      <c r="Z121" s="105">
        <v>70</v>
      </c>
      <c r="AA121" s="105">
        <v>141</v>
      </c>
      <c r="AC121" s="426">
        <f t="shared" si="24"/>
        <v>222</v>
      </c>
      <c r="AD121" s="426">
        <f t="shared" si="25"/>
        <v>385</v>
      </c>
      <c r="AE121" s="426">
        <f t="shared" si="26"/>
        <v>272</v>
      </c>
    </row>
    <row r="122" spans="1:31" x14ac:dyDescent="0.3">
      <c r="A122" s="389" t="s">
        <v>229</v>
      </c>
      <c r="B122" s="85" t="s">
        <v>230</v>
      </c>
      <c r="C122" s="399" t="s">
        <v>251</v>
      </c>
      <c r="D122" s="337">
        <v>4766</v>
      </c>
      <c r="E122" s="338">
        <v>2307</v>
      </c>
      <c r="F122" s="338">
        <v>2403</v>
      </c>
      <c r="G122" s="338">
        <v>56</v>
      </c>
      <c r="H122" s="338"/>
      <c r="I122" s="338">
        <v>2804</v>
      </c>
      <c r="J122" s="338">
        <v>1806</v>
      </c>
      <c r="K122" s="338">
        <v>160</v>
      </c>
      <c r="L122" s="338">
        <v>46</v>
      </c>
      <c r="M122" s="338">
        <v>21</v>
      </c>
      <c r="N122" s="338">
        <v>323</v>
      </c>
      <c r="O122" s="338">
        <v>552</v>
      </c>
      <c r="P122" s="105"/>
      <c r="Q122" s="393">
        <f t="shared" si="21"/>
        <v>2804</v>
      </c>
      <c r="R122" s="394">
        <f t="shared" si="22"/>
        <v>1806</v>
      </c>
      <c r="S122" s="394">
        <f t="shared" si="23"/>
        <v>227</v>
      </c>
      <c r="U122" s="105">
        <v>267</v>
      </c>
      <c r="V122" s="105">
        <v>638</v>
      </c>
      <c r="W122" s="105">
        <v>1027</v>
      </c>
      <c r="X122" s="105">
        <v>1082</v>
      </c>
      <c r="Y122" s="105">
        <v>933</v>
      </c>
      <c r="Z122" s="105">
        <v>391</v>
      </c>
      <c r="AA122" s="105">
        <v>428</v>
      </c>
      <c r="AC122" s="426">
        <f t="shared" si="24"/>
        <v>905</v>
      </c>
      <c r="AD122" s="426">
        <f t="shared" si="25"/>
        <v>2109</v>
      </c>
      <c r="AE122" s="426">
        <f t="shared" si="26"/>
        <v>1324</v>
      </c>
    </row>
    <row r="123" spans="1:31" x14ac:dyDescent="0.3">
      <c r="A123" s="389" t="s">
        <v>237</v>
      </c>
      <c r="B123" s="85" t="s">
        <v>238</v>
      </c>
      <c r="C123" s="399" t="s">
        <v>251</v>
      </c>
      <c r="D123" s="337">
        <v>77</v>
      </c>
      <c r="E123" s="338">
        <v>33</v>
      </c>
      <c r="F123" s="338">
        <v>44</v>
      </c>
      <c r="G123" s="338">
        <v>0</v>
      </c>
      <c r="H123" s="338"/>
      <c r="I123" s="338">
        <v>37</v>
      </c>
      <c r="J123" s="338">
        <v>41</v>
      </c>
      <c r="K123" s="338">
        <v>0</v>
      </c>
      <c r="L123" s="338">
        <v>3</v>
      </c>
      <c r="M123" s="338">
        <v>0</v>
      </c>
      <c r="N123" s="338">
        <v>3</v>
      </c>
      <c r="O123" s="338">
        <v>8</v>
      </c>
      <c r="P123" s="105"/>
      <c r="Q123" s="393">
        <f t="shared" si="21"/>
        <v>37</v>
      </c>
      <c r="R123" s="394">
        <f t="shared" si="22"/>
        <v>41</v>
      </c>
      <c r="S123" s="394">
        <f t="shared" si="23"/>
        <v>3</v>
      </c>
      <c r="U123" s="105">
        <v>4</v>
      </c>
      <c r="V123" s="105">
        <v>15</v>
      </c>
      <c r="W123" s="105">
        <v>19</v>
      </c>
      <c r="X123" s="105">
        <v>17</v>
      </c>
      <c r="Y123" s="105">
        <v>18</v>
      </c>
      <c r="Z123" s="105">
        <v>3</v>
      </c>
      <c r="AA123" s="105">
        <v>1</v>
      </c>
      <c r="AC123" s="426">
        <f t="shared" si="24"/>
        <v>19</v>
      </c>
      <c r="AD123" s="426">
        <f t="shared" si="25"/>
        <v>36</v>
      </c>
      <c r="AE123" s="426">
        <f t="shared" si="26"/>
        <v>21</v>
      </c>
    </row>
    <row r="124" spans="1:31" x14ac:dyDescent="0.3">
      <c r="A124" s="390" t="s">
        <v>239</v>
      </c>
      <c r="B124" s="204" t="s">
        <v>240</v>
      </c>
      <c r="C124" s="400" t="s">
        <v>254</v>
      </c>
      <c r="D124" s="392">
        <v>945</v>
      </c>
      <c r="E124" s="1418">
        <v>450</v>
      </c>
      <c r="F124" s="1418">
        <v>485</v>
      </c>
      <c r="G124" s="1418">
        <v>10</v>
      </c>
      <c r="H124" s="1418"/>
      <c r="I124" s="634">
        <v>690</v>
      </c>
      <c r="J124" s="634">
        <v>236</v>
      </c>
      <c r="K124" s="634">
        <v>1</v>
      </c>
      <c r="L124" s="634">
        <v>2</v>
      </c>
      <c r="M124" s="634">
        <v>1</v>
      </c>
      <c r="N124" s="634">
        <v>128</v>
      </c>
      <c r="O124" s="634">
        <v>150</v>
      </c>
      <c r="P124" s="105"/>
      <c r="Q124" s="393">
        <f t="shared" si="21"/>
        <v>690</v>
      </c>
      <c r="R124" s="394">
        <f t="shared" si="22"/>
        <v>236</v>
      </c>
      <c r="S124" s="394">
        <f t="shared" si="23"/>
        <v>4</v>
      </c>
      <c r="U124" s="105">
        <v>92</v>
      </c>
      <c r="V124" s="105">
        <v>160</v>
      </c>
      <c r="W124" s="105">
        <v>232</v>
      </c>
      <c r="X124" s="105">
        <v>191</v>
      </c>
      <c r="Y124" s="105">
        <v>170</v>
      </c>
      <c r="Z124" s="105">
        <v>65</v>
      </c>
      <c r="AA124" s="105">
        <v>35</v>
      </c>
      <c r="AC124" s="426">
        <f t="shared" si="24"/>
        <v>252</v>
      </c>
      <c r="AD124" s="426">
        <f t="shared" si="25"/>
        <v>423</v>
      </c>
      <c r="AE124" s="426">
        <f t="shared" si="26"/>
        <v>235</v>
      </c>
    </row>
    <row r="125" spans="1:31" x14ac:dyDescent="0.3">
      <c r="A125" s="383"/>
      <c r="B125" s="383"/>
      <c r="C125" s="401"/>
    </row>
    <row r="126" spans="1:31" ht="63.75" customHeight="1" x14ac:dyDescent="0.3">
      <c r="A126" s="2560" t="s">
        <v>1025</v>
      </c>
      <c r="B126" s="2560"/>
      <c r="C126" s="2560"/>
      <c r="D126" s="2560"/>
      <c r="E126" s="2560"/>
      <c r="F126" s="2560"/>
      <c r="G126" s="2560"/>
      <c r="H126" s="2560"/>
      <c r="I126" s="2560"/>
      <c r="J126" s="2560"/>
      <c r="K126" s="2560"/>
      <c r="L126" s="2560"/>
    </row>
    <row r="127" spans="1:31" x14ac:dyDescent="0.3">
      <c r="A127" s="375"/>
      <c r="B127" s="375"/>
      <c r="C127" s="397"/>
    </row>
    <row r="128" spans="1:31" s="292" customFormat="1" x14ac:dyDescent="0.3">
      <c r="A128" s="2561" t="s">
        <v>247</v>
      </c>
      <c r="B128" s="2561"/>
      <c r="C128" s="2561"/>
      <c r="D128" s="2561"/>
      <c r="E128" s="2561"/>
      <c r="F128" s="2561"/>
      <c r="G128" s="2561"/>
      <c r="H128" s="2561"/>
      <c r="I128" s="2561"/>
      <c r="J128" s="2561"/>
      <c r="K128" s="2561"/>
      <c r="L128" s="2561"/>
      <c r="M128" s="384"/>
      <c r="O128" s="384"/>
    </row>
    <row r="129" spans="1:15" s="292" customFormat="1" x14ac:dyDescent="0.3">
      <c r="A129" s="317" t="s">
        <v>248</v>
      </c>
      <c r="B129" s="318" t="s">
        <v>249</v>
      </c>
      <c r="C129" s="402"/>
      <c r="D129" s="319"/>
      <c r="E129" s="319"/>
      <c r="F129" s="319"/>
      <c r="G129" s="319"/>
      <c r="H129" s="319"/>
      <c r="I129" s="319"/>
      <c r="J129" s="319"/>
      <c r="K129" s="319"/>
      <c r="L129" s="319"/>
      <c r="M129" s="319"/>
      <c r="O129" s="319"/>
    </row>
  </sheetData>
  <autoFilter ref="A3:C3"/>
  <sortState ref="A5:AE124">
    <sortCondition ref="A5:A124"/>
  </sortState>
  <mergeCells count="3">
    <mergeCell ref="A1:M1"/>
    <mergeCell ref="A128:L128"/>
    <mergeCell ref="A126:L126"/>
  </mergeCells>
  <hyperlinks>
    <hyperlink ref="B129"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A136"/>
  <sheetViews>
    <sheetView workbookViewId="0">
      <pane xSplit="3" ySplit="4" topLeftCell="D5" activePane="bottomRight" state="frozen"/>
      <selection pane="topRight" activeCell="D1" sqref="D1"/>
      <selection pane="bottomLeft" activeCell="A5" sqref="A5"/>
      <selection pane="bottomRight" activeCell="H134" sqref="H134"/>
    </sheetView>
  </sheetViews>
  <sheetFormatPr defaultColWidth="9" defaultRowHeight="15.6" x14ac:dyDescent="0.3"/>
  <cols>
    <col min="1" max="1" width="9.69921875" style="105" customWidth="1"/>
    <col min="2" max="2" width="28.796875" style="105" customWidth="1"/>
    <col min="3" max="3" width="14.796875" style="105" customWidth="1"/>
    <col min="4" max="9" width="15.296875" style="404" customWidth="1"/>
    <col min="10" max="11" width="16.19921875" style="404" customWidth="1"/>
    <col min="12" max="16384" width="9" style="105"/>
  </cols>
  <sheetData>
    <row r="1" spans="1:53" x14ac:dyDescent="0.3">
      <c r="A1" s="2" t="s">
        <v>906</v>
      </c>
    </row>
    <row r="3" spans="1:53" ht="46.8" x14ac:dyDescent="0.3">
      <c r="A3" s="411" t="s">
        <v>4</v>
      </c>
      <c r="B3" s="412" t="s">
        <v>5</v>
      </c>
      <c r="C3" s="1170" t="s">
        <v>250</v>
      </c>
      <c r="D3" s="1171" t="s">
        <v>287</v>
      </c>
      <c r="E3" s="1172" t="s">
        <v>288</v>
      </c>
      <c r="F3" s="1172" t="s">
        <v>289</v>
      </c>
      <c r="G3" s="1172" t="s">
        <v>570</v>
      </c>
      <c r="H3" s="1172" t="s">
        <v>571</v>
      </c>
      <c r="I3" s="1173" t="s">
        <v>262</v>
      </c>
      <c r="J3" s="1138" t="s">
        <v>572</v>
      </c>
      <c r="K3" s="1138" t="s">
        <v>573</v>
      </c>
    </row>
    <row r="4" spans="1:53" x14ac:dyDescent="0.3">
      <c r="A4" s="405">
        <v>999</v>
      </c>
      <c r="B4" s="406" t="s">
        <v>8</v>
      </c>
      <c r="C4" s="553"/>
      <c r="D4" s="1174">
        <f t="shared" ref="D4:I4" si="0">SUM(D5:D124)</f>
        <v>344890720.25999999</v>
      </c>
      <c r="E4" s="1175">
        <f t="shared" si="0"/>
        <v>111531387.14000005</v>
      </c>
      <c r="F4" s="1175">
        <f t="shared" si="0"/>
        <v>204491301.12</v>
      </c>
      <c r="G4" s="1175">
        <f t="shared" si="0"/>
        <v>9837999.3599999994</v>
      </c>
      <c r="H4" s="1175">
        <f t="shared" si="0"/>
        <v>-159907.12999999992</v>
      </c>
      <c r="I4" s="1176">
        <f t="shared" si="0"/>
        <v>670591500.74999964</v>
      </c>
      <c r="J4" s="1137">
        <f t="shared" ref="J4" si="1">G4+H4</f>
        <v>9678092.2299999986</v>
      </c>
      <c r="K4" s="1137">
        <f t="shared" ref="K4" si="2">F4+J4</f>
        <v>214169393.34999999</v>
      </c>
      <c r="L4" s="409"/>
      <c r="M4" s="409"/>
      <c r="N4" s="409"/>
      <c r="O4" s="409"/>
      <c r="P4" s="407"/>
      <c r="Q4" s="407"/>
      <c r="R4" s="407"/>
      <c r="S4" s="407"/>
      <c r="T4" s="407"/>
      <c r="U4" s="407"/>
      <c r="V4" s="408"/>
      <c r="W4" s="408"/>
      <c r="X4" s="409"/>
      <c r="Y4" s="409"/>
      <c r="Z4" s="409"/>
      <c r="AA4" s="409"/>
      <c r="AB4" s="409"/>
      <c r="AC4" s="409"/>
      <c r="AD4" s="407"/>
      <c r="AE4" s="407"/>
      <c r="AF4" s="407"/>
      <c r="AG4" s="407"/>
      <c r="AH4" s="407"/>
      <c r="AI4" s="407"/>
      <c r="AJ4" s="408"/>
      <c r="AK4" s="408"/>
      <c r="AL4" s="409"/>
      <c r="AM4" s="409"/>
      <c r="AN4" s="409"/>
      <c r="AO4" s="409"/>
      <c r="AP4" s="409"/>
      <c r="AQ4" s="409"/>
      <c r="AR4" s="407"/>
      <c r="AS4" s="407"/>
      <c r="AT4" s="407"/>
      <c r="AU4" s="407"/>
      <c r="AV4" s="407"/>
      <c r="AW4" s="407"/>
      <c r="AX4" s="408"/>
      <c r="AY4" s="408"/>
      <c r="AZ4" s="409"/>
      <c r="BA4" s="409"/>
    </row>
    <row r="5" spans="1:53" ht="15" customHeight="1" x14ac:dyDescent="0.3">
      <c r="A5" s="1177" t="s">
        <v>9</v>
      </c>
      <c r="B5" s="1178" t="s">
        <v>10</v>
      </c>
      <c r="C5" s="1179" t="s">
        <v>251</v>
      </c>
      <c r="D5" s="1180">
        <v>1951453.22</v>
      </c>
      <c r="E5" s="1181">
        <v>806252.63</v>
      </c>
      <c r="F5" s="1181">
        <v>489267.87</v>
      </c>
      <c r="G5" s="1181">
        <v>120215.14</v>
      </c>
      <c r="H5" s="1181">
        <v>0</v>
      </c>
      <c r="I5" s="1182">
        <f t="shared" ref="I5:I36" si="3">SUM(D5:H5)</f>
        <v>3367188.8600000003</v>
      </c>
      <c r="J5" s="1183">
        <f t="shared" ref="J5:J36" si="4">G5+H5</f>
        <v>120215.14</v>
      </c>
      <c r="K5" s="1183">
        <f t="shared" ref="K5:K36" si="5">F5+J5</f>
        <v>609483.01</v>
      </c>
    </row>
    <row r="6" spans="1:53" ht="15" customHeight="1" x14ac:dyDescent="0.3">
      <c r="A6" s="1184" t="s">
        <v>11</v>
      </c>
      <c r="B6" s="1178" t="s">
        <v>12</v>
      </c>
      <c r="C6" s="1185" t="s">
        <v>252</v>
      </c>
      <c r="D6" s="1186">
        <v>4896889.6100000003</v>
      </c>
      <c r="E6" s="1187">
        <v>869433.67</v>
      </c>
      <c r="F6" s="1187">
        <v>4866025.68</v>
      </c>
      <c r="G6" s="1187">
        <v>1007686.22</v>
      </c>
      <c r="H6" s="1187">
        <v>0</v>
      </c>
      <c r="I6" s="1182">
        <f t="shared" si="3"/>
        <v>11640035.180000002</v>
      </c>
      <c r="J6" s="1188">
        <f t="shared" si="4"/>
        <v>1007686.22</v>
      </c>
      <c r="K6" s="1188">
        <f t="shared" si="5"/>
        <v>5873711.8999999994</v>
      </c>
    </row>
    <row r="7" spans="1:53" ht="15" customHeight="1" x14ac:dyDescent="0.3">
      <c r="A7" s="1184" t="s">
        <v>15</v>
      </c>
      <c r="B7" s="1178" t="s">
        <v>273</v>
      </c>
      <c r="C7" s="1185" t="s">
        <v>252</v>
      </c>
      <c r="D7" s="1186">
        <v>1125098.18</v>
      </c>
      <c r="E7" s="1187">
        <v>459559.14</v>
      </c>
      <c r="F7" s="1187">
        <v>310337.58</v>
      </c>
      <c r="G7" s="1187">
        <v>678.77</v>
      </c>
      <c r="H7" s="1187">
        <v>0</v>
      </c>
      <c r="I7" s="1182">
        <f t="shared" si="3"/>
        <v>1895673.67</v>
      </c>
      <c r="J7" s="1188">
        <f t="shared" si="4"/>
        <v>678.77</v>
      </c>
      <c r="K7" s="1188">
        <f t="shared" si="5"/>
        <v>311016.35000000003</v>
      </c>
    </row>
    <row r="8" spans="1:53" ht="15" customHeight="1" x14ac:dyDescent="0.3">
      <c r="A8" s="1184" t="s">
        <v>17</v>
      </c>
      <c r="B8" s="1178" t="s">
        <v>18</v>
      </c>
      <c r="C8" s="1185" t="s">
        <v>253</v>
      </c>
      <c r="D8" s="1186">
        <v>660604.68000000005</v>
      </c>
      <c r="E8" s="1187">
        <v>240249.03</v>
      </c>
      <c r="F8" s="1187">
        <v>299413.67</v>
      </c>
      <c r="G8" s="1187">
        <v>138.81</v>
      </c>
      <c r="H8" s="1187">
        <v>0</v>
      </c>
      <c r="I8" s="1182">
        <f t="shared" si="3"/>
        <v>1200406.1900000002</v>
      </c>
      <c r="J8" s="1188">
        <f t="shared" si="4"/>
        <v>138.81</v>
      </c>
      <c r="K8" s="1188">
        <f t="shared" si="5"/>
        <v>299552.48</v>
      </c>
    </row>
    <row r="9" spans="1:53" ht="15" customHeight="1" x14ac:dyDescent="0.3">
      <c r="A9" s="1184" t="s">
        <v>19</v>
      </c>
      <c r="B9" s="1178" t="s">
        <v>20</v>
      </c>
      <c r="C9" s="1185" t="s">
        <v>252</v>
      </c>
      <c r="D9" s="1186">
        <v>1281735.17</v>
      </c>
      <c r="E9" s="1187">
        <v>457258.1</v>
      </c>
      <c r="F9" s="1187">
        <v>620574.28</v>
      </c>
      <c r="G9" s="1187">
        <v>57447.35</v>
      </c>
      <c r="H9" s="1187">
        <v>0</v>
      </c>
      <c r="I9" s="1182">
        <f t="shared" si="3"/>
        <v>2417014.9</v>
      </c>
      <c r="J9" s="1188">
        <f t="shared" si="4"/>
        <v>57447.35</v>
      </c>
      <c r="K9" s="1188">
        <f t="shared" si="5"/>
        <v>678021.63</v>
      </c>
    </row>
    <row r="10" spans="1:53" ht="15" customHeight="1" x14ac:dyDescent="0.3">
      <c r="A10" s="1184" t="s">
        <v>21</v>
      </c>
      <c r="B10" s="1178" t="s">
        <v>22</v>
      </c>
      <c r="C10" s="1185" t="s">
        <v>252</v>
      </c>
      <c r="D10" s="1186">
        <v>778179.65</v>
      </c>
      <c r="E10" s="1187">
        <v>307980.87</v>
      </c>
      <c r="F10" s="1187">
        <v>256865.49</v>
      </c>
      <c r="G10" s="1187">
        <v>10121.219999999999</v>
      </c>
      <c r="H10" s="1187">
        <v>0</v>
      </c>
      <c r="I10" s="1182">
        <f t="shared" si="3"/>
        <v>1353147.23</v>
      </c>
      <c r="J10" s="1188">
        <f t="shared" si="4"/>
        <v>10121.219999999999</v>
      </c>
      <c r="K10" s="1188">
        <f t="shared" si="5"/>
        <v>266986.70999999996</v>
      </c>
    </row>
    <row r="11" spans="1:53" ht="15" customHeight="1" x14ac:dyDescent="0.3">
      <c r="A11" s="1184" t="s">
        <v>23</v>
      </c>
      <c r="B11" s="1178" t="s">
        <v>24</v>
      </c>
      <c r="C11" s="1185" t="s">
        <v>254</v>
      </c>
      <c r="D11" s="1186">
        <v>8245387.9299999997</v>
      </c>
      <c r="E11" s="1187">
        <v>2130710.7200000002</v>
      </c>
      <c r="F11" s="1187">
        <v>6820778.5100000007</v>
      </c>
      <c r="G11" s="1187">
        <v>-20.85</v>
      </c>
      <c r="H11" s="1187">
        <v>0</v>
      </c>
      <c r="I11" s="1182">
        <f t="shared" si="3"/>
        <v>17196856.309999999</v>
      </c>
      <c r="J11" s="1188">
        <f t="shared" si="4"/>
        <v>-20.85</v>
      </c>
      <c r="K11" s="1188">
        <f t="shared" si="5"/>
        <v>6820757.6600000011</v>
      </c>
    </row>
    <row r="12" spans="1:53" ht="15" customHeight="1" x14ac:dyDescent="0.3">
      <c r="A12" s="1184" t="s">
        <v>25</v>
      </c>
      <c r="B12" s="1178" t="s">
        <v>444</v>
      </c>
      <c r="C12" s="1185" t="s">
        <v>252</v>
      </c>
      <c r="D12" s="1186">
        <v>5288615.08</v>
      </c>
      <c r="E12" s="1187">
        <v>1790410.0699999998</v>
      </c>
      <c r="F12" s="1187">
        <v>2785970.6300000004</v>
      </c>
      <c r="G12" s="1187">
        <v>650.80999999999995</v>
      </c>
      <c r="H12" s="1187">
        <v>0</v>
      </c>
      <c r="I12" s="1182">
        <f t="shared" si="3"/>
        <v>9865646.5900000017</v>
      </c>
      <c r="J12" s="1188">
        <f t="shared" si="4"/>
        <v>650.80999999999995</v>
      </c>
      <c r="K12" s="1188">
        <f t="shared" si="5"/>
        <v>2786621.4400000004</v>
      </c>
    </row>
    <row r="13" spans="1:53" ht="15" customHeight="1" x14ac:dyDescent="0.3">
      <c r="A13" s="1184" t="s">
        <v>26</v>
      </c>
      <c r="B13" s="1178" t="s">
        <v>27</v>
      </c>
      <c r="C13" s="1185" t="s">
        <v>252</v>
      </c>
      <c r="D13" s="1186">
        <v>310710.52</v>
      </c>
      <c r="E13" s="1187">
        <v>122446.95999999999</v>
      </c>
      <c r="F13" s="1187">
        <v>115850.01000000001</v>
      </c>
      <c r="G13" s="1187">
        <v>5160.8100000000004</v>
      </c>
      <c r="H13" s="1187">
        <v>0</v>
      </c>
      <c r="I13" s="1182">
        <f t="shared" si="3"/>
        <v>554168.30000000005</v>
      </c>
      <c r="J13" s="1188">
        <f t="shared" si="4"/>
        <v>5160.8100000000004</v>
      </c>
      <c r="K13" s="1188">
        <f t="shared" si="5"/>
        <v>121010.82</v>
      </c>
    </row>
    <row r="14" spans="1:53" ht="15" customHeight="1" x14ac:dyDescent="0.3">
      <c r="A14" s="1184" t="s">
        <v>28</v>
      </c>
      <c r="B14" s="1178" t="s">
        <v>568</v>
      </c>
      <c r="C14" s="1185" t="s">
        <v>252</v>
      </c>
      <c r="D14" s="1186">
        <v>2955669.44</v>
      </c>
      <c r="E14" s="1187">
        <v>728421.15999999992</v>
      </c>
      <c r="F14" s="1187">
        <v>2666499.33</v>
      </c>
      <c r="G14" s="1187">
        <v>39523.18</v>
      </c>
      <c r="H14" s="1187">
        <v>0</v>
      </c>
      <c r="I14" s="1182">
        <f t="shared" si="3"/>
        <v>6390113.1099999994</v>
      </c>
      <c r="J14" s="1188">
        <f t="shared" si="4"/>
        <v>39523.18</v>
      </c>
      <c r="K14" s="1188">
        <f t="shared" si="5"/>
        <v>2706022.5100000002</v>
      </c>
    </row>
    <row r="15" spans="1:53" ht="15" customHeight="1" x14ac:dyDescent="0.3">
      <c r="A15" s="1184" t="s">
        <v>29</v>
      </c>
      <c r="B15" s="1178" t="s">
        <v>30</v>
      </c>
      <c r="C15" s="1185" t="s">
        <v>255</v>
      </c>
      <c r="D15" s="1186">
        <v>426833.88</v>
      </c>
      <c r="E15" s="1187">
        <v>163101.53</v>
      </c>
      <c r="F15" s="1187">
        <v>171278.71000000002</v>
      </c>
      <c r="G15" s="1187">
        <v>12640.859999999999</v>
      </c>
      <c r="H15" s="1187">
        <v>0</v>
      </c>
      <c r="I15" s="1182">
        <f t="shared" si="3"/>
        <v>773854.9800000001</v>
      </c>
      <c r="J15" s="1188">
        <f t="shared" si="4"/>
        <v>12640.859999999999</v>
      </c>
      <c r="K15" s="1188">
        <f t="shared" si="5"/>
        <v>183919.57</v>
      </c>
    </row>
    <row r="16" spans="1:53" ht="15" customHeight="1" x14ac:dyDescent="0.3">
      <c r="A16" s="1184" t="s">
        <v>31</v>
      </c>
      <c r="B16" s="1178" t="s">
        <v>32</v>
      </c>
      <c r="C16" s="1185" t="s">
        <v>252</v>
      </c>
      <c r="D16" s="1186">
        <v>673101.57</v>
      </c>
      <c r="E16" s="1187">
        <v>270075.09000000003</v>
      </c>
      <c r="F16" s="1187">
        <v>216420.44</v>
      </c>
      <c r="G16" s="1187">
        <v>14778.19</v>
      </c>
      <c r="H16" s="1187">
        <v>0</v>
      </c>
      <c r="I16" s="1182">
        <f t="shared" si="3"/>
        <v>1174375.2899999998</v>
      </c>
      <c r="J16" s="1188">
        <f t="shared" si="4"/>
        <v>14778.19</v>
      </c>
      <c r="K16" s="1188">
        <f t="shared" si="5"/>
        <v>231198.63</v>
      </c>
    </row>
    <row r="17" spans="1:11" ht="15" customHeight="1" x14ac:dyDescent="0.3">
      <c r="A17" s="1184" t="s">
        <v>35</v>
      </c>
      <c r="B17" s="1178" t="s">
        <v>36</v>
      </c>
      <c r="C17" s="1185" t="s">
        <v>251</v>
      </c>
      <c r="D17" s="1186">
        <v>1083910.94</v>
      </c>
      <c r="E17" s="1187">
        <v>425124.83</v>
      </c>
      <c r="F17" s="1187">
        <v>364392.06</v>
      </c>
      <c r="G17" s="1187">
        <v>6388.2199999999993</v>
      </c>
      <c r="H17" s="1187">
        <v>0</v>
      </c>
      <c r="I17" s="1182">
        <f t="shared" si="3"/>
        <v>1879816.05</v>
      </c>
      <c r="J17" s="1188">
        <f t="shared" si="4"/>
        <v>6388.2199999999993</v>
      </c>
      <c r="K17" s="1188">
        <f t="shared" si="5"/>
        <v>370780.27999999997</v>
      </c>
    </row>
    <row r="18" spans="1:11" ht="15" customHeight="1" x14ac:dyDescent="0.3">
      <c r="A18" s="1184" t="s">
        <v>37</v>
      </c>
      <c r="B18" s="1178" t="s">
        <v>38</v>
      </c>
      <c r="C18" s="1185" t="s">
        <v>255</v>
      </c>
      <c r="D18" s="1186">
        <v>2222903.98</v>
      </c>
      <c r="E18" s="1187">
        <v>845418.75</v>
      </c>
      <c r="F18" s="1187">
        <v>827636.34</v>
      </c>
      <c r="G18" s="1187">
        <v>-27642.59</v>
      </c>
      <c r="H18" s="1187">
        <v>0</v>
      </c>
      <c r="I18" s="1182">
        <f t="shared" si="3"/>
        <v>3868316.48</v>
      </c>
      <c r="J18" s="1188">
        <f t="shared" si="4"/>
        <v>-27642.59</v>
      </c>
      <c r="K18" s="1188">
        <f t="shared" si="5"/>
        <v>799993.75</v>
      </c>
    </row>
    <row r="19" spans="1:11" ht="15" customHeight="1" x14ac:dyDescent="0.3">
      <c r="A19" s="1184" t="s">
        <v>39</v>
      </c>
      <c r="B19" s="1178" t="s">
        <v>40</v>
      </c>
      <c r="C19" s="1185" t="s">
        <v>253</v>
      </c>
      <c r="D19" s="1186">
        <v>784262.55999999994</v>
      </c>
      <c r="E19" s="1187">
        <v>313111.3</v>
      </c>
      <c r="F19" s="1187">
        <v>255443.44999999998</v>
      </c>
      <c r="G19" s="1187">
        <v>7516.66</v>
      </c>
      <c r="H19" s="1187">
        <v>0</v>
      </c>
      <c r="I19" s="1182">
        <f t="shared" si="3"/>
        <v>1360333.9699999997</v>
      </c>
      <c r="J19" s="1188">
        <f t="shared" si="4"/>
        <v>7516.66</v>
      </c>
      <c r="K19" s="1188">
        <f t="shared" si="5"/>
        <v>262960.11</v>
      </c>
    </row>
    <row r="20" spans="1:11" ht="15" customHeight="1" x14ac:dyDescent="0.3">
      <c r="A20" s="1184" t="s">
        <v>41</v>
      </c>
      <c r="B20" s="1178" t="s">
        <v>42</v>
      </c>
      <c r="C20" s="1185" t="s">
        <v>252</v>
      </c>
      <c r="D20" s="1186">
        <v>2528526.75</v>
      </c>
      <c r="E20" s="1187">
        <v>942168.28999999992</v>
      </c>
      <c r="F20" s="1187">
        <v>1015076.1399999999</v>
      </c>
      <c r="G20" s="1187">
        <v>79787.099999999991</v>
      </c>
      <c r="H20" s="1187">
        <v>0</v>
      </c>
      <c r="I20" s="1182">
        <f t="shared" si="3"/>
        <v>4565558.2799999993</v>
      </c>
      <c r="J20" s="1188">
        <f t="shared" si="4"/>
        <v>79787.099999999991</v>
      </c>
      <c r="K20" s="1188">
        <f t="shared" si="5"/>
        <v>1094863.24</v>
      </c>
    </row>
    <row r="21" spans="1:11" ht="15" customHeight="1" x14ac:dyDescent="0.3">
      <c r="A21" s="1184" t="s">
        <v>43</v>
      </c>
      <c r="B21" s="1178" t="s">
        <v>44</v>
      </c>
      <c r="C21" s="1185" t="s">
        <v>253</v>
      </c>
      <c r="D21" s="1186">
        <v>1248076.0299999998</v>
      </c>
      <c r="E21" s="1187">
        <v>445498.09</v>
      </c>
      <c r="F21" s="1187">
        <v>597117.47</v>
      </c>
      <c r="G21" s="1187">
        <v>5340.54</v>
      </c>
      <c r="H21" s="1187">
        <v>0</v>
      </c>
      <c r="I21" s="1182">
        <f t="shared" si="3"/>
        <v>2296032.13</v>
      </c>
      <c r="J21" s="1188">
        <f t="shared" si="4"/>
        <v>5340.54</v>
      </c>
      <c r="K21" s="1188">
        <f t="shared" si="5"/>
        <v>602458.01</v>
      </c>
    </row>
    <row r="22" spans="1:11" ht="15" customHeight="1" x14ac:dyDescent="0.3">
      <c r="A22" s="1184" t="s">
        <v>45</v>
      </c>
      <c r="B22" s="1178" t="s">
        <v>46</v>
      </c>
      <c r="C22" s="1185" t="s">
        <v>255</v>
      </c>
      <c r="D22" s="1186">
        <v>1354645.9400000002</v>
      </c>
      <c r="E22" s="1187">
        <v>564285.1</v>
      </c>
      <c r="F22" s="1187">
        <v>339113.74</v>
      </c>
      <c r="G22" s="1187">
        <v>202.11</v>
      </c>
      <c r="H22" s="1187">
        <v>0</v>
      </c>
      <c r="I22" s="1182">
        <f t="shared" si="3"/>
        <v>2258246.89</v>
      </c>
      <c r="J22" s="1188">
        <f t="shared" si="4"/>
        <v>202.11</v>
      </c>
      <c r="K22" s="1188">
        <f t="shared" si="5"/>
        <v>339315.85</v>
      </c>
    </row>
    <row r="23" spans="1:11" ht="15" customHeight="1" x14ac:dyDescent="0.3">
      <c r="A23" s="1184" t="s">
        <v>47</v>
      </c>
      <c r="B23" s="1178" t="s">
        <v>256</v>
      </c>
      <c r="C23" s="1185" t="s">
        <v>253</v>
      </c>
      <c r="D23" s="1186">
        <v>429193.17000000004</v>
      </c>
      <c r="E23" s="1187">
        <v>182762.5</v>
      </c>
      <c r="F23" s="1187">
        <v>102035.36</v>
      </c>
      <c r="G23" s="1187">
        <v>2100.1400000000003</v>
      </c>
      <c r="H23" s="1187">
        <v>0</v>
      </c>
      <c r="I23" s="1182">
        <f t="shared" si="3"/>
        <v>716091.17</v>
      </c>
      <c r="J23" s="1188">
        <f t="shared" si="4"/>
        <v>2100.1400000000003</v>
      </c>
      <c r="K23" s="1188">
        <f t="shared" si="5"/>
        <v>104135.5</v>
      </c>
    </row>
    <row r="24" spans="1:11" ht="15" customHeight="1" x14ac:dyDescent="0.3">
      <c r="A24" s="1184" t="s">
        <v>49</v>
      </c>
      <c r="B24" s="1178" t="s">
        <v>50</v>
      </c>
      <c r="C24" s="1185" t="s">
        <v>252</v>
      </c>
      <c r="D24" s="1186">
        <v>785975.47000000009</v>
      </c>
      <c r="E24" s="1187">
        <v>305810.44999999995</v>
      </c>
      <c r="F24" s="1187">
        <v>279049.84000000003</v>
      </c>
      <c r="G24" s="1187">
        <v>89413.89</v>
      </c>
      <c r="H24" s="1187">
        <v>0</v>
      </c>
      <c r="I24" s="1182">
        <f t="shared" si="3"/>
        <v>1460249.65</v>
      </c>
      <c r="J24" s="1188">
        <f t="shared" si="4"/>
        <v>89413.89</v>
      </c>
      <c r="K24" s="1188">
        <f t="shared" si="5"/>
        <v>368463.73000000004</v>
      </c>
    </row>
    <row r="25" spans="1:11" ht="15" customHeight="1" x14ac:dyDescent="0.3">
      <c r="A25" s="1184" t="s">
        <v>55</v>
      </c>
      <c r="B25" s="1178" t="s">
        <v>271</v>
      </c>
      <c r="C25" s="1185" t="s">
        <v>253</v>
      </c>
      <c r="D25" s="1186">
        <v>7478605.4500000002</v>
      </c>
      <c r="E25" s="1187">
        <v>2605308.09</v>
      </c>
      <c r="F25" s="1187">
        <v>4188018.4</v>
      </c>
      <c r="G25" s="1187">
        <v>131288.59</v>
      </c>
      <c r="H25" s="1187">
        <v>0</v>
      </c>
      <c r="I25" s="1182">
        <f t="shared" si="3"/>
        <v>14403220.529999999</v>
      </c>
      <c r="J25" s="1188">
        <f t="shared" si="4"/>
        <v>131288.59</v>
      </c>
      <c r="K25" s="1188">
        <f t="shared" si="5"/>
        <v>4319306.99</v>
      </c>
    </row>
    <row r="26" spans="1:11" ht="15" customHeight="1" x14ac:dyDescent="0.3">
      <c r="A26" s="1184" t="s">
        <v>57</v>
      </c>
      <c r="B26" s="1178" t="s">
        <v>58</v>
      </c>
      <c r="C26" s="1185" t="s">
        <v>254</v>
      </c>
      <c r="D26" s="1186">
        <v>538329.91999999993</v>
      </c>
      <c r="E26" s="1187">
        <v>162175.77000000002</v>
      </c>
      <c r="F26" s="1187">
        <v>386089.14</v>
      </c>
      <c r="G26" s="1187">
        <v>-1853.8</v>
      </c>
      <c r="H26" s="1187">
        <v>0</v>
      </c>
      <c r="I26" s="1182">
        <f t="shared" si="3"/>
        <v>1084741.03</v>
      </c>
      <c r="J26" s="1188">
        <f t="shared" si="4"/>
        <v>-1853.8</v>
      </c>
      <c r="K26" s="1188">
        <f t="shared" si="5"/>
        <v>384235.34</v>
      </c>
    </row>
    <row r="27" spans="1:11" ht="15" customHeight="1" x14ac:dyDescent="0.3">
      <c r="A27" s="1184" t="s">
        <v>59</v>
      </c>
      <c r="B27" s="1178" t="s">
        <v>60</v>
      </c>
      <c r="C27" s="1185" t="s">
        <v>252</v>
      </c>
      <c r="D27" s="1186">
        <v>289975.8</v>
      </c>
      <c r="E27" s="1187">
        <v>108146.47</v>
      </c>
      <c r="F27" s="1187">
        <v>128880.73</v>
      </c>
      <c r="G27" s="1187">
        <v>54968.67</v>
      </c>
      <c r="H27" s="1187">
        <v>0</v>
      </c>
      <c r="I27" s="1182">
        <f t="shared" si="3"/>
        <v>581971.67000000004</v>
      </c>
      <c r="J27" s="1188">
        <f t="shared" si="4"/>
        <v>54968.67</v>
      </c>
      <c r="K27" s="1188">
        <f t="shared" si="5"/>
        <v>183849.4</v>
      </c>
    </row>
    <row r="28" spans="1:11" ht="15" customHeight="1" x14ac:dyDescent="0.3">
      <c r="A28" s="1184" t="s">
        <v>61</v>
      </c>
      <c r="B28" s="1178" t="s">
        <v>62</v>
      </c>
      <c r="C28" s="1185" t="s">
        <v>254</v>
      </c>
      <c r="D28" s="1186">
        <v>2059450.56</v>
      </c>
      <c r="E28" s="1187">
        <v>630202.45000000007</v>
      </c>
      <c r="F28" s="1187">
        <v>1350809.17</v>
      </c>
      <c r="G28" s="1187">
        <v>173281.18</v>
      </c>
      <c r="H28" s="1187">
        <v>0</v>
      </c>
      <c r="I28" s="1182">
        <f t="shared" si="3"/>
        <v>4213743.3600000003</v>
      </c>
      <c r="J28" s="1188">
        <f t="shared" si="4"/>
        <v>173281.18</v>
      </c>
      <c r="K28" s="1188">
        <f t="shared" si="5"/>
        <v>1524090.3499999999</v>
      </c>
    </row>
    <row r="29" spans="1:11" ht="15" customHeight="1" x14ac:dyDescent="0.3">
      <c r="A29" s="1184" t="s">
        <v>63</v>
      </c>
      <c r="B29" s="1178" t="s">
        <v>64</v>
      </c>
      <c r="C29" s="1185" t="s">
        <v>253</v>
      </c>
      <c r="D29" s="1186">
        <v>599380.5</v>
      </c>
      <c r="E29" s="1187">
        <v>227299.02000000002</v>
      </c>
      <c r="F29" s="1187">
        <v>241807.7</v>
      </c>
      <c r="G29" s="1187">
        <v>15999.38</v>
      </c>
      <c r="H29" s="1187">
        <v>0</v>
      </c>
      <c r="I29" s="1182">
        <f t="shared" si="3"/>
        <v>1084486.5999999999</v>
      </c>
      <c r="J29" s="1188">
        <f t="shared" si="4"/>
        <v>15999.38</v>
      </c>
      <c r="K29" s="1188">
        <f t="shared" si="5"/>
        <v>257807.08000000002</v>
      </c>
    </row>
    <row r="30" spans="1:11" ht="15" customHeight="1" x14ac:dyDescent="0.3">
      <c r="A30" s="1184" t="s">
        <v>67</v>
      </c>
      <c r="B30" s="1178" t="s">
        <v>68</v>
      </c>
      <c r="C30" s="1185" t="s">
        <v>255</v>
      </c>
      <c r="D30" s="1186">
        <v>1662015.1900000002</v>
      </c>
      <c r="E30" s="1187">
        <v>583247.03</v>
      </c>
      <c r="F30" s="1187">
        <v>804812.01</v>
      </c>
      <c r="G30" s="1187">
        <v>126082.8</v>
      </c>
      <c r="H30" s="1187">
        <v>0</v>
      </c>
      <c r="I30" s="1182">
        <f t="shared" si="3"/>
        <v>3176157.0300000003</v>
      </c>
      <c r="J30" s="1188">
        <f t="shared" si="4"/>
        <v>126082.8</v>
      </c>
      <c r="K30" s="1188">
        <f t="shared" si="5"/>
        <v>930894.81</v>
      </c>
    </row>
    <row r="31" spans="1:11" ht="15" customHeight="1" x14ac:dyDescent="0.3">
      <c r="A31" s="1184" t="s">
        <v>69</v>
      </c>
      <c r="B31" s="1178" t="s">
        <v>70</v>
      </c>
      <c r="C31" s="1185" t="s">
        <v>251</v>
      </c>
      <c r="D31" s="1186">
        <v>1105777.6500000001</v>
      </c>
      <c r="E31" s="1187">
        <v>440581.77</v>
      </c>
      <c r="F31" s="1187">
        <v>351266.99</v>
      </c>
      <c r="G31" s="1187">
        <v>18745.240000000002</v>
      </c>
      <c r="H31" s="1187">
        <v>0</v>
      </c>
      <c r="I31" s="1182">
        <f t="shared" si="3"/>
        <v>1916371.6500000001</v>
      </c>
      <c r="J31" s="1188">
        <f t="shared" si="4"/>
        <v>18745.240000000002</v>
      </c>
      <c r="K31" s="1188">
        <f t="shared" si="5"/>
        <v>370012.23</v>
      </c>
    </row>
    <row r="32" spans="1:11" ht="15" customHeight="1" x14ac:dyDescent="0.3">
      <c r="A32" s="1184" t="s">
        <v>71</v>
      </c>
      <c r="B32" s="1178" t="s">
        <v>72</v>
      </c>
      <c r="C32" s="1185" t="s">
        <v>253</v>
      </c>
      <c r="D32" s="1186">
        <v>666641.25</v>
      </c>
      <c r="E32" s="1187">
        <v>223588.71</v>
      </c>
      <c r="F32" s="1187">
        <v>385282.92000000004</v>
      </c>
      <c r="G32" s="1187">
        <v>4293.55</v>
      </c>
      <c r="H32" s="1187">
        <v>0</v>
      </c>
      <c r="I32" s="1182">
        <f t="shared" si="3"/>
        <v>1279806.43</v>
      </c>
      <c r="J32" s="1188">
        <f t="shared" si="4"/>
        <v>4293.55</v>
      </c>
      <c r="K32" s="1188">
        <f t="shared" si="5"/>
        <v>389576.47000000003</v>
      </c>
    </row>
    <row r="33" spans="1:11" ht="15" customHeight="1" x14ac:dyDescent="0.3">
      <c r="A33" s="1184" t="s">
        <v>73</v>
      </c>
      <c r="B33" s="1178" t="s">
        <v>277</v>
      </c>
      <c r="C33" s="1185" t="s">
        <v>254</v>
      </c>
      <c r="D33" s="1186">
        <v>34030259.229999997</v>
      </c>
      <c r="E33" s="1187">
        <v>6508186.2699999996</v>
      </c>
      <c r="F33" s="1187">
        <v>37397065.299999997</v>
      </c>
      <c r="G33" s="1187">
        <v>-9.6</v>
      </c>
      <c r="H33" s="1187">
        <v>0</v>
      </c>
      <c r="I33" s="1182">
        <f t="shared" si="3"/>
        <v>77935501.200000003</v>
      </c>
      <c r="J33" s="1188">
        <f t="shared" si="4"/>
        <v>-9.6</v>
      </c>
      <c r="K33" s="1188">
        <f t="shared" si="5"/>
        <v>37397055.699999996</v>
      </c>
    </row>
    <row r="34" spans="1:11" ht="15" customHeight="1" x14ac:dyDescent="0.3">
      <c r="A34" s="1184" t="s">
        <v>75</v>
      </c>
      <c r="B34" s="1178" t="s">
        <v>76</v>
      </c>
      <c r="C34" s="1185" t="s">
        <v>254</v>
      </c>
      <c r="D34" s="1186">
        <v>2088926.58</v>
      </c>
      <c r="E34" s="1187">
        <v>518979.37</v>
      </c>
      <c r="F34" s="1187">
        <v>1857250.9100000001</v>
      </c>
      <c r="G34" s="1187">
        <v>5520.16</v>
      </c>
      <c r="H34" s="1187">
        <v>0</v>
      </c>
      <c r="I34" s="1182">
        <f t="shared" si="3"/>
        <v>4470677.0200000005</v>
      </c>
      <c r="J34" s="1188">
        <f t="shared" si="4"/>
        <v>5520.16</v>
      </c>
      <c r="K34" s="1188">
        <f t="shared" si="5"/>
        <v>1862771.07</v>
      </c>
    </row>
    <row r="35" spans="1:11" ht="15" customHeight="1" x14ac:dyDescent="0.3">
      <c r="A35" s="1184" t="s">
        <v>77</v>
      </c>
      <c r="B35" s="1178" t="s">
        <v>78</v>
      </c>
      <c r="C35" s="1185" t="s">
        <v>255</v>
      </c>
      <c r="D35" s="1186">
        <v>535626.87</v>
      </c>
      <c r="E35" s="1187">
        <v>211917.41</v>
      </c>
      <c r="F35" s="1187">
        <v>192465.19</v>
      </c>
      <c r="G35" s="1187">
        <v>4043.4800000000005</v>
      </c>
      <c r="H35" s="1187">
        <v>0</v>
      </c>
      <c r="I35" s="1182">
        <f t="shared" si="3"/>
        <v>944052.95</v>
      </c>
      <c r="J35" s="1188">
        <f t="shared" si="4"/>
        <v>4043.4800000000005</v>
      </c>
      <c r="K35" s="1188">
        <f t="shared" si="5"/>
        <v>196508.67</v>
      </c>
    </row>
    <row r="36" spans="1:11" ht="15" customHeight="1" x14ac:dyDescent="0.3">
      <c r="A36" s="1184" t="s">
        <v>79</v>
      </c>
      <c r="B36" s="1178" t="s">
        <v>80</v>
      </c>
      <c r="C36" s="1185" t="s">
        <v>253</v>
      </c>
      <c r="D36" s="1186">
        <v>1081047.3800000001</v>
      </c>
      <c r="E36" s="1187">
        <v>269918.07</v>
      </c>
      <c r="F36" s="1187">
        <v>965639.25</v>
      </c>
      <c r="G36" s="1187">
        <v>9996.84</v>
      </c>
      <c r="H36" s="1187">
        <v>0</v>
      </c>
      <c r="I36" s="1182">
        <f t="shared" si="3"/>
        <v>2326601.54</v>
      </c>
      <c r="J36" s="1188">
        <f t="shared" si="4"/>
        <v>9996.84</v>
      </c>
      <c r="K36" s="1188">
        <f t="shared" si="5"/>
        <v>975636.09</v>
      </c>
    </row>
    <row r="37" spans="1:11" ht="15" customHeight="1" x14ac:dyDescent="0.3">
      <c r="A37" s="1184" t="s">
        <v>83</v>
      </c>
      <c r="B37" s="1178" t="s">
        <v>281</v>
      </c>
      <c r="C37" s="1185" t="s">
        <v>252</v>
      </c>
      <c r="D37" s="1186">
        <v>2249332.8800000004</v>
      </c>
      <c r="E37" s="1187">
        <v>706004.85000000009</v>
      </c>
      <c r="F37" s="1187">
        <v>1454540.51</v>
      </c>
      <c r="G37" s="1187">
        <v>31983.55</v>
      </c>
      <c r="H37" s="1187">
        <v>0</v>
      </c>
      <c r="I37" s="1182">
        <f t="shared" ref="I37:I68" si="6">SUM(D37:H37)</f>
        <v>4441861.79</v>
      </c>
      <c r="J37" s="1188">
        <f t="shared" ref="J37:J68" si="7">G37+H37</f>
        <v>31983.55</v>
      </c>
      <c r="K37" s="1188">
        <f t="shared" ref="K37:K68" si="8">F37+J37</f>
        <v>1486524.06</v>
      </c>
    </row>
    <row r="38" spans="1:11" ht="15" customHeight="1" x14ac:dyDescent="0.3">
      <c r="A38" s="1184" t="s">
        <v>85</v>
      </c>
      <c r="B38" s="1178" t="s">
        <v>86</v>
      </c>
      <c r="C38" s="1185" t="s">
        <v>254</v>
      </c>
      <c r="D38" s="1186">
        <v>2850811.9299999997</v>
      </c>
      <c r="E38" s="1187">
        <v>686485.73</v>
      </c>
      <c r="F38" s="1187">
        <v>2650420.8899999997</v>
      </c>
      <c r="G38" s="1187">
        <v>2786.6000000000004</v>
      </c>
      <c r="H38" s="1187">
        <v>0</v>
      </c>
      <c r="I38" s="1182">
        <f t="shared" si="6"/>
        <v>6190505.1499999985</v>
      </c>
      <c r="J38" s="1188">
        <f t="shared" si="7"/>
        <v>2786.6000000000004</v>
      </c>
      <c r="K38" s="1188">
        <f t="shared" si="8"/>
        <v>2653207.4899999998</v>
      </c>
    </row>
    <row r="39" spans="1:11" ht="15" customHeight="1" x14ac:dyDescent="0.3">
      <c r="A39" s="1184" t="s">
        <v>91</v>
      </c>
      <c r="B39" s="1178" t="s">
        <v>92</v>
      </c>
      <c r="C39" s="1185" t="s">
        <v>255</v>
      </c>
      <c r="D39" s="1186">
        <v>962028.21</v>
      </c>
      <c r="E39" s="1187">
        <v>346025.02</v>
      </c>
      <c r="F39" s="1187">
        <v>441306.07999999996</v>
      </c>
      <c r="G39" s="1187">
        <v>12596.730000000001</v>
      </c>
      <c r="H39" s="1187">
        <v>0</v>
      </c>
      <c r="I39" s="1182">
        <f t="shared" si="6"/>
        <v>1761956.04</v>
      </c>
      <c r="J39" s="1188">
        <f t="shared" si="7"/>
        <v>12596.730000000001</v>
      </c>
      <c r="K39" s="1188">
        <f t="shared" si="8"/>
        <v>453902.80999999994</v>
      </c>
    </row>
    <row r="40" spans="1:11" ht="15" customHeight="1" x14ac:dyDescent="0.3">
      <c r="A40" s="1184" t="s">
        <v>93</v>
      </c>
      <c r="B40" s="1178" t="s">
        <v>94</v>
      </c>
      <c r="C40" s="1185" t="s">
        <v>251</v>
      </c>
      <c r="D40" s="1186">
        <v>1657375.8499999999</v>
      </c>
      <c r="E40" s="1187">
        <v>451607.63</v>
      </c>
      <c r="F40" s="1187">
        <v>1314797.02</v>
      </c>
      <c r="G40" s="1187">
        <v>19864.859999999997</v>
      </c>
      <c r="H40" s="1187">
        <v>0</v>
      </c>
      <c r="I40" s="1182">
        <f t="shared" si="6"/>
        <v>3443645.36</v>
      </c>
      <c r="J40" s="1188">
        <f t="shared" si="7"/>
        <v>19864.859999999997</v>
      </c>
      <c r="K40" s="1188">
        <f t="shared" si="8"/>
        <v>1334661.8800000001</v>
      </c>
    </row>
    <row r="41" spans="1:11" ht="15" customHeight="1" x14ac:dyDescent="0.3">
      <c r="A41" s="1184" t="s">
        <v>95</v>
      </c>
      <c r="B41" s="1178" t="s">
        <v>96</v>
      </c>
      <c r="C41" s="1185" t="s">
        <v>253</v>
      </c>
      <c r="D41" s="1186">
        <v>851827.26</v>
      </c>
      <c r="E41" s="1187">
        <v>256984.39</v>
      </c>
      <c r="F41" s="1187">
        <v>590874.89</v>
      </c>
      <c r="G41" s="1187">
        <v>25349.890000000003</v>
      </c>
      <c r="H41" s="1187">
        <v>0</v>
      </c>
      <c r="I41" s="1182">
        <f t="shared" si="6"/>
        <v>1725036.43</v>
      </c>
      <c r="J41" s="1188">
        <f t="shared" si="7"/>
        <v>25349.890000000003</v>
      </c>
      <c r="K41" s="1188">
        <f t="shared" si="8"/>
        <v>616224.78</v>
      </c>
    </row>
    <row r="42" spans="1:11" ht="15" customHeight="1" x14ac:dyDescent="0.3">
      <c r="A42" s="1184" t="s">
        <v>97</v>
      </c>
      <c r="B42" s="1178" t="s">
        <v>98</v>
      </c>
      <c r="C42" s="1185" t="s">
        <v>255</v>
      </c>
      <c r="D42" s="1186">
        <v>852425.15999999992</v>
      </c>
      <c r="E42" s="1187">
        <v>332673.08</v>
      </c>
      <c r="F42" s="1187">
        <v>296316.79999999999</v>
      </c>
      <c r="G42" s="1187">
        <v>35384.11</v>
      </c>
      <c r="H42" s="1187">
        <v>0</v>
      </c>
      <c r="I42" s="1182">
        <f t="shared" si="6"/>
        <v>1516799.1500000001</v>
      </c>
      <c r="J42" s="1188">
        <f t="shared" si="7"/>
        <v>35384.11</v>
      </c>
      <c r="K42" s="1188">
        <f t="shared" si="8"/>
        <v>331700.90999999997</v>
      </c>
    </row>
    <row r="43" spans="1:11" ht="15" customHeight="1" x14ac:dyDescent="0.3">
      <c r="A43" s="1184" t="s">
        <v>99</v>
      </c>
      <c r="B43" s="1178" t="s">
        <v>100</v>
      </c>
      <c r="C43" s="1185" t="s">
        <v>254</v>
      </c>
      <c r="D43" s="1186">
        <v>684344.79999999993</v>
      </c>
      <c r="E43" s="1187">
        <v>235414.21</v>
      </c>
      <c r="F43" s="1187">
        <v>380940.72000000003</v>
      </c>
      <c r="G43" s="1187">
        <v>3353.22</v>
      </c>
      <c r="H43" s="1187">
        <v>0</v>
      </c>
      <c r="I43" s="1182">
        <f t="shared" si="6"/>
        <v>1304052.95</v>
      </c>
      <c r="J43" s="1188">
        <f t="shared" si="7"/>
        <v>3353.22</v>
      </c>
      <c r="K43" s="1188">
        <f t="shared" si="8"/>
        <v>384293.94</v>
      </c>
    </row>
    <row r="44" spans="1:11" ht="15" customHeight="1" x14ac:dyDescent="0.3">
      <c r="A44" s="1184" t="s">
        <v>101</v>
      </c>
      <c r="B44" s="1178" t="s">
        <v>102</v>
      </c>
      <c r="C44" s="1185" t="s">
        <v>251</v>
      </c>
      <c r="D44" s="1186">
        <v>1253610.05</v>
      </c>
      <c r="E44" s="1187">
        <v>507622.94</v>
      </c>
      <c r="F44" s="1187">
        <v>359500.53</v>
      </c>
      <c r="G44" s="1187">
        <v>152072.69999999998</v>
      </c>
      <c r="H44" s="1187">
        <v>0</v>
      </c>
      <c r="I44" s="1182">
        <f t="shared" si="6"/>
        <v>2272806.2200000002</v>
      </c>
      <c r="J44" s="1188">
        <f t="shared" si="7"/>
        <v>152072.69999999998</v>
      </c>
      <c r="K44" s="1188">
        <f t="shared" si="8"/>
        <v>511573.23</v>
      </c>
    </row>
    <row r="45" spans="1:11" ht="15" customHeight="1" x14ac:dyDescent="0.3">
      <c r="A45" s="1184" t="s">
        <v>103</v>
      </c>
      <c r="B45" s="1178" t="s">
        <v>282</v>
      </c>
      <c r="C45" s="1185" t="s">
        <v>252</v>
      </c>
      <c r="D45" s="1186">
        <v>1939550.1900000002</v>
      </c>
      <c r="E45" s="1187">
        <v>774910.86</v>
      </c>
      <c r="F45" s="1187">
        <v>585292.31000000006</v>
      </c>
      <c r="G45" s="1187">
        <v>269574.74</v>
      </c>
      <c r="H45" s="1187">
        <v>0</v>
      </c>
      <c r="I45" s="1182">
        <f t="shared" si="6"/>
        <v>3569328.1000000006</v>
      </c>
      <c r="J45" s="1188">
        <f t="shared" si="7"/>
        <v>269574.74</v>
      </c>
      <c r="K45" s="1188">
        <f t="shared" si="8"/>
        <v>854867.05</v>
      </c>
    </row>
    <row r="46" spans="1:11" ht="15" customHeight="1" x14ac:dyDescent="0.3">
      <c r="A46" s="1184" t="s">
        <v>107</v>
      </c>
      <c r="B46" s="1178" t="s">
        <v>108</v>
      </c>
      <c r="C46" s="1185" t="s">
        <v>253</v>
      </c>
      <c r="D46" s="1186">
        <v>2175777.1799999997</v>
      </c>
      <c r="E46" s="1187">
        <v>610595.05999999994</v>
      </c>
      <c r="F46" s="1187">
        <v>1674648.7500000002</v>
      </c>
      <c r="G46" s="1187">
        <v>53429.680000000008</v>
      </c>
      <c r="H46" s="1187">
        <v>0</v>
      </c>
      <c r="I46" s="1182">
        <f t="shared" si="6"/>
        <v>4514450.67</v>
      </c>
      <c r="J46" s="1188">
        <f t="shared" si="7"/>
        <v>53429.680000000008</v>
      </c>
      <c r="K46" s="1188">
        <f t="shared" si="8"/>
        <v>1728078.4300000002</v>
      </c>
    </row>
    <row r="47" spans="1:11" ht="15" customHeight="1" x14ac:dyDescent="0.3">
      <c r="A47" s="1184" t="s">
        <v>109</v>
      </c>
      <c r="B47" s="1178" t="s">
        <v>110</v>
      </c>
      <c r="C47" s="1185" t="s">
        <v>253</v>
      </c>
      <c r="D47" s="1186">
        <v>8557872.9600000009</v>
      </c>
      <c r="E47" s="1187">
        <v>2772097.32</v>
      </c>
      <c r="F47" s="1187">
        <v>5043292.62</v>
      </c>
      <c r="G47" s="1187">
        <v>184927.05999999997</v>
      </c>
      <c r="H47" s="1187">
        <v>0</v>
      </c>
      <c r="I47" s="1182">
        <f t="shared" si="6"/>
        <v>16558189.960000003</v>
      </c>
      <c r="J47" s="1188">
        <f t="shared" si="7"/>
        <v>184927.05999999997</v>
      </c>
      <c r="K47" s="1188">
        <f t="shared" si="8"/>
        <v>5228219.68</v>
      </c>
    </row>
    <row r="48" spans="1:11" ht="15" customHeight="1" x14ac:dyDescent="0.3">
      <c r="A48" s="1184" t="s">
        <v>111</v>
      </c>
      <c r="B48" s="1178" t="s">
        <v>275</v>
      </c>
      <c r="C48" s="1185" t="s">
        <v>252</v>
      </c>
      <c r="D48" s="1186">
        <v>3390167.1799999997</v>
      </c>
      <c r="E48" s="1187">
        <v>1397303.63</v>
      </c>
      <c r="F48" s="1187">
        <v>858716.3</v>
      </c>
      <c r="G48" s="1187">
        <v>18844.109999999997</v>
      </c>
      <c r="H48" s="1187">
        <v>0</v>
      </c>
      <c r="I48" s="1182">
        <f t="shared" si="6"/>
        <v>5665031.2199999997</v>
      </c>
      <c r="J48" s="1188">
        <f t="shared" si="7"/>
        <v>18844.109999999997</v>
      </c>
      <c r="K48" s="1188">
        <f t="shared" si="8"/>
        <v>877560.41</v>
      </c>
    </row>
    <row r="49" spans="1:11" ht="15" customHeight="1" x14ac:dyDescent="0.3">
      <c r="A49" s="1184" t="s">
        <v>113</v>
      </c>
      <c r="B49" s="1178" t="s">
        <v>114</v>
      </c>
      <c r="C49" s="1185" t="s">
        <v>252</v>
      </c>
      <c r="D49" s="1186">
        <v>199226.95999999996</v>
      </c>
      <c r="E49" s="1187">
        <v>79183.11</v>
      </c>
      <c r="F49" s="1187">
        <v>78595.37</v>
      </c>
      <c r="G49" s="1187">
        <v>4093.96</v>
      </c>
      <c r="H49" s="1187">
        <v>0</v>
      </c>
      <c r="I49" s="1182">
        <f t="shared" si="6"/>
        <v>361099.39999999997</v>
      </c>
      <c r="J49" s="1188">
        <f t="shared" si="7"/>
        <v>4093.96</v>
      </c>
      <c r="K49" s="1188">
        <f t="shared" si="8"/>
        <v>82689.33</v>
      </c>
    </row>
    <row r="50" spans="1:11" ht="15" customHeight="1" x14ac:dyDescent="0.3">
      <c r="A50" s="1184" t="s">
        <v>117</v>
      </c>
      <c r="B50" s="1178" t="s">
        <v>118</v>
      </c>
      <c r="C50" s="1185" t="s">
        <v>251</v>
      </c>
      <c r="D50" s="1186">
        <v>1431388.53</v>
      </c>
      <c r="E50" s="1187">
        <v>510058.91</v>
      </c>
      <c r="F50" s="1187">
        <v>667849.15999999992</v>
      </c>
      <c r="G50" s="1187">
        <v>-575.15000000000009</v>
      </c>
      <c r="H50" s="1187">
        <v>0</v>
      </c>
      <c r="I50" s="1182">
        <f t="shared" si="6"/>
        <v>2608721.4499999997</v>
      </c>
      <c r="J50" s="1188">
        <f t="shared" si="7"/>
        <v>-575.15000000000009</v>
      </c>
      <c r="K50" s="1188">
        <f t="shared" si="8"/>
        <v>667274.00999999989</v>
      </c>
    </row>
    <row r="51" spans="1:11" ht="15" customHeight="1" x14ac:dyDescent="0.3">
      <c r="A51" s="1184" t="s">
        <v>119</v>
      </c>
      <c r="B51" s="1178" t="s">
        <v>120</v>
      </c>
      <c r="C51" s="1185" t="s">
        <v>251</v>
      </c>
      <c r="D51" s="1186">
        <v>1900576.4500000002</v>
      </c>
      <c r="E51" s="1187">
        <v>596449.54999999993</v>
      </c>
      <c r="F51" s="1187">
        <v>1211741.26</v>
      </c>
      <c r="G51" s="1187">
        <v>339151.55</v>
      </c>
      <c r="H51" s="1187">
        <v>0</v>
      </c>
      <c r="I51" s="1182">
        <f t="shared" si="6"/>
        <v>4047918.8099999996</v>
      </c>
      <c r="J51" s="1188">
        <f t="shared" si="7"/>
        <v>339151.55</v>
      </c>
      <c r="K51" s="1188">
        <f t="shared" si="8"/>
        <v>1550892.81</v>
      </c>
    </row>
    <row r="52" spans="1:11" ht="15" customHeight="1" x14ac:dyDescent="0.3">
      <c r="A52" s="1184" t="s">
        <v>121</v>
      </c>
      <c r="B52" s="1178" t="s">
        <v>258</v>
      </c>
      <c r="C52" s="1185" t="s">
        <v>253</v>
      </c>
      <c r="D52" s="1186">
        <v>550153.38</v>
      </c>
      <c r="E52" s="1187">
        <v>203287.99</v>
      </c>
      <c r="F52" s="1187">
        <v>240209.83000000002</v>
      </c>
      <c r="G52" s="1187">
        <v>1247.05</v>
      </c>
      <c r="H52" s="1187">
        <v>0</v>
      </c>
      <c r="I52" s="1182">
        <f t="shared" si="6"/>
        <v>994898.25</v>
      </c>
      <c r="J52" s="1188">
        <f t="shared" si="7"/>
        <v>1247.05</v>
      </c>
      <c r="K52" s="1188">
        <f t="shared" si="8"/>
        <v>241456.88</v>
      </c>
    </row>
    <row r="53" spans="1:11" ht="15" customHeight="1" x14ac:dyDescent="0.3">
      <c r="A53" s="1184" t="s">
        <v>123</v>
      </c>
      <c r="B53" s="1178" t="s">
        <v>124</v>
      </c>
      <c r="C53" s="1185" t="s">
        <v>254</v>
      </c>
      <c r="D53" s="1186">
        <v>812962.85999999987</v>
      </c>
      <c r="E53" s="1187">
        <v>248858.99000000002</v>
      </c>
      <c r="F53" s="1187">
        <v>537672.69999999995</v>
      </c>
      <c r="G53" s="1187">
        <v>60378.74</v>
      </c>
      <c r="H53" s="1187">
        <v>0</v>
      </c>
      <c r="I53" s="1182">
        <f t="shared" si="6"/>
        <v>1659873.2899999998</v>
      </c>
      <c r="J53" s="1188">
        <f t="shared" si="7"/>
        <v>60378.74</v>
      </c>
      <c r="K53" s="1188">
        <f t="shared" si="8"/>
        <v>598051.43999999994</v>
      </c>
    </row>
    <row r="54" spans="1:11" ht="15" customHeight="1" x14ac:dyDescent="0.3">
      <c r="A54" s="1184" t="s">
        <v>125</v>
      </c>
      <c r="B54" s="1178" t="s">
        <v>126</v>
      </c>
      <c r="C54" s="1185" t="s">
        <v>253</v>
      </c>
      <c r="D54" s="1186">
        <v>552313.12</v>
      </c>
      <c r="E54" s="1187">
        <v>193383.35</v>
      </c>
      <c r="F54" s="1187">
        <v>293862.49</v>
      </c>
      <c r="G54" s="1187">
        <v>4066.74</v>
      </c>
      <c r="H54" s="1187">
        <v>0</v>
      </c>
      <c r="I54" s="1182">
        <f t="shared" si="6"/>
        <v>1043625.7</v>
      </c>
      <c r="J54" s="1188">
        <f t="shared" si="7"/>
        <v>4066.74</v>
      </c>
      <c r="K54" s="1188">
        <f t="shared" si="8"/>
        <v>297929.23</v>
      </c>
    </row>
    <row r="55" spans="1:11" ht="15" customHeight="1" x14ac:dyDescent="0.3">
      <c r="A55" s="1184" t="s">
        <v>127</v>
      </c>
      <c r="B55" s="1178" t="s">
        <v>128</v>
      </c>
      <c r="C55" s="1185" t="s">
        <v>253</v>
      </c>
      <c r="D55" s="1186">
        <v>786612.77</v>
      </c>
      <c r="E55" s="1187">
        <v>295488.08999999997</v>
      </c>
      <c r="F55" s="1187">
        <v>318295.99</v>
      </c>
      <c r="G55" s="1187">
        <v>20398.12</v>
      </c>
      <c r="H55" s="1187">
        <v>0</v>
      </c>
      <c r="I55" s="1182">
        <f t="shared" si="6"/>
        <v>1420794.97</v>
      </c>
      <c r="J55" s="1188">
        <f t="shared" si="7"/>
        <v>20398.12</v>
      </c>
      <c r="K55" s="1188">
        <f t="shared" si="8"/>
        <v>338694.11</v>
      </c>
    </row>
    <row r="56" spans="1:11" ht="15" customHeight="1" x14ac:dyDescent="0.3">
      <c r="A56" s="1184" t="s">
        <v>129</v>
      </c>
      <c r="B56" s="1178" t="s">
        <v>130</v>
      </c>
      <c r="C56" s="1185" t="s">
        <v>255</v>
      </c>
      <c r="D56" s="1186">
        <v>2034997.61</v>
      </c>
      <c r="E56" s="1187">
        <v>837611.67999999993</v>
      </c>
      <c r="F56" s="1187">
        <v>522883.58</v>
      </c>
      <c r="G56" s="1187">
        <v>6009.22</v>
      </c>
      <c r="H56" s="1187">
        <v>0</v>
      </c>
      <c r="I56" s="1182">
        <f t="shared" si="6"/>
        <v>3401502.0900000003</v>
      </c>
      <c r="J56" s="1188">
        <f t="shared" si="7"/>
        <v>6009.22</v>
      </c>
      <c r="K56" s="1188">
        <f t="shared" si="8"/>
        <v>528892.80000000005</v>
      </c>
    </row>
    <row r="57" spans="1:11" ht="15" customHeight="1" x14ac:dyDescent="0.3">
      <c r="A57" s="1184" t="s">
        <v>131</v>
      </c>
      <c r="B57" s="1178" t="s">
        <v>132</v>
      </c>
      <c r="C57" s="1185" t="s">
        <v>254</v>
      </c>
      <c r="D57" s="1186">
        <v>6237546.1299999999</v>
      </c>
      <c r="E57" s="1187">
        <v>1220953.3700000001</v>
      </c>
      <c r="F57" s="1187">
        <v>6931606.0800000001</v>
      </c>
      <c r="G57" s="1187">
        <v>-21.8</v>
      </c>
      <c r="H57" s="1187">
        <v>0</v>
      </c>
      <c r="I57" s="1182">
        <f t="shared" si="6"/>
        <v>14390083.779999999</v>
      </c>
      <c r="J57" s="1188">
        <f t="shared" si="7"/>
        <v>-21.8</v>
      </c>
      <c r="K57" s="1188">
        <f t="shared" si="8"/>
        <v>6931584.2800000003</v>
      </c>
    </row>
    <row r="58" spans="1:11" ht="15" customHeight="1" x14ac:dyDescent="0.3">
      <c r="A58" s="1184" t="s">
        <v>133</v>
      </c>
      <c r="B58" s="1178" t="s">
        <v>134</v>
      </c>
      <c r="C58" s="1185" t="s">
        <v>254</v>
      </c>
      <c r="D58" s="1186">
        <v>1402505.97</v>
      </c>
      <c r="E58" s="1187">
        <v>466241.28000000003</v>
      </c>
      <c r="F58" s="1187">
        <v>804093.81</v>
      </c>
      <c r="G58" s="1187">
        <v>5983.34</v>
      </c>
      <c r="H58" s="1187">
        <v>0</v>
      </c>
      <c r="I58" s="1182">
        <f t="shared" si="6"/>
        <v>2678824.4</v>
      </c>
      <c r="J58" s="1188">
        <f t="shared" si="7"/>
        <v>5983.34</v>
      </c>
      <c r="K58" s="1188">
        <f t="shared" si="8"/>
        <v>810077.15</v>
      </c>
    </row>
    <row r="59" spans="1:11" ht="15" customHeight="1" x14ac:dyDescent="0.3">
      <c r="A59" s="1184" t="s">
        <v>135</v>
      </c>
      <c r="B59" s="1178" t="s">
        <v>136</v>
      </c>
      <c r="C59" s="1185" t="s">
        <v>253</v>
      </c>
      <c r="D59" s="1186">
        <v>450212.3</v>
      </c>
      <c r="E59" s="1187">
        <v>194412.56</v>
      </c>
      <c r="F59" s="1187">
        <v>104496.9</v>
      </c>
      <c r="G59" s="1187">
        <v>36.99</v>
      </c>
      <c r="H59" s="1187">
        <v>0</v>
      </c>
      <c r="I59" s="1182">
        <f t="shared" si="6"/>
        <v>749158.75</v>
      </c>
      <c r="J59" s="1188">
        <f t="shared" si="7"/>
        <v>36.99</v>
      </c>
      <c r="K59" s="1188">
        <f t="shared" si="8"/>
        <v>104533.89</v>
      </c>
    </row>
    <row r="60" spans="1:11" ht="15" customHeight="1" x14ac:dyDescent="0.3">
      <c r="A60" s="1184" t="s">
        <v>139</v>
      </c>
      <c r="B60" s="1178" t="s">
        <v>140</v>
      </c>
      <c r="C60" s="1185" t="s">
        <v>254</v>
      </c>
      <c r="D60" s="1186">
        <v>696951.02</v>
      </c>
      <c r="E60" s="1187">
        <v>228401.13999999998</v>
      </c>
      <c r="F60" s="1187">
        <v>411715.31</v>
      </c>
      <c r="G60" s="1187">
        <v>83448.389999999985</v>
      </c>
      <c r="H60" s="1187">
        <v>0</v>
      </c>
      <c r="I60" s="1182">
        <f t="shared" si="6"/>
        <v>1420515.8599999999</v>
      </c>
      <c r="J60" s="1188">
        <f t="shared" si="7"/>
        <v>83448.389999999985</v>
      </c>
      <c r="K60" s="1188">
        <f t="shared" si="8"/>
        <v>495163.69999999995</v>
      </c>
    </row>
    <row r="61" spans="1:11" ht="15" customHeight="1" x14ac:dyDescent="0.3">
      <c r="A61" s="1184" t="s">
        <v>145</v>
      </c>
      <c r="B61" s="1178" t="s">
        <v>146</v>
      </c>
      <c r="C61" s="1185" t="s">
        <v>251</v>
      </c>
      <c r="D61" s="1186">
        <v>550604.38</v>
      </c>
      <c r="E61" s="1187">
        <v>165808.13</v>
      </c>
      <c r="F61" s="1187">
        <v>386969.68000000005</v>
      </c>
      <c r="G61" s="1187">
        <v>4397.8700000000008</v>
      </c>
      <c r="H61" s="1187">
        <v>0</v>
      </c>
      <c r="I61" s="1182">
        <f t="shared" si="6"/>
        <v>1107780.06</v>
      </c>
      <c r="J61" s="1188">
        <f t="shared" si="7"/>
        <v>4397.8700000000008</v>
      </c>
      <c r="K61" s="1188">
        <f t="shared" si="8"/>
        <v>391367.55000000005</v>
      </c>
    </row>
    <row r="62" spans="1:11" ht="15" customHeight="1" x14ac:dyDescent="0.3">
      <c r="A62" s="1184" t="s">
        <v>147</v>
      </c>
      <c r="B62" s="1178" t="s">
        <v>148</v>
      </c>
      <c r="C62" s="1185" t="s">
        <v>252</v>
      </c>
      <c r="D62" s="1186">
        <v>1434643.42</v>
      </c>
      <c r="E62" s="1187">
        <v>521325.74</v>
      </c>
      <c r="F62" s="1187">
        <v>645975.22</v>
      </c>
      <c r="G62" s="1187">
        <v>252915.98</v>
      </c>
      <c r="H62" s="1187">
        <v>0</v>
      </c>
      <c r="I62" s="1182">
        <f t="shared" si="6"/>
        <v>2854860.36</v>
      </c>
      <c r="J62" s="1188">
        <f t="shared" si="7"/>
        <v>252915.98</v>
      </c>
      <c r="K62" s="1188">
        <f t="shared" si="8"/>
        <v>898891.2</v>
      </c>
    </row>
    <row r="63" spans="1:11" ht="15" customHeight="1" x14ac:dyDescent="0.3">
      <c r="A63" s="1184" t="s">
        <v>149</v>
      </c>
      <c r="B63" s="1178" t="s">
        <v>150</v>
      </c>
      <c r="C63" s="1185" t="s">
        <v>253</v>
      </c>
      <c r="D63" s="1186">
        <v>521013.66</v>
      </c>
      <c r="E63" s="1187">
        <v>219100.81</v>
      </c>
      <c r="F63" s="1187">
        <v>127500.92</v>
      </c>
      <c r="G63" s="1187">
        <v>21940.039999999997</v>
      </c>
      <c r="H63" s="1187">
        <v>0</v>
      </c>
      <c r="I63" s="1182">
        <f t="shared" si="6"/>
        <v>889555.43</v>
      </c>
      <c r="J63" s="1188">
        <f t="shared" si="7"/>
        <v>21940.039999999997</v>
      </c>
      <c r="K63" s="1188">
        <f t="shared" si="8"/>
        <v>149440.95999999999</v>
      </c>
    </row>
    <row r="64" spans="1:11" ht="15" customHeight="1" x14ac:dyDescent="0.3">
      <c r="A64" s="1184" t="s">
        <v>151</v>
      </c>
      <c r="B64" s="1178" t="s">
        <v>152</v>
      </c>
      <c r="C64" s="1185" t="s">
        <v>255</v>
      </c>
      <c r="D64" s="1186">
        <v>2463582.27</v>
      </c>
      <c r="E64" s="1187">
        <v>936503.29</v>
      </c>
      <c r="F64" s="1187">
        <v>915277.36</v>
      </c>
      <c r="G64" s="1187">
        <v>-4185.83</v>
      </c>
      <c r="H64" s="1187">
        <v>0</v>
      </c>
      <c r="I64" s="1182">
        <f t="shared" si="6"/>
        <v>4311177.09</v>
      </c>
      <c r="J64" s="1188">
        <f t="shared" si="7"/>
        <v>-4185.83</v>
      </c>
      <c r="K64" s="1188">
        <f t="shared" si="8"/>
        <v>911091.53</v>
      </c>
    </row>
    <row r="65" spans="1:11" ht="15" customHeight="1" x14ac:dyDescent="0.3">
      <c r="A65" s="1184" t="s">
        <v>153</v>
      </c>
      <c r="B65" s="1178" t="s">
        <v>154</v>
      </c>
      <c r="C65" s="1185" t="s">
        <v>252</v>
      </c>
      <c r="D65" s="1186">
        <v>599511.97</v>
      </c>
      <c r="E65" s="1187">
        <v>250147.38999999998</v>
      </c>
      <c r="F65" s="1187">
        <v>156940.25999999998</v>
      </c>
      <c r="G65" s="1187">
        <v>43870.61</v>
      </c>
      <c r="H65" s="1187">
        <v>0</v>
      </c>
      <c r="I65" s="1182">
        <f t="shared" si="6"/>
        <v>1050470.23</v>
      </c>
      <c r="J65" s="1188">
        <f t="shared" si="7"/>
        <v>43870.61</v>
      </c>
      <c r="K65" s="1188">
        <f t="shared" si="8"/>
        <v>200810.87</v>
      </c>
    </row>
    <row r="66" spans="1:11" ht="15" customHeight="1" x14ac:dyDescent="0.3">
      <c r="A66" s="1184" t="s">
        <v>155</v>
      </c>
      <c r="B66" s="1178" t="s">
        <v>156</v>
      </c>
      <c r="C66" s="1185" t="s">
        <v>253</v>
      </c>
      <c r="D66" s="1186">
        <v>645714.23</v>
      </c>
      <c r="E66" s="1187">
        <v>206180.27</v>
      </c>
      <c r="F66" s="1187">
        <v>407722.34</v>
      </c>
      <c r="G66" s="1187">
        <v>637.56000000000006</v>
      </c>
      <c r="H66" s="1187">
        <v>0</v>
      </c>
      <c r="I66" s="1182">
        <f t="shared" si="6"/>
        <v>1260254.4000000001</v>
      </c>
      <c r="J66" s="1188">
        <f t="shared" si="7"/>
        <v>637.56000000000006</v>
      </c>
      <c r="K66" s="1188">
        <f t="shared" si="8"/>
        <v>408359.9</v>
      </c>
    </row>
    <row r="67" spans="1:11" ht="15" customHeight="1" x14ac:dyDescent="0.3">
      <c r="A67" s="1184" t="s">
        <v>161</v>
      </c>
      <c r="B67" s="1178" t="s">
        <v>162</v>
      </c>
      <c r="C67" s="1185" t="s">
        <v>251</v>
      </c>
      <c r="D67" s="1186">
        <v>1193107.1399999999</v>
      </c>
      <c r="E67" s="1187">
        <v>496381.18</v>
      </c>
      <c r="F67" s="1187">
        <v>296268.14</v>
      </c>
      <c r="G67" s="1187">
        <v>110091.40000000001</v>
      </c>
      <c r="H67" s="1187">
        <v>0</v>
      </c>
      <c r="I67" s="1182">
        <f t="shared" si="6"/>
        <v>2095847.8599999999</v>
      </c>
      <c r="J67" s="1188">
        <f t="shared" si="7"/>
        <v>110091.40000000001</v>
      </c>
      <c r="K67" s="1188">
        <f t="shared" si="8"/>
        <v>406359.54000000004</v>
      </c>
    </row>
    <row r="68" spans="1:11" ht="15" customHeight="1" x14ac:dyDescent="0.3">
      <c r="A68" s="1184" t="s">
        <v>163</v>
      </c>
      <c r="B68" s="1178" t="s">
        <v>164</v>
      </c>
      <c r="C68" s="1185" t="s">
        <v>253</v>
      </c>
      <c r="D68" s="1186">
        <v>638422.55000000005</v>
      </c>
      <c r="E68" s="1187">
        <v>212215.38</v>
      </c>
      <c r="F68" s="1187">
        <v>369348.16000000003</v>
      </c>
      <c r="G68" s="1187">
        <v>13342.93</v>
      </c>
      <c r="H68" s="1187">
        <v>0</v>
      </c>
      <c r="I68" s="1182">
        <f t="shared" si="6"/>
        <v>1233329.02</v>
      </c>
      <c r="J68" s="1188">
        <f t="shared" si="7"/>
        <v>13342.93</v>
      </c>
      <c r="K68" s="1188">
        <f t="shared" si="8"/>
        <v>382691.09</v>
      </c>
    </row>
    <row r="69" spans="1:11" ht="15" customHeight="1" x14ac:dyDescent="0.3">
      <c r="A69" s="1184" t="s">
        <v>167</v>
      </c>
      <c r="B69" s="1178" t="s">
        <v>168</v>
      </c>
      <c r="C69" s="1185" t="s">
        <v>253</v>
      </c>
      <c r="D69" s="1186">
        <v>722112.92</v>
      </c>
      <c r="E69" s="1187">
        <v>305544.71999999997</v>
      </c>
      <c r="F69" s="1187">
        <v>173827.3</v>
      </c>
      <c r="G69" s="1187">
        <v>8487.33</v>
      </c>
      <c r="H69" s="1187">
        <v>0</v>
      </c>
      <c r="I69" s="1182">
        <f t="shared" ref="I69:I100" si="9">SUM(D69:H69)</f>
        <v>1209972.27</v>
      </c>
      <c r="J69" s="1188">
        <f t="shared" ref="J69:J100" si="10">G69+H69</f>
        <v>8487.33</v>
      </c>
      <c r="K69" s="1188">
        <f t="shared" ref="K69:K100" si="11">F69+J69</f>
        <v>182314.62999999998</v>
      </c>
    </row>
    <row r="70" spans="1:11" ht="15" customHeight="1" x14ac:dyDescent="0.3">
      <c r="A70" s="1184" t="s">
        <v>169</v>
      </c>
      <c r="B70" s="1178" t="s">
        <v>170</v>
      </c>
      <c r="C70" s="1185" t="s">
        <v>254</v>
      </c>
      <c r="D70" s="1186">
        <v>1187841.07</v>
      </c>
      <c r="E70" s="1187">
        <v>379753.64</v>
      </c>
      <c r="F70" s="1187">
        <v>750934.54</v>
      </c>
      <c r="G70" s="1187">
        <v>18110.169999999998</v>
      </c>
      <c r="H70" s="1187">
        <v>0</v>
      </c>
      <c r="I70" s="1182">
        <f t="shared" si="9"/>
        <v>2336639.42</v>
      </c>
      <c r="J70" s="1188">
        <f t="shared" si="10"/>
        <v>18110.169999999998</v>
      </c>
      <c r="K70" s="1188">
        <f t="shared" si="11"/>
        <v>769044.71000000008</v>
      </c>
    </row>
    <row r="71" spans="1:11" ht="15" customHeight="1" x14ac:dyDescent="0.3">
      <c r="A71" s="1184" t="s">
        <v>171</v>
      </c>
      <c r="B71" s="1178" t="s">
        <v>172</v>
      </c>
      <c r="C71" s="1185" t="s">
        <v>254</v>
      </c>
      <c r="D71" s="1186">
        <v>1004153.72</v>
      </c>
      <c r="E71" s="1187">
        <v>377050.13</v>
      </c>
      <c r="F71" s="1187">
        <v>410485</v>
      </c>
      <c r="G71" s="1187">
        <v>18791.05</v>
      </c>
      <c r="H71" s="1187">
        <v>0</v>
      </c>
      <c r="I71" s="1182">
        <f t="shared" si="9"/>
        <v>1810479.9000000001</v>
      </c>
      <c r="J71" s="1188">
        <f t="shared" si="10"/>
        <v>18791.05</v>
      </c>
      <c r="K71" s="1188">
        <f t="shared" si="11"/>
        <v>429276.05</v>
      </c>
    </row>
    <row r="72" spans="1:11" ht="15" customHeight="1" x14ac:dyDescent="0.3">
      <c r="A72" s="1184" t="s">
        <v>173</v>
      </c>
      <c r="B72" s="1178" t="s">
        <v>174</v>
      </c>
      <c r="C72" s="1185" t="s">
        <v>255</v>
      </c>
      <c r="D72" s="1186">
        <v>886699.61</v>
      </c>
      <c r="E72" s="1187">
        <v>329664.59999999998</v>
      </c>
      <c r="F72" s="1187">
        <v>376346.68000000005</v>
      </c>
      <c r="G72" s="1187">
        <v>15475.27</v>
      </c>
      <c r="H72" s="1187">
        <v>0</v>
      </c>
      <c r="I72" s="1182">
        <f t="shared" si="9"/>
        <v>1608186.1600000001</v>
      </c>
      <c r="J72" s="1188">
        <f t="shared" si="10"/>
        <v>15475.27</v>
      </c>
      <c r="K72" s="1188">
        <f t="shared" si="11"/>
        <v>391821.95000000007</v>
      </c>
    </row>
    <row r="73" spans="1:11" ht="15" customHeight="1" x14ac:dyDescent="0.3">
      <c r="A73" s="1184" t="s">
        <v>177</v>
      </c>
      <c r="B73" s="1178" t="s">
        <v>178</v>
      </c>
      <c r="C73" s="1185" t="s">
        <v>252</v>
      </c>
      <c r="D73" s="1186">
        <v>2179666.17</v>
      </c>
      <c r="E73" s="1187">
        <v>936420.3</v>
      </c>
      <c r="F73" s="1187">
        <v>527660.6</v>
      </c>
      <c r="G73" s="1187">
        <v>-142463.79</v>
      </c>
      <c r="H73" s="1187">
        <v>0</v>
      </c>
      <c r="I73" s="1182">
        <f t="shared" si="9"/>
        <v>3501283.28</v>
      </c>
      <c r="J73" s="1188">
        <f t="shared" si="10"/>
        <v>-142463.79</v>
      </c>
      <c r="K73" s="1188">
        <f t="shared" si="11"/>
        <v>385196.80999999994</v>
      </c>
    </row>
    <row r="74" spans="1:11" ht="15" customHeight="1" x14ac:dyDescent="0.3">
      <c r="A74" s="1184" t="s">
        <v>181</v>
      </c>
      <c r="B74" s="1178" t="s">
        <v>182</v>
      </c>
      <c r="C74" s="1185" t="s">
        <v>253</v>
      </c>
      <c r="D74" s="1186">
        <v>716108.66999999993</v>
      </c>
      <c r="E74" s="1187">
        <v>194421.81</v>
      </c>
      <c r="F74" s="1187">
        <v>589578.56999999995</v>
      </c>
      <c r="G74" s="1187">
        <v>2515.6</v>
      </c>
      <c r="H74" s="1187">
        <v>0</v>
      </c>
      <c r="I74" s="1182">
        <f t="shared" si="9"/>
        <v>1502624.65</v>
      </c>
      <c r="J74" s="1188">
        <f t="shared" si="10"/>
        <v>2515.6</v>
      </c>
      <c r="K74" s="1188">
        <f t="shared" si="11"/>
        <v>592094.16999999993</v>
      </c>
    </row>
    <row r="75" spans="1:11" ht="15" customHeight="1" x14ac:dyDescent="0.3">
      <c r="A75" s="1184" t="s">
        <v>183</v>
      </c>
      <c r="B75" s="1178" t="s">
        <v>184</v>
      </c>
      <c r="C75" s="1185" t="s">
        <v>253</v>
      </c>
      <c r="D75" s="1186">
        <v>1178398.23</v>
      </c>
      <c r="E75" s="1187">
        <v>422298.44999999995</v>
      </c>
      <c r="F75" s="1187">
        <v>539590.66999999993</v>
      </c>
      <c r="G75" s="1187">
        <v>17351.210000000003</v>
      </c>
      <c r="H75" s="1187">
        <v>0</v>
      </c>
      <c r="I75" s="1182">
        <f t="shared" si="9"/>
        <v>2157638.5599999996</v>
      </c>
      <c r="J75" s="1188">
        <f t="shared" si="10"/>
        <v>17351.210000000003</v>
      </c>
      <c r="K75" s="1188">
        <f t="shared" si="11"/>
        <v>556941.87999999989</v>
      </c>
    </row>
    <row r="76" spans="1:11" ht="15" customHeight="1" x14ac:dyDescent="0.3">
      <c r="A76" s="1184" t="s">
        <v>185</v>
      </c>
      <c r="B76" s="1178" t="s">
        <v>186</v>
      </c>
      <c r="C76" s="1185" t="s">
        <v>251</v>
      </c>
      <c r="D76" s="1186">
        <v>1081072.46</v>
      </c>
      <c r="E76" s="1187">
        <v>341956.55</v>
      </c>
      <c r="F76" s="1187">
        <v>705316.5</v>
      </c>
      <c r="G76" s="1187">
        <v>6882.34</v>
      </c>
      <c r="H76" s="1187">
        <v>0</v>
      </c>
      <c r="I76" s="1182">
        <f t="shared" si="9"/>
        <v>2135227.8499999996</v>
      </c>
      <c r="J76" s="1188">
        <f t="shared" si="10"/>
        <v>6882.34</v>
      </c>
      <c r="K76" s="1188">
        <f t="shared" si="11"/>
        <v>712198.84</v>
      </c>
    </row>
    <row r="77" spans="1:11" ht="15" customHeight="1" x14ac:dyDescent="0.3">
      <c r="A77" s="1184" t="s">
        <v>187</v>
      </c>
      <c r="B77" s="1178" t="s">
        <v>188</v>
      </c>
      <c r="C77" s="1185" t="s">
        <v>254</v>
      </c>
      <c r="D77" s="1186">
        <v>12328072.82</v>
      </c>
      <c r="E77" s="1187">
        <v>3273154.32</v>
      </c>
      <c r="F77" s="1187">
        <v>10298607.840000002</v>
      </c>
      <c r="G77" s="1187">
        <v>181103.34000000003</v>
      </c>
      <c r="H77" s="1187">
        <v>278343.92000000004</v>
      </c>
      <c r="I77" s="1182">
        <f t="shared" si="9"/>
        <v>26359282.240000006</v>
      </c>
      <c r="J77" s="1188">
        <f t="shared" si="10"/>
        <v>459447.26000000007</v>
      </c>
      <c r="K77" s="1188">
        <f t="shared" si="11"/>
        <v>10758055.100000001</v>
      </c>
    </row>
    <row r="78" spans="1:11" ht="15" customHeight="1" x14ac:dyDescent="0.3">
      <c r="A78" s="1184" t="s">
        <v>189</v>
      </c>
      <c r="B78" s="1178" t="s">
        <v>190</v>
      </c>
      <c r="C78" s="1185" t="s">
        <v>255</v>
      </c>
      <c r="D78" s="1186">
        <v>2156549.67</v>
      </c>
      <c r="E78" s="1187">
        <v>886527.48</v>
      </c>
      <c r="F78" s="1187">
        <v>554087.62</v>
      </c>
      <c r="G78" s="1187">
        <v>30136.29</v>
      </c>
      <c r="H78" s="1187">
        <v>0</v>
      </c>
      <c r="I78" s="1182">
        <f t="shared" si="9"/>
        <v>3627301.06</v>
      </c>
      <c r="J78" s="1188">
        <f t="shared" si="10"/>
        <v>30136.29</v>
      </c>
      <c r="K78" s="1188">
        <f t="shared" si="11"/>
        <v>584223.91</v>
      </c>
    </row>
    <row r="79" spans="1:11" ht="15" customHeight="1" x14ac:dyDescent="0.3">
      <c r="A79" s="1184" t="s">
        <v>193</v>
      </c>
      <c r="B79" s="1178" t="s">
        <v>194</v>
      </c>
      <c r="C79" s="1185" t="s">
        <v>254</v>
      </c>
      <c r="D79" s="1186">
        <v>536630.82999999996</v>
      </c>
      <c r="E79" s="1187">
        <v>157120.75</v>
      </c>
      <c r="F79" s="1187">
        <v>399326.77</v>
      </c>
      <c r="G79" s="1187">
        <v>7121.8600000000006</v>
      </c>
      <c r="H79" s="1187">
        <v>0</v>
      </c>
      <c r="I79" s="1182">
        <f t="shared" si="9"/>
        <v>1100200.2100000002</v>
      </c>
      <c r="J79" s="1188">
        <f t="shared" si="10"/>
        <v>7121.8600000000006</v>
      </c>
      <c r="K79" s="1188">
        <f t="shared" si="11"/>
        <v>406448.63</v>
      </c>
    </row>
    <row r="80" spans="1:11" ht="15" customHeight="1" x14ac:dyDescent="0.3">
      <c r="A80" s="1184" t="s">
        <v>197</v>
      </c>
      <c r="B80" s="1178" t="s">
        <v>198</v>
      </c>
      <c r="C80" s="1185" t="s">
        <v>253</v>
      </c>
      <c r="D80" s="1186">
        <v>479885.25999999995</v>
      </c>
      <c r="E80" s="1187">
        <v>179434.23</v>
      </c>
      <c r="F80" s="1187">
        <v>204859.59999999998</v>
      </c>
      <c r="G80" s="1187">
        <v>2974.72</v>
      </c>
      <c r="H80" s="1187">
        <v>0</v>
      </c>
      <c r="I80" s="1182">
        <f t="shared" si="9"/>
        <v>867153.80999999994</v>
      </c>
      <c r="J80" s="1188">
        <f t="shared" si="10"/>
        <v>2974.72</v>
      </c>
      <c r="K80" s="1188">
        <f t="shared" si="11"/>
        <v>207834.31999999998</v>
      </c>
    </row>
    <row r="81" spans="1:11" ht="15" customHeight="1" x14ac:dyDescent="0.3">
      <c r="A81" s="1184" t="s">
        <v>201</v>
      </c>
      <c r="B81" s="1178" t="s">
        <v>202</v>
      </c>
      <c r="C81" s="1185" t="s">
        <v>252</v>
      </c>
      <c r="D81" s="1186">
        <v>3377016.05</v>
      </c>
      <c r="E81" s="1187">
        <v>1018297.58</v>
      </c>
      <c r="F81" s="1187">
        <v>2322891.54</v>
      </c>
      <c r="G81" s="1187">
        <v>68228.92</v>
      </c>
      <c r="H81" s="1187">
        <v>0</v>
      </c>
      <c r="I81" s="1182">
        <f t="shared" si="9"/>
        <v>6786434.0899999999</v>
      </c>
      <c r="J81" s="1188">
        <f t="shared" si="10"/>
        <v>68228.92</v>
      </c>
      <c r="K81" s="1188">
        <f t="shared" si="11"/>
        <v>2391120.46</v>
      </c>
    </row>
    <row r="82" spans="1:11" ht="15" customHeight="1" x14ac:dyDescent="0.3">
      <c r="A82" s="1184" t="s">
        <v>203</v>
      </c>
      <c r="B82" s="1178" t="s">
        <v>204</v>
      </c>
      <c r="C82" s="1185" t="s">
        <v>252</v>
      </c>
      <c r="D82" s="1186">
        <v>1103170.6599999999</v>
      </c>
      <c r="E82" s="1187">
        <v>464180.47</v>
      </c>
      <c r="F82" s="1187">
        <v>274549.92</v>
      </c>
      <c r="G82" s="1187">
        <v>31180.37</v>
      </c>
      <c r="H82" s="1187">
        <v>0</v>
      </c>
      <c r="I82" s="1182">
        <f t="shared" si="9"/>
        <v>1873081.42</v>
      </c>
      <c r="J82" s="1188">
        <f t="shared" si="10"/>
        <v>31180.37</v>
      </c>
      <c r="K82" s="1188">
        <f t="shared" si="11"/>
        <v>305730.28999999998</v>
      </c>
    </row>
    <row r="83" spans="1:11" ht="15" customHeight="1" x14ac:dyDescent="0.3">
      <c r="A83" s="1184" t="s">
        <v>205</v>
      </c>
      <c r="B83" s="1178" t="s">
        <v>206</v>
      </c>
      <c r="C83" s="1185" t="s">
        <v>254</v>
      </c>
      <c r="D83" s="1186">
        <v>4503861.24</v>
      </c>
      <c r="E83" s="1187">
        <v>1295315.6099999999</v>
      </c>
      <c r="F83" s="1187">
        <v>3318900.7600000002</v>
      </c>
      <c r="G83" s="1187">
        <v>14763.48</v>
      </c>
      <c r="H83" s="1187">
        <v>0</v>
      </c>
      <c r="I83" s="1182">
        <f t="shared" si="9"/>
        <v>9132841.0899999999</v>
      </c>
      <c r="J83" s="1188">
        <f t="shared" si="10"/>
        <v>14763.48</v>
      </c>
      <c r="K83" s="1188">
        <f t="shared" si="11"/>
        <v>3333664.24</v>
      </c>
    </row>
    <row r="84" spans="1:11" ht="15" customHeight="1" x14ac:dyDescent="0.3">
      <c r="A84" s="1184" t="s">
        <v>207</v>
      </c>
      <c r="B84" s="1178" t="s">
        <v>208</v>
      </c>
      <c r="C84" s="1185" t="s">
        <v>255</v>
      </c>
      <c r="D84" s="1186">
        <v>1686978.16</v>
      </c>
      <c r="E84" s="1187">
        <v>695389.34</v>
      </c>
      <c r="F84" s="1187">
        <v>428905.44</v>
      </c>
      <c r="G84" s="1187">
        <v>16793.149999999998</v>
      </c>
      <c r="H84" s="1187">
        <v>0</v>
      </c>
      <c r="I84" s="1182">
        <f t="shared" si="9"/>
        <v>2828066.09</v>
      </c>
      <c r="J84" s="1188">
        <f t="shared" si="10"/>
        <v>16793.149999999998</v>
      </c>
      <c r="K84" s="1188">
        <f t="shared" si="11"/>
        <v>445698.59</v>
      </c>
    </row>
    <row r="85" spans="1:11" ht="15" customHeight="1" x14ac:dyDescent="0.3">
      <c r="A85" s="1184" t="s">
        <v>209</v>
      </c>
      <c r="B85" s="1178" t="s">
        <v>210</v>
      </c>
      <c r="C85" s="1185" t="s">
        <v>255</v>
      </c>
      <c r="D85" s="1186">
        <v>1454598.29</v>
      </c>
      <c r="E85" s="1187">
        <v>602431.15999999992</v>
      </c>
      <c r="F85" s="1187">
        <v>363506.89</v>
      </c>
      <c r="G85" s="1187">
        <v>27406.37</v>
      </c>
      <c r="H85" s="1187">
        <v>0</v>
      </c>
      <c r="I85" s="1182">
        <f t="shared" si="9"/>
        <v>2447942.71</v>
      </c>
      <c r="J85" s="1188">
        <f t="shared" si="10"/>
        <v>27406.37</v>
      </c>
      <c r="K85" s="1188">
        <f t="shared" si="11"/>
        <v>390913.26</v>
      </c>
    </row>
    <row r="86" spans="1:11" ht="15" customHeight="1" x14ac:dyDescent="0.3">
      <c r="A86" s="1184" t="s">
        <v>211</v>
      </c>
      <c r="B86" s="1178" t="s">
        <v>212</v>
      </c>
      <c r="C86" s="1185" t="s">
        <v>254</v>
      </c>
      <c r="D86" s="1186">
        <v>1675115.8599999999</v>
      </c>
      <c r="E86" s="1187">
        <v>492043.74</v>
      </c>
      <c r="F86" s="1187">
        <v>1228717.04</v>
      </c>
      <c r="G86" s="1187">
        <v>158446.94</v>
      </c>
      <c r="H86" s="1187">
        <v>0</v>
      </c>
      <c r="I86" s="1182">
        <f t="shared" si="9"/>
        <v>3554323.5799999996</v>
      </c>
      <c r="J86" s="1188">
        <f t="shared" si="10"/>
        <v>158446.94</v>
      </c>
      <c r="K86" s="1188">
        <f t="shared" si="11"/>
        <v>1387163.98</v>
      </c>
    </row>
    <row r="87" spans="1:11" ht="15" customHeight="1" x14ac:dyDescent="0.3">
      <c r="A87" s="1184" t="s">
        <v>213</v>
      </c>
      <c r="B87" s="1178" t="s">
        <v>214</v>
      </c>
      <c r="C87" s="1185" t="s">
        <v>255</v>
      </c>
      <c r="D87" s="1186">
        <v>2060001.4400000002</v>
      </c>
      <c r="E87" s="1187">
        <v>840158.64</v>
      </c>
      <c r="F87" s="1187">
        <v>554727.68000000005</v>
      </c>
      <c r="G87" s="1187">
        <v>41561.339999999997</v>
      </c>
      <c r="H87" s="1187">
        <v>0</v>
      </c>
      <c r="I87" s="1182">
        <f t="shared" si="9"/>
        <v>3496449.1</v>
      </c>
      <c r="J87" s="1188">
        <f t="shared" si="10"/>
        <v>41561.339999999997</v>
      </c>
      <c r="K87" s="1188">
        <f t="shared" si="11"/>
        <v>596289.02</v>
      </c>
    </row>
    <row r="88" spans="1:11" ht="15" customHeight="1" x14ac:dyDescent="0.3">
      <c r="A88" s="1184" t="s">
        <v>215</v>
      </c>
      <c r="B88" s="1178" t="s">
        <v>216</v>
      </c>
      <c r="C88" s="1185" t="s">
        <v>251</v>
      </c>
      <c r="D88" s="1186">
        <v>1216321.1099999999</v>
      </c>
      <c r="E88" s="1187">
        <v>499438.28</v>
      </c>
      <c r="F88" s="1187">
        <v>322971.23</v>
      </c>
      <c r="G88" s="1187">
        <v>12538.769999999999</v>
      </c>
      <c r="H88" s="1187">
        <v>0</v>
      </c>
      <c r="I88" s="1182">
        <f t="shared" si="9"/>
        <v>2051269.39</v>
      </c>
      <c r="J88" s="1188">
        <f t="shared" si="10"/>
        <v>12538.769999999999</v>
      </c>
      <c r="K88" s="1188">
        <f t="shared" si="11"/>
        <v>335510</v>
      </c>
    </row>
    <row r="89" spans="1:11" ht="15" customHeight="1" x14ac:dyDescent="0.3">
      <c r="A89" s="1184" t="s">
        <v>217</v>
      </c>
      <c r="B89" s="1178" t="s">
        <v>218</v>
      </c>
      <c r="C89" s="1185" t="s">
        <v>254</v>
      </c>
      <c r="D89" s="1186">
        <v>3679980.05</v>
      </c>
      <c r="E89" s="1187">
        <v>1074237.06</v>
      </c>
      <c r="F89" s="1187">
        <v>2803158.25</v>
      </c>
      <c r="G89" s="1187">
        <v>70700.460000000006</v>
      </c>
      <c r="H89" s="1187">
        <v>0</v>
      </c>
      <c r="I89" s="1182">
        <f t="shared" si="9"/>
        <v>7628075.8199999994</v>
      </c>
      <c r="J89" s="1188">
        <f t="shared" si="10"/>
        <v>70700.460000000006</v>
      </c>
      <c r="K89" s="1188">
        <f t="shared" si="11"/>
        <v>2873858.71</v>
      </c>
    </row>
    <row r="90" spans="1:11" ht="15" customHeight="1" x14ac:dyDescent="0.3">
      <c r="A90" s="1184" t="s">
        <v>219</v>
      </c>
      <c r="B90" s="1178" t="s">
        <v>220</v>
      </c>
      <c r="C90" s="1185" t="s">
        <v>254</v>
      </c>
      <c r="D90" s="1186">
        <v>3057169.8400000003</v>
      </c>
      <c r="E90" s="1187">
        <v>979004.3600000001</v>
      </c>
      <c r="F90" s="1187">
        <v>1925082.65</v>
      </c>
      <c r="G90" s="1187">
        <v>22646.79</v>
      </c>
      <c r="H90" s="1187">
        <v>0</v>
      </c>
      <c r="I90" s="1182">
        <f t="shared" si="9"/>
        <v>5983903.6399999997</v>
      </c>
      <c r="J90" s="1188">
        <f t="shared" si="10"/>
        <v>22646.79</v>
      </c>
      <c r="K90" s="1188">
        <f t="shared" si="11"/>
        <v>1947729.44</v>
      </c>
    </row>
    <row r="91" spans="1:11" ht="15" customHeight="1" x14ac:dyDescent="0.3">
      <c r="A91" s="1184" t="s">
        <v>223</v>
      </c>
      <c r="B91" s="1178" t="s">
        <v>224</v>
      </c>
      <c r="C91" s="1185" t="s">
        <v>251</v>
      </c>
      <c r="D91" s="1186">
        <v>704360.78</v>
      </c>
      <c r="E91" s="1187">
        <v>280307.25</v>
      </c>
      <c r="F91" s="1187">
        <v>228630.90000000002</v>
      </c>
      <c r="G91" s="1187">
        <v>214762.24000000002</v>
      </c>
      <c r="H91" s="1187">
        <v>0</v>
      </c>
      <c r="I91" s="1182">
        <f t="shared" si="9"/>
        <v>1428061.1700000002</v>
      </c>
      <c r="J91" s="1188">
        <f t="shared" si="10"/>
        <v>214762.24000000002</v>
      </c>
      <c r="K91" s="1188">
        <f t="shared" si="11"/>
        <v>443393.14</v>
      </c>
    </row>
    <row r="92" spans="1:11" ht="15" customHeight="1" x14ac:dyDescent="0.3">
      <c r="A92" s="1184" t="s">
        <v>225</v>
      </c>
      <c r="B92" s="1178" t="s">
        <v>226</v>
      </c>
      <c r="C92" s="1185" t="s">
        <v>251</v>
      </c>
      <c r="D92" s="1186">
        <v>992359.12</v>
      </c>
      <c r="E92" s="1187">
        <v>396844.34</v>
      </c>
      <c r="F92" s="1187">
        <v>307839.38</v>
      </c>
      <c r="G92" s="1187">
        <v>58529.1</v>
      </c>
      <c r="H92" s="1187">
        <v>0</v>
      </c>
      <c r="I92" s="1182">
        <f t="shared" si="9"/>
        <v>1755571.94</v>
      </c>
      <c r="J92" s="1188">
        <f t="shared" si="10"/>
        <v>58529.1</v>
      </c>
      <c r="K92" s="1188">
        <f t="shared" si="11"/>
        <v>366368.48</v>
      </c>
    </row>
    <row r="93" spans="1:11" ht="15" customHeight="1" x14ac:dyDescent="0.3">
      <c r="A93" s="1184" t="s">
        <v>227</v>
      </c>
      <c r="B93" s="1178" t="s">
        <v>228</v>
      </c>
      <c r="C93" s="1185" t="s">
        <v>255</v>
      </c>
      <c r="D93" s="1186">
        <v>2635985.98</v>
      </c>
      <c r="E93" s="1187">
        <v>1034666.54</v>
      </c>
      <c r="F93" s="1187">
        <v>859516.55</v>
      </c>
      <c r="G93" s="1187">
        <v>52792.469999999994</v>
      </c>
      <c r="H93" s="1187">
        <v>0</v>
      </c>
      <c r="I93" s="1182">
        <f t="shared" si="9"/>
        <v>4582961.54</v>
      </c>
      <c r="J93" s="1188">
        <f t="shared" si="10"/>
        <v>52792.469999999994</v>
      </c>
      <c r="K93" s="1188">
        <f t="shared" si="11"/>
        <v>912309.02</v>
      </c>
    </row>
    <row r="94" spans="1:11" ht="15" customHeight="1" x14ac:dyDescent="0.3">
      <c r="A94" s="1184" t="s">
        <v>231</v>
      </c>
      <c r="B94" s="1178" t="s">
        <v>232</v>
      </c>
      <c r="C94" s="1185" t="s">
        <v>254</v>
      </c>
      <c r="D94" s="1186">
        <v>1451647.6</v>
      </c>
      <c r="E94" s="1187">
        <v>501855.83999999997</v>
      </c>
      <c r="F94" s="1187">
        <v>755946.34</v>
      </c>
      <c r="G94" s="1187">
        <v>20946.68</v>
      </c>
      <c r="H94" s="1187">
        <v>0</v>
      </c>
      <c r="I94" s="1182">
        <f t="shared" si="9"/>
        <v>2730396.46</v>
      </c>
      <c r="J94" s="1188">
        <f t="shared" si="10"/>
        <v>20946.68</v>
      </c>
      <c r="K94" s="1188">
        <f t="shared" si="11"/>
        <v>776893.02</v>
      </c>
    </row>
    <row r="95" spans="1:11" ht="15" customHeight="1" x14ac:dyDescent="0.3">
      <c r="A95" s="1184" t="s">
        <v>233</v>
      </c>
      <c r="B95" s="1178" t="s">
        <v>234</v>
      </c>
      <c r="C95" s="1185" t="s">
        <v>255</v>
      </c>
      <c r="D95" s="1186">
        <v>2151899.37</v>
      </c>
      <c r="E95" s="1187">
        <v>835736.26</v>
      </c>
      <c r="F95" s="1187">
        <v>756462.32</v>
      </c>
      <c r="G95" s="1187">
        <v>38698.670000000006</v>
      </c>
      <c r="H95" s="1187">
        <v>0</v>
      </c>
      <c r="I95" s="1182">
        <f t="shared" si="9"/>
        <v>3782796.6199999996</v>
      </c>
      <c r="J95" s="1188">
        <f t="shared" si="10"/>
        <v>38698.670000000006</v>
      </c>
      <c r="K95" s="1188">
        <f t="shared" si="11"/>
        <v>795160.99</v>
      </c>
    </row>
    <row r="96" spans="1:11" ht="15" customHeight="1" x14ac:dyDescent="0.3">
      <c r="A96" s="1184" t="s">
        <v>235</v>
      </c>
      <c r="B96" s="1178" t="s">
        <v>236</v>
      </c>
      <c r="C96" s="1185" t="s">
        <v>253</v>
      </c>
      <c r="D96" s="1186">
        <v>1001081.64</v>
      </c>
      <c r="E96" s="1187">
        <v>359514.27</v>
      </c>
      <c r="F96" s="1187">
        <v>468926.70999999996</v>
      </c>
      <c r="G96" s="1187">
        <v>57723.13</v>
      </c>
      <c r="H96" s="1187">
        <v>0</v>
      </c>
      <c r="I96" s="1182">
        <f t="shared" si="9"/>
        <v>1887245.75</v>
      </c>
      <c r="J96" s="1188">
        <f t="shared" si="10"/>
        <v>57723.13</v>
      </c>
      <c r="K96" s="1188">
        <f t="shared" si="11"/>
        <v>526649.84</v>
      </c>
    </row>
    <row r="97" spans="1:11" ht="15" customHeight="1" x14ac:dyDescent="0.3">
      <c r="A97" s="1184" t="s">
        <v>241</v>
      </c>
      <c r="B97" s="1178" t="s">
        <v>242</v>
      </c>
      <c r="C97" s="1185" t="s">
        <v>255</v>
      </c>
      <c r="D97" s="1186">
        <v>3073585.11</v>
      </c>
      <c r="E97" s="1187">
        <v>1260023.18</v>
      </c>
      <c r="F97" s="1187">
        <v>794618.66999999993</v>
      </c>
      <c r="G97" s="1187">
        <v>-25946.06</v>
      </c>
      <c r="H97" s="1187">
        <v>0</v>
      </c>
      <c r="I97" s="1182">
        <f t="shared" si="9"/>
        <v>5102280.9000000004</v>
      </c>
      <c r="J97" s="1188">
        <f t="shared" si="10"/>
        <v>-25946.06</v>
      </c>
      <c r="K97" s="1188">
        <f t="shared" si="11"/>
        <v>768672.60999999987</v>
      </c>
    </row>
    <row r="98" spans="1:11" ht="15" customHeight="1" x14ac:dyDescent="0.3">
      <c r="A98" s="1184" t="s">
        <v>243</v>
      </c>
      <c r="B98" s="1178" t="s">
        <v>244</v>
      </c>
      <c r="C98" s="1185" t="s">
        <v>255</v>
      </c>
      <c r="D98" s="1186">
        <v>1785403.62</v>
      </c>
      <c r="E98" s="1187">
        <v>601165.76</v>
      </c>
      <c r="F98" s="1187">
        <v>974429.04999999993</v>
      </c>
      <c r="G98" s="1187">
        <v>14319.7</v>
      </c>
      <c r="H98" s="1187">
        <v>0</v>
      </c>
      <c r="I98" s="1182">
        <f t="shared" si="9"/>
        <v>3375318.13</v>
      </c>
      <c r="J98" s="1188">
        <f t="shared" si="10"/>
        <v>14319.7</v>
      </c>
      <c r="K98" s="1188">
        <f t="shared" si="11"/>
        <v>988748.74999999988</v>
      </c>
    </row>
    <row r="99" spans="1:11" ht="15" customHeight="1" x14ac:dyDescent="0.3">
      <c r="A99" s="1184" t="s">
        <v>245</v>
      </c>
      <c r="B99" s="1178" t="s">
        <v>283</v>
      </c>
      <c r="C99" s="1185" t="s">
        <v>251</v>
      </c>
      <c r="D99" s="1186">
        <v>2454664.6199999996</v>
      </c>
      <c r="E99" s="1187">
        <v>685929.19</v>
      </c>
      <c r="F99" s="1187">
        <v>1902754.77</v>
      </c>
      <c r="G99" s="1187">
        <v>6410.04</v>
      </c>
      <c r="H99" s="1187">
        <v>0</v>
      </c>
      <c r="I99" s="1182">
        <f t="shared" si="9"/>
        <v>5049758.62</v>
      </c>
      <c r="J99" s="1188">
        <f t="shared" si="10"/>
        <v>6410.04</v>
      </c>
      <c r="K99" s="1188">
        <f t="shared" si="11"/>
        <v>1909164.81</v>
      </c>
    </row>
    <row r="100" spans="1:11" ht="15" customHeight="1" x14ac:dyDescent="0.3">
      <c r="A100" s="1184" t="s">
        <v>13</v>
      </c>
      <c r="B100" s="1178" t="s">
        <v>14</v>
      </c>
      <c r="C100" s="1185" t="s">
        <v>254</v>
      </c>
      <c r="D100" s="1186">
        <v>9127749.7399999984</v>
      </c>
      <c r="E100" s="1187">
        <v>2141067.69</v>
      </c>
      <c r="F100" s="1187">
        <v>8465008.1300000008</v>
      </c>
      <c r="G100" s="1187">
        <v>72291.790000000008</v>
      </c>
      <c r="H100" s="1187">
        <v>-805825.49</v>
      </c>
      <c r="I100" s="1182">
        <f t="shared" si="9"/>
        <v>19000291.859999999</v>
      </c>
      <c r="J100" s="1188">
        <f t="shared" si="10"/>
        <v>-733533.7</v>
      </c>
      <c r="K100" s="1188">
        <f t="shared" si="11"/>
        <v>7731474.4300000006</v>
      </c>
    </row>
    <row r="101" spans="1:11" ht="15" customHeight="1" x14ac:dyDescent="0.3">
      <c r="A101" s="1184" t="s">
        <v>33</v>
      </c>
      <c r="B101" s="1178" t="s">
        <v>34</v>
      </c>
      <c r="C101" s="1185" t="s">
        <v>255</v>
      </c>
      <c r="D101" s="1186">
        <v>1638397.48</v>
      </c>
      <c r="E101" s="1187">
        <v>678619.03</v>
      </c>
      <c r="F101" s="1187">
        <v>410091.59</v>
      </c>
      <c r="G101" s="1187">
        <v>7496.64</v>
      </c>
      <c r="H101" s="1187">
        <v>0</v>
      </c>
      <c r="I101" s="1182">
        <f t="shared" ref="I101:I124" si="12">SUM(D101:H101)</f>
        <v>2734604.7399999998</v>
      </c>
      <c r="J101" s="1188">
        <f t="shared" ref="J101:J124" si="13">G101+H101</f>
        <v>7496.64</v>
      </c>
      <c r="K101" s="1188">
        <f t="shared" ref="K101:K124" si="14">F101+J101</f>
        <v>417588.23000000004</v>
      </c>
    </row>
    <row r="102" spans="1:11" ht="15" customHeight="1" x14ac:dyDescent="0.3">
      <c r="A102" s="1184" t="s">
        <v>51</v>
      </c>
      <c r="B102" s="1178" t="s">
        <v>52</v>
      </c>
      <c r="C102" s="1185" t="s">
        <v>252</v>
      </c>
      <c r="D102" s="1186">
        <v>4437857.05</v>
      </c>
      <c r="E102" s="1187">
        <v>1251843.01</v>
      </c>
      <c r="F102" s="1187">
        <v>3294491.73</v>
      </c>
      <c r="G102" s="1187">
        <v>97112.010000000009</v>
      </c>
      <c r="H102" s="1187">
        <v>0</v>
      </c>
      <c r="I102" s="1182">
        <f t="shared" si="12"/>
        <v>9081303.7999999989</v>
      </c>
      <c r="J102" s="1188">
        <f t="shared" si="13"/>
        <v>97112.010000000009</v>
      </c>
      <c r="K102" s="1188">
        <f t="shared" si="14"/>
        <v>3391603.74</v>
      </c>
    </row>
    <row r="103" spans="1:11" ht="15" customHeight="1" x14ac:dyDescent="0.3">
      <c r="A103" s="1184" t="s">
        <v>53</v>
      </c>
      <c r="B103" s="1178" t="s">
        <v>54</v>
      </c>
      <c r="C103" s="1185" t="s">
        <v>251</v>
      </c>
      <c r="D103" s="1186">
        <v>8590937.9700000007</v>
      </c>
      <c r="E103" s="1187">
        <v>2705982.7</v>
      </c>
      <c r="F103" s="1187">
        <v>5252989.1500000004</v>
      </c>
      <c r="G103" s="1187">
        <v>226959.61</v>
      </c>
      <c r="H103" s="1187">
        <v>241907.66</v>
      </c>
      <c r="I103" s="1182">
        <f t="shared" si="12"/>
        <v>17018777.09</v>
      </c>
      <c r="J103" s="1188">
        <f t="shared" si="13"/>
        <v>468867.27</v>
      </c>
      <c r="K103" s="1188">
        <f t="shared" si="14"/>
        <v>5721856.4199999999</v>
      </c>
    </row>
    <row r="104" spans="1:11" ht="15" customHeight="1" x14ac:dyDescent="0.3">
      <c r="A104" s="1184" t="s">
        <v>65</v>
      </c>
      <c r="B104" s="1178" t="s">
        <v>66</v>
      </c>
      <c r="C104" s="1185" t="s">
        <v>252</v>
      </c>
      <c r="D104" s="1186">
        <v>3151017.68</v>
      </c>
      <c r="E104" s="1187">
        <v>1297272.2899999998</v>
      </c>
      <c r="F104" s="1187">
        <v>801177.24</v>
      </c>
      <c r="G104" s="1187">
        <v>2062.31</v>
      </c>
      <c r="H104" s="1187">
        <v>0</v>
      </c>
      <c r="I104" s="1182">
        <f t="shared" si="12"/>
        <v>5251529.5199999996</v>
      </c>
      <c r="J104" s="1188">
        <f t="shared" si="13"/>
        <v>2062.31</v>
      </c>
      <c r="K104" s="1188">
        <f t="shared" si="14"/>
        <v>803239.55</v>
      </c>
    </row>
    <row r="105" spans="1:11" ht="15" customHeight="1" x14ac:dyDescent="0.3">
      <c r="A105" s="1184" t="s">
        <v>81</v>
      </c>
      <c r="B105" s="1178" t="s">
        <v>284</v>
      </c>
      <c r="C105" s="1185" t="s">
        <v>251</v>
      </c>
      <c r="D105" s="1186">
        <v>762940.14000000013</v>
      </c>
      <c r="E105" s="1187">
        <v>304179.67000000004</v>
      </c>
      <c r="F105" s="1187">
        <v>245476.15</v>
      </c>
      <c r="G105" s="1187">
        <v>1816.59</v>
      </c>
      <c r="H105" s="1187">
        <v>0</v>
      </c>
      <c r="I105" s="1182">
        <f t="shared" si="12"/>
        <v>1314412.55</v>
      </c>
      <c r="J105" s="1188">
        <f t="shared" si="13"/>
        <v>1816.59</v>
      </c>
      <c r="K105" s="1188">
        <f t="shared" si="14"/>
        <v>247292.74</v>
      </c>
    </row>
    <row r="106" spans="1:11" ht="15" customHeight="1" x14ac:dyDescent="0.3">
      <c r="A106" s="1184" t="s">
        <v>87</v>
      </c>
      <c r="B106" s="1178" t="s">
        <v>88</v>
      </c>
      <c r="C106" s="1185" t="s">
        <v>254</v>
      </c>
      <c r="D106" s="1186">
        <v>1725438.7800000003</v>
      </c>
      <c r="E106" s="1187">
        <v>551972.63</v>
      </c>
      <c r="F106" s="1187">
        <v>890814.82</v>
      </c>
      <c r="G106" s="1187">
        <v>1694.82</v>
      </c>
      <c r="H106" s="1187">
        <v>0</v>
      </c>
      <c r="I106" s="1182">
        <f t="shared" si="12"/>
        <v>3169921.05</v>
      </c>
      <c r="J106" s="1188">
        <f t="shared" si="13"/>
        <v>1694.82</v>
      </c>
      <c r="K106" s="1188">
        <f t="shared" si="14"/>
        <v>892509.6399999999</v>
      </c>
    </row>
    <row r="107" spans="1:11" ht="15" customHeight="1" x14ac:dyDescent="0.3">
      <c r="A107" s="1184" t="s">
        <v>89</v>
      </c>
      <c r="B107" s="1178" t="s">
        <v>90</v>
      </c>
      <c r="C107" s="1185" t="s">
        <v>255</v>
      </c>
      <c r="D107" s="1186">
        <v>680401.35</v>
      </c>
      <c r="E107" s="1187">
        <v>263765.33999999997</v>
      </c>
      <c r="F107" s="1187">
        <v>242141.65999999997</v>
      </c>
      <c r="G107" s="1187">
        <v>19643.03</v>
      </c>
      <c r="H107" s="1187">
        <v>0</v>
      </c>
      <c r="I107" s="1182">
        <f t="shared" si="12"/>
        <v>1205951.3799999999</v>
      </c>
      <c r="J107" s="1188">
        <f t="shared" si="13"/>
        <v>19643.03</v>
      </c>
      <c r="K107" s="1188">
        <f t="shared" si="14"/>
        <v>261784.68999999997</v>
      </c>
    </row>
    <row r="108" spans="1:11" ht="15" customHeight="1" x14ac:dyDescent="0.3">
      <c r="A108" s="1184" t="s">
        <v>105</v>
      </c>
      <c r="B108" s="1178" t="s">
        <v>106</v>
      </c>
      <c r="C108" s="1185" t="s">
        <v>251</v>
      </c>
      <c r="D108" s="1186">
        <v>7723806.0800000001</v>
      </c>
      <c r="E108" s="1187">
        <v>2886170.66</v>
      </c>
      <c r="F108" s="1187">
        <v>3035459.49</v>
      </c>
      <c r="G108" s="1187">
        <v>56252.32</v>
      </c>
      <c r="H108" s="1187">
        <v>0</v>
      </c>
      <c r="I108" s="1182">
        <f t="shared" si="12"/>
        <v>13701688.550000001</v>
      </c>
      <c r="J108" s="1188">
        <f t="shared" si="13"/>
        <v>56252.32</v>
      </c>
      <c r="K108" s="1188">
        <f t="shared" si="14"/>
        <v>3091711.81</v>
      </c>
    </row>
    <row r="109" spans="1:11" ht="15" customHeight="1" x14ac:dyDescent="0.3">
      <c r="A109" s="1184" t="s">
        <v>115</v>
      </c>
      <c r="B109" s="1178" t="s">
        <v>116</v>
      </c>
      <c r="C109" s="1185" t="s">
        <v>253</v>
      </c>
      <c r="D109" s="1186">
        <v>2007494.1</v>
      </c>
      <c r="E109" s="1187">
        <v>734579.84</v>
      </c>
      <c r="F109" s="1187">
        <v>852672.92999999993</v>
      </c>
      <c r="G109" s="1187">
        <v>320.86</v>
      </c>
      <c r="H109" s="1187">
        <v>0</v>
      </c>
      <c r="I109" s="1182">
        <f t="shared" si="12"/>
        <v>3595067.73</v>
      </c>
      <c r="J109" s="1188">
        <f t="shared" si="13"/>
        <v>320.86</v>
      </c>
      <c r="K109" s="1188">
        <f t="shared" si="14"/>
        <v>852993.78999999992</v>
      </c>
    </row>
    <row r="110" spans="1:11" ht="15" customHeight="1" x14ac:dyDescent="0.3">
      <c r="A110" s="1184" t="s">
        <v>137</v>
      </c>
      <c r="B110" s="1178" t="s">
        <v>138</v>
      </c>
      <c r="C110" s="1185" t="s">
        <v>252</v>
      </c>
      <c r="D110" s="1186">
        <v>5188775.66</v>
      </c>
      <c r="E110" s="1187">
        <v>1732050.17</v>
      </c>
      <c r="F110" s="1187">
        <v>2799395.95</v>
      </c>
      <c r="G110" s="1187">
        <v>87430.799999999988</v>
      </c>
      <c r="H110" s="1187">
        <v>0</v>
      </c>
      <c r="I110" s="1182">
        <f t="shared" si="12"/>
        <v>9807652.5800000019</v>
      </c>
      <c r="J110" s="1188">
        <f t="shared" si="13"/>
        <v>87430.799999999988</v>
      </c>
      <c r="K110" s="1188">
        <f t="shared" si="14"/>
        <v>2886826.75</v>
      </c>
    </row>
    <row r="111" spans="1:11" ht="15" customHeight="1" x14ac:dyDescent="0.3">
      <c r="A111" s="1184" t="s">
        <v>141</v>
      </c>
      <c r="B111" s="1178" t="s">
        <v>142</v>
      </c>
      <c r="C111" s="1185" t="s">
        <v>254</v>
      </c>
      <c r="D111" s="1186">
        <v>1732866.71</v>
      </c>
      <c r="E111" s="1187">
        <v>484735.95</v>
      </c>
      <c r="F111" s="1187">
        <v>1377985.2799999998</v>
      </c>
      <c r="G111" s="1187">
        <v>170631.08000000002</v>
      </c>
      <c r="H111" s="1187">
        <v>0</v>
      </c>
      <c r="I111" s="1182">
        <f t="shared" si="12"/>
        <v>3766219.02</v>
      </c>
      <c r="J111" s="1188">
        <f t="shared" si="13"/>
        <v>170631.08000000002</v>
      </c>
      <c r="K111" s="1188">
        <f t="shared" si="14"/>
        <v>1548616.3599999999</v>
      </c>
    </row>
    <row r="112" spans="1:11" ht="15" customHeight="1" x14ac:dyDescent="0.3">
      <c r="A112" s="1184" t="s">
        <v>143</v>
      </c>
      <c r="B112" s="1178" t="s">
        <v>144</v>
      </c>
      <c r="C112" s="1185" t="s">
        <v>254</v>
      </c>
      <c r="D112" s="1186">
        <v>723388.66999999993</v>
      </c>
      <c r="E112" s="1187">
        <v>207438.78999999998</v>
      </c>
      <c r="F112" s="1187">
        <v>563080.45000000007</v>
      </c>
      <c r="G112" s="1187">
        <v>18762.580000000002</v>
      </c>
      <c r="H112" s="1187">
        <v>0</v>
      </c>
      <c r="I112" s="1182">
        <f t="shared" si="12"/>
        <v>1512670.4900000002</v>
      </c>
      <c r="J112" s="1188">
        <f t="shared" si="13"/>
        <v>18762.580000000002</v>
      </c>
      <c r="K112" s="1188">
        <f t="shared" si="14"/>
        <v>581843.03</v>
      </c>
    </row>
    <row r="113" spans="1:11" ht="15" customHeight="1" x14ac:dyDescent="0.3">
      <c r="A113" s="1184" t="s">
        <v>157</v>
      </c>
      <c r="B113" s="1178" t="s">
        <v>158</v>
      </c>
      <c r="C113" s="1185" t="s">
        <v>251</v>
      </c>
      <c r="D113" s="1186">
        <v>14303216.74</v>
      </c>
      <c r="E113" s="1187">
        <v>4394343.32</v>
      </c>
      <c r="F113" s="1187">
        <v>9256586.2899999991</v>
      </c>
      <c r="G113" s="1187">
        <v>-31.479999999999997</v>
      </c>
      <c r="H113" s="1187">
        <v>0</v>
      </c>
      <c r="I113" s="1182">
        <f t="shared" si="12"/>
        <v>27954114.870000001</v>
      </c>
      <c r="J113" s="1188">
        <f t="shared" si="13"/>
        <v>-31.479999999999997</v>
      </c>
      <c r="K113" s="1188">
        <f t="shared" si="14"/>
        <v>9256554.8099999987</v>
      </c>
    </row>
    <row r="114" spans="1:11" ht="15" customHeight="1" x14ac:dyDescent="0.3">
      <c r="A114" s="1184" t="s">
        <v>159</v>
      </c>
      <c r="B114" s="1178" t="s">
        <v>160</v>
      </c>
      <c r="C114" s="1185" t="s">
        <v>251</v>
      </c>
      <c r="D114" s="1186">
        <v>16242718.82</v>
      </c>
      <c r="E114" s="1187">
        <v>6618874.8300000001</v>
      </c>
      <c r="F114" s="1187">
        <v>4131586.85</v>
      </c>
      <c r="G114" s="1187">
        <v>780076.49999999988</v>
      </c>
      <c r="H114" s="1187">
        <v>0</v>
      </c>
      <c r="I114" s="1182">
        <f t="shared" si="12"/>
        <v>27773257</v>
      </c>
      <c r="J114" s="1188">
        <f t="shared" si="13"/>
        <v>780076.49999999988</v>
      </c>
      <c r="K114" s="1188">
        <f t="shared" si="14"/>
        <v>4911663.3499999996</v>
      </c>
    </row>
    <row r="115" spans="1:11" ht="15" customHeight="1" x14ac:dyDescent="0.3">
      <c r="A115" s="1184" t="s">
        <v>165</v>
      </c>
      <c r="B115" s="1178" t="s">
        <v>166</v>
      </c>
      <c r="C115" s="1185" t="s">
        <v>255</v>
      </c>
      <c r="D115" s="1186">
        <v>519754.77</v>
      </c>
      <c r="E115" s="1187">
        <v>193349.47</v>
      </c>
      <c r="F115" s="1187">
        <v>225543.7</v>
      </c>
      <c r="G115" s="1187">
        <v>277.15999999999997</v>
      </c>
      <c r="H115" s="1187">
        <v>0</v>
      </c>
      <c r="I115" s="1182">
        <f t="shared" si="12"/>
        <v>938925.1</v>
      </c>
      <c r="J115" s="1188">
        <f t="shared" si="13"/>
        <v>277.15999999999997</v>
      </c>
      <c r="K115" s="1188">
        <f t="shared" si="14"/>
        <v>225820.86000000002</v>
      </c>
    </row>
    <row r="116" spans="1:11" ht="15" customHeight="1" x14ac:dyDescent="0.3">
      <c r="A116" s="1184" t="s">
        <v>175</v>
      </c>
      <c r="B116" s="1178" t="s">
        <v>176</v>
      </c>
      <c r="C116" s="1185" t="s">
        <v>253</v>
      </c>
      <c r="D116" s="1186">
        <v>3424861.08</v>
      </c>
      <c r="E116" s="1187">
        <v>1408495.6199999999</v>
      </c>
      <c r="F116" s="1187">
        <v>867357.89</v>
      </c>
      <c r="G116" s="1187">
        <v>-8.84</v>
      </c>
      <c r="H116" s="1187">
        <v>0</v>
      </c>
      <c r="I116" s="1182">
        <f t="shared" si="12"/>
        <v>5700705.75</v>
      </c>
      <c r="J116" s="1188">
        <f t="shared" si="13"/>
        <v>-8.84</v>
      </c>
      <c r="K116" s="1188">
        <f t="shared" si="14"/>
        <v>867349.05</v>
      </c>
    </row>
    <row r="117" spans="1:11" ht="15" customHeight="1" x14ac:dyDescent="0.3">
      <c r="A117" s="1184" t="s">
        <v>179</v>
      </c>
      <c r="B117" s="1178" t="s">
        <v>180</v>
      </c>
      <c r="C117" s="1185" t="s">
        <v>251</v>
      </c>
      <c r="D117" s="1186">
        <v>7763770.169999999</v>
      </c>
      <c r="E117" s="1187">
        <v>3175476.59</v>
      </c>
      <c r="F117" s="1187">
        <v>2034718</v>
      </c>
      <c r="G117" s="1187">
        <v>1039344.91</v>
      </c>
      <c r="H117" s="1187">
        <v>0</v>
      </c>
      <c r="I117" s="1182">
        <f t="shared" si="12"/>
        <v>14013309.669999998</v>
      </c>
      <c r="J117" s="1188">
        <f t="shared" si="13"/>
        <v>1039344.91</v>
      </c>
      <c r="K117" s="1188">
        <f t="shared" si="14"/>
        <v>3074062.91</v>
      </c>
    </row>
    <row r="118" spans="1:11" ht="15" customHeight="1" x14ac:dyDescent="0.3">
      <c r="A118" s="1184" t="s">
        <v>191</v>
      </c>
      <c r="B118" s="1178" t="s">
        <v>192</v>
      </c>
      <c r="C118" s="1185" t="s">
        <v>255</v>
      </c>
      <c r="D118" s="1186">
        <v>678651.53</v>
      </c>
      <c r="E118" s="1187">
        <v>246216.18</v>
      </c>
      <c r="F118" s="1187">
        <v>315602.81000000006</v>
      </c>
      <c r="G118" s="1187">
        <v>12233.630000000001</v>
      </c>
      <c r="H118" s="1187">
        <v>0</v>
      </c>
      <c r="I118" s="1182">
        <f t="shared" si="12"/>
        <v>1252704.1499999999</v>
      </c>
      <c r="J118" s="1188">
        <f t="shared" si="13"/>
        <v>12233.630000000001</v>
      </c>
      <c r="K118" s="1188">
        <f t="shared" si="14"/>
        <v>327836.44000000006</v>
      </c>
    </row>
    <row r="119" spans="1:11" ht="15" customHeight="1" x14ac:dyDescent="0.3">
      <c r="A119" s="1184" t="s">
        <v>195</v>
      </c>
      <c r="B119" s="1178" t="s">
        <v>285</v>
      </c>
      <c r="C119" s="1185" t="s">
        <v>253</v>
      </c>
      <c r="D119" s="1186">
        <v>17127540.73</v>
      </c>
      <c r="E119" s="1187">
        <v>6920962.8599999994</v>
      </c>
      <c r="F119" s="1187">
        <v>4368202.74</v>
      </c>
      <c r="G119" s="1187">
        <v>617785.91999999993</v>
      </c>
      <c r="H119" s="1187">
        <v>125666.78</v>
      </c>
      <c r="I119" s="1182">
        <f t="shared" si="12"/>
        <v>29160159.030000001</v>
      </c>
      <c r="J119" s="1188">
        <f t="shared" si="13"/>
        <v>743452.7</v>
      </c>
      <c r="K119" s="1188">
        <f t="shared" si="14"/>
        <v>5111655.4400000004</v>
      </c>
    </row>
    <row r="120" spans="1:11" ht="15" customHeight="1" x14ac:dyDescent="0.3">
      <c r="A120" s="1184" t="s">
        <v>199</v>
      </c>
      <c r="B120" s="1178" t="s">
        <v>286</v>
      </c>
      <c r="C120" s="1185" t="s">
        <v>252</v>
      </c>
      <c r="D120" s="1186">
        <v>7915432.04</v>
      </c>
      <c r="E120" s="1187">
        <v>3001767.33</v>
      </c>
      <c r="F120" s="1187">
        <v>2765889.27</v>
      </c>
      <c r="G120" s="1187">
        <v>20146.169999999998</v>
      </c>
      <c r="H120" s="1187">
        <v>0</v>
      </c>
      <c r="I120" s="1182">
        <f t="shared" si="12"/>
        <v>13703234.810000001</v>
      </c>
      <c r="J120" s="1188">
        <f t="shared" si="13"/>
        <v>20146.169999999998</v>
      </c>
      <c r="K120" s="1188">
        <f t="shared" si="14"/>
        <v>2786035.44</v>
      </c>
    </row>
    <row r="121" spans="1:11" ht="15" customHeight="1" x14ac:dyDescent="0.3">
      <c r="A121" s="1184" t="s">
        <v>221</v>
      </c>
      <c r="B121" s="1178" t="s">
        <v>222</v>
      </c>
      <c r="C121" s="1185" t="s">
        <v>251</v>
      </c>
      <c r="D121" s="1186">
        <v>4704568</v>
      </c>
      <c r="E121" s="1187">
        <v>1642270.58</v>
      </c>
      <c r="F121" s="1187">
        <v>2271506.64</v>
      </c>
      <c r="G121" s="1187">
        <v>1164162.6700000002</v>
      </c>
      <c r="H121" s="1187">
        <v>0</v>
      </c>
      <c r="I121" s="1182">
        <f t="shared" si="12"/>
        <v>9782507.8900000006</v>
      </c>
      <c r="J121" s="1188">
        <f t="shared" si="13"/>
        <v>1164162.6700000002</v>
      </c>
      <c r="K121" s="1188">
        <f t="shared" si="14"/>
        <v>3435669.3100000005</v>
      </c>
    </row>
    <row r="122" spans="1:11" ht="15" customHeight="1" x14ac:dyDescent="0.3">
      <c r="A122" s="1184" t="s">
        <v>229</v>
      </c>
      <c r="B122" s="1178" t="s">
        <v>230</v>
      </c>
      <c r="C122" s="1185" t="s">
        <v>251</v>
      </c>
      <c r="D122" s="1186">
        <v>14037761.93</v>
      </c>
      <c r="E122" s="1187">
        <v>4241338.37</v>
      </c>
      <c r="F122" s="1187">
        <v>9420487.3399999999</v>
      </c>
      <c r="G122" s="1187">
        <v>63140.6</v>
      </c>
      <c r="H122" s="1187">
        <v>0</v>
      </c>
      <c r="I122" s="1182">
        <f t="shared" si="12"/>
        <v>27762728.240000002</v>
      </c>
      <c r="J122" s="1188">
        <f t="shared" si="13"/>
        <v>63140.6</v>
      </c>
      <c r="K122" s="1188">
        <f t="shared" si="14"/>
        <v>9483627.9399999995</v>
      </c>
    </row>
    <row r="123" spans="1:11" ht="15" customHeight="1" x14ac:dyDescent="0.3">
      <c r="A123" s="1184" t="s">
        <v>237</v>
      </c>
      <c r="B123" s="1178" t="s">
        <v>238</v>
      </c>
      <c r="C123" s="1185" t="s">
        <v>251</v>
      </c>
      <c r="D123" s="1186">
        <v>454815.14</v>
      </c>
      <c r="E123" s="1187">
        <v>167225.26999999999</v>
      </c>
      <c r="F123" s="1187">
        <v>209093.78</v>
      </c>
      <c r="G123" s="1187">
        <v>407760.60999999993</v>
      </c>
      <c r="H123" s="1187">
        <v>0</v>
      </c>
      <c r="I123" s="1182">
        <f t="shared" si="12"/>
        <v>1238894.8</v>
      </c>
      <c r="J123" s="1188">
        <f t="shared" si="13"/>
        <v>407760.60999999993</v>
      </c>
      <c r="K123" s="1188">
        <f t="shared" si="14"/>
        <v>616854.3899999999</v>
      </c>
    </row>
    <row r="124" spans="1:11" ht="15" customHeight="1" x14ac:dyDescent="0.3">
      <c r="A124" s="1184" t="s">
        <v>239</v>
      </c>
      <c r="B124" s="1178" t="s">
        <v>240</v>
      </c>
      <c r="C124" s="1185" t="s">
        <v>254</v>
      </c>
      <c r="D124" s="1186">
        <v>2009185.41</v>
      </c>
      <c r="E124" s="1187">
        <v>562157.46</v>
      </c>
      <c r="F124" s="1187">
        <v>1542577.17</v>
      </c>
      <c r="G124" s="1187">
        <v>149771.09</v>
      </c>
      <c r="H124" s="1187">
        <v>0</v>
      </c>
      <c r="I124" s="1182">
        <f t="shared" si="12"/>
        <v>4263691.13</v>
      </c>
      <c r="J124" s="1188">
        <f t="shared" si="13"/>
        <v>149771.09</v>
      </c>
      <c r="K124" s="1188">
        <f t="shared" si="14"/>
        <v>1692348.26</v>
      </c>
    </row>
    <row r="125" spans="1:11" ht="15" customHeight="1" x14ac:dyDescent="0.3">
      <c r="A125" s="839"/>
      <c r="B125" s="554"/>
      <c r="C125" s="554"/>
      <c r="D125" s="840"/>
      <c r="E125" s="840"/>
      <c r="F125" s="840"/>
      <c r="G125" s="840"/>
      <c r="H125" s="840"/>
      <c r="I125" s="840"/>
      <c r="J125" s="796"/>
      <c r="K125" s="796"/>
    </row>
    <row r="126" spans="1:11" ht="15" customHeight="1" x14ac:dyDescent="0.3">
      <c r="A126" s="839" t="s">
        <v>253</v>
      </c>
      <c r="B126" s="554"/>
      <c r="C126" s="554"/>
      <c r="D126" s="1167">
        <v>55335213.059999995</v>
      </c>
      <c r="E126" s="1168">
        <v>20196731.830000009</v>
      </c>
      <c r="F126" s="1168">
        <v>24270027.519999996</v>
      </c>
      <c r="G126" s="1168">
        <v>1209200.5</v>
      </c>
      <c r="H126" s="1168">
        <v>125666.78</v>
      </c>
      <c r="I126" s="1169">
        <f>SUM(D126:H126)</f>
        <v>101136839.69</v>
      </c>
      <c r="J126" s="977">
        <f>G126+H126</f>
        <v>1334867.28</v>
      </c>
      <c r="K126" s="977">
        <f>F126+G126+H126</f>
        <v>25604894.799999997</v>
      </c>
    </row>
    <row r="127" spans="1:11" ht="15" customHeight="1" x14ac:dyDescent="0.3">
      <c r="A127" s="839" t="s">
        <v>251</v>
      </c>
      <c r="B127" s="554"/>
      <c r="C127" s="554"/>
      <c r="D127" s="1167">
        <v>93161117.290000021</v>
      </c>
      <c r="E127" s="1168">
        <v>32740225.169999983</v>
      </c>
      <c r="F127" s="1168">
        <v>44767469.18</v>
      </c>
      <c r="G127" s="1168">
        <v>4808956.6499999976</v>
      </c>
      <c r="H127" s="1168">
        <v>241907.66</v>
      </c>
      <c r="I127" s="1169">
        <f t="shared" ref="I127:I130" si="15">SUM(D127:H127)</f>
        <v>175719675.95000002</v>
      </c>
      <c r="J127" s="977">
        <f t="shared" ref="J127:J130" si="16">G127+H127</f>
        <v>5050864.3099999977</v>
      </c>
      <c r="K127" s="977">
        <f t="shared" ref="K127:K130" si="17">F127+G127+H127</f>
        <v>49818333.489999995</v>
      </c>
    </row>
    <row r="128" spans="1:11" ht="15" customHeight="1" x14ac:dyDescent="0.3">
      <c r="A128" s="839" t="s">
        <v>254</v>
      </c>
      <c r="B128" s="554"/>
      <c r="C128" s="554"/>
      <c r="D128" s="1167">
        <v>104390579.26999997</v>
      </c>
      <c r="E128" s="1168">
        <v>25513517.27</v>
      </c>
      <c r="F128" s="1168">
        <v>94259067.579999983</v>
      </c>
      <c r="G128" s="1168">
        <v>1258627.71</v>
      </c>
      <c r="H128" s="1168">
        <v>-527481.56999999995</v>
      </c>
      <c r="I128" s="1169">
        <f t="shared" si="15"/>
        <v>224894310.25999996</v>
      </c>
      <c r="J128" s="977">
        <f t="shared" si="16"/>
        <v>731146.14</v>
      </c>
      <c r="K128" s="977">
        <f t="shared" si="17"/>
        <v>94990213.719999984</v>
      </c>
    </row>
    <row r="129" spans="1:11" ht="15" customHeight="1" x14ac:dyDescent="0.3">
      <c r="A129" s="839" t="s">
        <v>252</v>
      </c>
      <c r="B129" s="554"/>
      <c r="C129" s="554"/>
      <c r="D129" s="1167">
        <v>58079845.149999999</v>
      </c>
      <c r="E129" s="1168">
        <v>19792417.000000004</v>
      </c>
      <c r="F129" s="1168">
        <v>29827666.369999997</v>
      </c>
      <c r="G129" s="1168">
        <v>2145195.9500000007</v>
      </c>
      <c r="H129" s="1168">
        <v>0</v>
      </c>
      <c r="I129" s="1169">
        <f t="shared" si="15"/>
        <v>109845124.47000001</v>
      </c>
      <c r="J129" s="977">
        <f t="shared" si="16"/>
        <v>2145195.9500000007</v>
      </c>
      <c r="K129" s="977">
        <f t="shared" si="17"/>
        <v>31972862.319999997</v>
      </c>
    </row>
    <row r="130" spans="1:11" ht="15" customHeight="1" x14ac:dyDescent="0.3">
      <c r="A130" s="839" t="s">
        <v>255</v>
      </c>
      <c r="B130" s="554"/>
      <c r="C130" s="554"/>
      <c r="D130" s="1167">
        <v>33923965.490000002</v>
      </c>
      <c r="E130" s="1168">
        <v>13288495.870000001</v>
      </c>
      <c r="F130" s="1168">
        <v>11367070.469999997</v>
      </c>
      <c r="G130" s="1168">
        <v>416018.5500000001</v>
      </c>
      <c r="H130" s="1168">
        <v>0</v>
      </c>
      <c r="I130" s="1169">
        <f t="shared" si="15"/>
        <v>58995550.379999995</v>
      </c>
      <c r="J130" s="977">
        <f t="shared" si="16"/>
        <v>416018.5500000001</v>
      </c>
      <c r="K130" s="977">
        <f t="shared" si="17"/>
        <v>11783089.019999998</v>
      </c>
    </row>
    <row r="131" spans="1:11" ht="15" customHeight="1" x14ac:dyDescent="0.3">
      <c r="A131" s="839" t="s">
        <v>8</v>
      </c>
      <c r="B131" s="554"/>
      <c r="C131" s="841"/>
      <c r="D131" s="1167">
        <f t="shared" ref="D131" si="18">SUM(D126:D130)</f>
        <v>344890720.25999999</v>
      </c>
      <c r="E131" s="1168">
        <f t="shared" ref="E131:H131" si="19">SUM(E126:E130)</f>
        <v>111531387.14</v>
      </c>
      <c r="F131" s="1168">
        <f t="shared" si="19"/>
        <v>204491301.11999997</v>
      </c>
      <c r="G131" s="1168">
        <f t="shared" si="19"/>
        <v>9837999.3599999994</v>
      </c>
      <c r="H131" s="1168">
        <f t="shared" si="19"/>
        <v>-159907.12999999995</v>
      </c>
      <c r="I131" s="1169">
        <f>SUM(I126:I130)</f>
        <v>670591500.75</v>
      </c>
      <c r="J131" s="977">
        <f>SUM(J126:J130)</f>
        <v>9678092.2299999986</v>
      </c>
      <c r="K131" s="977">
        <f>SUM(K126:K130)</f>
        <v>214169393.34999999</v>
      </c>
    </row>
    <row r="133" spans="1:11" s="173" customFormat="1" x14ac:dyDescent="0.3">
      <c r="A133" s="584" t="s">
        <v>907</v>
      </c>
      <c r="B133" s="410"/>
      <c r="C133" s="410"/>
      <c r="D133" s="590"/>
      <c r="E133" s="590"/>
      <c r="F133" s="590"/>
      <c r="G133" s="590"/>
      <c r="H133" s="590"/>
      <c r="I133" s="590"/>
      <c r="J133" s="590"/>
      <c r="K133" s="590"/>
    </row>
    <row r="134" spans="1:11" s="173" customFormat="1" x14ac:dyDescent="0.3">
      <c r="D134" s="590"/>
      <c r="E134" s="590"/>
      <c r="F134" s="590"/>
      <c r="G134" s="590"/>
      <c r="H134" s="590"/>
      <c r="I134" s="590"/>
      <c r="J134" s="590"/>
      <c r="K134" s="590"/>
    </row>
    <row r="135" spans="1:11" s="193" customFormat="1" x14ac:dyDescent="0.3">
      <c r="A135" s="193" t="s">
        <v>247</v>
      </c>
      <c r="D135" s="591"/>
      <c r="E135" s="591"/>
      <c r="F135" s="591"/>
      <c r="G135" s="591"/>
      <c r="H135" s="591"/>
      <c r="I135" s="591"/>
      <c r="J135" s="591"/>
      <c r="K135" s="591"/>
    </row>
    <row r="136" spans="1:11" x14ac:dyDescent="0.3">
      <c r="A136" s="194" t="s">
        <v>248</v>
      </c>
      <c r="B136" s="195" t="s">
        <v>249</v>
      </c>
      <c r="C136" s="195"/>
    </row>
  </sheetData>
  <autoFilter ref="A3:C124"/>
  <sortState ref="A5:BA124">
    <sortCondition ref="A5:A124"/>
  </sortState>
  <hyperlinks>
    <hyperlink ref="B136"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workbookViewId="0">
      <pane xSplit="3" ySplit="4" topLeftCell="D120" activePane="bottomRight" state="frozen"/>
      <selection pane="topRight" activeCell="D1" sqref="D1"/>
      <selection pane="bottomLeft" activeCell="A5" sqref="A5"/>
      <selection pane="bottomRight" activeCell="N128" sqref="N128"/>
    </sheetView>
  </sheetViews>
  <sheetFormatPr defaultColWidth="9" defaultRowHeight="15.6" x14ac:dyDescent="0.3"/>
  <cols>
    <col min="1" max="1" width="9.296875" style="105" customWidth="1"/>
    <col min="2" max="2" width="29.69921875" style="105" customWidth="1"/>
    <col min="3" max="3" width="18.59765625" style="105" customWidth="1"/>
    <col min="4" max="4" width="12.69921875" style="105" customWidth="1"/>
    <col min="5" max="5" width="8.296875" style="105" bestFit="1" customWidth="1"/>
    <col min="6" max="6" width="11.5" style="105" bestFit="1" customWidth="1"/>
    <col min="7" max="7" width="13.296875" style="105" customWidth="1"/>
    <col min="8" max="8" width="11.796875" style="105" customWidth="1"/>
    <col min="9" max="9" width="13.296875" style="105" customWidth="1"/>
    <col min="10" max="11" width="13.59765625" style="105" customWidth="1"/>
    <col min="12" max="16384" width="9" style="105"/>
  </cols>
  <sheetData>
    <row r="1" spans="1:11" x14ac:dyDescent="0.3">
      <c r="A1" s="2" t="s">
        <v>908</v>
      </c>
      <c r="J1" s="416"/>
      <c r="K1" s="416"/>
    </row>
    <row r="2" spans="1:11" x14ac:dyDescent="0.3">
      <c r="J2" s="416"/>
      <c r="K2" s="416"/>
    </row>
    <row r="3" spans="1:11" s="417" customFormat="1" ht="46.8" x14ac:dyDescent="0.3">
      <c r="A3" s="420" t="s">
        <v>4</v>
      </c>
      <c r="B3" s="421" t="s">
        <v>5</v>
      </c>
      <c r="C3" s="555" t="s">
        <v>250</v>
      </c>
      <c r="D3" s="422" t="s">
        <v>287</v>
      </c>
      <c r="E3" s="423" t="s">
        <v>288</v>
      </c>
      <c r="F3" s="415" t="s">
        <v>289</v>
      </c>
      <c r="G3" s="424" t="s">
        <v>570</v>
      </c>
      <c r="H3" s="797" t="s">
        <v>571</v>
      </c>
      <c r="I3" s="797" t="s">
        <v>262</v>
      </c>
      <c r="J3" s="589" t="s">
        <v>572</v>
      </c>
      <c r="K3" s="589" t="s">
        <v>573</v>
      </c>
    </row>
    <row r="4" spans="1:11" x14ac:dyDescent="0.3">
      <c r="A4" s="413">
        <v>999</v>
      </c>
      <c r="B4" s="418" t="s">
        <v>8</v>
      </c>
      <c r="C4" s="556"/>
      <c r="D4" s="592">
        <f t="shared" ref="D4:K4" si="0">SUM(D5:D124)</f>
        <v>21925103.000000004</v>
      </c>
      <c r="E4" s="593">
        <f t="shared" si="0"/>
        <v>0</v>
      </c>
      <c r="F4" s="594">
        <f t="shared" si="0"/>
        <v>21925103.000000004</v>
      </c>
      <c r="G4" s="595">
        <f t="shared" si="0"/>
        <v>581362.80999999994</v>
      </c>
      <c r="H4" s="595">
        <f t="shared" si="0"/>
        <v>29689662.799999993</v>
      </c>
      <c r="I4" s="595">
        <f t="shared" si="0"/>
        <v>74121231.610000014</v>
      </c>
      <c r="J4" s="594">
        <f t="shared" si="0"/>
        <v>30271025.609999999</v>
      </c>
      <c r="K4" s="594">
        <f t="shared" si="0"/>
        <v>52196128.609999999</v>
      </c>
    </row>
    <row r="5" spans="1:11" ht="15" customHeight="1" x14ac:dyDescent="0.3">
      <c r="A5" s="414" t="s">
        <v>9</v>
      </c>
      <c r="B5" s="419" t="s">
        <v>10</v>
      </c>
      <c r="C5" s="557" t="s">
        <v>251</v>
      </c>
      <c r="D5" s="596">
        <v>55720.99</v>
      </c>
      <c r="E5" s="596">
        <v>0</v>
      </c>
      <c r="F5" s="596">
        <v>55720.99</v>
      </c>
      <c r="G5" s="598">
        <v>0</v>
      </c>
      <c r="H5" s="598">
        <v>75454.01999999999</v>
      </c>
      <c r="I5" s="798">
        <f t="shared" ref="I5:I36" si="1">SUM(D5:H5)</f>
        <v>186896</v>
      </c>
      <c r="J5" s="597">
        <f t="shared" ref="J5:J36" si="2">G5+H5</f>
        <v>75454.01999999999</v>
      </c>
      <c r="K5" s="798">
        <f t="shared" ref="K5:K36" si="3">F5+J5</f>
        <v>131175.00999999998</v>
      </c>
    </row>
    <row r="6" spans="1:11" ht="15" customHeight="1" x14ac:dyDescent="0.3">
      <c r="A6" s="414" t="s">
        <v>11</v>
      </c>
      <c r="B6" s="419" t="s">
        <v>12</v>
      </c>
      <c r="C6" s="557" t="s">
        <v>252</v>
      </c>
      <c r="D6" s="596">
        <v>496896.35</v>
      </c>
      <c r="E6" s="596">
        <v>0</v>
      </c>
      <c r="F6" s="596">
        <v>496896.35</v>
      </c>
      <c r="G6" s="598">
        <v>40615.54</v>
      </c>
      <c r="H6" s="598">
        <v>672867.3</v>
      </c>
      <c r="I6" s="798">
        <f t="shared" si="1"/>
        <v>1707275.54</v>
      </c>
      <c r="J6" s="597">
        <f t="shared" si="2"/>
        <v>713482.84000000008</v>
      </c>
      <c r="K6" s="798">
        <f t="shared" si="3"/>
        <v>1210379.19</v>
      </c>
    </row>
    <row r="7" spans="1:11" ht="15" customHeight="1" x14ac:dyDescent="0.3">
      <c r="A7" s="414" t="s">
        <v>15</v>
      </c>
      <c r="B7" s="419" t="s">
        <v>273</v>
      </c>
      <c r="C7" s="557" t="s">
        <v>252</v>
      </c>
      <c r="D7" s="596">
        <v>79557.5</v>
      </c>
      <c r="E7" s="596">
        <v>0</v>
      </c>
      <c r="F7" s="596">
        <v>79557.5</v>
      </c>
      <c r="G7" s="598">
        <v>0</v>
      </c>
      <c r="H7" s="598">
        <v>107732</v>
      </c>
      <c r="I7" s="798">
        <f t="shared" si="1"/>
        <v>266847</v>
      </c>
      <c r="J7" s="597">
        <f t="shared" si="2"/>
        <v>107732</v>
      </c>
      <c r="K7" s="798">
        <f t="shared" si="3"/>
        <v>187289.5</v>
      </c>
    </row>
    <row r="8" spans="1:11" ht="15" customHeight="1" x14ac:dyDescent="0.3">
      <c r="A8" s="414" t="s">
        <v>17</v>
      </c>
      <c r="B8" s="419" t="s">
        <v>18</v>
      </c>
      <c r="C8" s="557" t="s">
        <v>253</v>
      </c>
      <c r="D8" s="596">
        <v>55898.98</v>
      </c>
      <c r="E8" s="596">
        <v>0</v>
      </c>
      <c r="F8" s="596">
        <v>55898.98</v>
      </c>
      <c r="G8" s="598">
        <v>0</v>
      </c>
      <c r="H8" s="598">
        <v>75695.040000000008</v>
      </c>
      <c r="I8" s="798">
        <f t="shared" si="1"/>
        <v>187493</v>
      </c>
      <c r="J8" s="597">
        <f t="shared" si="2"/>
        <v>75695.040000000008</v>
      </c>
      <c r="K8" s="798">
        <f t="shared" si="3"/>
        <v>131594.02000000002</v>
      </c>
    </row>
    <row r="9" spans="1:11" ht="15" customHeight="1" x14ac:dyDescent="0.3">
      <c r="A9" s="414" t="s">
        <v>19</v>
      </c>
      <c r="B9" s="419" t="s">
        <v>20</v>
      </c>
      <c r="C9" s="557" t="s">
        <v>252</v>
      </c>
      <c r="D9" s="596">
        <v>72082.25</v>
      </c>
      <c r="E9" s="596">
        <v>0</v>
      </c>
      <c r="F9" s="596">
        <v>72082.25</v>
      </c>
      <c r="G9" s="598">
        <v>0</v>
      </c>
      <c r="H9" s="598">
        <v>97609.5</v>
      </c>
      <c r="I9" s="798">
        <f t="shared" si="1"/>
        <v>241774</v>
      </c>
      <c r="J9" s="597">
        <f t="shared" si="2"/>
        <v>97609.5</v>
      </c>
      <c r="K9" s="798">
        <f t="shared" si="3"/>
        <v>169691.75</v>
      </c>
    </row>
    <row r="10" spans="1:11" ht="15" customHeight="1" x14ac:dyDescent="0.3">
      <c r="A10" s="414" t="s">
        <v>21</v>
      </c>
      <c r="B10" s="419" t="s">
        <v>22</v>
      </c>
      <c r="C10" s="557" t="s">
        <v>252</v>
      </c>
      <c r="D10" s="596">
        <v>38413.43</v>
      </c>
      <c r="E10" s="596">
        <v>0</v>
      </c>
      <c r="F10" s="596">
        <v>38413.43</v>
      </c>
      <c r="G10" s="598">
        <v>0</v>
      </c>
      <c r="H10" s="598">
        <v>52017.140000000014</v>
      </c>
      <c r="I10" s="798">
        <f t="shared" si="1"/>
        <v>128844.00000000001</v>
      </c>
      <c r="J10" s="597">
        <f t="shared" si="2"/>
        <v>52017.140000000014</v>
      </c>
      <c r="K10" s="798">
        <f t="shared" si="3"/>
        <v>90430.57</v>
      </c>
    </row>
    <row r="11" spans="1:11" ht="15" customHeight="1" x14ac:dyDescent="0.3">
      <c r="A11" s="414" t="s">
        <v>23</v>
      </c>
      <c r="B11" s="419" t="s">
        <v>24</v>
      </c>
      <c r="C11" s="557" t="s">
        <v>254</v>
      </c>
      <c r="D11" s="596">
        <v>1253874.25</v>
      </c>
      <c r="E11" s="596">
        <v>0</v>
      </c>
      <c r="F11" s="596">
        <v>1253874.25</v>
      </c>
      <c r="G11" s="598">
        <v>0</v>
      </c>
      <c r="H11" s="598">
        <v>1697921.5</v>
      </c>
      <c r="I11" s="798">
        <f t="shared" si="1"/>
        <v>4205670</v>
      </c>
      <c r="J11" s="597">
        <f t="shared" si="2"/>
        <v>1697921.5</v>
      </c>
      <c r="K11" s="798">
        <f t="shared" si="3"/>
        <v>2951795.75</v>
      </c>
    </row>
    <row r="12" spans="1:11" ht="15" customHeight="1" x14ac:dyDescent="0.3">
      <c r="A12" s="414" t="s">
        <v>25</v>
      </c>
      <c r="B12" s="419" t="s">
        <v>444</v>
      </c>
      <c r="C12" s="557" t="s">
        <v>252</v>
      </c>
      <c r="D12" s="596">
        <v>193007.14</v>
      </c>
      <c r="E12" s="596">
        <v>0</v>
      </c>
      <c r="F12" s="596">
        <v>193007.14</v>
      </c>
      <c r="G12" s="598">
        <v>6294.37</v>
      </c>
      <c r="H12" s="598">
        <v>261358.72000000003</v>
      </c>
      <c r="I12" s="798">
        <f t="shared" si="1"/>
        <v>653667.37000000011</v>
      </c>
      <c r="J12" s="597">
        <f t="shared" si="2"/>
        <v>267653.09000000003</v>
      </c>
      <c r="K12" s="798">
        <f t="shared" si="3"/>
        <v>460660.23000000004</v>
      </c>
    </row>
    <row r="13" spans="1:11" ht="15" customHeight="1" x14ac:dyDescent="0.3">
      <c r="A13" s="414" t="s">
        <v>26</v>
      </c>
      <c r="B13" s="419" t="s">
        <v>27</v>
      </c>
      <c r="C13" s="557" t="s">
        <v>252</v>
      </c>
      <c r="D13" s="596">
        <v>28689.02</v>
      </c>
      <c r="E13" s="596">
        <v>0</v>
      </c>
      <c r="F13" s="596">
        <v>28689.02</v>
      </c>
      <c r="G13" s="598">
        <v>0</v>
      </c>
      <c r="H13" s="598">
        <v>38848.959999999999</v>
      </c>
      <c r="I13" s="798">
        <f t="shared" si="1"/>
        <v>96227</v>
      </c>
      <c r="J13" s="597">
        <f t="shared" si="2"/>
        <v>38848.959999999999</v>
      </c>
      <c r="K13" s="798">
        <f t="shared" si="3"/>
        <v>67537.98</v>
      </c>
    </row>
    <row r="14" spans="1:11" ht="15" customHeight="1" x14ac:dyDescent="0.3">
      <c r="A14" s="414" t="s">
        <v>28</v>
      </c>
      <c r="B14" s="419" t="s">
        <v>568</v>
      </c>
      <c r="C14" s="557" t="s">
        <v>252</v>
      </c>
      <c r="D14" s="596">
        <v>84541.19</v>
      </c>
      <c r="E14" s="596">
        <v>0</v>
      </c>
      <c r="F14" s="596">
        <v>84541.19</v>
      </c>
      <c r="G14" s="598">
        <v>0</v>
      </c>
      <c r="H14" s="598">
        <v>114480.62000000002</v>
      </c>
      <c r="I14" s="798">
        <f t="shared" si="1"/>
        <v>283563</v>
      </c>
      <c r="J14" s="597">
        <f t="shared" si="2"/>
        <v>114480.62000000002</v>
      </c>
      <c r="K14" s="798">
        <f t="shared" si="3"/>
        <v>199021.81000000003</v>
      </c>
    </row>
    <row r="15" spans="1:11" ht="15" customHeight="1" x14ac:dyDescent="0.3">
      <c r="A15" s="414" t="s">
        <v>29</v>
      </c>
      <c r="B15" s="419" t="s">
        <v>30</v>
      </c>
      <c r="C15" s="557" t="s">
        <v>255</v>
      </c>
      <c r="D15" s="596">
        <v>51091.49</v>
      </c>
      <c r="E15" s="596">
        <v>0</v>
      </c>
      <c r="F15" s="596">
        <v>51091.49</v>
      </c>
      <c r="G15" s="598">
        <v>0</v>
      </c>
      <c r="H15" s="598">
        <v>69185.02</v>
      </c>
      <c r="I15" s="798">
        <f t="shared" si="1"/>
        <v>171368</v>
      </c>
      <c r="J15" s="597">
        <f t="shared" si="2"/>
        <v>69185.02</v>
      </c>
      <c r="K15" s="798">
        <f t="shared" si="3"/>
        <v>120276.51000000001</v>
      </c>
    </row>
    <row r="16" spans="1:11" ht="15" customHeight="1" x14ac:dyDescent="0.3">
      <c r="A16" s="414" t="s">
        <v>31</v>
      </c>
      <c r="B16" s="419" t="s">
        <v>32</v>
      </c>
      <c r="C16" s="557" t="s">
        <v>252</v>
      </c>
      <c r="D16" s="596">
        <v>29583.14</v>
      </c>
      <c r="E16" s="596">
        <v>0</v>
      </c>
      <c r="F16" s="596">
        <v>29583.14</v>
      </c>
      <c r="G16" s="598">
        <v>0</v>
      </c>
      <c r="H16" s="598">
        <v>40059.72</v>
      </c>
      <c r="I16" s="798">
        <f t="shared" si="1"/>
        <v>99226</v>
      </c>
      <c r="J16" s="597">
        <f t="shared" si="2"/>
        <v>40059.72</v>
      </c>
      <c r="K16" s="798">
        <f t="shared" si="3"/>
        <v>69642.86</v>
      </c>
    </row>
    <row r="17" spans="1:11" ht="15" customHeight="1" x14ac:dyDescent="0.3">
      <c r="A17" s="414" t="s">
        <v>35</v>
      </c>
      <c r="B17" s="419" t="s">
        <v>36</v>
      </c>
      <c r="C17" s="557" t="s">
        <v>251</v>
      </c>
      <c r="D17" s="596">
        <v>66057.47</v>
      </c>
      <c r="E17" s="596">
        <v>0</v>
      </c>
      <c r="F17" s="596">
        <v>66057.47</v>
      </c>
      <c r="G17" s="598">
        <v>0</v>
      </c>
      <c r="H17" s="598">
        <v>89451.06</v>
      </c>
      <c r="I17" s="798">
        <f t="shared" si="1"/>
        <v>221566</v>
      </c>
      <c r="J17" s="597">
        <f t="shared" si="2"/>
        <v>89451.06</v>
      </c>
      <c r="K17" s="798">
        <f t="shared" si="3"/>
        <v>155508.53</v>
      </c>
    </row>
    <row r="18" spans="1:11" ht="15" customHeight="1" x14ac:dyDescent="0.3">
      <c r="A18" s="414" t="s">
        <v>37</v>
      </c>
      <c r="B18" s="419" t="s">
        <v>38</v>
      </c>
      <c r="C18" s="557" t="s">
        <v>255</v>
      </c>
      <c r="D18" s="596">
        <v>84070.13</v>
      </c>
      <c r="E18" s="596">
        <v>0</v>
      </c>
      <c r="F18" s="596">
        <v>84070.13</v>
      </c>
      <c r="G18" s="598">
        <v>0</v>
      </c>
      <c r="H18" s="598">
        <v>113842.74000000002</v>
      </c>
      <c r="I18" s="798">
        <f t="shared" si="1"/>
        <v>281983</v>
      </c>
      <c r="J18" s="597">
        <f t="shared" si="2"/>
        <v>113842.74000000002</v>
      </c>
      <c r="K18" s="798">
        <f t="shared" si="3"/>
        <v>197912.87000000002</v>
      </c>
    </row>
    <row r="19" spans="1:11" ht="15" customHeight="1" x14ac:dyDescent="0.3">
      <c r="A19" s="414" t="s">
        <v>39</v>
      </c>
      <c r="B19" s="419" t="s">
        <v>40</v>
      </c>
      <c r="C19" s="557" t="s">
        <v>253</v>
      </c>
      <c r="D19" s="596">
        <v>74636.41</v>
      </c>
      <c r="E19" s="596">
        <v>0</v>
      </c>
      <c r="F19" s="596">
        <v>74636.41</v>
      </c>
      <c r="G19" s="598">
        <v>0</v>
      </c>
      <c r="H19" s="598">
        <v>101068.18000000002</v>
      </c>
      <c r="I19" s="798">
        <f t="shared" si="1"/>
        <v>250341.00000000003</v>
      </c>
      <c r="J19" s="597">
        <f t="shared" si="2"/>
        <v>101068.18000000002</v>
      </c>
      <c r="K19" s="798">
        <f t="shared" si="3"/>
        <v>175704.59000000003</v>
      </c>
    </row>
    <row r="20" spans="1:11" ht="15" customHeight="1" x14ac:dyDescent="0.3">
      <c r="A20" s="414" t="s">
        <v>41</v>
      </c>
      <c r="B20" s="419" t="s">
        <v>42</v>
      </c>
      <c r="C20" s="557" t="s">
        <v>252</v>
      </c>
      <c r="D20" s="596">
        <v>180406.59</v>
      </c>
      <c r="E20" s="596">
        <v>0</v>
      </c>
      <c r="F20" s="596">
        <v>180406.59</v>
      </c>
      <c r="G20" s="598">
        <v>12194.47</v>
      </c>
      <c r="H20" s="598">
        <v>244295.82</v>
      </c>
      <c r="I20" s="798">
        <f t="shared" si="1"/>
        <v>617303.47</v>
      </c>
      <c r="J20" s="597">
        <f t="shared" si="2"/>
        <v>256490.29</v>
      </c>
      <c r="K20" s="798">
        <f t="shared" si="3"/>
        <v>436896.88</v>
      </c>
    </row>
    <row r="21" spans="1:11" ht="15" customHeight="1" x14ac:dyDescent="0.3">
      <c r="A21" s="414" t="s">
        <v>43</v>
      </c>
      <c r="B21" s="419" t="s">
        <v>44</v>
      </c>
      <c r="C21" s="557" t="s">
        <v>253</v>
      </c>
      <c r="D21" s="596">
        <v>88336.5</v>
      </c>
      <c r="E21" s="596">
        <v>0</v>
      </c>
      <c r="F21" s="596">
        <v>88336.5</v>
      </c>
      <c r="G21" s="598">
        <v>22.35</v>
      </c>
      <c r="H21" s="598">
        <v>119620</v>
      </c>
      <c r="I21" s="798">
        <f t="shared" si="1"/>
        <v>296315.34999999998</v>
      </c>
      <c r="J21" s="597">
        <f t="shared" si="2"/>
        <v>119642.35</v>
      </c>
      <c r="K21" s="798">
        <f t="shared" si="3"/>
        <v>207978.85</v>
      </c>
    </row>
    <row r="22" spans="1:11" ht="15" customHeight="1" x14ac:dyDescent="0.3">
      <c r="A22" s="414" t="s">
        <v>45</v>
      </c>
      <c r="B22" s="419" t="s">
        <v>46</v>
      </c>
      <c r="C22" s="557" t="s">
        <v>255</v>
      </c>
      <c r="D22" s="596">
        <v>81020.17</v>
      </c>
      <c r="E22" s="596">
        <v>0</v>
      </c>
      <c r="F22" s="596">
        <v>81020.17</v>
      </c>
      <c r="G22" s="598">
        <v>0</v>
      </c>
      <c r="H22" s="598">
        <v>109712.66</v>
      </c>
      <c r="I22" s="798">
        <f t="shared" si="1"/>
        <v>271753</v>
      </c>
      <c r="J22" s="597">
        <f t="shared" si="2"/>
        <v>109712.66</v>
      </c>
      <c r="K22" s="798">
        <f t="shared" si="3"/>
        <v>190732.83000000002</v>
      </c>
    </row>
    <row r="23" spans="1:11" ht="15" customHeight="1" x14ac:dyDescent="0.3">
      <c r="A23" s="414" t="s">
        <v>47</v>
      </c>
      <c r="B23" s="419" t="s">
        <v>256</v>
      </c>
      <c r="C23" s="557" t="s">
        <v>253</v>
      </c>
      <c r="D23" s="596">
        <v>66004.11</v>
      </c>
      <c r="E23" s="596">
        <v>0</v>
      </c>
      <c r="F23" s="596">
        <v>66004.11</v>
      </c>
      <c r="G23" s="598">
        <v>0</v>
      </c>
      <c r="H23" s="598">
        <v>89378.78</v>
      </c>
      <c r="I23" s="798">
        <f t="shared" si="1"/>
        <v>221387</v>
      </c>
      <c r="J23" s="597">
        <f t="shared" si="2"/>
        <v>89378.78</v>
      </c>
      <c r="K23" s="798">
        <f t="shared" si="3"/>
        <v>155382.89000000001</v>
      </c>
    </row>
    <row r="24" spans="1:11" ht="15" customHeight="1" x14ac:dyDescent="0.3">
      <c r="A24" s="414" t="s">
        <v>49</v>
      </c>
      <c r="B24" s="419" t="s">
        <v>50</v>
      </c>
      <c r="C24" s="557" t="s">
        <v>252</v>
      </c>
      <c r="D24" s="596">
        <v>43245.95</v>
      </c>
      <c r="E24" s="596">
        <v>0</v>
      </c>
      <c r="F24" s="596">
        <v>43245.95</v>
      </c>
      <c r="G24" s="598">
        <v>0</v>
      </c>
      <c r="H24" s="598">
        <v>58561.099999999991</v>
      </c>
      <c r="I24" s="798">
        <f t="shared" si="1"/>
        <v>145053</v>
      </c>
      <c r="J24" s="597">
        <f t="shared" si="2"/>
        <v>58561.099999999991</v>
      </c>
      <c r="K24" s="798">
        <f t="shared" si="3"/>
        <v>101807.04999999999</v>
      </c>
    </row>
    <row r="25" spans="1:11" ht="15" customHeight="1" x14ac:dyDescent="0.3">
      <c r="A25" s="414" t="s">
        <v>55</v>
      </c>
      <c r="B25" s="419" t="s">
        <v>271</v>
      </c>
      <c r="C25" s="557" t="s">
        <v>253</v>
      </c>
      <c r="D25" s="596">
        <v>630870.46</v>
      </c>
      <c r="E25" s="596">
        <v>0</v>
      </c>
      <c r="F25" s="596">
        <v>630870.46</v>
      </c>
      <c r="G25" s="598">
        <v>96577.75</v>
      </c>
      <c r="H25" s="598">
        <v>854287.08000000007</v>
      </c>
      <c r="I25" s="798">
        <f t="shared" si="1"/>
        <v>2212605.75</v>
      </c>
      <c r="J25" s="597">
        <f t="shared" si="2"/>
        <v>950864.83000000007</v>
      </c>
      <c r="K25" s="798">
        <f t="shared" si="3"/>
        <v>1581735.29</v>
      </c>
    </row>
    <row r="26" spans="1:11" ht="15" customHeight="1" x14ac:dyDescent="0.3">
      <c r="A26" s="414" t="s">
        <v>57</v>
      </c>
      <c r="B26" s="419" t="s">
        <v>58</v>
      </c>
      <c r="C26" s="557" t="s">
        <v>254</v>
      </c>
      <c r="D26" s="596">
        <v>45302.52</v>
      </c>
      <c r="E26" s="596">
        <v>0</v>
      </c>
      <c r="F26" s="596">
        <v>45302.52</v>
      </c>
      <c r="G26" s="598">
        <v>0</v>
      </c>
      <c r="H26" s="598">
        <v>61345.960000000006</v>
      </c>
      <c r="I26" s="798">
        <f t="shared" si="1"/>
        <v>151951</v>
      </c>
      <c r="J26" s="597">
        <f t="shared" si="2"/>
        <v>61345.960000000006</v>
      </c>
      <c r="K26" s="798">
        <f t="shared" si="3"/>
        <v>106648.48000000001</v>
      </c>
    </row>
    <row r="27" spans="1:11" ht="15" customHeight="1" x14ac:dyDescent="0.3">
      <c r="A27" s="414" t="s">
        <v>59</v>
      </c>
      <c r="B27" s="419" t="s">
        <v>60</v>
      </c>
      <c r="C27" s="557" t="s">
        <v>252</v>
      </c>
      <c r="D27" s="596">
        <v>21648.18</v>
      </c>
      <c r="E27" s="596">
        <v>0</v>
      </c>
      <c r="F27" s="596">
        <v>21648.18</v>
      </c>
      <c r="G27" s="598">
        <v>0</v>
      </c>
      <c r="H27" s="598">
        <v>29314.639999999999</v>
      </c>
      <c r="I27" s="798">
        <f t="shared" si="1"/>
        <v>72611</v>
      </c>
      <c r="J27" s="597">
        <f t="shared" si="2"/>
        <v>29314.639999999999</v>
      </c>
      <c r="K27" s="798">
        <f t="shared" si="3"/>
        <v>50962.82</v>
      </c>
    </row>
    <row r="28" spans="1:11" ht="15" customHeight="1" x14ac:dyDescent="0.3">
      <c r="A28" s="414" t="s">
        <v>61</v>
      </c>
      <c r="B28" s="419" t="s">
        <v>62</v>
      </c>
      <c r="C28" s="557" t="s">
        <v>254</v>
      </c>
      <c r="D28" s="596">
        <v>82393.990000000005</v>
      </c>
      <c r="E28" s="596">
        <v>0</v>
      </c>
      <c r="F28" s="596">
        <v>82393.990000000005</v>
      </c>
      <c r="G28" s="598">
        <v>0</v>
      </c>
      <c r="H28" s="598">
        <v>111573.01999999999</v>
      </c>
      <c r="I28" s="798">
        <f t="shared" si="1"/>
        <v>276361</v>
      </c>
      <c r="J28" s="597">
        <f t="shared" si="2"/>
        <v>111573.01999999999</v>
      </c>
      <c r="K28" s="798">
        <f t="shared" si="3"/>
        <v>193967.01</v>
      </c>
    </row>
    <row r="29" spans="1:11" ht="15" customHeight="1" x14ac:dyDescent="0.3">
      <c r="A29" s="414" t="s">
        <v>63</v>
      </c>
      <c r="B29" s="419" t="s">
        <v>64</v>
      </c>
      <c r="C29" s="557" t="s">
        <v>253</v>
      </c>
      <c r="D29" s="596"/>
      <c r="E29" s="596"/>
      <c r="F29" s="596"/>
      <c r="G29" s="598"/>
      <c r="H29" s="598"/>
      <c r="I29" s="798">
        <f t="shared" si="1"/>
        <v>0</v>
      </c>
      <c r="J29" s="597">
        <f t="shared" si="2"/>
        <v>0</v>
      </c>
      <c r="K29" s="798">
        <f t="shared" si="3"/>
        <v>0</v>
      </c>
    </row>
    <row r="30" spans="1:11" ht="15" customHeight="1" x14ac:dyDescent="0.3">
      <c r="A30" s="414" t="s">
        <v>67</v>
      </c>
      <c r="B30" s="419" t="s">
        <v>68</v>
      </c>
      <c r="C30" s="557" t="s">
        <v>255</v>
      </c>
      <c r="D30" s="596">
        <v>82870.42</v>
      </c>
      <c r="E30" s="596">
        <v>0</v>
      </c>
      <c r="F30" s="596">
        <v>82870.42</v>
      </c>
      <c r="G30" s="598">
        <v>0</v>
      </c>
      <c r="H30" s="598">
        <v>112218.16</v>
      </c>
      <c r="I30" s="798">
        <f t="shared" si="1"/>
        <v>277959</v>
      </c>
      <c r="J30" s="597">
        <f t="shared" si="2"/>
        <v>112218.16</v>
      </c>
      <c r="K30" s="798">
        <f t="shared" si="3"/>
        <v>195088.58000000002</v>
      </c>
    </row>
    <row r="31" spans="1:11" ht="15" customHeight="1" x14ac:dyDescent="0.3">
      <c r="A31" s="414" t="s">
        <v>69</v>
      </c>
      <c r="B31" s="419" t="s">
        <v>70</v>
      </c>
      <c r="C31" s="557" t="s">
        <v>251</v>
      </c>
      <c r="D31" s="596">
        <v>39685.29</v>
      </c>
      <c r="E31" s="596">
        <v>0</v>
      </c>
      <c r="F31" s="596">
        <v>39685.29</v>
      </c>
      <c r="G31" s="598">
        <v>0</v>
      </c>
      <c r="H31" s="598">
        <v>53739.42</v>
      </c>
      <c r="I31" s="798">
        <f t="shared" si="1"/>
        <v>133110</v>
      </c>
      <c r="J31" s="597">
        <f t="shared" si="2"/>
        <v>53739.42</v>
      </c>
      <c r="K31" s="798">
        <f t="shared" si="3"/>
        <v>93424.709999999992</v>
      </c>
    </row>
    <row r="32" spans="1:11" ht="15" customHeight="1" x14ac:dyDescent="0.3">
      <c r="A32" s="414" t="s">
        <v>71</v>
      </c>
      <c r="B32" s="419" t="s">
        <v>72</v>
      </c>
      <c r="C32" s="557" t="s">
        <v>253</v>
      </c>
      <c r="D32" s="596">
        <v>30806.41</v>
      </c>
      <c r="E32" s="596">
        <v>0</v>
      </c>
      <c r="F32" s="596">
        <v>30806.41</v>
      </c>
      <c r="G32" s="598">
        <v>0</v>
      </c>
      <c r="H32" s="598">
        <v>41716.18</v>
      </c>
      <c r="I32" s="798">
        <f t="shared" si="1"/>
        <v>103329</v>
      </c>
      <c r="J32" s="597">
        <f t="shared" si="2"/>
        <v>41716.18</v>
      </c>
      <c r="K32" s="798">
        <f t="shared" si="3"/>
        <v>72522.59</v>
      </c>
    </row>
    <row r="33" spans="1:11" ht="15" customHeight="1" x14ac:dyDescent="0.3">
      <c r="A33" s="414" t="s">
        <v>73</v>
      </c>
      <c r="B33" s="419" t="s">
        <v>277</v>
      </c>
      <c r="C33" s="557" t="s">
        <v>254</v>
      </c>
      <c r="D33" s="596">
        <v>1686966.77</v>
      </c>
      <c r="E33" s="596">
        <v>0</v>
      </c>
      <c r="F33" s="596">
        <v>1686966.77</v>
      </c>
      <c r="G33" s="598">
        <v>0</v>
      </c>
      <c r="H33" s="598">
        <v>2284389.5099999998</v>
      </c>
      <c r="I33" s="798">
        <f t="shared" si="1"/>
        <v>5658323.0499999998</v>
      </c>
      <c r="J33" s="597">
        <f t="shared" si="2"/>
        <v>2284389.5099999998</v>
      </c>
      <c r="K33" s="798">
        <f t="shared" si="3"/>
        <v>3971356.28</v>
      </c>
    </row>
    <row r="34" spans="1:11" ht="15" customHeight="1" x14ac:dyDescent="0.3">
      <c r="A34" s="414" t="s">
        <v>75</v>
      </c>
      <c r="B34" s="419" t="s">
        <v>76</v>
      </c>
      <c r="C34" s="557" t="s">
        <v>254</v>
      </c>
      <c r="D34" s="596">
        <v>72276.06</v>
      </c>
      <c r="E34" s="596">
        <v>0</v>
      </c>
      <c r="F34" s="596">
        <v>72276.06</v>
      </c>
      <c r="G34" s="598">
        <v>37371.360000000001</v>
      </c>
      <c r="H34" s="598">
        <v>97871.88</v>
      </c>
      <c r="I34" s="798">
        <f t="shared" si="1"/>
        <v>279795.36</v>
      </c>
      <c r="J34" s="597">
        <f t="shared" si="2"/>
        <v>135243.24</v>
      </c>
      <c r="K34" s="798">
        <f t="shared" si="3"/>
        <v>207519.3</v>
      </c>
    </row>
    <row r="35" spans="1:11" ht="15" customHeight="1" x14ac:dyDescent="0.3">
      <c r="A35" s="414" t="s">
        <v>77</v>
      </c>
      <c r="B35" s="419" t="s">
        <v>78</v>
      </c>
      <c r="C35" s="557" t="s">
        <v>255</v>
      </c>
      <c r="D35" s="596">
        <v>35135.68</v>
      </c>
      <c r="E35" s="596">
        <v>0</v>
      </c>
      <c r="F35" s="596">
        <v>35135.68</v>
      </c>
      <c r="G35" s="598">
        <v>0</v>
      </c>
      <c r="H35" s="598">
        <v>47578.64</v>
      </c>
      <c r="I35" s="798">
        <f t="shared" si="1"/>
        <v>117850</v>
      </c>
      <c r="J35" s="597">
        <f t="shared" si="2"/>
        <v>47578.64</v>
      </c>
      <c r="K35" s="798">
        <f t="shared" si="3"/>
        <v>82714.320000000007</v>
      </c>
    </row>
    <row r="36" spans="1:11" ht="15" customHeight="1" x14ac:dyDescent="0.3">
      <c r="A36" s="414" t="s">
        <v>79</v>
      </c>
      <c r="B36" s="419" t="s">
        <v>80</v>
      </c>
      <c r="C36" s="557" t="s">
        <v>253</v>
      </c>
      <c r="D36" s="596">
        <v>110271.49</v>
      </c>
      <c r="E36" s="596">
        <v>0</v>
      </c>
      <c r="F36" s="596">
        <v>110271.49</v>
      </c>
      <c r="G36" s="598">
        <v>0</v>
      </c>
      <c r="H36" s="598">
        <v>149323.02000000002</v>
      </c>
      <c r="I36" s="798">
        <f t="shared" si="1"/>
        <v>369866</v>
      </c>
      <c r="J36" s="597">
        <f t="shared" si="2"/>
        <v>149323.02000000002</v>
      </c>
      <c r="K36" s="798">
        <f t="shared" si="3"/>
        <v>259594.51</v>
      </c>
    </row>
    <row r="37" spans="1:11" ht="15" customHeight="1" x14ac:dyDescent="0.3">
      <c r="A37" s="414" t="s">
        <v>83</v>
      </c>
      <c r="B37" s="419" t="s">
        <v>281</v>
      </c>
      <c r="C37" s="557" t="s">
        <v>252</v>
      </c>
      <c r="D37" s="596">
        <v>123962.91</v>
      </c>
      <c r="E37" s="596">
        <v>0</v>
      </c>
      <c r="F37" s="596">
        <v>123962.91</v>
      </c>
      <c r="G37" s="598">
        <v>0</v>
      </c>
      <c r="H37" s="598">
        <v>167863.18000000002</v>
      </c>
      <c r="I37" s="798">
        <f t="shared" ref="I37:I68" si="4">SUM(D37:H37)</f>
        <v>415789</v>
      </c>
      <c r="J37" s="597">
        <f t="shared" ref="J37:J68" si="5">G37+H37</f>
        <v>167863.18000000002</v>
      </c>
      <c r="K37" s="798">
        <f t="shared" ref="K37:K68" si="6">F37+J37</f>
        <v>291826.09000000003</v>
      </c>
    </row>
    <row r="38" spans="1:11" ht="15" customHeight="1" x14ac:dyDescent="0.3">
      <c r="A38" s="414" t="s">
        <v>85</v>
      </c>
      <c r="B38" s="419" t="s">
        <v>86</v>
      </c>
      <c r="C38" s="557" t="s">
        <v>254</v>
      </c>
      <c r="D38" s="596">
        <v>169564.17</v>
      </c>
      <c r="E38" s="596">
        <v>0</v>
      </c>
      <c r="F38" s="596">
        <v>169564.17</v>
      </c>
      <c r="G38" s="598">
        <v>0</v>
      </c>
      <c r="H38" s="598">
        <v>229613.66000000003</v>
      </c>
      <c r="I38" s="798">
        <f t="shared" si="4"/>
        <v>568742</v>
      </c>
      <c r="J38" s="597">
        <f t="shared" si="5"/>
        <v>229613.66000000003</v>
      </c>
      <c r="K38" s="798">
        <f t="shared" si="6"/>
        <v>399177.83000000007</v>
      </c>
    </row>
    <row r="39" spans="1:11" ht="15" customHeight="1" x14ac:dyDescent="0.3">
      <c r="A39" s="414" t="s">
        <v>91</v>
      </c>
      <c r="B39" s="419" t="s">
        <v>92</v>
      </c>
      <c r="C39" s="557" t="s">
        <v>255</v>
      </c>
      <c r="D39" s="596">
        <v>35487.19</v>
      </c>
      <c r="E39" s="596">
        <v>0</v>
      </c>
      <c r="F39" s="596">
        <v>35487.19</v>
      </c>
      <c r="G39" s="598">
        <v>0</v>
      </c>
      <c r="H39" s="598">
        <v>48054.619999999995</v>
      </c>
      <c r="I39" s="798">
        <f t="shared" si="4"/>
        <v>119029</v>
      </c>
      <c r="J39" s="597">
        <f t="shared" si="5"/>
        <v>48054.619999999995</v>
      </c>
      <c r="K39" s="798">
        <f t="shared" si="6"/>
        <v>83541.81</v>
      </c>
    </row>
    <row r="40" spans="1:11" ht="15" customHeight="1" x14ac:dyDescent="0.3">
      <c r="A40" s="414" t="s">
        <v>93</v>
      </c>
      <c r="B40" s="419" t="s">
        <v>94</v>
      </c>
      <c r="C40" s="557" t="s">
        <v>251</v>
      </c>
      <c r="D40" s="596">
        <v>127573.39</v>
      </c>
      <c r="E40" s="596">
        <v>0</v>
      </c>
      <c r="F40" s="596">
        <v>127573.39</v>
      </c>
      <c r="G40" s="598">
        <v>2594.86</v>
      </c>
      <c r="H40" s="598">
        <v>172752.22000000003</v>
      </c>
      <c r="I40" s="798">
        <f t="shared" si="4"/>
        <v>430493.86</v>
      </c>
      <c r="J40" s="597">
        <f t="shared" si="5"/>
        <v>175347.08000000002</v>
      </c>
      <c r="K40" s="798">
        <f t="shared" si="6"/>
        <v>302920.47000000003</v>
      </c>
    </row>
    <row r="41" spans="1:11" ht="15" customHeight="1" x14ac:dyDescent="0.3">
      <c r="A41" s="414" t="s">
        <v>95</v>
      </c>
      <c r="B41" s="419" t="s">
        <v>96</v>
      </c>
      <c r="C41" s="557" t="s">
        <v>253</v>
      </c>
      <c r="D41" s="596">
        <v>104324.81</v>
      </c>
      <c r="E41" s="596">
        <v>0</v>
      </c>
      <c r="F41" s="596">
        <v>104324.81</v>
      </c>
      <c r="G41" s="598">
        <v>9034.35</v>
      </c>
      <c r="H41" s="598">
        <v>141270.38</v>
      </c>
      <c r="I41" s="798">
        <f t="shared" si="4"/>
        <v>358954.35</v>
      </c>
      <c r="J41" s="597">
        <f t="shared" si="5"/>
        <v>150304.73000000001</v>
      </c>
      <c r="K41" s="798">
        <f t="shared" si="6"/>
        <v>254629.54</v>
      </c>
    </row>
    <row r="42" spans="1:11" ht="15" customHeight="1" x14ac:dyDescent="0.3">
      <c r="A42" s="414" t="s">
        <v>97</v>
      </c>
      <c r="B42" s="419" t="s">
        <v>98</v>
      </c>
      <c r="C42" s="557" t="s">
        <v>255</v>
      </c>
      <c r="D42" s="596">
        <v>90589.82</v>
      </c>
      <c r="E42" s="596">
        <v>0</v>
      </c>
      <c r="F42" s="596">
        <v>90589.82</v>
      </c>
      <c r="G42" s="598">
        <v>0</v>
      </c>
      <c r="H42" s="598">
        <v>122671.35999999999</v>
      </c>
      <c r="I42" s="798">
        <f t="shared" si="4"/>
        <v>303851</v>
      </c>
      <c r="J42" s="597">
        <f t="shared" si="5"/>
        <v>122671.35999999999</v>
      </c>
      <c r="K42" s="798">
        <f t="shared" si="6"/>
        <v>213261.18</v>
      </c>
    </row>
    <row r="43" spans="1:11" ht="15" customHeight="1" x14ac:dyDescent="0.3">
      <c r="A43" s="414" t="s">
        <v>99</v>
      </c>
      <c r="B43" s="419" t="s">
        <v>100</v>
      </c>
      <c r="C43" s="557" t="s">
        <v>254</v>
      </c>
      <c r="D43" s="596">
        <v>33928.22</v>
      </c>
      <c r="E43" s="596">
        <v>0</v>
      </c>
      <c r="F43" s="596">
        <v>33928.22</v>
      </c>
      <c r="G43" s="598">
        <v>0</v>
      </c>
      <c r="H43" s="598">
        <v>45943.56</v>
      </c>
      <c r="I43" s="798">
        <f t="shared" si="4"/>
        <v>113800</v>
      </c>
      <c r="J43" s="597">
        <f t="shared" si="5"/>
        <v>45943.56</v>
      </c>
      <c r="K43" s="798">
        <f t="shared" si="6"/>
        <v>79871.78</v>
      </c>
    </row>
    <row r="44" spans="1:11" ht="15" customHeight="1" x14ac:dyDescent="0.3">
      <c r="A44" s="414" t="s">
        <v>101</v>
      </c>
      <c r="B44" s="419" t="s">
        <v>102</v>
      </c>
      <c r="C44" s="557" t="s">
        <v>251</v>
      </c>
      <c r="D44" s="596">
        <v>59433.11</v>
      </c>
      <c r="E44" s="596">
        <v>0</v>
      </c>
      <c r="F44" s="596">
        <v>59433.11</v>
      </c>
      <c r="G44" s="598">
        <v>0</v>
      </c>
      <c r="H44" s="598">
        <v>80480.78</v>
      </c>
      <c r="I44" s="798">
        <f t="shared" si="4"/>
        <v>199347</v>
      </c>
      <c r="J44" s="597">
        <f t="shared" si="5"/>
        <v>80480.78</v>
      </c>
      <c r="K44" s="798">
        <f t="shared" si="6"/>
        <v>139913.89000000001</v>
      </c>
    </row>
    <row r="45" spans="1:11" ht="15" customHeight="1" x14ac:dyDescent="0.3">
      <c r="A45" s="414" t="s">
        <v>103</v>
      </c>
      <c r="B45" s="419" t="s">
        <v>282</v>
      </c>
      <c r="C45" s="557" t="s">
        <v>252</v>
      </c>
      <c r="D45" s="596">
        <v>122162.16</v>
      </c>
      <c r="E45" s="596">
        <v>0</v>
      </c>
      <c r="F45" s="596">
        <v>122162.16</v>
      </c>
      <c r="G45" s="598">
        <v>0</v>
      </c>
      <c r="H45" s="598">
        <v>165424.68000000002</v>
      </c>
      <c r="I45" s="798">
        <f t="shared" si="4"/>
        <v>409749</v>
      </c>
      <c r="J45" s="597">
        <f t="shared" si="5"/>
        <v>165424.68000000002</v>
      </c>
      <c r="K45" s="798">
        <f t="shared" si="6"/>
        <v>287586.84000000003</v>
      </c>
    </row>
    <row r="46" spans="1:11" ht="15" customHeight="1" x14ac:dyDescent="0.3">
      <c r="A46" s="414" t="s">
        <v>107</v>
      </c>
      <c r="B46" s="419" t="s">
        <v>108</v>
      </c>
      <c r="C46" s="557" t="s">
        <v>253</v>
      </c>
      <c r="D46" s="596">
        <v>218655.44</v>
      </c>
      <c r="E46" s="596">
        <v>0</v>
      </c>
      <c r="F46" s="596">
        <v>218655.44</v>
      </c>
      <c r="G46" s="598">
        <v>0</v>
      </c>
      <c r="H46" s="598">
        <v>296090.12</v>
      </c>
      <c r="I46" s="798">
        <f t="shared" si="4"/>
        <v>733401</v>
      </c>
      <c r="J46" s="597">
        <f t="shared" si="5"/>
        <v>296090.12</v>
      </c>
      <c r="K46" s="798">
        <f t="shared" si="6"/>
        <v>514745.56</v>
      </c>
    </row>
    <row r="47" spans="1:11" ht="15" customHeight="1" x14ac:dyDescent="0.3">
      <c r="A47" s="414" t="s">
        <v>109</v>
      </c>
      <c r="B47" s="419" t="s">
        <v>110</v>
      </c>
      <c r="C47" s="557" t="s">
        <v>253</v>
      </c>
      <c r="D47" s="596">
        <v>505787.15</v>
      </c>
      <c r="E47" s="596">
        <v>0</v>
      </c>
      <c r="F47" s="596">
        <v>505787.15</v>
      </c>
      <c r="G47" s="598">
        <v>59589.96</v>
      </c>
      <c r="H47" s="598">
        <v>684906.7</v>
      </c>
      <c r="I47" s="798">
        <f t="shared" si="4"/>
        <v>1756070.96</v>
      </c>
      <c r="J47" s="597">
        <f t="shared" si="5"/>
        <v>744496.65999999992</v>
      </c>
      <c r="K47" s="798">
        <f t="shared" si="6"/>
        <v>1250283.81</v>
      </c>
    </row>
    <row r="48" spans="1:11" ht="15" customHeight="1" x14ac:dyDescent="0.3">
      <c r="A48" s="414" t="s">
        <v>111</v>
      </c>
      <c r="B48" s="419" t="s">
        <v>275</v>
      </c>
      <c r="C48" s="557" t="s">
        <v>252</v>
      </c>
      <c r="D48" s="596">
        <v>27546.86</v>
      </c>
      <c r="E48" s="596">
        <v>0</v>
      </c>
      <c r="F48" s="596">
        <v>27546.86</v>
      </c>
      <c r="G48" s="598">
        <v>36544.17</v>
      </c>
      <c r="H48" s="598">
        <v>37302.28</v>
      </c>
      <c r="I48" s="798">
        <f t="shared" si="4"/>
        <v>128940.17</v>
      </c>
      <c r="J48" s="597">
        <f t="shared" si="5"/>
        <v>73846.45</v>
      </c>
      <c r="K48" s="798">
        <f t="shared" si="6"/>
        <v>101393.31</v>
      </c>
    </row>
    <row r="49" spans="1:11" ht="15" customHeight="1" x14ac:dyDescent="0.3">
      <c r="A49" s="414" t="s">
        <v>113</v>
      </c>
      <c r="B49" s="419" t="s">
        <v>114</v>
      </c>
      <c r="C49" s="557" t="s">
        <v>252</v>
      </c>
      <c r="D49" s="596">
        <v>23596.21</v>
      </c>
      <c r="E49" s="596">
        <v>0</v>
      </c>
      <c r="F49" s="596">
        <v>23596.21</v>
      </c>
      <c r="G49" s="598">
        <v>0</v>
      </c>
      <c r="H49" s="598">
        <v>31952.58</v>
      </c>
      <c r="I49" s="798">
        <f t="shared" si="4"/>
        <v>79145</v>
      </c>
      <c r="J49" s="597">
        <f t="shared" si="5"/>
        <v>31952.58</v>
      </c>
      <c r="K49" s="798">
        <f t="shared" si="6"/>
        <v>55548.79</v>
      </c>
    </row>
    <row r="50" spans="1:11" ht="15" customHeight="1" x14ac:dyDescent="0.3">
      <c r="A50" s="414" t="s">
        <v>117</v>
      </c>
      <c r="B50" s="419" t="s">
        <v>118</v>
      </c>
      <c r="C50" s="557" t="s">
        <v>251</v>
      </c>
      <c r="D50" s="596">
        <v>83984.56</v>
      </c>
      <c r="E50" s="596">
        <v>0</v>
      </c>
      <c r="F50" s="596">
        <v>83984.56</v>
      </c>
      <c r="G50" s="598">
        <v>0</v>
      </c>
      <c r="H50" s="598">
        <v>113726.88</v>
      </c>
      <c r="I50" s="798">
        <f t="shared" si="4"/>
        <v>281696</v>
      </c>
      <c r="J50" s="597">
        <f t="shared" si="5"/>
        <v>113726.88</v>
      </c>
      <c r="K50" s="798">
        <f t="shared" si="6"/>
        <v>197711.44</v>
      </c>
    </row>
    <row r="51" spans="1:11" ht="15" customHeight="1" x14ac:dyDescent="0.3">
      <c r="A51" s="414" t="s">
        <v>119</v>
      </c>
      <c r="B51" s="419" t="s">
        <v>120</v>
      </c>
      <c r="C51" s="557" t="s">
        <v>251</v>
      </c>
      <c r="D51" s="596">
        <v>241791.33</v>
      </c>
      <c r="E51" s="596">
        <v>0</v>
      </c>
      <c r="F51" s="596">
        <v>241791.33</v>
      </c>
      <c r="G51" s="598">
        <v>25393.3</v>
      </c>
      <c r="H51" s="598">
        <v>327419.34000000003</v>
      </c>
      <c r="I51" s="798">
        <f t="shared" si="4"/>
        <v>836395.3</v>
      </c>
      <c r="J51" s="597">
        <f t="shared" si="5"/>
        <v>352812.64</v>
      </c>
      <c r="K51" s="798">
        <f t="shared" si="6"/>
        <v>594603.97</v>
      </c>
    </row>
    <row r="52" spans="1:11" ht="15" customHeight="1" x14ac:dyDescent="0.3">
      <c r="A52" s="414" t="s">
        <v>121</v>
      </c>
      <c r="B52" s="419" t="s">
        <v>258</v>
      </c>
      <c r="C52" s="557" t="s">
        <v>253</v>
      </c>
      <c r="D52" s="596">
        <v>48348.31</v>
      </c>
      <c r="E52" s="596">
        <v>0</v>
      </c>
      <c r="F52" s="596">
        <v>48348.31</v>
      </c>
      <c r="G52" s="598">
        <v>0</v>
      </c>
      <c r="H52" s="598">
        <v>65470.380000000019</v>
      </c>
      <c r="I52" s="798">
        <f t="shared" si="4"/>
        <v>162167</v>
      </c>
      <c r="J52" s="597">
        <f t="shared" si="5"/>
        <v>65470.380000000019</v>
      </c>
      <c r="K52" s="798">
        <f t="shared" si="6"/>
        <v>113818.69000000002</v>
      </c>
    </row>
    <row r="53" spans="1:11" ht="15" customHeight="1" x14ac:dyDescent="0.3">
      <c r="A53" s="414" t="s">
        <v>123</v>
      </c>
      <c r="B53" s="419" t="s">
        <v>124</v>
      </c>
      <c r="C53" s="557" t="s">
        <v>254</v>
      </c>
      <c r="D53" s="596">
        <v>29786.77</v>
      </c>
      <c r="E53" s="596">
        <v>0</v>
      </c>
      <c r="F53" s="596">
        <v>29786.77</v>
      </c>
      <c r="G53" s="598">
        <v>0</v>
      </c>
      <c r="H53" s="598">
        <v>40335.46</v>
      </c>
      <c r="I53" s="798">
        <f t="shared" si="4"/>
        <v>99909</v>
      </c>
      <c r="J53" s="597">
        <f t="shared" si="5"/>
        <v>40335.46</v>
      </c>
      <c r="K53" s="798">
        <f t="shared" si="6"/>
        <v>70122.23</v>
      </c>
    </row>
    <row r="54" spans="1:11" ht="15" customHeight="1" x14ac:dyDescent="0.3">
      <c r="A54" s="414" t="s">
        <v>125</v>
      </c>
      <c r="B54" s="419" t="s">
        <v>126</v>
      </c>
      <c r="C54" s="557" t="s">
        <v>253</v>
      </c>
      <c r="D54" s="596">
        <v>34935.629999999997</v>
      </c>
      <c r="E54" s="596">
        <v>0</v>
      </c>
      <c r="F54" s="596">
        <v>34935.629999999997</v>
      </c>
      <c r="G54" s="598">
        <v>0</v>
      </c>
      <c r="H54" s="598">
        <v>47307.740000000005</v>
      </c>
      <c r="I54" s="798">
        <f t="shared" si="4"/>
        <v>117179</v>
      </c>
      <c r="J54" s="597">
        <f t="shared" si="5"/>
        <v>47307.740000000005</v>
      </c>
      <c r="K54" s="798">
        <f t="shared" si="6"/>
        <v>82243.37</v>
      </c>
    </row>
    <row r="55" spans="1:11" ht="15" customHeight="1" x14ac:dyDescent="0.3">
      <c r="A55" s="414" t="s">
        <v>127</v>
      </c>
      <c r="B55" s="419" t="s">
        <v>128</v>
      </c>
      <c r="C55" s="557" t="s">
        <v>253</v>
      </c>
      <c r="D55" s="596">
        <v>35206.94</v>
      </c>
      <c r="E55" s="596">
        <v>0</v>
      </c>
      <c r="F55" s="596">
        <v>35206.94</v>
      </c>
      <c r="G55" s="598">
        <v>32.659999999999997</v>
      </c>
      <c r="H55" s="598">
        <v>47675.12000000001</v>
      </c>
      <c r="I55" s="798">
        <f t="shared" si="4"/>
        <v>118121.66000000002</v>
      </c>
      <c r="J55" s="597">
        <f t="shared" si="5"/>
        <v>47707.780000000013</v>
      </c>
      <c r="K55" s="798">
        <f t="shared" si="6"/>
        <v>82914.720000000016</v>
      </c>
    </row>
    <row r="56" spans="1:11" ht="15" customHeight="1" x14ac:dyDescent="0.3">
      <c r="A56" s="414" t="s">
        <v>129</v>
      </c>
      <c r="B56" s="419" t="s">
        <v>130</v>
      </c>
      <c r="C56" s="557" t="s">
        <v>255</v>
      </c>
      <c r="D56" s="596">
        <v>72578.649999999994</v>
      </c>
      <c r="E56" s="596">
        <v>0</v>
      </c>
      <c r="F56" s="596">
        <v>72578.649999999994</v>
      </c>
      <c r="G56" s="598">
        <v>19365.599999999999</v>
      </c>
      <c r="H56" s="598">
        <v>98281.700000000012</v>
      </c>
      <c r="I56" s="798">
        <f t="shared" si="4"/>
        <v>262804.59999999998</v>
      </c>
      <c r="J56" s="597">
        <f t="shared" si="5"/>
        <v>117647.30000000002</v>
      </c>
      <c r="K56" s="798">
        <f t="shared" si="6"/>
        <v>190225.95</v>
      </c>
    </row>
    <row r="57" spans="1:11" ht="15" customHeight="1" x14ac:dyDescent="0.3">
      <c r="A57" s="414" t="s">
        <v>131</v>
      </c>
      <c r="B57" s="419" t="s">
        <v>132</v>
      </c>
      <c r="C57" s="557" t="s">
        <v>254</v>
      </c>
      <c r="D57" s="596">
        <v>877980.9</v>
      </c>
      <c r="E57" s="596">
        <v>0</v>
      </c>
      <c r="F57" s="596">
        <v>877980.9</v>
      </c>
      <c r="G57" s="598">
        <v>0</v>
      </c>
      <c r="H57" s="598">
        <v>1188909.2</v>
      </c>
      <c r="I57" s="798">
        <f t="shared" si="4"/>
        <v>2944871</v>
      </c>
      <c r="J57" s="597">
        <f t="shared" si="5"/>
        <v>1188909.2</v>
      </c>
      <c r="K57" s="798">
        <f t="shared" si="6"/>
        <v>2066890.1</v>
      </c>
    </row>
    <row r="58" spans="1:11" ht="15" customHeight="1" x14ac:dyDescent="0.3">
      <c r="A58" s="414" t="s">
        <v>133</v>
      </c>
      <c r="B58" s="419" t="s">
        <v>134</v>
      </c>
      <c r="C58" s="557" t="s">
        <v>254</v>
      </c>
      <c r="D58" s="596">
        <v>84788.35</v>
      </c>
      <c r="E58" s="596">
        <v>0</v>
      </c>
      <c r="F58" s="596">
        <v>84788.35</v>
      </c>
      <c r="G58" s="598">
        <v>1316</v>
      </c>
      <c r="H58" s="598">
        <v>114815.29999999999</v>
      </c>
      <c r="I58" s="798">
        <f t="shared" si="4"/>
        <v>285708</v>
      </c>
      <c r="J58" s="597">
        <f t="shared" si="5"/>
        <v>116131.29999999999</v>
      </c>
      <c r="K58" s="798">
        <f t="shared" si="6"/>
        <v>200919.65</v>
      </c>
    </row>
    <row r="59" spans="1:11" ht="15" customHeight="1" x14ac:dyDescent="0.3">
      <c r="A59" s="414" t="s">
        <v>135</v>
      </c>
      <c r="B59" s="419" t="s">
        <v>136</v>
      </c>
      <c r="C59" s="557" t="s">
        <v>253</v>
      </c>
      <c r="D59" s="596">
        <v>32307.83</v>
      </c>
      <c r="E59" s="596">
        <v>0</v>
      </c>
      <c r="F59" s="596">
        <v>32307.83</v>
      </c>
      <c r="G59" s="598">
        <v>0</v>
      </c>
      <c r="H59" s="598">
        <v>43749.34</v>
      </c>
      <c r="I59" s="798">
        <f t="shared" si="4"/>
        <v>108365</v>
      </c>
      <c r="J59" s="597">
        <f t="shared" si="5"/>
        <v>43749.34</v>
      </c>
      <c r="K59" s="798">
        <f t="shared" si="6"/>
        <v>76057.17</v>
      </c>
    </row>
    <row r="60" spans="1:11" ht="15" customHeight="1" x14ac:dyDescent="0.3">
      <c r="A60" s="414" t="s">
        <v>139</v>
      </c>
      <c r="B60" s="419" t="s">
        <v>140</v>
      </c>
      <c r="C60" s="557" t="s">
        <v>254</v>
      </c>
      <c r="D60" s="596">
        <v>38911.32</v>
      </c>
      <c r="E60" s="596">
        <v>0</v>
      </c>
      <c r="F60" s="596">
        <v>38911.32</v>
      </c>
      <c r="G60" s="598">
        <v>0</v>
      </c>
      <c r="H60" s="598">
        <v>52691.360000000015</v>
      </c>
      <c r="I60" s="798">
        <f t="shared" si="4"/>
        <v>130514.00000000001</v>
      </c>
      <c r="J60" s="597">
        <f t="shared" si="5"/>
        <v>52691.360000000015</v>
      </c>
      <c r="K60" s="798">
        <f t="shared" si="6"/>
        <v>91602.680000000022</v>
      </c>
    </row>
    <row r="61" spans="1:11" ht="15" customHeight="1" x14ac:dyDescent="0.3">
      <c r="A61" s="414" t="s">
        <v>145</v>
      </c>
      <c r="B61" s="419" t="s">
        <v>146</v>
      </c>
      <c r="C61" s="557" t="s">
        <v>251</v>
      </c>
      <c r="D61" s="596">
        <v>52676.99</v>
      </c>
      <c r="E61" s="596">
        <v>0</v>
      </c>
      <c r="F61" s="596">
        <v>52676.99</v>
      </c>
      <c r="G61" s="598">
        <v>0</v>
      </c>
      <c r="H61" s="598">
        <v>71332.01999999999</v>
      </c>
      <c r="I61" s="798">
        <f t="shared" si="4"/>
        <v>176686</v>
      </c>
      <c r="J61" s="597">
        <f t="shared" si="5"/>
        <v>71332.01999999999</v>
      </c>
      <c r="K61" s="798">
        <f t="shared" si="6"/>
        <v>124009.00999999998</v>
      </c>
    </row>
    <row r="62" spans="1:11" ht="15" customHeight="1" x14ac:dyDescent="0.3">
      <c r="A62" s="414" t="s">
        <v>147</v>
      </c>
      <c r="B62" s="419" t="s">
        <v>148</v>
      </c>
      <c r="C62" s="557" t="s">
        <v>252</v>
      </c>
      <c r="D62" s="596">
        <v>105632.14</v>
      </c>
      <c r="E62" s="596">
        <v>0</v>
      </c>
      <c r="F62" s="596">
        <v>105632.14</v>
      </c>
      <c r="G62" s="598">
        <v>0</v>
      </c>
      <c r="H62" s="598">
        <v>143040.72000000003</v>
      </c>
      <c r="I62" s="798">
        <f t="shared" si="4"/>
        <v>354305</v>
      </c>
      <c r="J62" s="597">
        <f t="shared" si="5"/>
        <v>143040.72000000003</v>
      </c>
      <c r="K62" s="798">
        <f t="shared" si="6"/>
        <v>248672.86000000004</v>
      </c>
    </row>
    <row r="63" spans="1:11" ht="15" customHeight="1" x14ac:dyDescent="0.3">
      <c r="A63" s="414" t="s">
        <v>149</v>
      </c>
      <c r="B63" s="419" t="s">
        <v>150</v>
      </c>
      <c r="C63" s="557" t="s">
        <v>253</v>
      </c>
      <c r="D63" s="596">
        <v>41457.120000000003</v>
      </c>
      <c r="E63" s="596">
        <v>0</v>
      </c>
      <c r="F63" s="596">
        <v>41457.120000000003</v>
      </c>
      <c r="G63" s="598">
        <v>0</v>
      </c>
      <c r="H63" s="598">
        <v>56138.759999999995</v>
      </c>
      <c r="I63" s="798">
        <f t="shared" si="4"/>
        <v>139053</v>
      </c>
      <c r="J63" s="597">
        <f t="shared" si="5"/>
        <v>56138.759999999995</v>
      </c>
      <c r="K63" s="798">
        <f t="shared" si="6"/>
        <v>97595.88</v>
      </c>
    </row>
    <row r="64" spans="1:11" ht="15" customHeight="1" x14ac:dyDescent="0.3">
      <c r="A64" s="414" t="s">
        <v>151</v>
      </c>
      <c r="B64" s="419" t="s">
        <v>152</v>
      </c>
      <c r="C64" s="557" t="s">
        <v>255</v>
      </c>
      <c r="D64" s="596">
        <v>158314.19</v>
      </c>
      <c r="E64" s="596">
        <v>0</v>
      </c>
      <c r="F64" s="596">
        <v>158314.19</v>
      </c>
      <c r="G64" s="598">
        <v>446.22</v>
      </c>
      <c r="H64" s="598">
        <v>214379.62</v>
      </c>
      <c r="I64" s="798">
        <f t="shared" si="4"/>
        <v>531454.22</v>
      </c>
      <c r="J64" s="597">
        <f t="shared" si="5"/>
        <v>214825.84</v>
      </c>
      <c r="K64" s="798">
        <f t="shared" si="6"/>
        <v>373140.03</v>
      </c>
    </row>
    <row r="65" spans="1:11" ht="15" customHeight="1" x14ac:dyDescent="0.3">
      <c r="A65" s="414" t="s">
        <v>153</v>
      </c>
      <c r="B65" s="419" t="s">
        <v>154</v>
      </c>
      <c r="C65" s="557" t="s">
        <v>252</v>
      </c>
      <c r="D65" s="596"/>
      <c r="E65" s="596"/>
      <c r="F65" s="596"/>
      <c r="G65" s="598"/>
      <c r="H65" s="598"/>
      <c r="I65" s="798">
        <f t="shared" si="4"/>
        <v>0</v>
      </c>
      <c r="J65" s="597">
        <f t="shared" si="5"/>
        <v>0</v>
      </c>
      <c r="K65" s="798">
        <f t="shared" si="6"/>
        <v>0</v>
      </c>
    </row>
    <row r="66" spans="1:11" ht="15" customHeight="1" x14ac:dyDescent="0.3">
      <c r="A66" s="414" t="s">
        <v>155</v>
      </c>
      <c r="B66" s="419" t="s">
        <v>156</v>
      </c>
      <c r="C66" s="557" t="s">
        <v>253</v>
      </c>
      <c r="D66" s="596">
        <v>49725.120000000003</v>
      </c>
      <c r="E66" s="596">
        <v>0</v>
      </c>
      <c r="F66" s="596">
        <v>49725.120000000003</v>
      </c>
      <c r="G66" s="598">
        <v>6099.48</v>
      </c>
      <c r="H66" s="598">
        <v>67334.760000000009</v>
      </c>
      <c r="I66" s="798">
        <f t="shared" si="4"/>
        <v>172884.48000000001</v>
      </c>
      <c r="J66" s="597">
        <f t="shared" si="5"/>
        <v>73434.240000000005</v>
      </c>
      <c r="K66" s="798">
        <f t="shared" si="6"/>
        <v>123159.36000000002</v>
      </c>
    </row>
    <row r="67" spans="1:11" ht="15" customHeight="1" x14ac:dyDescent="0.3">
      <c r="A67" s="414" t="s">
        <v>161</v>
      </c>
      <c r="B67" s="419" t="s">
        <v>162</v>
      </c>
      <c r="C67" s="557" t="s">
        <v>251</v>
      </c>
      <c r="D67" s="596">
        <v>99751.35</v>
      </c>
      <c r="E67" s="596">
        <v>0</v>
      </c>
      <c r="F67" s="596">
        <v>99751.35</v>
      </c>
      <c r="G67" s="598">
        <v>0</v>
      </c>
      <c r="H67" s="598">
        <v>135077.29999999999</v>
      </c>
      <c r="I67" s="798">
        <f t="shared" si="4"/>
        <v>334580</v>
      </c>
      <c r="J67" s="597">
        <f t="shared" si="5"/>
        <v>135077.29999999999</v>
      </c>
      <c r="K67" s="798">
        <f t="shared" si="6"/>
        <v>234828.65</v>
      </c>
    </row>
    <row r="68" spans="1:11" ht="15" customHeight="1" x14ac:dyDescent="0.3">
      <c r="A68" s="414" t="s">
        <v>163</v>
      </c>
      <c r="B68" s="419" t="s">
        <v>164</v>
      </c>
      <c r="C68" s="557" t="s">
        <v>253</v>
      </c>
      <c r="D68" s="596">
        <v>15437.63</v>
      </c>
      <c r="E68" s="596">
        <v>0</v>
      </c>
      <c r="F68" s="596">
        <v>15437.63</v>
      </c>
      <c r="G68" s="598">
        <v>0</v>
      </c>
      <c r="H68" s="598">
        <v>20904.740000000002</v>
      </c>
      <c r="I68" s="798">
        <f t="shared" si="4"/>
        <v>51780</v>
      </c>
      <c r="J68" s="597">
        <f t="shared" si="5"/>
        <v>20904.740000000002</v>
      </c>
      <c r="K68" s="798">
        <f t="shared" si="6"/>
        <v>36342.370000000003</v>
      </c>
    </row>
    <row r="69" spans="1:11" ht="15" customHeight="1" x14ac:dyDescent="0.3">
      <c r="A69" s="414" t="s">
        <v>167</v>
      </c>
      <c r="B69" s="419" t="s">
        <v>168</v>
      </c>
      <c r="C69" s="557" t="s">
        <v>253</v>
      </c>
      <c r="D69" s="596">
        <v>27268.99</v>
      </c>
      <c r="E69" s="596">
        <v>0</v>
      </c>
      <c r="F69" s="596">
        <v>27268.99</v>
      </c>
      <c r="G69" s="598">
        <v>0</v>
      </c>
      <c r="H69" s="598">
        <v>36926.020000000004</v>
      </c>
      <c r="I69" s="798">
        <f t="shared" ref="I69:I100" si="7">SUM(D69:H69)</f>
        <v>91464</v>
      </c>
      <c r="J69" s="597">
        <f t="shared" ref="J69:J100" si="8">G69+H69</f>
        <v>36926.020000000004</v>
      </c>
      <c r="K69" s="798">
        <f t="shared" ref="K69:K100" si="9">F69+J69</f>
        <v>64195.010000000009</v>
      </c>
    </row>
    <row r="70" spans="1:11" ht="15" customHeight="1" x14ac:dyDescent="0.3">
      <c r="A70" s="414" t="s">
        <v>169</v>
      </c>
      <c r="B70" s="419" t="s">
        <v>170</v>
      </c>
      <c r="C70" s="557" t="s">
        <v>254</v>
      </c>
      <c r="D70" s="596">
        <v>54021</v>
      </c>
      <c r="E70" s="596">
        <v>0</v>
      </c>
      <c r="F70" s="596">
        <v>54021</v>
      </c>
      <c r="G70" s="598">
        <v>0</v>
      </c>
      <c r="H70" s="598">
        <v>73152</v>
      </c>
      <c r="I70" s="798">
        <f t="shared" si="7"/>
        <v>181194</v>
      </c>
      <c r="J70" s="597">
        <f t="shared" si="8"/>
        <v>73152</v>
      </c>
      <c r="K70" s="798">
        <f t="shared" si="9"/>
        <v>127173</v>
      </c>
    </row>
    <row r="71" spans="1:11" ht="15" customHeight="1" x14ac:dyDescent="0.3">
      <c r="A71" s="414" t="s">
        <v>171</v>
      </c>
      <c r="B71" s="419" t="s">
        <v>172</v>
      </c>
      <c r="C71" s="557" t="s">
        <v>254</v>
      </c>
      <c r="D71" s="596">
        <v>28719.439999999999</v>
      </c>
      <c r="E71" s="596">
        <v>0</v>
      </c>
      <c r="F71" s="596">
        <v>28719.439999999999</v>
      </c>
      <c r="G71" s="598">
        <v>0</v>
      </c>
      <c r="H71" s="598">
        <v>38890.120000000003</v>
      </c>
      <c r="I71" s="798">
        <f t="shared" si="7"/>
        <v>96329</v>
      </c>
      <c r="J71" s="597">
        <f t="shared" si="8"/>
        <v>38890.120000000003</v>
      </c>
      <c r="K71" s="798">
        <f t="shared" si="9"/>
        <v>67609.56</v>
      </c>
    </row>
    <row r="72" spans="1:11" ht="15" customHeight="1" x14ac:dyDescent="0.3">
      <c r="A72" s="414" t="s">
        <v>173</v>
      </c>
      <c r="B72" s="419" t="s">
        <v>174</v>
      </c>
      <c r="C72" s="557" t="s">
        <v>255</v>
      </c>
      <c r="D72" s="596">
        <v>27859.3</v>
      </c>
      <c r="E72" s="596">
        <v>0</v>
      </c>
      <c r="F72" s="596">
        <v>27859.3</v>
      </c>
      <c r="G72" s="598">
        <v>0</v>
      </c>
      <c r="H72" s="598">
        <v>37725.399999999994</v>
      </c>
      <c r="I72" s="798">
        <f t="shared" si="7"/>
        <v>93444</v>
      </c>
      <c r="J72" s="597">
        <f t="shared" si="8"/>
        <v>37725.399999999994</v>
      </c>
      <c r="K72" s="798">
        <f t="shared" si="9"/>
        <v>65584.7</v>
      </c>
    </row>
    <row r="73" spans="1:11" ht="15" customHeight="1" x14ac:dyDescent="0.3">
      <c r="A73" s="414" t="s">
        <v>177</v>
      </c>
      <c r="B73" s="419" t="s">
        <v>178</v>
      </c>
      <c r="C73" s="557" t="s">
        <v>252</v>
      </c>
      <c r="D73" s="596">
        <v>103252.99</v>
      </c>
      <c r="E73" s="596">
        <v>0</v>
      </c>
      <c r="F73" s="596">
        <v>103252.99</v>
      </c>
      <c r="G73" s="598">
        <v>0</v>
      </c>
      <c r="H73" s="598">
        <v>139819.01999999999</v>
      </c>
      <c r="I73" s="798">
        <f t="shared" si="7"/>
        <v>346325</v>
      </c>
      <c r="J73" s="597">
        <f t="shared" si="8"/>
        <v>139819.01999999999</v>
      </c>
      <c r="K73" s="798">
        <f t="shared" si="9"/>
        <v>243072.01</v>
      </c>
    </row>
    <row r="74" spans="1:11" ht="15" customHeight="1" x14ac:dyDescent="0.3">
      <c r="A74" s="414" t="s">
        <v>181</v>
      </c>
      <c r="B74" s="419" t="s">
        <v>182</v>
      </c>
      <c r="C74" s="557" t="s">
        <v>253</v>
      </c>
      <c r="D74" s="596">
        <v>57930.19</v>
      </c>
      <c r="E74" s="596">
        <v>0</v>
      </c>
      <c r="F74" s="596">
        <v>57930.19</v>
      </c>
      <c r="G74" s="598">
        <v>0</v>
      </c>
      <c r="H74" s="598">
        <v>78445.62</v>
      </c>
      <c r="I74" s="798">
        <f t="shared" si="7"/>
        <v>194306</v>
      </c>
      <c r="J74" s="597">
        <f t="shared" si="8"/>
        <v>78445.62</v>
      </c>
      <c r="K74" s="798">
        <f t="shared" si="9"/>
        <v>136375.81</v>
      </c>
    </row>
    <row r="75" spans="1:11" ht="15" customHeight="1" x14ac:dyDescent="0.3">
      <c r="A75" s="414" t="s">
        <v>183</v>
      </c>
      <c r="B75" s="419" t="s">
        <v>184</v>
      </c>
      <c r="C75" s="557" t="s">
        <v>253</v>
      </c>
      <c r="D75" s="596">
        <v>63447.85</v>
      </c>
      <c r="E75" s="596">
        <v>0</v>
      </c>
      <c r="F75" s="596">
        <v>63447.85</v>
      </c>
      <c r="G75" s="598">
        <v>0</v>
      </c>
      <c r="H75" s="598">
        <v>85917.3</v>
      </c>
      <c r="I75" s="798">
        <f t="shared" si="7"/>
        <v>212813</v>
      </c>
      <c r="J75" s="597">
        <f t="shared" si="8"/>
        <v>85917.3</v>
      </c>
      <c r="K75" s="798">
        <f t="shared" si="9"/>
        <v>149365.15</v>
      </c>
    </row>
    <row r="76" spans="1:11" ht="15" customHeight="1" x14ac:dyDescent="0.3">
      <c r="A76" s="414" t="s">
        <v>185</v>
      </c>
      <c r="B76" s="419" t="s">
        <v>186</v>
      </c>
      <c r="C76" s="557" t="s">
        <v>251</v>
      </c>
      <c r="D76" s="596">
        <v>79912.58</v>
      </c>
      <c r="E76" s="596">
        <v>0</v>
      </c>
      <c r="F76" s="596">
        <v>79912.58</v>
      </c>
      <c r="G76" s="598">
        <v>0</v>
      </c>
      <c r="H76" s="598">
        <v>108212.83999999997</v>
      </c>
      <c r="I76" s="798">
        <f t="shared" si="7"/>
        <v>268038</v>
      </c>
      <c r="J76" s="597">
        <f t="shared" si="8"/>
        <v>108212.83999999997</v>
      </c>
      <c r="K76" s="798">
        <f t="shared" si="9"/>
        <v>188125.41999999998</v>
      </c>
    </row>
    <row r="77" spans="1:11" ht="15" customHeight="1" x14ac:dyDescent="0.3">
      <c r="A77" s="414" t="s">
        <v>187</v>
      </c>
      <c r="B77" s="419" t="s">
        <v>188</v>
      </c>
      <c r="C77" s="557" t="s">
        <v>254</v>
      </c>
      <c r="D77" s="596">
        <v>1238299.76</v>
      </c>
      <c r="E77" s="596">
        <v>0</v>
      </c>
      <c r="F77" s="596">
        <v>1238299.76</v>
      </c>
      <c r="G77" s="598">
        <v>0</v>
      </c>
      <c r="H77" s="598">
        <v>1676831.4800000004</v>
      </c>
      <c r="I77" s="798">
        <f t="shared" si="7"/>
        <v>4153431.0000000005</v>
      </c>
      <c r="J77" s="597">
        <f t="shared" si="8"/>
        <v>1676831.4800000004</v>
      </c>
      <c r="K77" s="798">
        <f t="shared" si="9"/>
        <v>2915131.24</v>
      </c>
    </row>
    <row r="78" spans="1:11" ht="15" customHeight="1" x14ac:dyDescent="0.3">
      <c r="A78" s="414" t="s">
        <v>189</v>
      </c>
      <c r="B78" s="419" t="s">
        <v>190</v>
      </c>
      <c r="C78" s="557" t="s">
        <v>255</v>
      </c>
      <c r="D78" s="596">
        <v>54926.45</v>
      </c>
      <c r="E78" s="596">
        <v>0</v>
      </c>
      <c r="F78" s="596">
        <v>54926.45</v>
      </c>
      <c r="G78" s="598">
        <v>0</v>
      </c>
      <c r="H78" s="598">
        <v>74378.100000000006</v>
      </c>
      <c r="I78" s="798">
        <f t="shared" si="7"/>
        <v>184231</v>
      </c>
      <c r="J78" s="597">
        <f t="shared" si="8"/>
        <v>74378.100000000006</v>
      </c>
      <c r="K78" s="798">
        <f t="shared" si="9"/>
        <v>129304.55</v>
      </c>
    </row>
    <row r="79" spans="1:11" ht="15" customHeight="1" x14ac:dyDescent="0.3">
      <c r="A79" s="414" t="s">
        <v>193</v>
      </c>
      <c r="B79" s="419" t="s">
        <v>194</v>
      </c>
      <c r="C79" s="557" t="s">
        <v>254</v>
      </c>
      <c r="D79" s="596">
        <v>33815.230000000003</v>
      </c>
      <c r="E79" s="596">
        <v>0</v>
      </c>
      <c r="F79" s="596">
        <v>33815.230000000003</v>
      </c>
      <c r="G79" s="598">
        <v>0</v>
      </c>
      <c r="H79" s="598">
        <v>45790.540000000008</v>
      </c>
      <c r="I79" s="798">
        <f t="shared" si="7"/>
        <v>113421.00000000001</v>
      </c>
      <c r="J79" s="597">
        <f t="shared" si="8"/>
        <v>45790.540000000008</v>
      </c>
      <c r="K79" s="798">
        <f t="shared" si="9"/>
        <v>79605.770000000019</v>
      </c>
    </row>
    <row r="80" spans="1:11" ht="15" customHeight="1" x14ac:dyDescent="0.3">
      <c r="A80" s="414" t="s">
        <v>197</v>
      </c>
      <c r="B80" s="419" t="s">
        <v>198</v>
      </c>
      <c r="C80" s="557" t="s">
        <v>253</v>
      </c>
      <c r="D80" s="596">
        <v>14560.21</v>
      </c>
      <c r="E80" s="596">
        <v>0</v>
      </c>
      <c r="F80" s="596">
        <v>14560.21</v>
      </c>
      <c r="G80" s="598">
        <v>0</v>
      </c>
      <c r="H80" s="598">
        <v>19716.580000000002</v>
      </c>
      <c r="I80" s="798">
        <f t="shared" si="7"/>
        <v>48837</v>
      </c>
      <c r="J80" s="597">
        <f t="shared" si="8"/>
        <v>19716.580000000002</v>
      </c>
      <c r="K80" s="798">
        <f t="shared" si="9"/>
        <v>34276.79</v>
      </c>
    </row>
    <row r="81" spans="1:11" ht="15" customHeight="1" x14ac:dyDescent="0.3">
      <c r="A81" s="414" t="s">
        <v>201</v>
      </c>
      <c r="B81" s="419" t="s">
        <v>202</v>
      </c>
      <c r="C81" s="557" t="s">
        <v>252</v>
      </c>
      <c r="D81" s="596">
        <v>333237.71000000002</v>
      </c>
      <c r="E81" s="596">
        <v>0</v>
      </c>
      <c r="F81" s="596">
        <v>333237.71000000002</v>
      </c>
      <c r="G81" s="598">
        <v>136.56</v>
      </c>
      <c r="H81" s="598">
        <v>451250.57999999996</v>
      </c>
      <c r="I81" s="798">
        <f t="shared" si="7"/>
        <v>1117862.56</v>
      </c>
      <c r="J81" s="597">
        <f t="shared" si="8"/>
        <v>451387.13999999996</v>
      </c>
      <c r="K81" s="798">
        <f t="shared" si="9"/>
        <v>784624.85</v>
      </c>
    </row>
    <row r="82" spans="1:11" ht="15" customHeight="1" x14ac:dyDescent="0.3">
      <c r="A82" s="414" t="s">
        <v>203</v>
      </c>
      <c r="B82" s="419" t="s">
        <v>204</v>
      </c>
      <c r="C82" s="557" t="s">
        <v>252</v>
      </c>
      <c r="D82" s="596">
        <v>30978.44</v>
      </c>
      <c r="E82" s="596">
        <v>0</v>
      </c>
      <c r="F82" s="596">
        <v>30978.44</v>
      </c>
      <c r="G82" s="598">
        <v>0</v>
      </c>
      <c r="H82" s="598">
        <v>41949.120000000003</v>
      </c>
      <c r="I82" s="798">
        <f t="shared" si="7"/>
        <v>103906</v>
      </c>
      <c r="J82" s="597">
        <f t="shared" si="8"/>
        <v>41949.120000000003</v>
      </c>
      <c r="K82" s="798">
        <f t="shared" si="9"/>
        <v>72927.56</v>
      </c>
    </row>
    <row r="83" spans="1:11" ht="15" customHeight="1" x14ac:dyDescent="0.3">
      <c r="A83" s="414" t="s">
        <v>205</v>
      </c>
      <c r="B83" s="419" t="s">
        <v>206</v>
      </c>
      <c r="C83" s="557" t="s">
        <v>254</v>
      </c>
      <c r="D83" s="596">
        <v>277084.13</v>
      </c>
      <c r="E83" s="596">
        <v>0</v>
      </c>
      <c r="F83" s="596">
        <v>277084.13</v>
      </c>
      <c r="G83" s="598">
        <v>0</v>
      </c>
      <c r="H83" s="598">
        <v>375210.74</v>
      </c>
      <c r="I83" s="798">
        <f t="shared" si="7"/>
        <v>929379</v>
      </c>
      <c r="J83" s="597">
        <f t="shared" si="8"/>
        <v>375210.74</v>
      </c>
      <c r="K83" s="798">
        <f t="shared" si="9"/>
        <v>652294.87</v>
      </c>
    </row>
    <row r="84" spans="1:11" ht="15" customHeight="1" x14ac:dyDescent="0.3">
      <c r="A84" s="414" t="s">
        <v>207</v>
      </c>
      <c r="B84" s="419" t="s">
        <v>208</v>
      </c>
      <c r="C84" s="557" t="s">
        <v>255</v>
      </c>
      <c r="D84" s="596">
        <v>47258.6</v>
      </c>
      <c r="E84" s="596">
        <v>0</v>
      </c>
      <c r="F84" s="596">
        <v>47258.6</v>
      </c>
      <c r="G84" s="598">
        <v>0</v>
      </c>
      <c r="H84" s="598">
        <v>63994.8</v>
      </c>
      <c r="I84" s="798">
        <f t="shared" si="7"/>
        <v>158512</v>
      </c>
      <c r="J84" s="597">
        <f t="shared" si="8"/>
        <v>63994.8</v>
      </c>
      <c r="K84" s="798">
        <f t="shared" si="9"/>
        <v>111253.4</v>
      </c>
    </row>
    <row r="85" spans="1:11" ht="15" customHeight="1" x14ac:dyDescent="0.3">
      <c r="A85" s="414" t="s">
        <v>209</v>
      </c>
      <c r="B85" s="419" t="s">
        <v>210</v>
      </c>
      <c r="C85" s="557" t="s">
        <v>255</v>
      </c>
      <c r="D85" s="596">
        <v>46131.65</v>
      </c>
      <c r="E85" s="596">
        <v>0</v>
      </c>
      <c r="F85" s="596">
        <v>46131.65</v>
      </c>
      <c r="G85" s="598">
        <v>0</v>
      </c>
      <c r="H85" s="598">
        <v>62468.700000000012</v>
      </c>
      <c r="I85" s="798">
        <f t="shared" si="7"/>
        <v>154732</v>
      </c>
      <c r="J85" s="597">
        <f t="shared" si="8"/>
        <v>62468.700000000012</v>
      </c>
      <c r="K85" s="798">
        <f t="shared" si="9"/>
        <v>108600.35</v>
      </c>
    </row>
    <row r="86" spans="1:11" ht="15" customHeight="1" x14ac:dyDescent="0.3">
      <c r="A86" s="414" t="s">
        <v>211</v>
      </c>
      <c r="B86" s="419" t="s">
        <v>212</v>
      </c>
      <c r="C86" s="557" t="s">
        <v>254</v>
      </c>
      <c r="D86" s="596">
        <v>46173.38</v>
      </c>
      <c r="E86" s="596">
        <v>0</v>
      </c>
      <c r="F86" s="596">
        <v>46173.38</v>
      </c>
      <c r="G86" s="598">
        <v>0</v>
      </c>
      <c r="H86" s="598">
        <v>62525.240000000005</v>
      </c>
      <c r="I86" s="798">
        <f t="shared" si="7"/>
        <v>154872</v>
      </c>
      <c r="J86" s="597">
        <f t="shared" si="8"/>
        <v>62525.240000000005</v>
      </c>
      <c r="K86" s="798">
        <f t="shared" si="9"/>
        <v>108698.62</v>
      </c>
    </row>
    <row r="87" spans="1:11" ht="15" customHeight="1" x14ac:dyDescent="0.3">
      <c r="A87" s="414" t="s">
        <v>213</v>
      </c>
      <c r="B87" s="419" t="s">
        <v>214</v>
      </c>
      <c r="C87" s="557" t="s">
        <v>255</v>
      </c>
      <c r="D87" s="596">
        <v>72262.03</v>
      </c>
      <c r="E87" s="596">
        <v>0</v>
      </c>
      <c r="F87" s="596">
        <v>72262.03</v>
      </c>
      <c r="G87" s="598">
        <v>0</v>
      </c>
      <c r="H87" s="598">
        <v>97852.94</v>
      </c>
      <c r="I87" s="798">
        <f t="shared" si="7"/>
        <v>242377</v>
      </c>
      <c r="J87" s="597">
        <f t="shared" si="8"/>
        <v>97852.94</v>
      </c>
      <c r="K87" s="798">
        <f t="shared" si="9"/>
        <v>170114.97</v>
      </c>
    </row>
    <row r="88" spans="1:11" ht="15" customHeight="1" x14ac:dyDescent="0.3">
      <c r="A88" s="414" t="s">
        <v>215</v>
      </c>
      <c r="B88" s="419" t="s">
        <v>216</v>
      </c>
      <c r="C88" s="557" t="s">
        <v>251</v>
      </c>
      <c r="D88" s="596">
        <v>54262.79</v>
      </c>
      <c r="E88" s="596">
        <v>0</v>
      </c>
      <c r="F88" s="596">
        <v>54262.79</v>
      </c>
      <c r="G88" s="598">
        <v>0</v>
      </c>
      <c r="H88" s="598">
        <v>73479.42</v>
      </c>
      <c r="I88" s="798">
        <f t="shared" si="7"/>
        <v>182005</v>
      </c>
      <c r="J88" s="597">
        <f t="shared" si="8"/>
        <v>73479.42</v>
      </c>
      <c r="K88" s="798">
        <f t="shared" si="9"/>
        <v>127742.20999999999</v>
      </c>
    </row>
    <row r="89" spans="1:11" ht="15" customHeight="1" x14ac:dyDescent="0.3">
      <c r="A89" s="414" t="s">
        <v>217</v>
      </c>
      <c r="B89" s="419" t="s">
        <v>218</v>
      </c>
      <c r="C89" s="557" t="s">
        <v>254</v>
      </c>
      <c r="D89" s="596">
        <v>296897.25</v>
      </c>
      <c r="E89" s="596">
        <v>0</v>
      </c>
      <c r="F89" s="596">
        <v>296897.25</v>
      </c>
      <c r="G89" s="598">
        <v>0</v>
      </c>
      <c r="H89" s="598">
        <v>402040.5</v>
      </c>
      <c r="I89" s="798">
        <f t="shared" si="7"/>
        <v>995835</v>
      </c>
      <c r="J89" s="597">
        <f t="shared" si="8"/>
        <v>402040.5</v>
      </c>
      <c r="K89" s="798">
        <f t="shared" si="9"/>
        <v>698937.75</v>
      </c>
    </row>
    <row r="90" spans="1:11" ht="15" customHeight="1" x14ac:dyDescent="0.3">
      <c r="A90" s="414" t="s">
        <v>219</v>
      </c>
      <c r="B90" s="419" t="s">
        <v>220</v>
      </c>
      <c r="C90" s="557" t="s">
        <v>254</v>
      </c>
      <c r="D90" s="596">
        <v>186427.8</v>
      </c>
      <c r="E90" s="596">
        <v>0</v>
      </c>
      <c r="F90" s="596">
        <v>186427.8</v>
      </c>
      <c r="G90" s="598">
        <v>209.53</v>
      </c>
      <c r="H90" s="598">
        <v>252449.40000000002</v>
      </c>
      <c r="I90" s="798">
        <f t="shared" si="7"/>
        <v>625514.53</v>
      </c>
      <c r="J90" s="597">
        <f t="shared" si="8"/>
        <v>252658.93000000002</v>
      </c>
      <c r="K90" s="798">
        <f t="shared" si="9"/>
        <v>439086.73</v>
      </c>
    </row>
    <row r="91" spans="1:11" ht="15" customHeight="1" x14ac:dyDescent="0.3">
      <c r="A91" s="414" t="s">
        <v>223</v>
      </c>
      <c r="B91" s="419" t="s">
        <v>224</v>
      </c>
      <c r="C91" s="557" t="s">
        <v>251</v>
      </c>
      <c r="D91" s="596">
        <v>71397.42</v>
      </c>
      <c r="E91" s="596">
        <v>0</v>
      </c>
      <c r="F91" s="596">
        <v>71397.42</v>
      </c>
      <c r="G91" s="598">
        <v>0</v>
      </c>
      <c r="H91" s="598">
        <v>96682.16</v>
      </c>
      <c r="I91" s="798">
        <f t="shared" si="7"/>
        <v>239477</v>
      </c>
      <c r="J91" s="597">
        <f t="shared" si="8"/>
        <v>96682.16</v>
      </c>
      <c r="K91" s="798">
        <f t="shared" si="9"/>
        <v>168079.58000000002</v>
      </c>
    </row>
    <row r="92" spans="1:11" ht="15" customHeight="1" x14ac:dyDescent="0.3">
      <c r="A92" s="414" t="s">
        <v>225</v>
      </c>
      <c r="B92" s="419" t="s">
        <v>226</v>
      </c>
      <c r="C92" s="557" t="s">
        <v>251</v>
      </c>
      <c r="D92" s="596">
        <v>83248.160000000003</v>
      </c>
      <c r="E92" s="596">
        <v>0</v>
      </c>
      <c r="F92" s="596">
        <v>83248.160000000003</v>
      </c>
      <c r="G92" s="598">
        <v>550.71</v>
      </c>
      <c r="H92" s="598">
        <v>112729.68</v>
      </c>
      <c r="I92" s="798">
        <f t="shared" si="7"/>
        <v>279776.70999999996</v>
      </c>
      <c r="J92" s="597">
        <f t="shared" si="8"/>
        <v>113280.39</v>
      </c>
      <c r="K92" s="798">
        <f t="shared" si="9"/>
        <v>196528.55</v>
      </c>
    </row>
    <row r="93" spans="1:11" ht="15" customHeight="1" x14ac:dyDescent="0.3">
      <c r="A93" s="414" t="s">
        <v>227</v>
      </c>
      <c r="B93" s="419" t="s">
        <v>228</v>
      </c>
      <c r="C93" s="557" t="s">
        <v>255</v>
      </c>
      <c r="D93" s="596">
        <v>193370.27</v>
      </c>
      <c r="E93" s="596">
        <v>0</v>
      </c>
      <c r="F93" s="596">
        <v>193370.27</v>
      </c>
      <c r="G93" s="598">
        <v>4322.99</v>
      </c>
      <c r="H93" s="598">
        <v>261850.46000000002</v>
      </c>
      <c r="I93" s="798">
        <f t="shared" si="7"/>
        <v>652913.99</v>
      </c>
      <c r="J93" s="597">
        <f t="shared" si="8"/>
        <v>266173.45</v>
      </c>
      <c r="K93" s="798">
        <f t="shared" si="9"/>
        <v>459543.72</v>
      </c>
    </row>
    <row r="94" spans="1:11" ht="15" customHeight="1" x14ac:dyDescent="0.3">
      <c r="A94" s="414" t="s">
        <v>231</v>
      </c>
      <c r="B94" s="419" t="s">
        <v>232</v>
      </c>
      <c r="C94" s="557" t="s">
        <v>254</v>
      </c>
      <c r="D94" s="596">
        <v>49830.06</v>
      </c>
      <c r="E94" s="596">
        <v>0</v>
      </c>
      <c r="F94" s="596">
        <v>49830.06</v>
      </c>
      <c r="G94" s="598">
        <v>2272.58</v>
      </c>
      <c r="H94" s="598">
        <v>67476.88</v>
      </c>
      <c r="I94" s="798">
        <f t="shared" si="7"/>
        <v>169409.58000000002</v>
      </c>
      <c r="J94" s="597">
        <f t="shared" si="8"/>
        <v>69749.460000000006</v>
      </c>
      <c r="K94" s="798">
        <f t="shared" si="9"/>
        <v>119579.52</v>
      </c>
    </row>
    <row r="95" spans="1:11" ht="15" customHeight="1" x14ac:dyDescent="0.3">
      <c r="A95" s="414" t="s">
        <v>233</v>
      </c>
      <c r="B95" s="419" t="s">
        <v>234</v>
      </c>
      <c r="C95" s="557" t="s">
        <v>255</v>
      </c>
      <c r="D95" s="596">
        <v>55525.11</v>
      </c>
      <c r="E95" s="596">
        <v>0</v>
      </c>
      <c r="F95" s="596">
        <v>55525.11</v>
      </c>
      <c r="G95" s="598">
        <v>28667.32</v>
      </c>
      <c r="H95" s="598">
        <v>75188.78</v>
      </c>
      <c r="I95" s="798">
        <f t="shared" si="7"/>
        <v>214906.32</v>
      </c>
      <c r="J95" s="597">
        <f t="shared" si="8"/>
        <v>103856.1</v>
      </c>
      <c r="K95" s="798">
        <f t="shared" si="9"/>
        <v>159381.21000000002</v>
      </c>
    </row>
    <row r="96" spans="1:11" ht="15" customHeight="1" x14ac:dyDescent="0.3">
      <c r="A96" s="414" t="s">
        <v>235</v>
      </c>
      <c r="B96" s="419" t="s">
        <v>236</v>
      </c>
      <c r="C96" s="557" t="s">
        <v>253</v>
      </c>
      <c r="D96" s="596">
        <v>51311.51</v>
      </c>
      <c r="E96" s="596">
        <v>0</v>
      </c>
      <c r="F96" s="596">
        <v>51311.51</v>
      </c>
      <c r="G96" s="598">
        <v>13086.9</v>
      </c>
      <c r="H96" s="598">
        <v>69482.979999999981</v>
      </c>
      <c r="I96" s="798">
        <f t="shared" si="7"/>
        <v>185192.89999999997</v>
      </c>
      <c r="J96" s="597">
        <f t="shared" si="8"/>
        <v>82569.879999999976</v>
      </c>
      <c r="K96" s="798">
        <f t="shared" si="9"/>
        <v>133881.38999999998</v>
      </c>
    </row>
    <row r="97" spans="1:11" ht="15" customHeight="1" x14ac:dyDescent="0.3">
      <c r="A97" s="414" t="s">
        <v>241</v>
      </c>
      <c r="B97" s="419" t="s">
        <v>242</v>
      </c>
      <c r="C97" s="557" t="s">
        <v>255</v>
      </c>
      <c r="D97" s="596">
        <v>93987.73</v>
      </c>
      <c r="E97" s="596">
        <v>0</v>
      </c>
      <c r="F97" s="596">
        <v>93987.73</v>
      </c>
      <c r="G97" s="598">
        <v>0</v>
      </c>
      <c r="H97" s="598">
        <v>127272.54000000001</v>
      </c>
      <c r="I97" s="798">
        <f t="shared" si="7"/>
        <v>315248</v>
      </c>
      <c r="J97" s="597">
        <f t="shared" si="8"/>
        <v>127272.54000000001</v>
      </c>
      <c r="K97" s="798">
        <f t="shared" si="9"/>
        <v>221260.27000000002</v>
      </c>
    </row>
    <row r="98" spans="1:11" ht="15" customHeight="1" x14ac:dyDescent="0.3">
      <c r="A98" s="414" t="s">
        <v>243</v>
      </c>
      <c r="B98" s="419" t="s">
        <v>244</v>
      </c>
      <c r="C98" s="557" t="s">
        <v>255</v>
      </c>
      <c r="D98" s="596">
        <v>81049.98</v>
      </c>
      <c r="E98" s="596">
        <v>0</v>
      </c>
      <c r="F98" s="596">
        <v>81049.98</v>
      </c>
      <c r="G98" s="598">
        <v>0</v>
      </c>
      <c r="H98" s="598">
        <v>109753.04000000001</v>
      </c>
      <c r="I98" s="798">
        <f t="shared" si="7"/>
        <v>271853</v>
      </c>
      <c r="J98" s="597">
        <f t="shared" si="8"/>
        <v>109753.04000000001</v>
      </c>
      <c r="K98" s="798">
        <f t="shared" si="9"/>
        <v>190803.02000000002</v>
      </c>
    </row>
    <row r="99" spans="1:11" ht="15" customHeight="1" x14ac:dyDescent="0.3">
      <c r="A99" s="414" t="s">
        <v>245</v>
      </c>
      <c r="B99" s="419" t="s">
        <v>283</v>
      </c>
      <c r="C99" s="557" t="s">
        <v>251</v>
      </c>
      <c r="D99" s="596">
        <v>191629.74</v>
      </c>
      <c r="E99" s="596">
        <v>0</v>
      </c>
      <c r="F99" s="596">
        <v>191629.74</v>
      </c>
      <c r="G99" s="598">
        <v>-910.79</v>
      </c>
      <c r="H99" s="598">
        <v>259493.52000000002</v>
      </c>
      <c r="I99" s="798">
        <f t="shared" si="7"/>
        <v>641842.21</v>
      </c>
      <c r="J99" s="597">
        <f t="shared" si="8"/>
        <v>258582.73</v>
      </c>
      <c r="K99" s="798">
        <f t="shared" si="9"/>
        <v>450212.47</v>
      </c>
    </row>
    <row r="100" spans="1:11" ht="15" customHeight="1" x14ac:dyDescent="0.3">
      <c r="A100" s="414" t="s">
        <v>13</v>
      </c>
      <c r="B100" s="419" t="s">
        <v>14</v>
      </c>
      <c r="C100" s="557" t="s">
        <v>254</v>
      </c>
      <c r="D100" s="596">
        <v>1140370.3400000001</v>
      </c>
      <c r="E100" s="596">
        <v>0</v>
      </c>
      <c r="F100" s="596">
        <v>1140370.3400000001</v>
      </c>
      <c r="G100" s="598">
        <v>0</v>
      </c>
      <c r="H100" s="598">
        <v>1544221.3200000003</v>
      </c>
      <c r="I100" s="798">
        <f t="shared" si="7"/>
        <v>3824962.0000000005</v>
      </c>
      <c r="J100" s="597">
        <f t="shared" si="8"/>
        <v>1544221.3200000003</v>
      </c>
      <c r="K100" s="798">
        <f t="shared" si="9"/>
        <v>2684591.66</v>
      </c>
    </row>
    <row r="101" spans="1:11" ht="15" customHeight="1" x14ac:dyDescent="0.3">
      <c r="A101" s="414" t="s">
        <v>33</v>
      </c>
      <c r="B101" s="419" t="s">
        <v>34</v>
      </c>
      <c r="C101" s="557" t="s">
        <v>255</v>
      </c>
      <c r="D101" s="596">
        <v>48103.23</v>
      </c>
      <c r="E101" s="596">
        <v>0</v>
      </c>
      <c r="F101" s="596">
        <v>48103.23</v>
      </c>
      <c r="G101" s="598">
        <v>0</v>
      </c>
      <c r="H101" s="598">
        <v>65138.540000000008</v>
      </c>
      <c r="I101" s="798">
        <f t="shared" ref="I101:I124" si="10">SUM(D101:H101)</f>
        <v>161345</v>
      </c>
      <c r="J101" s="597">
        <f t="shared" ref="J101:J124" si="11">G101+H101</f>
        <v>65138.540000000008</v>
      </c>
      <c r="K101" s="798">
        <f t="shared" ref="K101:K124" si="12">F101+J101</f>
        <v>113241.77000000002</v>
      </c>
    </row>
    <row r="102" spans="1:11" ht="15" customHeight="1" x14ac:dyDescent="0.3">
      <c r="A102" s="414" t="s">
        <v>51</v>
      </c>
      <c r="B102" s="419" t="s">
        <v>52</v>
      </c>
      <c r="C102" s="557" t="s">
        <v>252</v>
      </c>
      <c r="D102" s="596">
        <v>167282.51999999999</v>
      </c>
      <c r="E102" s="596">
        <v>0</v>
      </c>
      <c r="F102" s="596">
        <v>167282.51999999999</v>
      </c>
      <c r="G102" s="598">
        <v>0</v>
      </c>
      <c r="H102" s="598">
        <v>226523.95999999996</v>
      </c>
      <c r="I102" s="798">
        <f t="shared" si="10"/>
        <v>561089</v>
      </c>
      <c r="J102" s="597">
        <f t="shared" si="11"/>
        <v>226523.95999999996</v>
      </c>
      <c r="K102" s="798">
        <f t="shared" si="12"/>
        <v>393806.48</v>
      </c>
    </row>
    <row r="103" spans="1:11" ht="15" customHeight="1" x14ac:dyDescent="0.3">
      <c r="A103" s="414" t="s">
        <v>53</v>
      </c>
      <c r="B103" s="419" t="s">
        <v>54</v>
      </c>
      <c r="C103" s="557" t="s">
        <v>251</v>
      </c>
      <c r="D103" s="596">
        <v>216574.73</v>
      </c>
      <c r="E103" s="596">
        <v>0</v>
      </c>
      <c r="F103" s="596">
        <v>216574.73</v>
      </c>
      <c r="G103" s="598">
        <v>48357.120000000003</v>
      </c>
      <c r="H103" s="598">
        <v>293272.54000000004</v>
      </c>
      <c r="I103" s="798">
        <f t="shared" si="10"/>
        <v>774779.12000000011</v>
      </c>
      <c r="J103" s="597">
        <f t="shared" si="11"/>
        <v>341629.66000000003</v>
      </c>
      <c r="K103" s="798">
        <f t="shared" si="12"/>
        <v>558204.39</v>
      </c>
    </row>
    <row r="104" spans="1:11" ht="15" customHeight="1" x14ac:dyDescent="0.3">
      <c r="A104" s="414" t="s">
        <v>65</v>
      </c>
      <c r="B104" s="419" t="s">
        <v>66</v>
      </c>
      <c r="C104" s="557" t="s">
        <v>252</v>
      </c>
      <c r="D104" s="596">
        <v>204418.41</v>
      </c>
      <c r="E104" s="596">
        <v>0</v>
      </c>
      <c r="F104" s="596">
        <v>204418.41</v>
      </c>
      <c r="G104" s="598">
        <v>0</v>
      </c>
      <c r="H104" s="598">
        <v>276811.18000000005</v>
      </c>
      <c r="I104" s="798">
        <f t="shared" si="10"/>
        <v>685648</v>
      </c>
      <c r="J104" s="597">
        <f t="shared" si="11"/>
        <v>276811.18000000005</v>
      </c>
      <c r="K104" s="798">
        <f t="shared" si="12"/>
        <v>481229.59000000008</v>
      </c>
    </row>
    <row r="105" spans="1:11" ht="15" customHeight="1" x14ac:dyDescent="0.3">
      <c r="A105" s="414" t="s">
        <v>81</v>
      </c>
      <c r="B105" s="419" t="s">
        <v>284</v>
      </c>
      <c r="C105" s="557" t="s">
        <v>251</v>
      </c>
      <c r="D105" s="596">
        <v>25964.32</v>
      </c>
      <c r="E105" s="596">
        <v>0</v>
      </c>
      <c r="F105" s="596">
        <v>25964.32</v>
      </c>
      <c r="G105" s="598">
        <v>0</v>
      </c>
      <c r="H105" s="598">
        <v>35159.359999999993</v>
      </c>
      <c r="I105" s="798">
        <f t="shared" si="10"/>
        <v>87088</v>
      </c>
      <c r="J105" s="597">
        <f t="shared" si="11"/>
        <v>35159.359999999993</v>
      </c>
      <c r="K105" s="798">
        <f t="shared" si="12"/>
        <v>61123.679999999993</v>
      </c>
    </row>
    <row r="106" spans="1:11" ht="15" customHeight="1" x14ac:dyDescent="0.3">
      <c r="A106" s="414" t="s">
        <v>87</v>
      </c>
      <c r="B106" s="419" t="s">
        <v>88</v>
      </c>
      <c r="C106" s="557" t="s">
        <v>254</v>
      </c>
      <c r="D106" s="596">
        <v>88583.06</v>
      </c>
      <c r="E106" s="596">
        <v>0</v>
      </c>
      <c r="F106" s="596">
        <v>88583.06</v>
      </c>
      <c r="G106" s="598">
        <v>0</v>
      </c>
      <c r="H106" s="598">
        <v>119953.88</v>
      </c>
      <c r="I106" s="798">
        <f t="shared" si="10"/>
        <v>297120</v>
      </c>
      <c r="J106" s="597">
        <f t="shared" si="11"/>
        <v>119953.88</v>
      </c>
      <c r="K106" s="798">
        <f t="shared" si="12"/>
        <v>208536.94</v>
      </c>
    </row>
    <row r="107" spans="1:11" ht="15" customHeight="1" x14ac:dyDescent="0.3">
      <c r="A107" s="414" t="s">
        <v>89</v>
      </c>
      <c r="B107" s="419" t="s">
        <v>90</v>
      </c>
      <c r="C107" s="557" t="s">
        <v>255</v>
      </c>
      <c r="D107" s="596">
        <v>34695.620000000003</v>
      </c>
      <c r="E107" s="596">
        <v>0</v>
      </c>
      <c r="F107" s="596">
        <v>34695.620000000003</v>
      </c>
      <c r="G107" s="598">
        <v>0</v>
      </c>
      <c r="H107" s="598">
        <v>46982.760000000009</v>
      </c>
      <c r="I107" s="798">
        <f t="shared" si="10"/>
        <v>116374.00000000001</v>
      </c>
      <c r="J107" s="597">
        <f t="shared" si="11"/>
        <v>46982.760000000009</v>
      </c>
      <c r="K107" s="798">
        <f t="shared" si="12"/>
        <v>81678.38</v>
      </c>
    </row>
    <row r="108" spans="1:11" ht="15" customHeight="1" x14ac:dyDescent="0.3">
      <c r="A108" s="414" t="s">
        <v>105</v>
      </c>
      <c r="B108" s="419" t="s">
        <v>106</v>
      </c>
      <c r="C108" s="557" t="s">
        <v>251</v>
      </c>
      <c r="D108" s="596">
        <v>234060.87</v>
      </c>
      <c r="E108" s="596">
        <v>0</v>
      </c>
      <c r="F108" s="596">
        <v>234060.87</v>
      </c>
      <c r="G108" s="598">
        <v>0</v>
      </c>
      <c r="H108" s="598">
        <v>316951.26</v>
      </c>
      <c r="I108" s="798">
        <f t="shared" si="10"/>
        <v>785073</v>
      </c>
      <c r="J108" s="597">
        <f t="shared" si="11"/>
        <v>316951.26</v>
      </c>
      <c r="K108" s="798">
        <f t="shared" si="12"/>
        <v>551012.13</v>
      </c>
    </row>
    <row r="109" spans="1:11" ht="15" customHeight="1" x14ac:dyDescent="0.3">
      <c r="A109" s="414" t="s">
        <v>115</v>
      </c>
      <c r="B109" s="419" t="s">
        <v>116</v>
      </c>
      <c r="C109" s="557" t="s">
        <v>253</v>
      </c>
      <c r="D109" s="596">
        <v>148980.94</v>
      </c>
      <c r="E109" s="596">
        <v>0</v>
      </c>
      <c r="F109" s="596">
        <v>148980.94</v>
      </c>
      <c r="G109" s="598">
        <v>0</v>
      </c>
      <c r="H109" s="598">
        <v>201741.12</v>
      </c>
      <c r="I109" s="798">
        <f t="shared" si="10"/>
        <v>499703</v>
      </c>
      <c r="J109" s="597">
        <f t="shared" si="11"/>
        <v>201741.12</v>
      </c>
      <c r="K109" s="798">
        <f t="shared" si="12"/>
        <v>350722.06</v>
      </c>
    </row>
    <row r="110" spans="1:11" ht="15" customHeight="1" x14ac:dyDescent="0.3">
      <c r="A110" s="414" t="s">
        <v>137</v>
      </c>
      <c r="B110" s="419" t="s">
        <v>138</v>
      </c>
      <c r="C110" s="557" t="s">
        <v>252</v>
      </c>
      <c r="D110" s="596">
        <v>603745.49</v>
      </c>
      <c r="E110" s="596">
        <v>0</v>
      </c>
      <c r="F110" s="596">
        <v>603745.49</v>
      </c>
      <c r="G110" s="598">
        <v>0</v>
      </c>
      <c r="H110" s="598">
        <v>817556.02</v>
      </c>
      <c r="I110" s="798">
        <f t="shared" si="10"/>
        <v>2025047</v>
      </c>
      <c r="J110" s="597">
        <f t="shared" si="11"/>
        <v>817556.02</v>
      </c>
      <c r="K110" s="798">
        <f t="shared" si="12"/>
        <v>1421301.51</v>
      </c>
    </row>
    <row r="111" spans="1:11" ht="15" customHeight="1" x14ac:dyDescent="0.3">
      <c r="A111" s="414" t="s">
        <v>141</v>
      </c>
      <c r="B111" s="419" t="s">
        <v>142</v>
      </c>
      <c r="C111" s="557" t="s">
        <v>254</v>
      </c>
      <c r="D111" s="596">
        <v>72056.320000000007</v>
      </c>
      <c r="E111" s="596">
        <v>0</v>
      </c>
      <c r="F111" s="596">
        <v>72056.320000000007</v>
      </c>
      <c r="G111" s="598">
        <v>0</v>
      </c>
      <c r="H111" s="598">
        <v>97574.359999999986</v>
      </c>
      <c r="I111" s="798">
        <f t="shared" si="10"/>
        <v>241687</v>
      </c>
      <c r="J111" s="597">
        <f t="shared" si="11"/>
        <v>97574.359999999986</v>
      </c>
      <c r="K111" s="798">
        <f t="shared" si="12"/>
        <v>169630.68</v>
      </c>
    </row>
    <row r="112" spans="1:11" ht="15" customHeight="1" x14ac:dyDescent="0.3">
      <c r="A112" s="414" t="s">
        <v>143</v>
      </c>
      <c r="B112" s="419" t="s">
        <v>144</v>
      </c>
      <c r="C112" s="557" t="s">
        <v>254</v>
      </c>
      <c r="D112" s="596">
        <v>56718.85</v>
      </c>
      <c r="E112" s="596">
        <v>0</v>
      </c>
      <c r="F112" s="596">
        <v>56718.85</v>
      </c>
      <c r="G112" s="598">
        <v>0</v>
      </c>
      <c r="H112" s="598">
        <v>76805.3</v>
      </c>
      <c r="I112" s="798">
        <f t="shared" si="10"/>
        <v>190243</v>
      </c>
      <c r="J112" s="597">
        <f t="shared" si="11"/>
        <v>76805.3</v>
      </c>
      <c r="K112" s="798">
        <f t="shared" si="12"/>
        <v>133524.15</v>
      </c>
    </row>
    <row r="113" spans="1:11" ht="15" customHeight="1" x14ac:dyDescent="0.3">
      <c r="A113" s="414" t="s">
        <v>157</v>
      </c>
      <c r="B113" s="419" t="s">
        <v>158</v>
      </c>
      <c r="C113" s="557" t="s">
        <v>251</v>
      </c>
      <c r="D113" s="596">
        <v>1084448.42</v>
      </c>
      <c r="E113" s="596">
        <v>0</v>
      </c>
      <c r="F113" s="596">
        <v>1084448.42</v>
      </c>
      <c r="G113" s="598">
        <v>0</v>
      </c>
      <c r="H113" s="598">
        <v>1468495.1600000001</v>
      </c>
      <c r="I113" s="798">
        <f t="shared" si="10"/>
        <v>3637392</v>
      </c>
      <c r="J113" s="597">
        <f t="shared" si="11"/>
        <v>1468495.1600000001</v>
      </c>
      <c r="K113" s="798">
        <f t="shared" si="12"/>
        <v>2552943.58</v>
      </c>
    </row>
    <row r="114" spans="1:11" ht="15" customHeight="1" x14ac:dyDescent="0.3">
      <c r="A114" s="414" t="s">
        <v>159</v>
      </c>
      <c r="B114" s="419" t="s">
        <v>160</v>
      </c>
      <c r="C114" s="557" t="s">
        <v>251</v>
      </c>
      <c r="D114" s="596">
        <v>688501.86</v>
      </c>
      <c r="E114" s="596">
        <v>0</v>
      </c>
      <c r="F114" s="596">
        <v>688501.86</v>
      </c>
      <c r="G114" s="598">
        <v>0</v>
      </c>
      <c r="H114" s="598">
        <v>932328.0299999998</v>
      </c>
      <c r="I114" s="798">
        <f t="shared" si="10"/>
        <v>2309331.75</v>
      </c>
      <c r="J114" s="597">
        <f t="shared" si="11"/>
        <v>932328.0299999998</v>
      </c>
      <c r="K114" s="798">
        <f t="shared" si="12"/>
        <v>1620829.8899999997</v>
      </c>
    </row>
    <row r="115" spans="1:11" ht="15" customHeight="1" x14ac:dyDescent="0.3">
      <c r="A115" s="414" t="s">
        <v>165</v>
      </c>
      <c r="B115" s="419" t="s">
        <v>166</v>
      </c>
      <c r="C115" s="557" t="s">
        <v>255</v>
      </c>
      <c r="D115" s="596">
        <v>24409.23</v>
      </c>
      <c r="E115" s="596">
        <v>0</v>
      </c>
      <c r="F115" s="596">
        <v>24409.23</v>
      </c>
      <c r="G115" s="598">
        <v>0</v>
      </c>
      <c r="H115" s="598">
        <v>33053.54</v>
      </c>
      <c r="I115" s="798">
        <f t="shared" si="10"/>
        <v>81872</v>
      </c>
      <c r="J115" s="597">
        <f t="shared" si="11"/>
        <v>33053.54</v>
      </c>
      <c r="K115" s="798">
        <f t="shared" si="12"/>
        <v>57462.770000000004</v>
      </c>
    </row>
    <row r="116" spans="1:11" ht="15" customHeight="1" x14ac:dyDescent="0.3">
      <c r="A116" s="414" t="s">
        <v>175</v>
      </c>
      <c r="B116" s="419" t="s">
        <v>176</v>
      </c>
      <c r="C116" s="557" t="s">
        <v>253</v>
      </c>
      <c r="D116" s="596">
        <v>0</v>
      </c>
      <c r="E116" s="596">
        <v>0</v>
      </c>
      <c r="F116" s="596">
        <v>0</v>
      </c>
      <c r="G116" s="598">
        <v>67910.960000000006</v>
      </c>
      <c r="H116" s="598">
        <v>0</v>
      </c>
      <c r="I116" s="798">
        <f t="shared" si="10"/>
        <v>67910.960000000006</v>
      </c>
      <c r="J116" s="597">
        <f t="shared" si="11"/>
        <v>67910.960000000006</v>
      </c>
      <c r="K116" s="798">
        <f t="shared" si="12"/>
        <v>67910.960000000006</v>
      </c>
    </row>
    <row r="117" spans="1:11" ht="15" customHeight="1" x14ac:dyDescent="0.3">
      <c r="A117" s="414" t="s">
        <v>179</v>
      </c>
      <c r="B117" s="419" t="s">
        <v>180</v>
      </c>
      <c r="C117" s="557" t="s">
        <v>251</v>
      </c>
      <c r="D117" s="596">
        <v>335853.59</v>
      </c>
      <c r="E117" s="596">
        <v>0</v>
      </c>
      <c r="F117" s="596">
        <v>335853.59</v>
      </c>
      <c r="G117" s="598">
        <v>61286.3</v>
      </c>
      <c r="H117" s="598">
        <v>454792.81999999995</v>
      </c>
      <c r="I117" s="798">
        <f t="shared" si="10"/>
        <v>1187786.3</v>
      </c>
      <c r="J117" s="597">
        <f t="shared" si="11"/>
        <v>516079.11999999994</v>
      </c>
      <c r="K117" s="798">
        <f t="shared" si="12"/>
        <v>851932.71</v>
      </c>
    </row>
    <row r="118" spans="1:11" ht="15" customHeight="1" x14ac:dyDescent="0.3">
      <c r="A118" s="414" t="s">
        <v>191</v>
      </c>
      <c r="B118" s="419" t="s">
        <v>192</v>
      </c>
      <c r="C118" s="557" t="s">
        <v>255</v>
      </c>
      <c r="D118" s="596">
        <v>30541.67</v>
      </c>
      <c r="E118" s="596">
        <v>0</v>
      </c>
      <c r="F118" s="596">
        <v>30541.67</v>
      </c>
      <c r="G118" s="598">
        <v>0</v>
      </c>
      <c r="H118" s="598">
        <v>41357.659999999996</v>
      </c>
      <c r="I118" s="798">
        <f t="shared" si="10"/>
        <v>102441</v>
      </c>
      <c r="J118" s="597">
        <f t="shared" si="11"/>
        <v>41357.659999999996</v>
      </c>
      <c r="K118" s="798">
        <f t="shared" si="12"/>
        <v>71899.329999999987</v>
      </c>
    </row>
    <row r="119" spans="1:11" ht="15" customHeight="1" x14ac:dyDescent="0.3">
      <c r="A119" s="414" t="s">
        <v>195</v>
      </c>
      <c r="B119" s="419" t="s">
        <v>285</v>
      </c>
      <c r="C119" s="557" t="s">
        <v>253</v>
      </c>
      <c r="D119" s="596">
        <v>841470.2</v>
      </c>
      <c r="E119" s="596">
        <v>0</v>
      </c>
      <c r="F119" s="596">
        <v>841470.2</v>
      </c>
      <c r="G119" s="598">
        <v>0</v>
      </c>
      <c r="H119" s="598">
        <v>1139468.6000000001</v>
      </c>
      <c r="I119" s="798">
        <f t="shared" si="10"/>
        <v>2822409</v>
      </c>
      <c r="J119" s="597">
        <f t="shared" si="11"/>
        <v>1139468.6000000001</v>
      </c>
      <c r="K119" s="798">
        <f t="shared" si="12"/>
        <v>1980938.8</v>
      </c>
    </row>
    <row r="120" spans="1:11" ht="15" customHeight="1" x14ac:dyDescent="0.3">
      <c r="A120" s="414" t="s">
        <v>199</v>
      </c>
      <c r="B120" s="419" t="s">
        <v>286</v>
      </c>
      <c r="C120" s="557" t="s">
        <v>252</v>
      </c>
      <c r="D120" s="596">
        <v>847630.05</v>
      </c>
      <c r="E120" s="596">
        <v>0</v>
      </c>
      <c r="F120" s="596">
        <v>847630.05</v>
      </c>
      <c r="G120" s="598">
        <v>0</v>
      </c>
      <c r="H120" s="598">
        <v>1147809.8999999999</v>
      </c>
      <c r="I120" s="798">
        <f t="shared" si="10"/>
        <v>2843070</v>
      </c>
      <c r="J120" s="597">
        <f t="shared" si="11"/>
        <v>1147809.8999999999</v>
      </c>
      <c r="K120" s="798">
        <f t="shared" si="12"/>
        <v>1995439.95</v>
      </c>
    </row>
    <row r="121" spans="1:11" ht="15" customHeight="1" x14ac:dyDescent="0.3">
      <c r="A121" s="414" t="s">
        <v>221</v>
      </c>
      <c r="B121" s="419" t="s">
        <v>222</v>
      </c>
      <c r="C121" s="557" t="s">
        <v>251</v>
      </c>
      <c r="D121" s="596">
        <v>181205.61</v>
      </c>
      <c r="E121" s="596">
        <v>0</v>
      </c>
      <c r="F121" s="596">
        <v>181205.61</v>
      </c>
      <c r="G121" s="598">
        <v>1980.19</v>
      </c>
      <c r="H121" s="598">
        <v>245377.77999999997</v>
      </c>
      <c r="I121" s="798">
        <f t="shared" si="10"/>
        <v>609769.18999999994</v>
      </c>
      <c r="J121" s="597">
        <f t="shared" si="11"/>
        <v>247357.96999999997</v>
      </c>
      <c r="K121" s="798">
        <f t="shared" si="12"/>
        <v>428563.57999999996</v>
      </c>
    </row>
    <row r="122" spans="1:11" ht="15" customHeight="1" x14ac:dyDescent="0.3">
      <c r="A122" s="414" t="s">
        <v>229</v>
      </c>
      <c r="B122" s="419" t="s">
        <v>230</v>
      </c>
      <c r="C122" s="557" t="s">
        <v>251</v>
      </c>
      <c r="D122" s="596">
        <v>895909.18</v>
      </c>
      <c r="E122" s="596">
        <v>0</v>
      </c>
      <c r="F122" s="596">
        <v>895909.18</v>
      </c>
      <c r="G122" s="598">
        <v>0</v>
      </c>
      <c r="H122" s="598">
        <v>1213186.6399999999</v>
      </c>
      <c r="I122" s="798">
        <f t="shared" si="10"/>
        <v>3005005</v>
      </c>
      <c r="J122" s="597">
        <f t="shared" si="11"/>
        <v>1213186.6399999999</v>
      </c>
      <c r="K122" s="798">
        <f t="shared" si="12"/>
        <v>2109095.8199999998</v>
      </c>
    </row>
    <row r="123" spans="1:11" ht="15" customHeight="1" x14ac:dyDescent="0.3">
      <c r="A123" s="414" t="s">
        <v>237</v>
      </c>
      <c r="B123" s="419" t="s">
        <v>238</v>
      </c>
      <c r="C123" s="557" t="s">
        <v>251</v>
      </c>
      <c r="D123" s="596">
        <v>103743.13</v>
      </c>
      <c r="E123" s="596">
        <v>0</v>
      </c>
      <c r="F123" s="596">
        <v>103743.13</v>
      </c>
      <c r="G123" s="598">
        <v>0</v>
      </c>
      <c r="H123" s="598">
        <v>140482.74</v>
      </c>
      <c r="I123" s="798">
        <f t="shared" si="10"/>
        <v>347969</v>
      </c>
      <c r="J123" s="597">
        <f t="shared" si="11"/>
        <v>140482.74</v>
      </c>
      <c r="K123" s="798">
        <f t="shared" si="12"/>
        <v>244225.87</v>
      </c>
    </row>
    <row r="124" spans="1:11" ht="15" customHeight="1" x14ac:dyDescent="0.3">
      <c r="A124" s="414" t="s">
        <v>239</v>
      </c>
      <c r="B124" s="419" t="s">
        <v>240</v>
      </c>
      <c r="C124" s="557" t="s">
        <v>254</v>
      </c>
      <c r="D124" s="596">
        <v>96170.71</v>
      </c>
      <c r="E124" s="596">
        <v>0</v>
      </c>
      <c r="F124" s="596">
        <v>96170.71</v>
      </c>
      <c r="G124" s="598">
        <v>0</v>
      </c>
      <c r="H124" s="598">
        <v>130228.58000000002</v>
      </c>
      <c r="I124" s="798">
        <f t="shared" si="10"/>
        <v>322570</v>
      </c>
      <c r="J124" s="597">
        <f t="shared" si="11"/>
        <v>130228.58000000002</v>
      </c>
      <c r="K124" s="798">
        <f t="shared" si="12"/>
        <v>226399.29000000004</v>
      </c>
    </row>
    <row r="126" spans="1:11" x14ac:dyDescent="0.3">
      <c r="A126" s="105" t="s">
        <v>253</v>
      </c>
      <c r="D126" s="977">
        <v>3347980.2300000004</v>
      </c>
      <c r="E126" s="977">
        <v>0</v>
      </c>
      <c r="F126" s="977">
        <v>3347980.2300000004</v>
      </c>
      <c r="G126" s="977">
        <v>252354.41000000003</v>
      </c>
      <c r="H126" s="977">
        <v>4533634.540000001</v>
      </c>
      <c r="I126" s="977">
        <f>SUM(D126:H126)</f>
        <v>11481949.410000002</v>
      </c>
      <c r="J126" s="977">
        <f>G126+H126</f>
        <v>4785988.9500000011</v>
      </c>
      <c r="K126" s="977">
        <f>F126+G126+H126</f>
        <v>8133969.1800000016</v>
      </c>
    </row>
    <row r="127" spans="1:11" x14ac:dyDescent="0.3">
      <c r="A127" s="105" t="s">
        <v>251</v>
      </c>
      <c r="D127" s="977">
        <v>5073386.88</v>
      </c>
      <c r="E127" s="977">
        <v>0</v>
      </c>
      <c r="F127" s="977">
        <v>5073386.88</v>
      </c>
      <c r="G127" s="977">
        <v>139251.69</v>
      </c>
      <c r="H127" s="977">
        <v>6870076.9899999974</v>
      </c>
      <c r="I127" s="977">
        <f t="shared" ref="I127:I130" si="13">SUM(D127:H127)</f>
        <v>17156102.439999998</v>
      </c>
      <c r="J127" s="977">
        <f t="shared" ref="J127:J130" si="14">G127+H127</f>
        <v>7009328.6799999978</v>
      </c>
      <c r="K127" s="977">
        <f t="shared" ref="K127:K130" si="15">F127+G127+H127</f>
        <v>12082715.559999999</v>
      </c>
    </row>
    <row r="128" spans="1:11" x14ac:dyDescent="0.3">
      <c r="A128" s="105" t="s">
        <v>254</v>
      </c>
      <c r="D128" s="977">
        <v>8040940.6499999985</v>
      </c>
      <c r="E128" s="977">
        <v>0</v>
      </c>
      <c r="F128" s="977">
        <v>8040940.6499999985</v>
      </c>
      <c r="G128" s="977">
        <v>41169.47</v>
      </c>
      <c r="H128" s="977">
        <v>10888560.75</v>
      </c>
      <c r="I128" s="977">
        <f t="shared" si="13"/>
        <v>27011611.519999996</v>
      </c>
      <c r="J128" s="977">
        <f t="shared" si="14"/>
        <v>10929730.220000001</v>
      </c>
      <c r="K128" s="977">
        <f t="shared" si="15"/>
        <v>18970670.869999997</v>
      </c>
    </row>
    <row r="129" spans="1:11" x14ac:dyDescent="0.3">
      <c r="A129" s="105" t="s">
        <v>252</v>
      </c>
      <c r="D129" s="977">
        <v>3961516.6300000013</v>
      </c>
      <c r="E129" s="977">
        <v>0</v>
      </c>
      <c r="F129" s="977">
        <v>3961516.6300000013</v>
      </c>
      <c r="G129" s="977">
        <v>95785.11</v>
      </c>
      <c r="H129" s="977">
        <v>5364448.74</v>
      </c>
      <c r="I129" s="977">
        <f t="shared" si="13"/>
        <v>13383267.110000003</v>
      </c>
      <c r="J129" s="977">
        <f t="shared" si="14"/>
        <v>5460233.8500000006</v>
      </c>
      <c r="K129" s="977">
        <f t="shared" si="15"/>
        <v>9421750.4800000004</v>
      </c>
    </row>
    <row r="130" spans="1:11" x14ac:dyDescent="0.3">
      <c r="A130" s="105" t="s">
        <v>255</v>
      </c>
      <c r="D130" s="977">
        <v>1501278.6099999996</v>
      </c>
      <c r="E130" s="977">
        <v>0</v>
      </c>
      <c r="F130" s="977">
        <v>1501278.6099999996</v>
      </c>
      <c r="G130" s="977">
        <v>52802.13</v>
      </c>
      <c r="H130" s="977">
        <v>2032941.7799999998</v>
      </c>
      <c r="I130" s="977">
        <f t="shared" si="13"/>
        <v>5088301.129999999</v>
      </c>
      <c r="J130" s="977">
        <f t="shared" si="14"/>
        <v>2085743.9099999997</v>
      </c>
      <c r="K130" s="977">
        <f t="shared" si="15"/>
        <v>3587022.5199999996</v>
      </c>
    </row>
    <row r="131" spans="1:11" x14ac:dyDescent="0.3">
      <c r="A131" s="105" t="s">
        <v>8</v>
      </c>
      <c r="D131" s="978">
        <f>SUM(D126:D130)</f>
        <v>21925103</v>
      </c>
      <c r="E131" s="978">
        <f t="shared" ref="E131:H131" si="16">SUM(E126:E130)</f>
        <v>0</v>
      </c>
      <c r="F131" s="978">
        <f t="shared" si="16"/>
        <v>21925103</v>
      </c>
      <c r="G131" s="978">
        <f t="shared" si="16"/>
        <v>581362.81000000006</v>
      </c>
      <c r="H131" s="978">
        <f t="shared" si="16"/>
        <v>29689662.799999997</v>
      </c>
      <c r="I131" s="978">
        <f>SUM(I126:I130)</f>
        <v>74121231.609999999</v>
      </c>
      <c r="J131" s="978">
        <f>SUM(J126:J130)</f>
        <v>30271025.610000003</v>
      </c>
      <c r="K131" s="978">
        <f>SUM(K126:K130)</f>
        <v>52196128.609999999</v>
      </c>
    </row>
    <row r="133" spans="1:11" s="173" customFormat="1" x14ac:dyDescent="0.3">
      <c r="A133" s="584" t="s">
        <v>909</v>
      </c>
      <c r="B133" s="410"/>
      <c r="C133" s="410"/>
      <c r="D133" s="368"/>
    </row>
    <row r="134" spans="1:11" s="173" customFormat="1" x14ac:dyDescent="0.3"/>
    <row r="135" spans="1:11" s="193" customFormat="1" x14ac:dyDescent="0.3">
      <c r="A135" s="193" t="s">
        <v>247</v>
      </c>
    </row>
    <row r="136" spans="1:11" x14ac:dyDescent="0.3">
      <c r="A136" s="194" t="s">
        <v>248</v>
      </c>
      <c r="B136" s="195" t="s">
        <v>249</v>
      </c>
      <c r="C136" s="195"/>
    </row>
  </sheetData>
  <autoFilter ref="A3:C124"/>
  <sortState ref="A5:K124">
    <sortCondition ref="A5:A124"/>
  </sortState>
  <hyperlinks>
    <hyperlink ref="B136" r:id="rId1"/>
  </hyperlink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zoomScale="110" zoomScaleNormal="110" workbookViewId="0">
      <pane xSplit="3" ySplit="4" topLeftCell="E121" activePane="bottomRight" state="frozen"/>
      <selection pane="topRight" activeCell="D1" sqref="D1"/>
      <selection pane="bottomLeft" activeCell="A6" sqref="A6"/>
      <selection pane="bottomRight" activeCell="G134" sqref="G134"/>
    </sheetView>
  </sheetViews>
  <sheetFormatPr defaultColWidth="9" defaultRowHeight="15.6" x14ac:dyDescent="0.3"/>
  <cols>
    <col min="1" max="1" width="9.5" style="105" customWidth="1"/>
    <col min="2" max="2" width="30.69921875" style="105" customWidth="1"/>
    <col min="3" max="3" width="16" style="105" customWidth="1"/>
    <col min="4" max="11" width="12.796875" style="105" customWidth="1"/>
    <col min="12" max="16384" width="9" style="105"/>
  </cols>
  <sheetData>
    <row r="1" spans="1:11" x14ac:dyDescent="0.3">
      <c r="A1" s="2" t="s">
        <v>910</v>
      </c>
      <c r="D1" s="416"/>
    </row>
    <row r="2" spans="1:11" x14ac:dyDescent="0.3">
      <c r="F2" s="416"/>
      <c r="G2" s="416"/>
    </row>
    <row r="3" spans="1:11" s="1312" customFormat="1" ht="34.5" customHeight="1" x14ac:dyDescent="0.3">
      <c r="A3" s="1306" t="s">
        <v>4</v>
      </c>
      <c r="B3" s="1307" t="s">
        <v>5</v>
      </c>
      <c r="C3" s="1307" t="s">
        <v>250</v>
      </c>
      <c r="D3" s="1308" t="s">
        <v>287</v>
      </c>
      <c r="E3" s="1309" t="s">
        <v>288</v>
      </c>
      <c r="F3" s="1309" t="s">
        <v>289</v>
      </c>
      <c r="G3" s="1309" t="s">
        <v>570</v>
      </c>
      <c r="H3" s="1309" t="s">
        <v>571</v>
      </c>
      <c r="I3" s="1309" t="s">
        <v>262</v>
      </c>
      <c r="J3" s="1310" t="s">
        <v>296</v>
      </c>
      <c r="K3" s="1311" t="s">
        <v>573</v>
      </c>
    </row>
    <row r="4" spans="1:11" s="1312" customFormat="1" ht="14.4" x14ac:dyDescent="0.3">
      <c r="A4" s="1313">
        <v>999</v>
      </c>
      <c r="B4" s="1314" t="s">
        <v>8</v>
      </c>
      <c r="C4" s="1314"/>
      <c r="D4" s="1315">
        <f t="shared" ref="D4:K4" si="0">SUM(D5:D124)</f>
        <v>10601990.880000001</v>
      </c>
      <c r="E4" s="1316">
        <f t="shared" si="0"/>
        <v>8642703.8000000045</v>
      </c>
      <c r="F4" s="1316">
        <f t="shared" si="0"/>
        <v>3952816.61</v>
      </c>
      <c r="G4" s="1316">
        <f t="shared" si="0"/>
        <v>1491966.1899999978</v>
      </c>
      <c r="H4" s="1316">
        <f t="shared" si="0"/>
        <v>3113634.8699999996</v>
      </c>
      <c r="I4" s="1316">
        <f t="shared" si="0"/>
        <v>27803112.350000009</v>
      </c>
      <c r="J4" s="1316">
        <f t="shared" si="0"/>
        <v>4605601.0600000015</v>
      </c>
      <c r="K4" s="1317">
        <f t="shared" si="0"/>
        <v>8558417.6699999981</v>
      </c>
    </row>
    <row r="5" spans="1:11" s="1312" customFormat="1" ht="15" customHeight="1" x14ac:dyDescent="0.3">
      <c r="A5" s="1318" t="s">
        <v>9</v>
      </c>
      <c r="B5" s="1319" t="s">
        <v>10</v>
      </c>
      <c r="C5" s="1320" t="s">
        <v>251</v>
      </c>
      <c r="D5" s="1321">
        <v>70435.286302097724</v>
      </c>
      <c r="E5" s="1322">
        <v>8047.6336979022735</v>
      </c>
      <c r="F5" s="1322">
        <v>22358.52</v>
      </c>
      <c r="G5" s="1322">
        <v>-0.11</v>
      </c>
      <c r="H5" s="1322">
        <v>0</v>
      </c>
      <c r="I5" s="1322">
        <f t="shared" ref="I5:I36" si="1">SUM(D5:H5)</f>
        <v>100841.33</v>
      </c>
      <c r="J5" s="1322">
        <f t="shared" ref="J5:J36" si="2">G5+H5</f>
        <v>-0.11</v>
      </c>
      <c r="K5" s="1323">
        <f t="shared" ref="K5:K36" si="3">F5+J5</f>
        <v>22358.41</v>
      </c>
    </row>
    <row r="6" spans="1:11" s="1312" customFormat="1" ht="15" customHeight="1" x14ac:dyDescent="0.3">
      <c r="A6" s="1324" t="s">
        <v>11</v>
      </c>
      <c r="B6" s="1325" t="s">
        <v>12</v>
      </c>
      <c r="C6" s="1326" t="s">
        <v>252</v>
      </c>
      <c r="D6" s="1327">
        <v>225639.95798492414</v>
      </c>
      <c r="E6" s="1328">
        <v>62132.272015075825</v>
      </c>
      <c r="F6" s="1328">
        <v>72449.88</v>
      </c>
      <c r="G6" s="1328">
        <v>3283.37</v>
      </c>
      <c r="H6" s="1328">
        <v>0</v>
      </c>
      <c r="I6" s="1328">
        <f t="shared" si="1"/>
        <v>363505.48</v>
      </c>
      <c r="J6" s="1328">
        <f t="shared" si="2"/>
        <v>3283.37</v>
      </c>
      <c r="K6" s="1329">
        <f t="shared" si="3"/>
        <v>75733.25</v>
      </c>
    </row>
    <row r="7" spans="1:11" s="1312" customFormat="1" ht="15" customHeight="1" x14ac:dyDescent="0.3">
      <c r="A7" s="1324" t="s">
        <v>15</v>
      </c>
      <c r="B7" s="1325" t="s">
        <v>273</v>
      </c>
      <c r="C7" s="1326" t="s">
        <v>252</v>
      </c>
      <c r="D7" s="1327">
        <v>47869.375751415668</v>
      </c>
      <c r="E7" s="1328">
        <v>7013.7542485843378</v>
      </c>
      <c r="F7" s="1328">
        <v>12641.1</v>
      </c>
      <c r="G7" s="1328">
        <v>58.51</v>
      </c>
      <c r="H7" s="1328">
        <v>0</v>
      </c>
      <c r="I7" s="1328">
        <f t="shared" si="1"/>
        <v>67582.740000000005</v>
      </c>
      <c r="J7" s="1328">
        <f t="shared" si="2"/>
        <v>58.51</v>
      </c>
      <c r="K7" s="1329">
        <f t="shared" si="3"/>
        <v>12699.61</v>
      </c>
    </row>
    <row r="8" spans="1:11" s="1312" customFormat="1" ht="15" customHeight="1" x14ac:dyDescent="0.3">
      <c r="A8" s="1324" t="s">
        <v>17</v>
      </c>
      <c r="B8" s="1325" t="s">
        <v>18</v>
      </c>
      <c r="C8" s="1326" t="s">
        <v>253</v>
      </c>
      <c r="D8" s="1327">
        <v>12463.000863654841</v>
      </c>
      <c r="E8" s="1328">
        <v>6115.4391363451577</v>
      </c>
      <c r="F8" s="1328">
        <v>3551.4700000000003</v>
      </c>
      <c r="G8" s="1328">
        <v>9.9999999999999967E-3</v>
      </c>
      <c r="H8" s="1328">
        <v>0</v>
      </c>
      <c r="I8" s="1328">
        <f t="shared" si="1"/>
        <v>22129.919999999998</v>
      </c>
      <c r="J8" s="1328">
        <f t="shared" si="2"/>
        <v>9.9999999999999967E-3</v>
      </c>
      <c r="K8" s="1329">
        <f t="shared" si="3"/>
        <v>3551.4800000000005</v>
      </c>
    </row>
    <row r="9" spans="1:11" s="1312" customFormat="1" ht="15" customHeight="1" x14ac:dyDescent="0.3">
      <c r="A9" s="1324" t="s">
        <v>19</v>
      </c>
      <c r="B9" s="1325" t="s">
        <v>20</v>
      </c>
      <c r="C9" s="1326" t="s">
        <v>252</v>
      </c>
      <c r="D9" s="1327">
        <v>49383.36393491707</v>
      </c>
      <c r="E9" s="1328">
        <v>10357.386065082934</v>
      </c>
      <c r="F9" s="1328">
        <v>12029.93</v>
      </c>
      <c r="G9" s="1328">
        <v>-0.05</v>
      </c>
      <c r="H9" s="1328">
        <v>0</v>
      </c>
      <c r="I9" s="1328">
        <f t="shared" si="1"/>
        <v>71770.62999999999</v>
      </c>
      <c r="J9" s="1328">
        <f t="shared" si="2"/>
        <v>-0.05</v>
      </c>
      <c r="K9" s="1329">
        <f t="shared" si="3"/>
        <v>12029.880000000001</v>
      </c>
    </row>
    <row r="10" spans="1:11" s="1312" customFormat="1" ht="15" customHeight="1" x14ac:dyDescent="0.3">
      <c r="A10" s="1324" t="s">
        <v>21</v>
      </c>
      <c r="B10" s="1325" t="s">
        <v>22</v>
      </c>
      <c r="C10" s="1326" t="s">
        <v>252</v>
      </c>
      <c r="D10" s="1327">
        <v>14277.02619765823</v>
      </c>
      <c r="E10" s="1328">
        <v>19082.423802341771</v>
      </c>
      <c r="F10" s="1328">
        <v>5954.13</v>
      </c>
      <c r="G10" s="1328">
        <v>-1.7347234759768071E-18</v>
      </c>
      <c r="H10" s="1328">
        <v>0</v>
      </c>
      <c r="I10" s="1328">
        <f t="shared" si="1"/>
        <v>39313.579999999994</v>
      </c>
      <c r="J10" s="1328">
        <f t="shared" si="2"/>
        <v>-1.7347234759768071E-18</v>
      </c>
      <c r="K10" s="1329">
        <f t="shared" si="3"/>
        <v>5954.13</v>
      </c>
    </row>
    <row r="11" spans="1:11" s="1312" customFormat="1" ht="15" customHeight="1" x14ac:dyDescent="0.3">
      <c r="A11" s="1324" t="s">
        <v>23</v>
      </c>
      <c r="B11" s="1325" t="s">
        <v>24</v>
      </c>
      <c r="C11" s="1326" t="s">
        <v>254</v>
      </c>
      <c r="D11" s="1327">
        <v>270716.86943996075</v>
      </c>
      <c r="E11" s="1328">
        <v>61003.690560039242</v>
      </c>
      <c r="F11" s="1328">
        <v>83963.750000000015</v>
      </c>
      <c r="G11" s="1328">
        <v>1105465.53</v>
      </c>
      <c r="H11" s="1328">
        <v>0</v>
      </c>
      <c r="I11" s="1328">
        <f t="shared" si="1"/>
        <v>1521149.84</v>
      </c>
      <c r="J11" s="1328">
        <f t="shared" si="2"/>
        <v>1105465.53</v>
      </c>
      <c r="K11" s="1329">
        <f t="shared" si="3"/>
        <v>1189429.28</v>
      </c>
    </row>
    <row r="12" spans="1:11" s="1312" customFormat="1" ht="15" customHeight="1" x14ac:dyDescent="0.3">
      <c r="A12" s="1324" t="s">
        <v>25</v>
      </c>
      <c r="B12" s="1325" t="s">
        <v>444</v>
      </c>
      <c r="C12" s="1326" t="s">
        <v>252</v>
      </c>
      <c r="D12" s="1327">
        <v>132824.27658020193</v>
      </c>
      <c r="E12" s="1328">
        <v>151027.34341979807</v>
      </c>
      <c r="F12" s="1328">
        <v>53479.65</v>
      </c>
      <c r="G12" s="1328">
        <v>-0.15999999999999998</v>
      </c>
      <c r="H12" s="1328">
        <v>0</v>
      </c>
      <c r="I12" s="1328">
        <f t="shared" si="1"/>
        <v>337331.11000000004</v>
      </c>
      <c r="J12" s="1328">
        <f t="shared" si="2"/>
        <v>-0.15999999999999998</v>
      </c>
      <c r="K12" s="1329">
        <f t="shared" si="3"/>
        <v>53479.49</v>
      </c>
    </row>
    <row r="13" spans="1:11" s="1312" customFormat="1" ht="15" customHeight="1" x14ac:dyDescent="0.3">
      <c r="A13" s="1324" t="s">
        <v>26</v>
      </c>
      <c r="B13" s="1325" t="s">
        <v>27</v>
      </c>
      <c r="C13" s="1326" t="s">
        <v>252</v>
      </c>
      <c r="D13" s="1327">
        <v>1021.98</v>
      </c>
      <c r="E13" s="1328">
        <v>359.78</v>
      </c>
      <c r="F13" s="1328">
        <v>253.45000000000002</v>
      </c>
      <c r="G13" s="1328">
        <v>0.03</v>
      </c>
      <c r="H13" s="1328">
        <v>0</v>
      </c>
      <c r="I13" s="1328">
        <f t="shared" si="1"/>
        <v>1635.24</v>
      </c>
      <c r="J13" s="1328">
        <f t="shared" si="2"/>
        <v>0.03</v>
      </c>
      <c r="K13" s="1329">
        <f t="shared" si="3"/>
        <v>253.48000000000002</v>
      </c>
    </row>
    <row r="14" spans="1:11" s="1312" customFormat="1" ht="15" customHeight="1" x14ac:dyDescent="0.3">
      <c r="A14" s="1324" t="s">
        <v>28</v>
      </c>
      <c r="B14" s="1325" t="s">
        <v>568</v>
      </c>
      <c r="C14" s="1326" t="s">
        <v>252</v>
      </c>
      <c r="D14" s="1327">
        <v>111459.8661942047</v>
      </c>
      <c r="E14" s="1328">
        <v>120274.2138057953</v>
      </c>
      <c r="F14" s="1328">
        <v>40221.360000000001</v>
      </c>
      <c r="G14" s="1328">
        <v>2.0000000000000004E-2</v>
      </c>
      <c r="H14" s="1328">
        <v>582.87</v>
      </c>
      <c r="I14" s="1328">
        <f t="shared" si="1"/>
        <v>272538.33</v>
      </c>
      <c r="J14" s="1328">
        <f t="shared" si="2"/>
        <v>582.89</v>
      </c>
      <c r="K14" s="1329">
        <f t="shared" si="3"/>
        <v>40804.25</v>
      </c>
    </row>
    <row r="15" spans="1:11" s="1312" customFormat="1" ht="15" customHeight="1" x14ac:dyDescent="0.3">
      <c r="A15" s="1324" t="s">
        <v>29</v>
      </c>
      <c r="B15" s="1325" t="s">
        <v>30</v>
      </c>
      <c r="C15" s="1326" t="s">
        <v>255</v>
      </c>
      <c r="D15" s="1327">
        <v>54111.452096026427</v>
      </c>
      <c r="E15" s="1328">
        <v>4808.6579039735725</v>
      </c>
      <c r="F15" s="1328">
        <v>13749.32</v>
      </c>
      <c r="G15" s="1328">
        <v>0.01</v>
      </c>
      <c r="H15" s="1328">
        <v>0</v>
      </c>
      <c r="I15" s="1328">
        <f t="shared" si="1"/>
        <v>72669.439999999988</v>
      </c>
      <c r="J15" s="1328">
        <f t="shared" si="2"/>
        <v>0.01</v>
      </c>
      <c r="K15" s="1329">
        <f t="shared" si="3"/>
        <v>13749.33</v>
      </c>
    </row>
    <row r="16" spans="1:11" s="1312" customFormat="1" ht="15" customHeight="1" x14ac:dyDescent="0.3">
      <c r="A16" s="1324" t="s">
        <v>31</v>
      </c>
      <c r="B16" s="1325" t="s">
        <v>32</v>
      </c>
      <c r="C16" s="1326" t="s">
        <v>252</v>
      </c>
      <c r="D16" s="1327">
        <v>29200.188991152172</v>
      </c>
      <c r="E16" s="1328">
        <v>7559.4910088478291</v>
      </c>
      <c r="F16" s="1328">
        <v>7570.69</v>
      </c>
      <c r="G16" s="1328">
        <v>-2.0000000000000004E-2</v>
      </c>
      <c r="H16" s="1328">
        <v>0</v>
      </c>
      <c r="I16" s="1328">
        <f t="shared" si="1"/>
        <v>44330.350000000006</v>
      </c>
      <c r="J16" s="1328">
        <f t="shared" si="2"/>
        <v>-2.0000000000000004E-2</v>
      </c>
      <c r="K16" s="1329">
        <f t="shared" si="3"/>
        <v>7570.6699999999992</v>
      </c>
    </row>
    <row r="17" spans="1:11" s="1312" customFormat="1" ht="15" customHeight="1" x14ac:dyDescent="0.3">
      <c r="A17" s="1324" t="s">
        <v>35</v>
      </c>
      <c r="B17" s="1325" t="s">
        <v>36</v>
      </c>
      <c r="C17" s="1326" t="s">
        <v>251</v>
      </c>
      <c r="D17" s="1327">
        <v>44082.78131053962</v>
      </c>
      <c r="E17" s="1328">
        <v>18539.778689460378</v>
      </c>
      <c r="F17" s="1328">
        <v>12649.169999999998</v>
      </c>
      <c r="G17" s="1328">
        <v>-0.08</v>
      </c>
      <c r="H17" s="1328">
        <v>0</v>
      </c>
      <c r="I17" s="1328">
        <f t="shared" si="1"/>
        <v>75271.649999999994</v>
      </c>
      <c r="J17" s="1328">
        <f t="shared" si="2"/>
        <v>-0.08</v>
      </c>
      <c r="K17" s="1329">
        <f t="shared" si="3"/>
        <v>12649.089999999998</v>
      </c>
    </row>
    <row r="18" spans="1:11" s="1312" customFormat="1" ht="15" customHeight="1" x14ac:dyDescent="0.3">
      <c r="A18" s="1324" t="s">
        <v>37</v>
      </c>
      <c r="B18" s="1325" t="s">
        <v>38</v>
      </c>
      <c r="C18" s="1326" t="s">
        <v>255</v>
      </c>
      <c r="D18" s="1327">
        <v>128814.50535461845</v>
      </c>
      <c r="E18" s="1328">
        <v>30281.724645381542</v>
      </c>
      <c r="F18" s="1328">
        <v>34624.589999999997</v>
      </c>
      <c r="G18" s="1328">
        <v>-0.12</v>
      </c>
      <c r="H18" s="1328">
        <v>0</v>
      </c>
      <c r="I18" s="1328">
        <f t="shared" si="1"/>
        <v>193720.69999999998</v>
      </c>
      <c r="J18" s="1328">
        <f t="shared" si="2"/>
        <v>-0.12</v>
      </c>
      <c r="K18" s="1329">
        <f t="shared" si="3"/>
        <v>34624.469999999994</v>
      </c>
    </row>
    <row r="19" spans="1:11" s="1312" customFormat="1" ht="15" customHeight="1" x14ac:dyDescent="0.3">
      <c r="A19" s="1324" t="s">
        <v>39</v>
      </c>
      <c r="B19" s="1325" t="s">
        <v>40</v>
      </c>
      <c r="C19" s="1326" t="s">
        <v>253</v>
      </c>
      <c r="D19" s="1327">
        <v>15619.469844554704</v>
      </c>
      <c r="E19" s="1328">
        <v>9273.1401554452968</v>
      </c>
      <c r="F19" s="1328">
        <v>4803.93</v>
      </c>
      <c r="G19" s="1328">
        <v>9.9999999999999967E-3</v>
      </c>
      <c r="H19" s="1328">
        <v>0</v>
      </c>
      <c r="I19" s="1328">
        <f t="shared" si="1"/>
        <v>29696.55</v>
      </c>
      <c r="J19" s="1328">
        <f t="shared" si="2"/>
        <v>9.9999999999999967E-3</v>
      </c>
      <c r="K19" s="1329">
        <f t="shared" si="3"/>
        <v>4803.9400000000005</v>
      </c>
    </row>
    <row r="20" spans="1:11" s="1312" customFormat="1" ht="15" customHeight="1" x14ac:dyDescent="0.3">
      <c r="A20" s="1324" t="s">
        <v>41</v>
      </c>
      <c r="B20" s="1325" t="s">
        <v>42</v>
      </c>
      <c r="C20" s="1326" t="s">
        <v>252</v>
      </c>
      <c r="D20" s="1327">
        <v>128451.48903600902</v>
      </c>
      <c r="E20" s="1328">
        <v>64903.370963990987</v>
      </c>
      <c r="F20" s="1328">
        <v>39619.090000000004</v>
      </c>
      <c r="G20" s="1328">
        <v>-7.9999999999999988E-2</v>
      </c>
      <c r="H20" s="1328">
        <v>46893.33</v>
      </c>
      <c r="I20" s="1328">
        <f t="shared" si="1"/>
        <v>279867.2</v>
      </c>
      <c r="J20" s="1328">
        <f t="shared" si="2"/>
        <v>46893.25</v>
      </c>
      <c r="K20" s="1329">
        <f t="shared" si="3"/>
        <v>86512.34</v>
      </c>
    </row>
    <row r="21" spans="1:11" s="1312" customFormat="1" ht="15" customHeight="1" x14ac:dyDescent="0.3">
      <c r="A21" s="1324" t="s">
        <v>43</v>
      </c>
      <c r="B21" s="1325" t="s">
        <v>44</v>
      </c>
      <c r="C21" s="1326" t="s">
        <v>253</v>
      </c>
      <c r="D21" s="1327">
        <v>24588.854744847602</v>
      </c>
      <c r="E21" s="1328">
        <v>22755.855255152401</v>
      </c>
      <c r="F21" s="1328">
        <v>8651.27</v>
      </c>
      <c r="G21" s="1328">
        <v>3969.93</v>
      </c>
      <c r="H21" s="1328">
        <v>0</v>
      </c>
      <c r="I21" s="1328">
        <f t="shared" si="1"/>
        <v>59965.910000000011</v>
      </c>
      <c r="J21" s="1328">
        <f t="shared" si="2"/>
        <v>3969.93</v>
      </c>
      <c r="K21" s="1329">
        <f t="shared" si="3"/>
        <v>12621.2</v>
      </c>
    </row>
    <row r="22" spans="1:11" s="1312" customFormat="1" ht="15" customHeight="1" x14ac:dyDescent="0.3">
      <c r="A22" s="1324" t="s">
        <v>45</v>
      </c>
      <c r="B22" s="1325" t="s">
        <v>46</v>
      </c>
      <c r="C22" s="1326" t="s">
        <v>255</v>
      </c>
      <c r="D22" s="1327">
        <v>57885.678620417297</v>
      </c>
      <c r="E22" s="1328">
        <v>49465.561379582708</v>
      </c>
      <c r="F22" s="1328">
        <v>20087.41</v>
      </c>
      <c r="G22" s="1328">
        <v>-9.9999999999999985E-3</v>
      </c>
      <c r="H22" s="1328">
        <v>0</v>
      </c>
      <c r="I22" s="1328">
        <f t="shared" si="1"/>
        <v>127438.64000000001</v>
      </c>
      <c r="J22" s="1328">
        <f t="shared" si="2"/>
        <v>-9.9999999999999985E-3</v>
      </c>
      <c r="K22" s="1329">
        <f t="shared" si="3"/>
        <v>20087.400000000001</v>
      </c>
    </row>
    <row r="23" spans="1:11" s="1312" customFormat="1" ht="15" customHeight="1" x14ac:dyDescent="0.3">
      <c r="A23" s="1324" t="s">
        <v>47</v>
      </c>
      <c r="B23" s="1325" t="s">
        <v>256</v>
      </c>
      <c r="C23" s="1326" t="s">
        <v>253</v>
      </c>
      <c r="D23" s="1327">
        <v>33335.991844483207</v>
      </c>
      <c r="E23" s="1328">
        <v>5412.7381555167949</v>
      </c>
      <c r="F23" s="1328">
        <v>8243.76</v>
      </c>
      <c r="G23" s="1328">
        <v>-0.02</v>
      </c>
      <c r="H23" s="1328">
        <v>0</v>
      </c>
      <c r="I23" s="1328">
        <f t="shared" si="1"/>
        <v>46992.470000000008</v>
      </c>
      <c r="J23" s="1328">
        <f t="shared" si="2"/>
        <v>-0.02</v>
      </c>
      <c r="K23" s="1329">
        <f t="shared" si="3"/>
        <v>8243.74</v>
      </c>
    </row>
    <row r="24" spans="1:11" s="1312" customFormat="1" ht="15" customHeight="1" x14ac:dyDescent="0.3">
      <c r="A24" s="1324" t="s">
        <v>49</v>
      </c>
      <c r="B24" s="1325" t="s">
        <v>50</v>
      </c>
      <c r="C24" s="1326" t="s">
        <v>252</v>
      </c>
      <c r="D24" s="1327">
        <v>49137.6259058715</v>
      </c>
      <c r="E24" s="1328">
        <v>8519.9440941285011</v>
      </c>
      <c r="F24" s="1328">
        <v>13312.26</v>
      </c>
      <c r="G24" s="1328">
        <v>3.0000000000000002E-2</v>
      </c>
      <c r="H24" s="1328">
        <v>0</v>
      </c>
      <c r="I24" s="1328">
        <f t="shared" si="1"/>
        <v>70969.86</v>
      </c>
      <c r="J24" s="1328">
        <f t="shared" si="2"/>
        <v>3.0000000000000002E-2</v>
      </c>
      <c r="K24" s="1329">
        <f t="shared" si="3"/>
        <v>13312.29</v>
      </c>
    </row>
    <row r="25" spans="1:11" s="1312" customFormat="1" ht="15" customHeight="1" x14ac:dyDescent="0.3">
      <c r="A25" s="1324" t="s">
        <v>55</v>
      </c>
      <c r="B25" s="1325" t="s">
        <v>271</v>
      </c>
      <c r="C25" s="1326" t="s">
        <v>253</v>
      </c>
      <c r="D25" s="1327">
        <v>271605.36960197432</v>
      </c>
      <c r="E25" s="1328">
        <v>374201.40039802564</v>
      </c>
      <c r="F25" s="1328">
        <v>116868.8</v>
      </c>
      <c r="G25" s="1328">
        <v>19.890000000000004</v>
      </c>
      <c r="H25" s="1328">
        <v>4569.88</v>
      </c>
      <c r="I25" s="1328">
        <f t="shared" si="1"/>
        <v>767265.34000000008</v>
      </c>
      <c r="J25" s="1328">
        <f t="shared" si="2"/>
        <v>4589.7700000000004</v>
      </c>
      <c r="K25" s="1329">
        <f t="shared" si="3"/>
        <v>121458.57</v>
      </c>
    </row>
    <row r="26" spans="1:11" s="1312" customFormat="1" ht="15" customHeight="1" x14ac:dyDescent="0.3">
      <c r="A26" s="1324" t="s">
        <v>57</v>
      </c>
      <c r="B26" s="1325" t="s">
        <v>58</v>
      </c>
      <c r="C26" s="1326" t="s">
        <v>254</v>
      </c>
      <c r="D26" s="1327">
        <v>12801.796403699555</v>
      </c>
      <c r="E26" s="1328">
        <v>3926.873596300446</v>
      </c>
      <c r="F26" s="1328">
        <v>3494.1899999999996</v>
      </c>
      <c r="G26" s="1328">
        <v>-0.03</v>
      </c>
      <c r="H26" s="1328">
        <v>0</v>
      </c>
      <c r="I26" s="1328">
        <f t="shared" si="1"/>
        <v>20222.830000000002</v>
      </c>
      <c r="J26" s="1328">
        <f t="shared" si="2"/>
        <v>-0.03</v>
      </c>
      <c r="K26" s="1329">
        <f t="shared" si="3"/>
        <v>3494.1599999999994</v>
      </c>
    </row>
    <row r="27" spans="1:11" s="1312" customFormat="1" ht="15" customHeight="1" x14ac:dyDescent="0.3">
      <c r="A27" s="1324" t="s">
        <v>59</v>
      </c>
      <c r="B27" s="1325" t="s">
        <v>60</v>
      </c>
      <c r="C27" s="1326" t="s">
        <v>252</v>
      </c>
      <c r="D27" s="1327">
        <v>16346.60141888185</v>
      </c>
      <c r="E27" s="1328">
        <v>3369.4685811181521</v>
      </c>
      <c r="F27" s="1328">
        <v>3415.55</v>
      </c>
      <c r="G27" s="1328">
        <v>-9.0000000000000011E-2</v>
      </c>
      <c r="H27" s="1328">
        <v>200</v>
      </c>
      <c r="I27" s="1328">
        <f t="shared" si="1"/>
        <v>23331.530000000002</v>
      </c>
      <c r="J27" s="1328">
        <f t="shared" si="2"/>
        <v>199.91</v>
      </c>
      <c r="K27" s="1329">
        <f t="shared" si="3"/>
        <v>3615.46</v>
      </c>
    </row>
    <row r="28" spans="1:11" s="1312" customFormat="1" ht="15" customHeight="1" x14ac:dyDescent="0.3">
      <c r="A28" s="1324" t="s">
        <v>61</v>
      </c>
      <c r="B28" s="1325" t="s">
        <v>62</v>
      </c>
      <c r="C28" s="1326" t="s">
        <v>254</v>
      </c>
      <c r="D28" s="1327">
        <v>38284.897258133809</v>
      </c>
      <c r="E28" s="1328">
        <v>42588.662741866196</v>
      </c>
      <c r="F28" s="1328">
        <v>20776.740000000002</v>
      </c>
      <c r="G28" s="1328">
        <v>1.0000000000000007E-2</v>
      </c>
      <c r="H28" s="1328">
        <v>0</v>
      </c>
      <c r="I28" s="1328">
        <f t="shared" si="1"/>
        <v>101650.31</v>
      </c>
      <c r="J28" s="1328">
        <f t="shared" si="2"/>
        <v>1.0000000000000007E-2</v>
      </c>
      <c r="K28" s="1329">
        <f t="shared" si="3"/>
        <v>20776.75</v>
      </c>
    </row>
    <row r="29" spans="1:11" s="1312" customFormat="1" ht="15" customHeight="1" x14ac:dyDescent="0.3">
      <c r="A29" s="1324" t="s">
        <v>63</v>
      </c>
      <c r="B29" s="1325" t="s">
        <v>64</v>
      </c>
      <c r="C29" s="1326" t="s">
        <v>253</v>
      </c>
      <c r="D29" s="1327">
        <v>8669.0177409567877</v>
      </c>
      <c r="E29" s="1328">
        <v>23085.20225904321</v>
      </c>
      <c r="F29" s="1328">
        <v>5968.3700000000008</v>
      </c>
      <c r="G29" s="1328">
        <v>-0.05</v>
      </c>
      <c r="H29" s="1328">
        <v>0</v>
      </c>
      <c r="I29" s="1328">
        <f t="shared" si="1"/>
        <v>37722.539999999994</v>
      </c>
      <c r="J29" s="1328">
        <f t="shared" si="2"/>
        <v>-0.05</v>
      </c>
      <c r="K29" s="1329">
        <f t="shared" si="3"/>
        <v>5968.3200000000006</v>
      </c>
    </row>
    <row r="30" spans="1:11" s="1312" customFormat="1" ht="15" customHeight="1" x14ac:dyDescent="0.3">
      <c r="A30" s="1324" t="s">
        <v>67</v>
      </c>
      <c r="B30" s="1325" t="s">
        <v>68</v>
      </c>
      <c r="C30" s="1326" t="s">
        <v>255</v>
      </c>
      <c r="D30" s="1327">
        <v>44670.608525074858</v>
      </c>
      <c r="E30" s="1328">
        <v>21073.261474925141</v>
      </c>
      <c r="F30" s="1328">
        <v>12750.039999999999</v>
      </c>
      <c r="G30" s="1328">
        <v>-0.06</v>
      </c>
      <c r="H30" s="1328">
        <v>0</v>
      </c>
      <c r="I30" s="1328">
        <f t="shared" si="1"/>
        <v>78493.849999999991</v>
      </c>
      <c r="J30" s="1328">
        <f t="shared" si="2"/>
        <v>-0.06</v>
      </c>
      <c r="K30" s="1329">
        <f t="shared" si="3"/>
        <v>12749.98</v>
      </c>
    </row>
    <row r="31" spans="1:11" s="1312" customFormat="1" ht="15" customHeight="1" x14ac:dyDescent="0.3">
      <c r="A31" s="1324" t="s">
        <v>69</v>
      </c>
      <c r="B31" s="1325" t="s">
        <v>70</v>
      </c>
      <c r="C31" s="1326" t="s">
        <v>251</v>
      </c>
      <c r="D31" s="1327">
        <v>56616.875186829944</v>
      </c>
      <c r="E31" s="1328">
        <v>17907.304813170045</v>
      </c>
      <c r="F31" s="1328">
        <v>15818.01</v>
      </c>
      <c r="G31" s="1328">
        <v>94354.77</v>
      </c>
      <c r="H31" s="1328">
        <v>0</v>
      </c>
      <c r="I31" s="1328">
        <f t="shared" si="1"/>
        <v>184696.95999999999</v>
      </c>
      <c r="J31" s="1328">
        <f t="shared" si="2"/>
        <v>94354.77</v>
      </c>
      <c r="K31" s="1329">
        <f t="shared" si="3"/>
        <v>110172.78</v>
      </c>
    </row>
    <row r="32" spans="1:11" s="1312" customFormat="1" ht="15" customHeight="1" x14ac:dyDescent="0.3">
      <c r="A32" s="1324" t="s">
        <v>71</v>
      </c>
      <c r="B32" s="1325" t="s">
        <v>72</v>
      </c>
      <c r="C32" s="1326" t="s">
        <v>253</v>
      </c>
      <c r="D32" s="1327">
        <v>14339.746567303435</v>
      </c>
      <c r="E32" s="1328">
        <v>13525.253432696565</v>
      </c>
      <c r="F32" s="1328">
        <v>5191.28</v>
      </c>
      <c r="G32" s="1328">
        <v>-0.13</v>
      </c>
      <c r="H32" s="1328">
        <v>0</v>
      </c>
      <c r="I32" s="1328">
        <f t="shared" si="1"/>
        <v>33056.15</v>
      </c>
      <c r="J32" s="1328">
        <f t="shared" si="2"/>
        <v>-0.13</v>
      </c>
      <c r="K32" s="1329">
        <f t="shared" si="3"/>
        <v>5191.1499999999996</v>
      </c>
    </row>
    <row r="33" spans="1:11" s="1312" customFormat="1" ht="15" customHeight="1" x14ac:dyDescent="0.3">
      <c r="A33" s="1324" t="s">
        <v>73</v>
      </c>
      <c r="B33" s="1325" t="s">
        <v>277</v>
      </c>
      <c r="C33" s="1326" t="s">
        <v>254</v>
      </c>
      <c r="D33" s="1327">
        <v>660031.26940322353</v>
      </c>
      <c r="E33" s="1328">
        <v>688789.30059677642</v>
      </c>
      <c r="F33" s="1328">
        <v>374343.43999999994</v>
      </c>
      <c r="G33" s="1328">
        <v>-5284.41</v>
      </c>
      <c r="H33" s="1328">
        <v>1707642.43</v>
      </c>
      <c r="I33" s="1328">
        <f t="shared" si="1"/>
        <v>3425522.03</v>
      </c>
      <c r="J33" s="1328">
        <f t="shared" si="2"/>
        <v>1702358.02</v>
      </c>
      <c r="K33" s="1329">
        <f t="shared" si="3"/>
        <v>2076701.46</v>
      </c>
    </row>
    <row r="34" spans="1:11" s="1312" customFormat="1" ht="15" customHeight="1" x14ac:dyDescent="0.3">
      <c r="A34" s="1324" t="s">
        <v>75</v>
      </c>
      <c r="B34" s="1325" t="s">
        <v>76</v>
      </c>
      <c r="C34" s="1326" t="s">
        <v>254</v>
      </c>
      <c r="D34" s="1327">
        <v>78571.399273391318</v>
      </c>
      <c r="E34" s="1328">
        <v>32207.25072660868</v>
      </c>
      <c r="F34" s="1328">
        <v>24010.59</v>
      </c>
      <c r="G34" s="1328">
        <v>2438.6399999999994</v>
      </c>
      <c r="H34" s="1328">
        <v>579.09</v>
      </c>
      <c r="I34" s="1328">
        <f t="shared" si="1"/>
        <v>137806.97</v>
      </c>
      <c r="J34" s="1328">
        <f t="shared" si="2"/>
        <v>3017.7299999999996</v>
      </c>
      <c r="K34" s="1329">
        <f t="shared" si="3"/>
        <v>27028.32</v>
      </c>
    </row>
    <row r="35" spans="1:11" s="1312" customFormat="1" ht="15" customHeight="1" x14ac:dyDescent="0.3">
      <c r="A35" s="1324" t="s">
        <v>77</v>
      </c>
      <c r="B35" s="1325" t="s">
        <v>78</v>
      </c>
      <c r="C35" s="1326" t="s">
        <v>255</v>
      </c>
      <c r="D35" s="1327">
        <v>8588.3930004042595</v>
      </c>
      <c r="E35" s="1328">
        <v>15181.15699959574</v>
      </c>
      <c r="F35" s="1328">
        <v>4687.6299999999992</v>
      </c>
      <c r="G35" s="1328">
        <v>-9.0000000000000011E-2</v>
      </c>
      <c r="H35" s="1328">
        <v>0</v>
      </c>
      <c r="I35" s="1328">
        <f t="shared" si="1"/>
        <v>28457.09</v>
      </c>
      <c r="J35" s="1328">
        <f t="shared" si="2"/>
        <v>-9.0000000000000011E-2</v>
      </c>
      <c r="K35" s="1329">
        <f t="shared" si="3"/>
        <v>4687.5399999999991</v>
      </c>
    </row>
    <row r="36" spans="1:11" s="1312" customFormat="1" ht="15" customHeight="1" x14ac:dyDescent="0.3">
      <c r="A36" s="1324" t="s">
        <v>79</v>
      </c>
      <c r="B36" s="1325" t="s">
        <v>80</v>
      </c>
      <c r="C36" s="1326" t="s">
        <v>253</v>
      </c>
      <c r="D36" s="1327">
        <v>36512.066182455572</v>
      </c>
      <c r="E36" s="1328">
        <v>15108.463817544434</v>
      </c>
      <c r="F36" s="1328">
        <v>7521.29</v>
      </c>
      <c r="G36" s="1328">
        <v>-4.9999999999999996E-2</v>
      </c>
      <c r="H36" s="1328">
        <v>0</v>
      </c>
      <c r="I36" s="1328">
        <f t="shared" si="1"/>
        <v>59141.770000000004</v>
      </c>
      <c r="J36" s="1328">
        <f t="shared" si="2"/>
        <v>-4.9999999999999996E-2</v>
      </c>
      <c r="K36" s="1329">
        <f t="shared" si="3"/>
        <v>7521.24</v>
      </c>
    </row>
    <row r="37" spans="1:11" s="1312" customFormat="1" ht="15" customHeight="1" x14ac:dyDescent="0.3">
      <c r="A37" s="1324" t="s">
        <v>83</v>
      </c>
      <c r="B37" s="1325" t="s">
        <v>281</v>
      </c>
      <c r="C37" s="1326" t="s">
        <v>252</v>
      </c>
      <c r="D37" s="1327">
        <v>89912.317248471431</v>
      </c>
      <c r="E37" s="1328">
        <v>60772.052751528572</v>
      </c>
      <c r="F37" s="1328">
        <v>28412.29</v>
      </c>
      <c r="G37" s="1328">
        <v>-9.0000000000000011E-2</v>
      </c>
      <c r="H37" s="1328">
        <v>0</v>
      </c>
      <c r="I37" s="1328">
        <f t="shared" ref="I37:I68" si="4">SUM(D37:H37)</f>
        <v>179096.57</v>
      </c>
      <c r="J37" s="1328">
        <f t="shared" ref="J37:J68" si="5">G37+H37</f>
        <v>-9.0000000000000011E-2</v>
      </c>
      <c r="K37" s="1329">
        <f t="shared" ref="K37:K68" si="6">F37+J37</f>
        <v>28412.2</v>
      </c>
    </row>
    <row r="38" spans="1:11" s="1312" customFormat="1" ht="15" customHeight="1" x14ac:dyDescent="0.3">
      <c r="A38" s="1324" t="s">
        <v>85</v>
      </c>
      <c r="B38" s="1325" t="s">
        <v>86</v>
      </c>
      <c r="C38" s="1326" t="s">
        <v>254</v>
      </c>
      <c r="D38" s="1327">
        <v>130513.35842821861</v>
      </c>
      <c r="E38" s="1328">
        <v>68649.731571781391</v>
      </c>
      <c r="F38" s="1328">
        <v>39683.9</v>
      </c>
      <c r="G38" s="1328">
        <v>10376.189999999999</v>
      </c>
      <c r="H38" s="1328">
        <v>0</v>
      </c>
      <c r="I38" s="1328">
        <f t="shared" si="4"/>
        <v>249223.18</v>
      </c>
      <c r="J38" s="1328">
        <f t="shared" si="5"/>
        <v>10376.189999999999</v>
      </c>
      <c r="K38" s="1329">
        <f t="shared" si="6"/>
        <v>50060.09</v>
      </c>
    </row>
    <row r="39" spans="1:11" s="1312" customFormat="1" ht="15" customHeight="1" x14ac:dyDescent="0.3">
      <c r="A39" s="1324" t="s">
        <v>91</v>
      </c>
      <c r="B39" s="1325" t="s">
        <v>92</v>
      </c>
      <c r="C39" s="1326" t="s">
        <v>255</v>
      </c>
      <c r="D39" s="1327">
        <v>46746.852051216192</v>
      </c>
      <c r="E39" s="1328">
        <v>9833.6979487838053</v>
      </c>
      <c r="F39" s="1328">
        <v>11747.900000000001</v>
      </c>
      <c r="G39" s="1328">
        <v>1.0000000000000004E-2</v>
      </c>
      <c r="H39" s="1328">
        <v>0</v>
      </c>
      <c r="I39" s="1328">
        <f t="shared" si="4"/>
        <v>68328.459999999992</v>
      </c>
      <c r="J39" s="1328">
        <f t="shared" si="5"/>
        <v>1.0000000000000004E-2</v>
      </c>
      <c r="K39" s="1329">
        <f t="shared" si="6"/>
        <v>11747.910000000002</v>
      </c>
    </row>
    <row r="40" spans="1:11" s="1312" customFormat="1" ht="15" customHeight="1" x14ac:dyDescent="0.3">
      <c r="A40" s="1324" t="s">
        <v>93</v>
      </c>
      <c r="B40" s="1325" t="s">
        <v>94</v>
      </c>
      <c r="C40" s="1326" t="s">
        <v>251</v>
      </c>
      <c r="D40" s="1327">
        <v>37466.82765080739</v>
      </c>
      <c r="E40" s="1328">
        <v>15229.60234919261</v>
      </c>
      <c r="F40" s="1328">
        <v>9556.3599999999988</v>
      </c>
      <c r="G40" s="1328">
        <v>599.92000000000007</v>
      </c>
      <c r="H40" s="1328">
        <v>0</v>
      </c>
      <c r="I40" s="1328">
        <f t="shared" si="4"/>
        <v>62852.71</v>
      </c>
      <c r="J40" s="1328">
        <f t="shared" si="5"/>
        <v>599.92000000000007</v>
      </c>
      <c r="K40" s="1329">
        <f t="shared" si="6"/>
        <v>10156.279999999999</v>
      </c>
    </row>
    <row r="41" spans="1:11" s="1312" customFormat="1" ht="15" customHeight="1" x14ac:dyDescent="0.3">
      <c r="A41" s="1324" t="s">
        <v>95</v>
      </c>
      <c r="B41" s="1325" t="s">
        <v>96</v>
      </c>
      <c r="C41" s="1326" t="s">
        <v>253</v>
      </c>
      <c r="D41" s="1327">
        <v>59267.24589204193</v>
      </c>
      <c r="E41" s="1328">
        <v>9103.6241079580759</v>
      </c>
      <c r="F41" s="1328">
        <v>16432.64</v>
      </c>
      <c r="G41" s="1328">
        <v>-3.0000000000000006E-2</v>
      </c>
      <c r="H41" s="1328">
        <v>52018.89</v>
      </c>
      <c r="I41" s="1328">
        <f t="shared" si="4"/>
        <v>136822.37</v>
      </c>
      <c r="J41" s="1328">
        <f t="shared" si="5"/>
        <v>52018.86</v>
      </c>
      <c r="K41" s="1329">
        <f t="shared" si="6"/>
        <v>68451.5</v>
      </c>
    </row>
    <row r="42" spans="1:11" s="1312" customFormat="1" ht="15" customHeight="1" x14ac:dyDescent="0.3">
      <c r="A42" s="1324" t="s">
        <v>97</v>
      </c>
      <c r="B42" s="1325" t="s">
        <v>98</v>
      </c>
      <c r="C42" s="1326" t="s">
        <v>255</v>
      </c>
      <c r="D42" s="1327">
        <v>19023.530977951476</v>
      </c>
      <c r="E42" s="1328">
        <v>14799.629022048524</v>
      </c>
      <c r="F42" s="1328">
        <v>5947.7100000000009</v>
      </c>
      <c r="G42" s="1328">
        <v>7.0000000000000007E-2</v>
      </c>
      <c r="H42" s="1328">
        <v>0</v>
      </c>
      <c r="I42" s="1328">
        <f t="shared" si="4"/>
        <v>39770.94</v>
      </c>
      <c r="J42" s="1328">
        <f t="shared" si="5"/>
        <v>7.0000000000000007E-2</v>
      </c>
      <c r="K42" s="1329">
        <f t="shared" si="6"/>
        <v>5947.7800000000007</v>
      </c>
    </row>
    <row r="43" spans="1:11" s="1312" customFormat="1" ht="15" customHeight="1" x14ac:dyDescent="0.3">
      <c r="A43" s="1324" t="s">
        <v>99</v>
      </c>
      <c r="B43" s="1325" t="s">
        <v>100</v>
      </c>
      <c r="C43" s="1326" t="s">
        <v>254</v>
      </c>
      <c r="D43" s="1327">
        <v>10548.313722261693</v>
      </c>
      <c r="E43" s="1328">
        <v>7725.0062777383073</v>
      </c>
      <c r="F43" s="1328">
        <v>3101.0999999999995</v>
      </c>
      <c r="G43" s="1328">
        <v>0.05</v>
      </c>
      <c r="H43" s="1328">
        <v>0</v>
      </c>
      <c r="I43" s="1328">
        <f t="shared" si="4"/>
        <v>21374.469999999998</v>
      </c>
      <c r="J43" s="1328">
        <f t="shared" si="5"/>
        <v>0.05</v>
      </c>
      <c r="K43" s="1329">
        <f t="shared" si="6"/>
        <v>3101.1499999999996</v>
      </c>
    </row>
    <row r="44" spans="1:11" s="1312" customFormat="1" ht="15" customHeight="1" x14ac:dyDescent="0.3">
      <c r="A44" s="1324" t="s">
        <v>101</v>
      </c>
      <c r="B44" s="1325" t="s">
        <v>102</v>
      </c>
      <c r="C44" s="1326" t="s">
        <v>251</v>
      </c>
      <c r="D44" s="1327">
        <v>19989.827883397938</v>
      </c>
      <c r="E44" s="1328">
        <v>62292.762116602062</v>
      </c>
      <c r="F44" s="1328">
        <v>17779.87</v>
      </c>
      <c r="G44" s="1328">
        <v>-0.05</v>
      </c>
      <c r="H44" s="1328">
        <v>0</v>
      </c>
      <c r="I44" s="1328">
        <f t="shared" si="4"/>
        <v>100062.40999999999</v>
      </c>
      <c r="J44" s="1328">
        <f t="shared" si="5"/>
        <v>-0.05</v>
      </c>
      <c r="K44" s="1329">
        <f t="shared" si="6"/>
        <v>17779.82</v>
      </c>
    </row>
    <row r="45" spans="1:11" s="1312" customFormat="1" ht="15" customHeight="1" x14ac:dyDescent="0.3">
      <c r="A45" s="1324" t="s">
        <v>103</v>
      </c>
      <c r="B45" s="1325" t="s">
        <v>282</v>
      </c>
      <c r="C45" s="1326" t="s">
        <v>252</v>
      </c>
      <c r="D45" s="1327">
        <v>17809.068090507146</v>
      </c>
      <c r="E45" s="1328">
        <v>21762.001909492854</v>
      </c>
      <c r="F45" s="1328">
        <v>7943.42</v>
      </c>
      <c r="G45" s="1328">
        <v>-4.9999999999999996E-2</v>
      </c>
      <c r="H45" s="1328">
        <v>0</v>
      </c>
      <c r="I45" s="1328">
        <f t="shared" si="4"/>
        <v>47514.439999999995</v>
      </c>
      <c r="J45" s="1328">
        <f t="shared" si="5"/>
        <v>-4.9999999999999996E-2</v>
      </c>
      <c r="K45" s="1329">
        <f t="shared" si="6"/>
        <v>7943.37</v>
      </c>
    </row>
    <row r="46" spans="1:11" s="1312" customFormat="1" ht="15" customHeight="1" x14ac:dyDescent="0.3">
      <c r="A46" s="1324" t="s">
        <v>107</v>
      </c>
      <c r="B46" s="1325" t="s">
        <v>108</v>
      </c>
      <c r="C46" s="1326" t="s">
        <v>253</v>
      </c>
      <c r="D46" s="1327">
        <v>32735.999749321414</v>
      </c>
      <c r="E46" s="1328">
        <v>43195.470250678605</v>
      </c>
      <c r="F46" s="1328">
        <v>14238.569999999998</v>
      </c>
      <c r="G46" s="1328">
        <v>-0.05</v>
      </c>
      <c r="H46" s="1328">
        <v>0</v>
      </c>
      <c r="I46" s="1328">
        <f t="shared" si="4"/>
        <v>90169.99</v>
      </c>
      <c r="J46" s="1328">
        <f t="shared" si="5"/>
        <v>-0.05</v>
      </c>
      <c r="K46" s="1329">
        <f t="shared" si="6"/>
        <v>14238.519999999999</v>
      </c>
    </row>
    <row r="47" spans="1:11" s="1312" customFormat="1" ht="15" customHeight="1" x14ac:dyDescent="0.3">
      <c r="A47" s="1324" t="s">
        <v>109</v>
      </c>
      <c r="B47" s="1325" t="s">
        <v>110</v>
      </c>
      <c r="C47" s="1326" t="s">
        <v>253</v>
      </c>
      <c r="D47" s="1327">
        <v>512447.55838690419</v>
      </c>
      <c r="E47" s="1328">
        <v>1157414.5916130962</v>
      </c>
      <c r="F47" s="1328">
        <v>325089.15999999997</v>
      </c>
      <c r="G47" s="1328">
        <v>-0.16000000000000003</v>
      </c>
      <c r="H47" s="1328">
        <v>0</v>
      </c>
      <c r="I47" s="1328">
        <f t="shared" si="4"/>
        <v>1994951.1500000004</v>
      </c>
      <c r="J47" s="1328">
        <f t="shared" si="5"/>
        <v>-0.16000000000000003</v>
      </c>
      <c r="K47" s="1329">
        <f t="shared" si="6"/>
        <v>325089</v>
      </c>
    </row>
    <row r="48" spans="1:11" s="1312" customFormat="1" ht="15" customHeight="1" x14ac:dyDescent="0.3">
      <c r="A48" s="1324" t="s">
        <v>111</v>
      </c>
      <c r="B48" s="1325" t="s">
        <v>275</v>
      </c>
      <c r="C48" s="1326" t="s">
        <v>252</v>
      </c>
      <c r="D48" s="1327">
        <v>80389.905147831872</v>
      </c>
      <c r="E48" s="1328">
        <v>102641.91485216813</v>
      </c>
      <c r="F48" s="1328">
        <v>33436.479999999996</v>
      </c>
      <c r="G48" s="1328">
        <v>-0.22000000000000003</v>
      </c>
      <c r="H48" s="1328">
        <v>0</v>
      </c>
      <c r="I48" s="1328">
        <f t="shared" si="4"/>
        <v>216468.08</v>
      </c>
      <c r="J48" s="1328">
        <f t="shared" si="5"/>
        <v>-0.22000000000000003</v>
      </c>
      <c r="K48" s="1329">
        <f t="shared" si="6"/>
        <v>33436.259999999995</v>
      </c>
    </row>
    <row r="49" spans="1:11" s="1312" customFormat="1" ht="15" customHeight="1" x14ac:dyDescent="0.3">
      <c r="A49" s="1324" t="s">
        <v>113</v>
      </c>
      <c r="B49" s="1325" t="s">
        <v>114</v>
      </c>
      <c r="C49" s="1326" t="s">
        <v>252</v>
      </c>
      <c r="D49" s="1327">
        <v>10909.11</v>
      </c>
      <c r="E49" s="1328">
        <v>804.59</v>
      </c>
      <c r="F49" s="1328">
        <v>2369.7800000000002</v>
      </c>
      <c r="G49" s="1328">
        <v>-0.02</v>
      </c>
      <c r="H49" s="1328">
        <v>0</v>
      </c>
      <c r="I49" s="1328">
        <f t="shared" si="4"/>
        <v>14083.460000000001</v>
      </c>
      <c r="J49" s="1328">
        <f t="shared" si="5"/>
        <v>-0.02</v>
      </c>
      <c r="K49" s="1329">
        <f t="shared" si="6"/>
        <v>2369.7600000000002</v>
      </c>
    </row>
    <row r="50" spans="1:11" s="1312" customFormat="1" ht="15" customHeight="1" x14ac:dyDescent="0.3">
      <c r="A50" s="1324" t="s">
        <v>117</v>
      </c>
      <c r="B50" s="1325" t="s">
        <v>118</v>
      </c>
      <c r="C50" s="1326" t="s">
        <v>251</v>
      </c>
      <c r="D50" s="1327">
        <v>56647.413935674085</v>
      </c>
      <c r="E50" s="1328">
        <v>9860.3960643259143</v>
      </c>
      <c r="F50" s="1328">
        <v>15278.82</v>
      </c>
      <c r="G50" s="1328">
        <v>-1304.5899999999999</v>
      </c>
      <c r="H50" s="1328">
        <v>48672.39</v>
      </c>
      <c r="I50" s="1328">
        <f t="shared" si="4"/>
        <v>129154.43000000001</v>
      </c>
      <c r="J50" s="1328">
        <f t="shared" si="5"/>
        <v>47367.8</v>
      </c>
      <c r="K50" s="1329">
        <f t="shared" si="6"/>
        <v>62646.62</v>
      </c>
    </row>
    <row r="51" spans="1:11" s="1312" customFormat="1" ht="15" customHeight="1" x14ac:dyDescent="0.3">
      <c r="A51" s="1324" t="s">
        <v>119</v>
      </c>
      <c r="B51" s="1325" t="s">
        <v>120</v>
      </c>
      <c r="C51" s="1326" t="s">
        <v>251</v>
      </c>
      <c r="D51" s="1327">
        <v>48862.310583596773</v>
      </c>
      <c r="E51" s="1328">
        <v>42787.619416403228</v>
      </c>
      <c r="F51" s="1328">
        <v>20800.420000000002</v>
      </c>
      <c r="G51" s="1328">
        <v>-0.17</v>
      </c>
      <c r="H51" s="1328">
        <v>0</v>
      </c>
      <c r="I51" s="1328">
        <f t="shared" si="4"/>
        <v>112450.18</v>
      </c>
      <c r="J51" s="1328">
        <f t="shared" si="5"/>
        <v>-0.17</v>
      </c>
      <c r="K51" s="1329">
        <f t="shared" si="6"/>
        <v>20800.250000000004</v>
      </c>
    </row>
    <row r="52" spans="1:11" s="1312" customFormat="1" ht="15" customHeight="1" x14ac:dyDescent="0.3">
      <c r="A52" s="1324" t="s">
        <v>121</v>
      </c>
      <c r="B52" s="1325" t="s">
        <v>258</v>
      </c>
      <c r="C52" s="1326" t="s">
        <v>253</v>
      </c>
      <c r="D52" s="1327">
        <v>10579.272134909916</v>
      </c>
      <c r="E52" s="1328">
        <v>5892.2178650900823</v>
      </c>
      <c r="F52" s="1328">
        <v>3267.1099999999997</v>
      </c>
      <c r="G52" s="1328">
        <v>-0.11000000000000001</v>
      </c>
      <c r="H52" s="1328">
        <v>-492.16</v>
      </c>
      <c r="I52" s="1328">
        <f t="shared" si="4"/>
        <v>19246.329999999998</v>
      </c>
      <c r="J52" s="1328">
        <f t="shared" si="5"/>
        <v>-492.27000000000004</v>
      </c>
      <c r="K52" s="1329">
        <f t="shared" si="6"/>
        <v>2774.8399999999997</v>
      </c>
    </row>
    <row r="53" spans="1:11" s="1312" customFormat="1" ht="15" customHeight="1" x14ac:dyDescent="0.3">
      <c r="A53" s="1324" t="s">
        <v>123</v>
      </c>
      <c r="B53" s="1325" t="s">
        <v>124</v>
      </c>
      <c r="C53" s="1326" t="s">
        <v>254</v>
      </c>
      <c r="D53" s="1327">
        <v>18565.006159421308</v>
      </c>
      <c r="E53" s="1328">
        <v>11816.493840578692</v>
      </c>
      <c r="F53" s="1328">
        <v>5808.92</v>
      </c>
      <c r="G53" s="1328">
        <v>-3.4694469519536142E-18</v>
      </c>
      <c r="H53" s="1328">
        <v>0</v>
      </c>
      <c r="I53" s="1328">
        <f t="shared" si="4"/>
        <v>36190.42</v>
      </c>
      <c r="J53" s="1328">
        <f t="shared" si="5"/>
        <v>-3.4694469519536142E-18</v>
      </c>
      <c r="K53" s="1329">
        <f t="shared" si="6"/>
        <v>5808.92</v>
      </c>
    </row>
    <row r="54" spans="1:11" s="1312" customFormat="1" ht="15" customHeight="1" x14ac:dyDescent="0.3">
      <c r="A54" s="1324" t="s">
        <v>125</v>
      </c>
      <c r="B54" s="1325" t="s">
        <v>126</v>
      </c>
      <c r="C54" s="1326" t="s">
        <v>253</v>
      </c>
      <c r="D54" s="1327">
        <v>21617.598512323413</v>
      </c>
      <c r="E54" s="1328">
        <v>8356.4314876765857</v>
      </c>
      <c r="F54" s="1328">
        <v>5595.43</v>
      </c>
      <c r="G54" s="1328">
        <v>-0.03</v>
      </c>
      <c r="H54" s="1328">
        <v>0</v>
      </c>
      <c r="I54" s="1328">
        <f t="shared" si="4"/>
        <v>35569.43</v>
      </c>
      <c r="J54" s="1328">
        <f t="shared" si="5"/>
        <v>-0.03</v>
      </c>
      <c r="K54" s="1329">
        <f t="shared" si="6"/>
        <v>5595.4000000000005</v>
      </c>
    </row>
    <row r="55" spans="1:11" s="1312" customFormat="1" ht="15" customHeight="1" x14ac:dyDescent="0.3">
      <c r="A55" s="1324" t="s">
        <v>127</v>
      </c>
      <c r="B55" s="1325" t="s">
        <v>128</v>
      </c>
      <c r="C55" s="1326" t="s">
        <v>253</v>
      </c>
      <c r="D55" s="1327">
        <v>20768.727604491836</v>
      </c>
      <c r="E55" s="1328">
        <v>3767.322395508163</v>
      </c>
      <c r="F55" s="1328">
        <v>3693.1299999999997</v>
      </c>
      <c r="G55" s="1328">
        <v>220.94000000000003</v>
      </c>
      <c r="H55" s="1328">
        <v>0</v>
      </c>
      <c r="I55" s="1328">
        <f t="shared" si="4"/>
        <v>28450.12</v>
      </c>
      <c r="J55" s="1328">
        <f t="shared" si="5"/>
        <v>220.94000000000003</v>
      </c>
      <c r="K55" s="1329">
        <f t="shared" si="6"/>
        <v>3914.0699999999997</v>
      </c>
    </row>
    <row r="56" spans="1:11" s="1312" customFormat="1" ht="15" customHeight="1" x14ac:dyDescent="0.3">
      <c r="A56" s="1324" t="s">
        <v>129</v>
      </c>
      <c r="B56" s="1325" t="s">
        <v>130</v>
      </c>
      <c r="C56" s="1326" t="s">
        <v>255</v>
      </c>
      <c r="D56" s="1327">
        <v>86001.791769924675</v>
      </c>
      <c r="E56" s="1328">
        <v>96500.648230075327</v>
      </c>
      <c r="F56" s="1328">
        <v>35570.230000000003</v>
      </c>
      <c r="G56" s="1328">
        <v>159.91</v>
      </c>
      <c r="H56" s="1328">
        <v>0</v>
      </c>
      <c r="I56" s="1328">
        <f t="shared" si="4"/>
        <v>218232.58000000002</v>
      </c>
      <c r="J56" s="1328">
        <f t="shared" si="5"/>
        <v>159.91</v>
      </c>
      <c r="K56" s="1329">
        <f t="shared" si="6"/>
        <v>35730.140000000007</v>
      </c>
    </row>
    <row r="57" spans="1:11" s="1312" customFormat="1" ht="15" customHeight="1" x14ac:dyDescent="0.3">
      <c r="A57" s="1324" t="s">
        <v>131</v>
      </c>
      <c r="B57" s="1325" t="s">
        <v>132</v>
      </c>
      <c r="C57" s="1326" t="s">
        <v>254</v>
      </c>
      <c r="D57" s="1327">
        <v>401454.26153479319</v>
      </c>
      <c r="E57" s="1328">
        <v>204392.08846520685</v>
      </c>
      <c r="F57" s="1328">
        <v>138878.89000000001</v>
      </c>
      <c r="G57" s="1328">
        <v>-1895.19</v>
      </c>
      <c r="H57" s="1328">
        <v>866645</v>
      </c>
      <c r="I57" s="1328">
        <f t="shared" si="4"/>
        <v>1609475.0500000003</v>
      </c>
      <c r="J57" s="1328">
        <f t="shared" si="5"/>
        <v>864749.81</v>
      </c>
      <c r="K57" s="1329">
        <f t="shared" si="6"/>
        <v>1003628.7000000001</v>
      </c>
    </row>
    <row r="58" spans="1:11" s="1312" customFormat="1" ht="15" customHeight="1" x14ac:dyDescent="0.3">
      <c r="A58" s="1324" t="s">
        <v>133</v>
      </c>
      <c r="B58" s="1325" t="s">
        <v>134</v>
      </c>
      <c r="C58" s="1326" t="s">
        <v>254</v>
      </c>
      <c r="D58" s="1327">
        <v>29407.815878146997</v>
      </c>
      <c r="E58" s="1328">
        <v>20678.594121853002</v>
      </c>
      <c r="F58" s="1328">
        <v>10095.740000000002</v>
      </c>
      <c r="G58" s="1328">
        <v>-0.06</v>
      </c>
      <c r="H58" s="1328">
        <v>0</v>
      </c>
      <c r="I58" s="1328">
        <f t="shared" si="4"/>
        <v>60182.090000000011</v>
      </c>
      <c r="J58" s="1328">
        <f t="shared" si="5"/>
        <v>-0.06</v>
      </c>
      <c r="K58" s="1329">
        <f t="shared" si="6"/>
        <v>10095.680000000002</v>
      </c>
    </row>
    <row r="59" spans="1:11" s="1312" customFormat="1" ht="15" customHeight="1" x14ac:dyDescent="0.3">
      <c r="A59" s="1324" t="s">
        <v>135</v>
      </c>
      <c r="B59" s="1325" t="s">
        <v>136</v>
      </c>
      <c r="C59" s="1326" t="s">
        <v>253</v>
      </c>
      <c r="D59" s="1327">
        <v>2137.5122291944845</v>
      </c>
      <c r="E59" s="1328">
        <v>3266.0177708055157</v>
      </c>
      <c r="F59" s="1328">
        <v>991.18999999999994</v>
      </c>
      <c r="G59" s="1328">
        <v>-0.03</v>
      </c>
      <c r="H59" s="1328">
        <v>0</v>
      </c>
      <c r="I59" s="1328">
        <f t="shared" si="4"/>
        <v>6394.6900000000005</v>
      </c>
      <c r="J59" s="1328">
        <f t="shared" si="5"/>
        <v>-0.03</v>
      </c>
      <c r="K59" s="1329">
        <f t="shared" si="6"/>
        <v>991.16</v>
      </c>
    </row>
    <row r="60" spans="1:11" s="1312" customFormat="1" ht="15" customHeight="1" x14ac:dyDescent="0.3">
      <c r="A60" s="1324" t="s">
        <v>139</v>
      </c>
      <c r="B60" s="1325" t="s">
        <v>140</v>
      </c>
      <c r="C60" s="1326" t="s">
        <v>254</v>
      </c>
      <c r="D60" s="1327">
        <v>24912.271769492902</v>
      </c>
      <c r="E60" s="1328">
        <v>9003.4682305070983</v>
      </c>
      <c r="F60" s="1328">
        <v>4041.2</v>
      </c>
      <c r="G60" s="1328">
        <v>-6.0000000000000005E-2</v>
      </c>
      <c r="H60" s="1328">
        <v>0</v>
      </c>
      <c r="I60" s="1328">
        <f t="shared" si="4"/>
        <v>37956.879999999997</v>
      </c>
      <c r="J60" s="1328">
        <f t="shared" si="5"/>
        <v>-6.0000000000000005E-2</v>
      </c>
      <c r="K60" s="1329">
        <f t="shared" si="6"/>
        <v>4041.14</v>
      </c>
    </row>
    <row r="61" spans="1:11" s="1312" customFormat="1" ht="15" customHeight="1" x14ac:dyDescent="0.3">
      <c r="A61" s="1324" t="s">
        <v>145</v>
      </c>
      <c r="B61" s="1325" t="s">
        <v>146</v>
      </c>
      <c r="C61" s="1326" t="s">
        <v>251</v>
      </c>
      <c r="D61" s="1327">
        <v>33199.123821351313</v>
      </c>
      <c r="E61" s="1328">
        <v>7942.6361786486914</v>
      </c>
      <c r="F61" s="1328">
        <v>9022.09</v>
      </c>
      <c r="G61" s="1328">
        <v>-9.9999999999999967E-3</v>
      </c>
      <c r="H61" s="1328">
        <v>0</v>
      </c>
      <c r="I61" s="1328">
        <f t="shared" si="4"/>
        <v>50163.840000000004</v>
      </c>
      <c r="J61" s="1328">
        <f t="shared" si="5"/>
        <v>-9.9999999999999967E-3</v>
      </c>
      <c r="K61" s="1329">
        <f t="shared" si="6"/>
        <v>9022.08</v>
      </c>
    </row>
    <row r="62" spans="1:11" s="1312" customFormat="1" ht="15" customHeight="1" x14ac:dyDescent="0.3">
      <c r="A62" s="1324" t="s">
        <v>147</v>
      </c>
      <c r="B62" s="1325" t="s">
        <v>148</v>
      </c>
      <c r="C62" s="1326" t="s">
        <v>252</v>
      </c>
      <c r="D62" s="1327">
        <v>27513.893846331157</v>
      </c>
      <c r="E62" s="1328">
        <v>23793.436153668841</v>
      </c>
      <c r="F62" s="1328">
        <v>9713.7000000000007</v>
      </c>
      <c r="G62" s="1328">
        <v>-0.10999999999999999</v>
      </c>
      <c r="H62" s="1328">
        <v>0</v>
      </c>
      <c r="I62" s="1328">
        <f t="shared" si="4"/>
        <v>61020.92</v>
      </c>
      <c r="J62" s="1328">
        <f t="shared" si="5"/>
        <v>-0.10999999999999999</v>
      </c>
      <c r="K62" s="1329">
        <f t="shared" si="6"/>
        <v>9713.59</v>
      </c>
    </row>
    <row r="63" spans="1:11" s="1312" customFormat="1" ht="15" customHeight="1" x14ac:dyDescent="0.3">
      <c r="A63" s="1324" t="s">
        <v>149</v>
      </c>
      <c r="B63" s="1325" t="s">
        <v>150</v>
      </c>
      <c r="C63" s="1326" t="s">
        <v>253</v>
      </c>
      <c r="D63" s="1327">
        <v>37111.848089689134</v>
      </c>
      <c r="E63" s="1328">
        <v>32012.571910310868</v>
      </c>
      <c r="F63" s="1328">
        <v>13983.619999999999</v>
      </c>
      <c r="G63" s="1328">
        <v>-5.000000000000001E-2</v>
      </c>
      <c r="H63" s="1328">
        <v>0</v>
      </c>
      <c r="I63" s="1328">
        <f t="shared" si="4"/>
        <v>83107.989999999991</v>
      </c>
      <c r="J63" s="1328">
        <f t="shared" si="5"/>
        <v>-5.000000000000001E-2</v>
      </c>
      <c r="K63" s="1329">
        <f t="shared" si="6"/>
        <v>13983.57</v>
      </c>
    </row>
    <row r="64" spans="1:11" s="1312" customFormat="1" ht="15" customHeight="1" x14ac:dyDescent="0.3">
      <c r="A64" s="1324" t="s">
        <v>151</v>
      </c>
      <c r="B64" s="1325" t="s">
        <v>152</v>
      </c>
      <c r="C64" s="1326" t="s">
        <v>255</v>
      </c>
      <c r="D64" s="1327">
        <v>84806.191529309304</v>
      </c>
      <c r="E64" s="1328">
        <v>69321.06847069069</v>
      </c>
      <c r="F64" s="1328">
        <v>29935.260000000002</v>
      </c>
      <c r="G64" s="1328">
        <v>-3.4694469519536142E-18</v>
      </c>
      <c r="H64" s="1328">
        <v>4975.24</v>
      </c>
      <c r="I64" s="1328">
        <f t="shared" si="4"/>
        <v>189037.76</v>
      </c>
      <c r="J64" s="1328">
        <f t="shared" si="5"/>
        <v>4975.24</v>
      </c>
      <c r="K64" s="1329">
        <f t="shared" si="6"/>
        <v>34910.5</v>
      </c>
    </row>
    <row r="65" spans="1:11" s="1312" customFormat="1" ht="15" customHeight="1" x14ac:dyDescent="0.3">
      <c r="A65" s="1324" t="s">
        <v>153</v>
      </c>
      <c r="B65" s="1325" t="s">
        <v>154</v>
      </c>
      <c r="C65" s="1326" t="s">
        <v>252</v>
      </c>
      <c r="D65" s="1327">
        <v>11524.211738714188</v>
      </c>
      <c r="E65" s="1328">
        <v>2975.7382612858137</v>
      </c>
      <c r="F65" s="1328">
        <v>894.06000000000006</v>
      </c>
      <c r="G65" s="1328">
        <v>-494.99</v>
      </c>
      <c r="H65" s="1328">
        <v>0</v>
      </c>
      <c r="I65" s="1328">
        <f t="shared" si="4"/>
        <v>14899.02</v>
      </c>
      <c r="J65" s="1328">
        <f t="shared" si="5"/>
        <v>-494.99</v>
      </c>
      <c r="K65" s="1329">
        <f t="shared" si="6"/>
        <v>399.07000000000005</v>
      </c>
    </row>
    <row r="66" spans="1:11" s="1312" customFormat="1" ht="15" customHeight="1" x14ac:dyDescent="0.3">
      <c r="A66" s="1324" t="s">
        <v>155</v>
      </c>
      <c r="B66" s="1325" t="s">
        <v>156</v>
      </c>
      <c r="C66" s="1326" t="s">
        <v>253</v>
      </c>
      <c r="D66" s="1327">
        <v>13487.8865472173</v>
      </c>
      <c r="E66" s="1328">
        <v>14735.363452782702</v>
      </c>
      <c r="F66" s="1328">
        <v>5222.88</v>
      </c>
      <c r="G66" s="1328">
        <v>0.01</v>
      </c>
      <c r="H66" s="1328">
        <v>0</v>
      </c>
      <c r="I66" s="1328">
        <f t="shared" si="4"/>
        <v>33446.14</v>
      </c>
      <c r="J66" s="1328">
        <f t="shared" si="5"/>
        <v>0.01</v>
      </c>
      <c r="K66" s="1329">
        <f t="shared" si="6"/>
        <v>5222.8900000000003</v>
      </c>
    </row>
    <row r="67" spans="1:11" s="1312" customFormat="1" ht="15" customHeight="1" x14ac:dyDescent="0.3">
      <c r="A67" s="1324" t="s">
        <v>161</v>
      </c>
      <c r="B67" s="1325" t="s">
        <v>162</v>
      </c>
      <c r="C67" s="1326" t="s">
        <v>251</v>
      </c>
      <c r="D67" s="1327">
        <v>56142.8822488898</v>
      </c>
      <c r="E67" s="1328">
        <v>13636.547751110194</v>
      </c>
      <c r="F67" s="1328">
        <v>14808.81</v>
      </c>
      <c r="G67" s="1328">
        <v>-0.06</v>
      </c>
      <c r="H67" s="1328">
        <v>0</v>
      </c>
      <c r="I67" s="1328">
        <f t="shared" si="4"/>
        <v>84588.18</v>
      </c>
      <c r="J67" s="1328">
        <f t="shared" si="5"/>
        <v>-0.06</v>
      </c>
      <c r="K67" s="1329">
        <f t="shared" si="6"/>
        <v>14808.75</v>
      </c>
    </row>
    <row r="68" spans="1:11" s="1312" customFormat="1" ht="15" customHeight="1" x14ac:dyDescent="0.3">
      <c r="A68" s="1324" t="s">
        <v>163</v>
      </c>
      <c r="B68" s="1325" t="s">
        <v>164</v>
      </c>
      <c r="C68" s="1326" t="s">
        <v>253</v>
      </c>
      <c r="D68" s="1327">
        <v>17916.36428463451</v>
      </c>
      <c r="E68" s="1328">
        <v>4586.6557153654885</v>
      </c>
      <c r="F68" s="1328">
        <v>4494.7899999999991</v>
      </c>
      <c r="G68" s="1328">
        <v>-0.04</v>
      </c>
      <c r="H68" s="1328">
        <v>0</v>
      </c>
      <c r="I68" s="1328">
        <f t="shared" si="4"/>
        <v>26997.769999999997</v>
      </c>
      <c r="J68" s="1328">
        <f t="shared" si="5"/>
        <v>-0.04</v>
      </c>
      <c r="K68" s="1329">
        <f t="shared" si="6"/>
        <v>4494.7499999999991</v>
      </c>
    </row>
    <row r="69" spans="1:11" s="1312" customFormat="1" ht="15" customHeight="1" x14ac:dyDescent="0.3">
      <c r="A69" s="1324" t="s">
        <v>167</v>
      </c>
      <c r="B69" s="1325" t="s">
        <v>168</v>
      </c>
      <c r="C69" s="1326" t="s">
        <v>253</v>
      </c>
      <c r="D69" s="1327">
        <v>27242.218188299266</v>
      </c>
      <c r="E69" s="1328">
        <v>32155.071811700735</v>
      </c>
      <c r="F69" s="1328">
        <v>11911.11</v>
      </c>
      <c r="G69" s="1328">
        <v>3.9999999999999994E-2</v>
      </c>
      <c r="H69" s="1328">
        <v>0</v>
      </c>
      <c r="I69" s="1328">
        <f t="shared" ref="I69:I100" si="7">SUM(D69:H69)</f>
        <v>71308.439999999988</v>
      </c>
      <c r="J69" s="1328">
        <f t="shared" ref="J69:J100" si="8">G69+H69</f>
        <v>3.9999999999999994E-2</v>
      </c>
      <c r="K69" s="1329">
        <f t="shared" ref="K69:K100" si="9">F69+J69</f>
        <v>11911.150000000001</v>
      </c>
    </row>
    <row r="70" spans="1:11" s="1312" customFormat="1" ht="15" customHeight="1" x14ac:dyDescent="0.3">
      <c r="A70" s="1324" t="s">
        <v>169</v>
      </c>
      <c r="B70" s="1325" t="s">
        <v>170</v>
      </c>
      <c r="C70" s="1326" t="s">
        <v>254</v>
      </c>
      <c r="D70" s="1327">
        <v>28643.893243437295</v>
      </c>
      <c r="E70" s="1328">
        <v>14998.996756562708</v>
      </c>
      <c r="F70" s="1328">
        <v>6194.58</v>
      </c>
      <c r="G70" s="1328">
        <v>-0.06</v>
      </c>
      <c r="H70" s="1328">
        <v>0</v>
      </c>
      <c r="I70" s="1328">
        <f t="shared" si="7"/>
        <v>49837.41</v>
      </c>
      <c r="J70" s="1328">
        <f t="shared" si="8"/>
        <v>-0.06</v>
      </c>
      <c r="K70" s="1329">
        <f t="shared" si="9"/>
        <v>6194.5199999999995</v>
      </c>
    </row>
    <row r="71" spans="1:11" s="1312" customFormat="1" ht="15" customHeight="1" x14ac:dyDescent="0.3">
      <c r="A71" s="1324" t="s">
        <v>171</v>
      </c>
      <c r="B71" s="1325" t="s">
        <v>172</v>
      </c>
      <c r="C71" s="1326" t="s">
        <v>254</v>
      </c>
      <c r="D71" s="1327">
        <v>19029.886986431691</v>
      </c>
      <c r="E71" s="1328">
        <v>5821.9430135683106</v>
      </c>
      <c r="F71" s="1328">
        <v>5587.57</v>
      </c>
      <c r="G71" s="1328">
        <v>-22.339999999999996</v>
      </c>
      <c r="H71" s="1328">
        <v>0</v>
      </c>
      <c r="I71" s="1328">
        <f t="shared" si="7"/>
        <v>30417.06</v>
      </c>
      <c r="J71" s="1328">
        <f t="shared" si="8"/>
        <v>-22.339999999999996</v>
      </c>
      <c r="K71" s="1329">
        <f t="shared" si="9"/>
        <v>5565.23</v>
      </c>
    </row>
    <row r="72" spans="1:11" s="1312" customFormat="1" ht="15" customHeight="1" x14ac:dyDescent="0.3">
      <c r="A72" s="1324" t="s">
        <v>173</v>
      </c>
      <c r="B72" s="1325" t="s">
        <v>174</v>
      </c>
      <c r="C72" s="1326" t="s">
        <v>255</v>
      </c>
      <c r="D72" s="1327">
        <v>33385.732677272194</v>
      </c>
      <c r="E72" s="1328">
        <v>21556.457322727802</v>
      </c>
      <c r="F72" s="1328">
        <v>10802.51</v>
      </c>
      <c r="G72" s="1328">
        <v>-0.04</v>
      </c>
      <c r="H72" s="1328">
        <v>0</v>
      </c>
      <c r="I72" s="1328">
        <f t="shared" si="7"/>
        <v>65744.66</v>
      </c>
      <c r="J72" s="1328">
        <f t="shared" si="8"/>
        <v>-0.04</v>
      </c>
      <c r="K72" s="1329">
        <f t="shared" si="9"/>
        <v>10802.47</v>
      </c>
    </row>
    <row r="73" spans="1:11" s="1312" customFormat="1" ht="15" customHeight="1" x14ac:dyDescent="0.3">
      <c r="A73" s="1324" t="s">
        <v>177</v>
      </c>
      <c r="B73" s="1325" t="s">
        <v>178</v>
      </c>
      <c r="C73" s="1326" t="s">
        <v>252</v>
      </c>
      <c r="D73" s="1327">
        <v>74320.991786834376</v>
      </c>
      <c r="E73" s="1328">
        <v>31360.558213165612</v>
      </c>
      <c r="F73" s="1328">
        <v>21072.6</v>
      </c>
      <c r="G73" s="1328">
        <v>-0.23</v>
      </c>
      <c r="H73" s="1328">
        <v>0</v>
      </c>
      <c r="I73" s="1328">
        <f t="shared" si="7"/>
        <v>126753.92</v>
      </c>
      <c r="J73" s="1328">
        <f t="shared" si="8"/>
        <v>-0.23</v>
      </c>
      <c r="K73" s="1329">
        <f t="shared" si="9"/>
        <v>21072.37</v>
      </c>
    </row>
    <row r="74" spans="1:11" s="1312" customFormat="1" ht="15" customHeight="1" x14ac:dyDescent="0.3">
      <c r="A74" s="1324" t="s">
        <v>181</v>
      </c>
      <c r="B74" s="1325" t="s">
        <v>182</v>
      </c>
      <c r="C74" s="1326" t="s">
        <v>253</v>
      </c>
      <c r="D74" s="1327">
        <v>13562.112043608327</v>
      </c>
      <c r="E74" s="1328">
        <v>3479.1979563916721</v>
      </c>
      <c r="F74" s="1328">
        <v>3022.4700000000003</v>
      </c>
      <c r="G74" s="1328">
        <v>-0.01</v>
      </c>
      <c r="H74" s="1328">
        <v>0</v>
      </c>
      <c r="I74" s="1328">
        <f t="shared" si="7"/>
        <v>20063.77</v>
      </c>
      <c r="J74" s="1328">
        <f t="shared" si="8"/>
        <v>-0.01</v>
      </c>
      <c r="K74" s="1329">
        <f t="shared" si="9"/>
        <v>3022.46</v>
      </c>
    </row>
    <row r="75" spans="1:11" s="1312" customFormat="1" ht="15" customHeight="1" x14ac:dyDescent="0.3">
      <c r="A75" s="1324" t="s">
        <v>183</v>
      </c>
      <c r="B75" s="1325" t="s">
        <v>184</v>
      </c>
      <c r="C75" s="1326" t="s">
        <v>253</v>
      </c>
      <c r="D75" s="1327">
        <v>23423.664347778737</v>
      </c>
      <c r="E75" s="1328">
        <v>63956.325652221261</v>
      </c>
      <c r="F75" s="1328">
        <v>15186.590000000002</v>
      </c>
      <c r="G75" s="1328">
        <v>-0.06</v>
      </c>
      <c r="H75" s="1328">
        <v>0</v>
      </c>
      <c r="I75" s="1328">
        <f t="shared" si="7"/>
        <v>102566.51999999999</v>
      </c>
      <c r="J75" s="1328">
        <f t="shared" si="8"/>
        <v>-0.06</v>
      </c>
      <c r="K75" s="1329">
        <f t="shared" si="9"/>
        <v>15186.530000000002</v>
      </c>
    </row>
    <row r="76" spans="1:11" s="1312" customFormat="1" ht="15" customHeight="1" x14ac:dyDescent="0.3">
      <c r="A76" s="1324" t="s">
        <v>185</v>
      </c>
      <c r="B76" s="1325" t="s">
        <v>186</v>
      </c>
      <c r="C76" s="1326" t="s">
        <v>251</v>
      </c>
      <c r="D76" s="1327">
        <v>23696.330727644752</v>
      </c>
      <c r="E76" s="1328">
        <v>19159.889272355242</v>
      </c>
      <c r="F76" s="1328">
        <v>7562.1900000000005</v>
      </c>
      <c r="G76" s="1328">
        <v>-0.11</v>
      </c>
      <c r="H76" s="1328">
        <v>0</v>
      </c>
      <c r="I76" s="1328">
        <f t="shared" si="7"/>
        <v>50418.299999999996</v>
      </c>
      <c r="J76" s="1328">
        <f t="shared" si="8"/>
        <v>-0.11</v>
      </c>
      <c r="K76" s="1329">
        <f t="shared" si="9"/>
        <v>7562.0800000000008</v>
      </c>
    </row>
    <row r="77" spans="1:11" s="1312" customFormat="1" ht="15" customHeight="1" x14ac:dyDescent="0.3">
      <c r="A77" s="1324" t="s">
        <v>187</v>
      </c>
      <c r="B77" s="1325" t="s">
        <v>188</v>
      </c>
      <c r="C77" s="1326" t="s">
        <v>254</v>
      </c>
      <c r="D77" s="1327">
        <v>457041.40048845368</v>
      </c>
      <c r="E77" s="1328">
        <v>180268.70951154636</v>
      </c>
      <c r="F77" s="1328">
        <v>135811.59</v>
      </c>
      <c r="G77" s="1328">
        <v>-0.11000000000000001</v>
      </c>
      <c r="H77" s="1328">
        <v>104494.51000000001</v>
      </c>
      <c r="I77" s="1328">
        <f t="shared" si="7"/>
        <v>877616.10000000009</v>
      </c>
      <c r="J77" s="1328">
        <f t="shared" si="8"/>
        <v>104494.40000000001</v>
      </c>
      <c r="K77" s="1329">
        <f t="shared" si="9"/>
        <v>240305.99</v>
      </c>
    </row>
    <row r="78" spans="1:11" s="1312" customFormat="1" ht="15" customHeight="1" x14ac:dyDescent="0.3">
      <c r="A78" s="1324" t="s">
        <v>189</v>
      </c>
      <c r="B78" s="1325" t="s">
        <v>190</v>
      </c>
      <c r="C78" s="1326" t="s">
        <v>255</v>
      </c>
      <c r="D78" s="1327">
        <v>38437.537292716348</v>
      </c>
      <c r="E78" s="1328">
        <v>12958.612707283652</v>
      </c>
      <c r="F78" s="1328">
        <v>7492.69</v>
      </c>
      <c r="G78" s="1328">
        <v>296.98</v>
      </c>
      <c r="H78" s="1328">
        <v>248.07</v>
      </c>
      <c r="I78" s="1328">
        <f t="shared" si="7"/>
        <v>59433.890000000007</v>
      </c>
      <c r="J78" s="1328">
        <f t="shared" si="8"/>
        <v>545.04999999999995</v>
      </c>
      <c r="K78" s="1329">
        <f t="shared" si="9"/>
        <v>8037.74</v>
      </c>
    </row>
    <row r="79" spans="1:11" s="1312" customFormat="1" ht="15" customHeight="1" x14ac:dyDescent="0.3">
      <c r="A79" s="1324" t="s">
        <v>193</v>
      </c>
      <c r="B79" s="1325" t="s">
        <v>194</v>
      </c>
      <c r="C79" s="1326" t="s">
        <v>254</v>
      </c>
      <c r="D79" s="1327">
        <v>19341.872067108998</v>
      </c>
      <c r="E79" s="1328">
        <v>2325.997932891004</v>
      </c>
      <c r="F79" s="1328">
        <v>3821.58</v>
      </c>
      <c r="G79" s="1328">
        <v>-0.05</v>
      </c>
      <c r="H79" s="1328">
        <v>0</v>
      </c>
      <c r="I79" s="1328">
        <f t="shared" si="7"/>
        <v>25489.400000000005</v>
      </c>
      <c r="J79" s="1328">
        <f t="shared" si="8"/>
        <v>-0.05</v>
      </c>
      <c r="K79" s="1329">
        <f t="shared" si="9"/>
        <v>3821.5299999999997</v>
      </c>
    </row>
    <row r="80" spans="1:11" s="1312" customFormat="1" ht="15" customHeight="1" x14ac:dyDescent="0.3">
      <c r="A80" s="1324" t="s">
        <v>197</v>
      </c>
      <c r="B80" s="1325" t="s">
        <v>198</v>
      </c>
      <c r="C80" s="1326" t="s">
        <v>253</v>
      </c>
      <c r="D80" s="1327">
        <v>6992.6941902177123</v>
      </c>
      <c r="E80" s="1328">
        <v>1346.5658097822879</v>
      </c>
      <c r="F80" s="1328">
        <v>1603.51</v>
      </c>
      <c r="G80" s="1328">
        <v>1.9999999999999997E-2</v>
      </c>
      <c r="H80" s="1328">
        <v>0</v>
      </c>
      <c r="I80" s="1328">
        <f t="shared" si="7"/>
        <v>9942.7900000000009</v>
      </c>
      <c r="J80" s="1328">
        <f t="shared" si="8"/>
        <v>1.9999999999999997E-2</v>
      </c>
      <c r="K80" s="1329">
        <f t="shared" si="9"/>
        <v>1603.53</v>
      </c>
    </row>
    <row r="81" spans="1:11" s="1312" customFormat="1" ht="15" customHeight="1" x14ac:dyDescent="0.3">
      <c r="A81" s="1324" t="s">
        <v>201</v>
      </c>
      <c r="B81" s="1325" t="s">
        <v>202</v>
      </c>
      <c r="C81" s="1326" t="s">
        <v>252</v>
      </c>
      <c r="D81" s="1327">
        <v>188424.6918962565</v>
      </c>
      <c r="E81" s="1328">
        <v>163536.47810374355</v>
      </c>
      <c r="F81" s="1328">
        <v>62438.01</v>
      </c>
      <c r="G81" s="1328">
        <v>-0.45</v>
      </c>
      <c r="H81" s="1328">
        <v>0</v>
      </c>
      <c r="I81" s="1328">
        <f t="shared" si="7"/>
        <v>414398.73000000004</v>
      </c>
      <c r="J81" s="1328">
        <f t="shared" si="8"/>
        <v>-0.45</v>
      </c>
      <c r="K81" s="1329">
        <f t="shared" si="9"/>
        <v>62437.560000000005</v>
      </c>
    </row>
    <row r="82" spans="1:11" s="1312" customFormat="1" ht="15" customHeight="1" x14ac:dyDescent="0.3">
      <c r="A82" s="1324" t="s">
        <v>203</v>
      </c>
      <c r="B82" s="1325" t="s">
        <v>204</v>
      </c>
      <c r="C82" s="1326" t="s">
        <v>252</v>
      </c>
      <c r="D82" s="1327">
        <v>21441.594828769408</v>
      </c>
      <c r="E82" s="1328">
        <v>8234.7151712305913</v>
      </c>
      <c r="F82" s="1328">
        <v>6200.27</v>
      </c>
      <c r="G82" s="1328">
        <v>403.59000000000003</v>
      </c>
      <c r="H82" s="1328">
        <v>0</v>
      </c>
      <c r="I82" s="1328">
        <f t="shared" si="7"/>
        <v>36280.17</v>
      </c>
      <c r="J82" s="1328">
        <f t="shared" si="8"/>
        <v>403.59000000000003</v>
      </c>
      <c r="K82" s="1329">
        <f t="shared" si="9"/>
        <v>6603.8600000000006</v>
      </c>
    </row>
    <row r="83" spans="1:11" s="1312" customFormat="1" ht="15" customHeight="1" x14ac:dyDescent="0.3">
      <c r="A83" s="1324" t="s">
        <v>205</v>
      </c>
      <c r="B83" s="1325" t="s">
        <v>206</v>
      </c>
      <c r="C83" s="1326" t="s">
        <v>254</v>
      </c>
      <c r="D83" s="1327">
        <v>118925.76065817315</v>
      </c>
      <c r="E83" s="1328">
        <v>144512.25934182684</v>
      </c>
      <c r="F83" s="1328">
        <v>47806</v>
      </c>
      <c r="G83" s="1328">
        <v>-0.41000000000000009</v>
      </c>
      <c r="H83" s="1328">
        <v>0</v>
      </c>
      <c r="I83" s="1328">
        <f t="shared" si="7"/>
        <v>311243.61000000004</v>
      </c>
      <c r="J83" s="1328">
        <f t="shared" si="8"/>
        <v>-0.41000000000000009</v>
      </c>
      <c r="K83" s="1329">
        <f t="shared" si="9"/>
        <v>47805.59</v>
      </c>
    </row>
    <row r="84" spans="1:11" s="1312" customFormat="1" ht="15" customHeight="1" x14ac:dyDescent="0.3">
      <c r="A84" s="1324" t="s">
        <v>207</v>
      </c>
      <c r="B84" s="1325" t="s">
        <v>208</v>
      </c>
      <c r="C84" s="1326" t="s">
        <v>255</v>
      </c>
      <c r="D84" s="1327">
        <v>76911.114677359074</v>
      </c>
      <c r="E84" s="1328">
        <v>25055.855322640931</v>
      </c>
      <c r="F84" s="1328">
        <v>19064.34</v>
      </c>
      <c r="G84" s="1328">
        <v>-5.000000000000001E-2</v>
      </c>
      <c r="H84" s="1328">
        <v>0</v>
      </c>
      <c r="I84" s="1328">
        <f t="shared" si="7"/>
        <v>121031.26</v>
      </c>
      <c r="J84" s="1328">
        <f t="shared" si="8"/>
        <v>-5.000000000000001E-2</v>
      </c>
      <c r="K84" s="1329">
        <f t="shared" si="9"/>
        <v>19064.29</v>
      </c>
    </row>
    <row r="85" spans="1:11" s="1312" customFormat="1" ht="15" customHeight="1" x14ac:dyDescent="0.3">
      <c r="A85" s="1324" t="s">
        <v>209</v>
      </c>
      <c r="B85" s="1325" t="s">
        <v>210</v>
      </c>
      <c r="C85" s="1326" t="s">
        <v>255</v>
      </c>
      <c r="D85" s="1327">
        <v>24415.817856093225</v>
      </c>
      <c r="E85" s="1328">
        <v>23226.392143906774</v>
      </c>
      <c r="F85" s="1328">
        <v>7740.69</v>
      </c>
      <c r="G85" s="1328">
        <v>6.0000000000000005E-2</v>
      </c>
      <c r="H85" s="1328">
        <v>0</v>
      </c>
      <c r="I85" s="1328">
        <f t="shared" si="7"/>
        <v>55382.96</v>
      </c>
      <c r="J85" s="1328">
        <f t="shared" si="8"/>
        <v>6.0000000000000005E-2</v>
      </c>
      <c r="K85" s="1329">
        <f t="shared" si="9"/>
        <v>7740.75</v>
      </c>
    </row>
    <row r="86" spans="1:11" s="1312" customFormat="1" ht="15" customHeight="1" x14ac:dyDescent="0.3">
      <c r="A86" s="1324" t="s">
        <v>211</v>
      </c>
      <c r="B86" s="1325" t="s">
        <v>212</v>
      </c>
      <c r="C86" s="1326" t="s">
        <v>254</v>
      </c>
      <c r="D86" s="1327">
        <v>44455.865216760154</v>
      </c>
      <c r="E86" s="1328">
        <v>41888.594783239838</v>
      </c>
      <c r="F86" s="1328">
        <v>15518.08</v>
      </c>
      <c r="G86" s="1328">
        <v>15.97</v>
      </c>
      <c r="H86" s="1328">
        <v>0</v>
      </c>
      <c r="I86" s="1328">
        <f t="shared" si="7"/>
        <v>101878.51</v>
      </c>
      <c r="J86" s="1328">
        <f t="shared" si="8"/>
        <v>15.97</v>
      </c>
      <c r="K86" s="1329">
        <f t="shared" si="9"/>
        <v>15534.05</v>
      </c>
    </row>
    <row r="87" spans="1:11" s="1312" customFormat="1" ht="15" customHeight="1" x14ac:dyDescent="0.3">
      <c r="A87" s="1324" t="s">
        <v>213</v>
      </c>
      <c r="B87" s="1325" t="s">
        <v>214</v>
      </c>
      <c r="C87" s="1326" t="s">
        <v>255</v>
      </c>
      <c r="D87" s="1327">
        <v>99013.490879172954</v>
      </c>
      <c r="E87" s="1328">
        <v>73384.459120827043</v>
      </c>
      <c r="F87" s="1328">
        <v>34566.75</v>
      </c>
      <c r="G87" s="1328">
        <v>-0.03</v>
      </c>
      <c r="H87" s="1328">
        <v>0</v>
      </c>
      <c r="I87" s="1328">
        <f t="shared" si="7"/>
        <v>206964.67</v>
      </c>
      <c r="J87" s="1328">
        <f t="shared" si="8"/>
        <v>-0.03</v>
      </c>
      <c r="K87" s="1329">
        <f t="shared" si="9"/>
        <v>34566.720000000001</v>
      </c>
    </row>
    <row r="88" spans="1:11" s="1312" customFormat="1" ht="15" customHeight="1" x14ac:dyDescent="0.3">
      <c r="A88" s="1324" t="s">
        <v>215</v>
      </c>
      <c r="B88" s="1325" t="s">
        <v>216</v>
      </c>
      <c r="C88" s="1326" t="s">
        <v>251</v>
      </c>
      <c r="D88" s="1327">
        <v>53936.821393081162</v>
      </c>
      <c r="E88" s="1328">
        <v>24680.338606918845</v>
      </c>
      <c r="F88" s="1328">
        <v>16472.330000000002</v>
      </c>
      <c r="G88" s="1328">
        <v>-3390.1500000000005</v>
      </c>
      <c r="H88" s="1328">
        <v>0</v>
      </c>
      <c r="I88" s="1328">
        <f t="shared" si="7"/>
        <v>91699.340000000011</v>
      </c>
      <c r="J88" s="1328">
        <f t="shared" si="8"/>
        <v>-3390.1500000000005</v>
      </c>
      <c r="K88" s="1329">
        <f t="shared" si="9"/>
        <v>13082.18</v>
      </c>
    </row>
    <row r="89" spans="1:11" s="1312" customFormat="1" ht="15" customHeight="1" x14ac:dyDescent="0.3">
      <c r="A89" s="1324" t="s">
        <v>217</v>
      </c>
      <c r="B89" s="1325" t="s">
        <v>218</v>
      </c>
      <c r="C89" s="1326" t="s">
        <v>254</v>
      </c>
      <c r="D89" s="1327">
        <v>143895.12897684204</v>
      </c>
      <c r="E89" s="1328">
        <v>159379.37102315799</v>
      </c>
      <c r="F89" s="1328">
        <v>53977.820000000007</v>
      </c>
      <c r="G89" s="1328">
        <v>-0.18</v>
      </c>
      <c r="H89" s="1328">
        <v>0</v>
      </c>
      <c r="I89" s="1328">
        <f t="shared" si="7"/>
        <v>357252.14</v>
      </c>
      <c r="J89" s="1328">
        <f t="shared" si="8"/>
        <v>-0.18</v>
      </c>
      <c r="K89" s="1329">
        <f t="shared" si="9"/>
        <v>53977.640000000007</v>
      </c>
    </row>
    <row r="90" spans="1:11" s="1312" customFormat="1" ht="15" customHeight="1" x14ac:dyDescent="0.3">
      <c r="A90" s="1324" t="s">
        <v>219</v>
      </c>
      <c r="B90" s="1325" t="s">
        <v>220</v>
      </c>
      <c r="C90" s="1326" t="s">
        <v>254</v>
      </c>
      <c r="D90" s="1327">
        <v>22296.908565745569</v>
      </c>
      <c r="E90" s="1328">
        <v>28806.361434254428</v>
      </c>
      <c r="F90" s="1328">
        <v>9010.17</v>
      </c>
      <c r="G90" s="1328">
        <v>23902.76</v>
      </c>
      <c r="H90" s="1328">
        <v>0</v>
      </c>
      <c r="I90" s="1328">
        <f t="shared" si="7"/>
        <v>84016.2</v>
      </c>
      <c r="J90" s="1328">
        <f t="shared" si="8"/>
        <v>23902.76</v>
      </c>
      <c r="K90" s="1329">
        <f t="shared" si="9"/>
        <v>32912.93</v>
      </c>
    </row>
    <row r="91" spans="1:11" s="1312" customFormat="1" ht="15" customHeight="1" x14ac:dyDescent="0.3">
      <c r="A91" s="1324" t="s">
        <v>223</v>
      </c>
      <c r="B91" s="1325" t="s">
        <v>224</v>
      </c>
      <c r="C91" s="1326" t="s">
        <v>251</v>
      </c>
      <c r="D91" s="1327">
        <v>67962.285550385684</v>
      </c>
      <c r="E91" s="1328">
        <v>17418.374449614312</v>
      </c>
      <c r="F91" s="1328">
        <v>18956.04</v>
      </c>
      <c r="G91" s="1328">
        <v>6178.04</v>
      </c>
      <c r="H91" s="1328">
        <v>0</v>
      </c>
      <c r="I91" s="1328">
        <f t="shared" si="7"/>
        <v>110514.74</v>
      </c>
      <c r="J91" s="1328">
        <f t="shared" si="8"/>
        <v>6178.04</v>
      </c>
      <c r="K91" s="1329">
        <f t="shared" si="9"/>
        <v>25134.080000000002</v>
      </c>
    </row>
    <row r="92" spans="1:11" s="1312" customFormat="1" ht="15" customHeight="1" x14ac:dyDescent="0.3">
      <c r="A92" s="1324" t="s">
        <v>225</v>
      </c>
      <c r="B92" s="1325" t="s">
        <v>226</v>
      </c>
      <c r="C92" s="1326" t="s">
        <v>251</v>
      </c>
      <c r="D92" s="1327">
        <v>33958.143852314541</v>
      </c>
      <c r="E92" s="1328">
        <v>7228.4661476854608</v>
      </c>
      <c r="F92" s="1328">
        <v>8094.1</v>
      </c>
      <c r="G92" s="1328">
        <v>-6.0000000000000005E-2</v>
      </c>
      <c r="H92" s="1328">
        <v>0</v>
      </c>
      <c r="I92" s="1328">
        <f t="shared" si="7"/>
        <v>49280.65</v>
      </c>
      <c r="J92" s="1328">
        <f t="shared" si="8"/>
        <v>-6.0000000000000005E-2</v>
      </c>
      <c r="K92" s="1329">
        <f t="shared" si="9"/>
        <v>8094.04</v>
      </c>
    </row>
    <row r="93" spans="1:11" s="1312" customFormat="1" ht="15" customHeight="1" x14ac:dyDescent="0.3">
      <c r="A93" s="1324" t="s">
        <v>227</v>
      </c>
      <c r="B93" s="1325" t="s">
        <v>228</v>
      </c>
      <c r="C93" s="1326" t="s">
        <v>255</v>
      </c>
      <c r="D93" s="1327">
        <v>92963.885831090549</v>
      </c>
      <c r="E93" s="1328">
        <v>74032.134168909455</v>
      </c>
      <c r="F93" s="1328">
        <v>28871.909999999996</v>
      </c>
      <c r="G93" s="1328">
        <v>-9.0000000000000011E-2</v>
      </c>
      <c r="H93" s="1328">
        <v>0</v>
      </c>
      <c r="I93" s="1328">
        <f t="shared" si="7"/>
        <v>195867.84000000003</v>
      </c>
      <c r="J93" s="1328">
        <f t="shared" si="8"/>
        <v>-9.0000000000000011E-2</v>
      </c>
      <c r="K93" s="1329">
        <f t="shared" si="9"/>
        <v>28871.819999999996</v>
      </c>
    </row>
    <row r="94" spans="1:11" s="1312" customFormat="1" ht="15" customHeight="1" x14ac:dyDescent="0.3">
      <c r="A94" s="1324" t="s">
        <v>231</v>
      </c>
      <c r="B94" s="1325" t="s">
        <v>232</v>
      </c>
      <c r="C94" s="1326" t="s">
        <v>254</v>
      </c>
      <c r="D94" s="1327">
        <v>28838.529068200038</v>
      </c>
      <c r="E94" s="1328">
        <v>53664.290931799958</v>
      </c>
      <c r="F94" s="1328">
        <v>15326.73</v>
      </c>
      <c r="G94" s="1328">
        <v>-9.0000000000000011E-2</v>
      </c>
      <c r="H94" s="1328">
        <v>0</v>
      </c>
      <c r="I94" s="1328">
        <f t="shared" si="7"/>
        <v>97829.459999999992</v>
      </c>
      <c r="J94" s="1328">
        <f t="shared" si="8"/>
        <v>-9.0000000000000011E-2</v>
      </c>
      <c r="K94" s="1329">
        <f t="shared" si="9"/>
        <v>15326.64</v>
      </c>
    </row>
    <row r="95" spans="1:11" s="1312" customFormat="1" ht="15" customHeight="1" x14ac:dyDescent="0.3">
      <c r="A95" s="1324" t="s">
        <v>233</v>
      </c>
      <c r="B95" s="1325" t="s">
        <v>234</v>
      </c>
      <c r="C95" s="1326" t="s">
        <v>255</v>
      </c>
      <c r="D95" s="1327">
        <v>91969.730523334001</v>
      </c>
      <c r="E95" s="1328">
        <v>61724.269476665992</v>
      </c>
      <c r="F95" s="1328">
        <v>31128.71</v>
      </c>
      <c r="G95" s="1328">
        <v>-0.17</v>
      </c>
      <c r="H95" s="1328">
        <v>0</v>
      </c>
      <c r="I95" s="1328">
        <f t="shared" si="7"/>
        <v>184822.53999999998</v>
      </c>
      <c r="J95" s="1328">
        <f t="shared" si="8"/>
        <v>-0.17</v>
      </c>
      <c r="K95" s="1329">
        <f t="shared" si="9"/>
        <v>31128.54</v>
      </c>
    </row>
    <row r="96" spans="1:11" s="1312" customFormat="1" ht="15" customHeight="1" x14ac:dyDescent="0.3">
      <c r="A96" s="1324" t="s">
        <v>235</v>
      </c>
      <c r="B96" s="1325" t="s">
        <v>236</v>
      </c>
      <c r="C96" s="1326" t="s">
        <v>253</v>
      </c>
      <c r="D96" s="1327">
        <v>27063.031265531805</v>
      </c>
      <c r="E96" s="1328">
        <v>22998.538734468195</v>
      </c>
      <c r="F96" s="1328">
        <v>9887.43</v>
      </c>
      <c r="G96" s="1328">
        <v>-6.0000000000000005E-2</v>
      </c>
      <c r="H96" s="1328">
        <v>0</v>
      </c>
      <c r="I96" s="1328">
        <f t="shared" si="7"/>
        <v>59948.94</v>
      </c>
      <c r="J96" s="1328">
        <f t="shared" si="8"/>
        <v>-6.0000000000000005E-2</v>
      </c>
      <c r="K96" s="1329">
        <f t="shared" si="9"/>
        <v>9887.3700000000008</v>
      </c>
    </row>
    <row r="97" spans="1:11" s="1312" customFormat="1" ht="15" customHeight="1" x14ac:dyDescent="0.3">
      <c r="A97" s="1324" t="s">
        <v>241</v>
      </c>
      <c r="B97" s="1325" t="s">
        <v>242</v>
      </c>
      <c r="C97" s="1326" t="s">
        <v>255</v>
      </c>
      <c r="D97" s="1327">
        <v>211436.38608023507</v>
      </c>
      <c r="E97" s="1328">
        <v>139770.10391976492</v>
      </c>
      <c r="F97" s="1328">
        <v>69971.95</v>
      </c>
      <c r="G97" s="1328">
        <v>485.36</v>
      </c>
      <c r="H97" s="1328">
        <v>0</v>
      </c>
      <c r="I97" s="1328">
        <f t="shared" si="7"/>
        <v>421663.8</v>
      </c>
      <c r="J97" s="1328">
        <f t="shared" si="8"/>
        <v>485.36</v>
      </c>
      <c r="K97" s="1329">
        <f t="shared" si="9"/>
        <v>70457.31</v>
      </c>
    </row>
    <row r="98" spans="1:11" s="1312" customFormat="1" ht="15" customHeight="1" x14ac:dyDescent="0.3">
      <c r="A98" s="1324" t="s">
        <v>243</v>
      </c>
      <c r="B98" s="1325" t="s">
        <v>244</v>
      </c>
      <c r="C98" s="1326" t="s">
        <v>255</v>
      </c>
      <c r="D98" s="1327">
        <v>96985.026278945836</v>
      </c>
      <c r="E98" s="1328">
        <v>45643.993721054154</v>
      </c>
      <c r="F98" s="1328">
        <v>25662.32</v>
      </c>
      <c r="G98" s="1328">
        <v>9.16</v>
      </c>
      <c r="H98" s="1328">
        <v>0</v>
      </c>
      <c r="I98" s="1328">
        <f t="shared" si="7"/>
        <v>168300.5</v>
      </c>
      <c r="J98" s="1328">
        <f t="shared" si="8"/>
        <v>9.16</v>
      </c>
      <c r="K98" s="1329">
        <f t="shared" si="9"/>
        <v>25671.48</v>
      </c>
    </row>
    <row r="99" spans="1:11" s="1312" customFormat="1" ht="15" customHeight="1" x14ac:dyDescent="0.3">
      <c r="A99" s="1324" t="s">
        <v>245</v>
      </c>
      <c r="B99" s="1325" t="s">
        <v>283</v>
      </c>
      <c r="C99" s="1326" t="s">
        <v>251</v>
      </c>
      <c r="D99" s="1327">
        <v>80446.668942820019</v>
      </c>
      <c r="E99" s="1328">
        <v>59510.661057179997</v>
      </c>
      <c r="F99" s="1328">
        <v>30907.190000000002</v>
      </c>
      <c r="G99" s="1328">
        <v>-0.11</v>
      </c>
      <c r="H99" s="1328">
        <v>0</v>
      </c>
      <c r="I99" s="1328">
        <f t="shared" si="7"/>
        <v>170864.41000000003</v>
      </c>
      <c r="J99" s="1328">
        <f t="shared" si="8"/>
        <v>-0.11</v>
      </c>
      <c r="K99" s="1329">
        <f t="shared" si="9"/>
        <v>30907.08</v>
      </c>
    </row>
    <row r="100" spans="1:11" s="1312" customFormat="1" ht="15" customHeight="1" x14ac:dyDescent="0.3">
      <c r="A100" s="1324" t="s">
        <v>13</v>
      </c>
      <c r="B100" s="1325" t="s">
        <v>14</v>
      </c>
      <c r="C100" s="1326" t="s">
        <v>254</v>
      </c>
      <c r="D100" s="1327">
        <v>253585.39828677737</v>
      </c>
      <c r="E100" s="1328">
        <v>129027.51171322262</v>
      </c>
      <c r="F100" s="1328">
        <v>81444.209999999992</v>
      </c>
      <c r="G100" s="1328">
        <v>-0.17</v>
      </c>
      <c r="H100" s="1328">
        <v>206077.83</v>
      </c>
      <c r="I100" s="1328">
        <f t="shared" si="7"/>
        <v>670134.78</v>
      </c>
      <c r="J100" s="1328">
        <f t="shared" si="8"/>
        <v>206077.65999999997</v>
      </c>
      <c r="K100" s="1329">
        <f t="shared" si="9"/>
        <v>287521.87</v>
      </c>
    </row>
    <row r="101" spans="1:11" s="1312" customFormat="1" ht="15" customHeight="1" x14ac:dyDescent="0.3">
      <c r="A101" s="1324" t="s">
        <v>33</v>
      </c>
      <c r="B101" s="1325" t="s">
        <v>34</v>
      </c>
      <c r="C101" s="1326" t="s">
        <v>255</v>
      </c>
      <c r="D101" s="1327">
        <v>66877.937138002162</v>
      </c>
      <c r="E101" s="1328">
        <v>112187.20286199784</v>
      </c>
      <c r="F101" s="1328">
        <v>33105.379999999997</v>
      </c>
      <c r="G101" s="1328">
        <v>-0.13</v>
      </c>
      <c r="H101" s="1328">
        <v>0</v>
      </c>
      <c r="I101" s="1328">
        <f t="shared" ref="I101:I124" si="10">SUM(D101:H101)</f>
        <v>212170.39</v>
      </c>
      <c r="J101" s="1328">
        <f t="shared" ref="J101:J124" si="11">G101+H101</f>
        <v>-0.13</v>
      </c>
      <c r="K101" s="1329">
        <f t="shared" ref="K101:K124" si="12">F101+J101</f>
        <v>33105.25</v>
      </c>
    </row>
    <row r="102" spans="1:11" s="1312" customFormat="1" ht="15" customHeight="1" x14ac:dyDescent="0.3">
      <c r="A102" s="1324" t="s">
        <v>51</v>
      </c>
      <c r="B102" s="1325" t="s">
        <v>52</v>
      </c>
      <c r="C102" s="1326" t="s">
        <v>252</v>
      </c>
      <c r="D102" s="1327">
        <v>157276.41789961205</v>
      </c>
      <c r="E102" s="1328">
        <v>154500.58210038792</v>
      </c>
      <c r="F102" s="1328">
        <v>71123.070000000007</v>
      </c>
      <c r="G102" s="1328">
        <v>-0.2</v>
      </c>
      <c r="H102" s="1328">
        <v>0</v>
      </c>
      <c r="I102" s="1328">
        <f t="shared" si="10"/>
        <v>382899.87</v>
      </c>
      <c r="J102" s="1328">
        <f t="shared" si="11"/>
        <v>-0.2</v>
      </c>
      <c r="K102" s="1329">
        <f t="shared" si="12"/>
        <v>71122.87000000001</v>
      </c>
    </row>
    <row r="103" spans="1:11" s="1312" customFormat="1" ht="15" customHeight="1" x14ac:dyDescent="0.3">
      <c r="A103" s="1324" t="s">
        <v>53</v>
      </c>
      <c r="B103" s="1325" t="s">
        <v>54</v>
      </c>
      <c r="C103" s="1326" t="s">
        <v>251</v>
      </c>
      <c r="D103" s="1327">
        <v>173751.35920560107</v>
      </c>
      <c r="E103" s="1328">
        <v>237828.97079439892</v>
      </c>
      <c r="F103" s="1328">
        <v>78346.739999999991</v>
      </c>
      <c r="G103" s="1328">
        <v>-0.12000000000000001</v>
      </c>
      <c r="H103" s="1328">
        <v>595.75</v>
      </c>
      <c r="I103" s="1328">
        <f t="shared" si="10"/>
        <v>490522.69999999995</v>
      </c>
      <c r="J103" s="1328">
        <f t="shared" si="11"/>
        <v>595.63</v>
      </c>
      <c r="K103" s="1329">
        <f t="shared" si="12"/>
        <v>78942.37</v>
      </c>
    </row>
    <row r="104" spans="1:11" s="1312" customFormat="1" ht="15" customHeight="1" x14ac:dyDescent="0.3">
      <c r="A104" s="1324" t="s">
        <v>65</v>
      </c>
      <c r="B104" s="1325" t="s">
        <v>66</v>
      </c>
      <c r="C104" s="1326" t="s">
        <v>252</v>
      </c>
      <c r="D104" s="1327">
        <v>93691.21135544288</v>
      </c>
      <c r="E104" s="1328">
        <v>37492.778644557133</v>
      </c>
      <c r="F104" s="1328">
        <v>23754.440000000002</v>
      </c>
      <c r="G104" s="1328">
        <v>-0.15</v>
      </c>
      <c r="H104" s="1328">
        <v>0</v>
      </c>
      <c r="I104" s="1328">
        <f t="shared" si="10"/>
        <v>154938.28000000003</v>
      </c>
      <c r="J104" s="1328">
        <f t="shared" si="11"/>
        <v>-0.15</v>
      </c>
      <c r="K104" s="1329">
        <f t="shared" si="12"/>
        <v>23754.29</v>
      </c>
    </row>
    <row r="105" spans="1:11" s="1312" customFormat="1" ht="15" customHeight="1" x14ac:dyDescent="0.3">
      <c r="A105" s="1324" t="s">
        <v>81</v>
      </c>
      <c r="B105" s="1325" t="s">
        <v>284</v>
      </c>
      <c r="C105" s="1326" t="s">
        <v>251</v>
      </c>
      <c r="D105" s="1327">
        <v>14731.014705053076</v>
      </c>
      <c r="E105" s="1328">
        <v>15622.195294946925</v>
      </c>
      <c r="F105" s="1328">
        <v>5634.31</v>
      </c>
      <c r="G105" s="1328">
        <v>-6.0000000000000005E-2</v>
      </c>
      <c r="H105" s="1328">
        <v>0</v>
      </c>
      <c r="I105" s="1328">
        <f t="shared" si="10"/>
        <v>35987.46</v>
      </c>
      <c r="J105" s="1328">
        <f t="shared" si="11"/>
        <v>-6.0000000000000005E-2</v>
      </c>
      <c r="K105" s="1329">
        <f t="shared" si="12"/>
        <v>5634.25</v>
      </c>
    </row>
    <row r="106" spans="1:11" s="1312" customFormat="1" ht="15" customHeight="1" x14ac:dyDescent="0.3">
      <c r="A106" s="1324" t="s">
        <v>87</v>
      </c>
      <c r="B106" s="1325" t="s">
        <v>88</v>
      </c>
      <c r="C106" s="1326" t="s">
        <v>254</v>
      </c>
      <c r="D106" s="1327">
        <v>39797.511539486026</v>
      </c>
      <c r="E106" s="1328">
        <v>50897.758460513971</v>
      </c>
      <c r="F106" s="1328">
        <v>18839.07</v>
      </c>
      <c r="G106" s="1328">
        <v>239.99</v>
      </c>
      <c r="H106" s="1328">
        <v>0</v>
      </c>
      <c r="I106" s="1328">
        <f t="shared" si="10"/>
        <v>109774.33</v>
      </c>
      <c r="J106" s="1328">
        <f t="shared" si="11"/>
        <v>239.99</v>
      </c>
      <c r="K106" s="1329">
        <f t="shared" si="12"/>
        <v>19079.060000000001</v>
      </c>
    </row>
    <row r="107" spans="1:11" s="1312" customFormat="1" ht="15" customHeight="1" x14ac:dyDescent="0.3">
      <c r="A107" s="1324" t="s">
        <v>89</v>
      </c>
      <c r="B107" s="1325" t="s">
        <v>90</v>
      </c>
      <c r="C107" s="1326" t="s">
        <v>255</v>
      </c>
      <c r="D107" s="1327">
        <v>8933.4261020746417</v>
      </c>
      <c r="E107" s="1328">
        <v>6613.4738979253589</v>
      </c>
      <c r="F107" s="1328">
        <v>2826.8099999999995</v>
      </c>
      <c r="G107" s="1328">
        <v>0</v>
      </c>
      <c r="H107" s="1328">
        <v>0</v>
      </c>
      <c r="I107" s="1328">
        <f t="shared" si="10"/>
        <v>18373.71</v>
      </c>
      <c r="J107" s="1328">
        <f t="shared" si="11"/>
        <v>0</v>
      </c>
      <c r="K107" s="1329">
        <f t="shared" si="12"/>
        <v>2826.8099999999995</v>
      </c>
    </row>
    <row r="108" spans="1:11" s="1312" customFormat="1" ht="15" customHeight="1" x14ac:dyDescent="0.3">
      <c r="A108" s="1324" t="s">
        <v>105</v>
      </c>
      <c r="B108" s="1325" t="s">
        <v>106</v>
      </c>
      <c r="C108" s="1326" t="s">
        <v>251</v>
      </c>
      <c r="D108" s="1327">
        <v>243646.99860755363</v>
      </c>
      <c r="E108" s="1328">
        <v>477339.07139244641</v>
      </c>
      <c r="F108" s="1328">
        <v>141740.03999999998</v>
      </c>
      <c r="G108" s="1328">
        <v>-935.09999999999991</v>
      </c>
      <c r="H108" s="1328">
        <v>4331.7</v>
      </c>
      <c r="I108" s="1328">
        <f t="shared" si="10"/>
        <v>866122.71000000008</v>
      </c>
      <c r="J108" s="1328">
        <f t="shared" si="11"/>
        <v>3396.6</v>
      </c>
      <c r="K108" s="1329">
        <f t="shared" si="12"/>
        <v>145136.63999999998</v>
      </c>
    </row>
    <row r="109" spans="1:11" s="1312" customFormat="1" ht="15" customHeight="1" x14ac:dyDescent="0.3">
      <c r="A109" s="1324" t="s">
        <v>115</v>
      </c>
      <c r="B109" s="1325" t="s">
        <v>116</v>
      </c>
      <c r="C109" s="1326" t="s">
        <v>253</v>
      </c>
      <c r="D109" s="1327">
        <v>59443.600984779237</v>
      </c>
      <c r="E109" s="1328">
        <v>75400.269015220765</v>
      </c>
      <c r="F109" s="1328">
        <v>26450.34</v>
      </c>
      <c r="G109" s="1328">
        <v>-9.9999999999999992E-2</v>
      </c>
      <c r="H109" s="1328">
        <v>0</v>
      </c>
      <c r="I109" s="1328">
        <f t="shared" si="10"/>
        <v>161294.10999999999</v>
      </c>
      <c r="J109" s="1328">
        <f t="shared" si="11"/>
        <v>-9.9999999999999992E-2</v>
      </c>
      <c r="K109" s="1329">
        <f t="shared" si="12"/>
        <v>26450.240000000002</v>
      </c>
    </row>
    <row r="110" spans="1:11" s="1312" customFormat="1" ht="15" customHeight="1" x14ac:dyDescent="0.3">
      <c r="A110" s="1324" t="s">
        <v>137</v>
      </c>
      <c r="B110" s="1325" t="s">
        <v>138</v>
      </c>
      <c r="C110" s="1326" t="s">
        <v>252</v>
      </c>
      <c r="D110" s="1327">
        <v>124431.30156755776</v>
      </c>
      <c r="E110" s="1328">
        <v>59687.098432442232</v>
      </c>
      <c r="F110" s="1328">
        <v>37732.01</v>
      </c>
      <c r="G110" s="1328">
        <v>-0.02</v>
      </c>
      <c r="H110" s="1328">
        <v>0</v>
      </c>
      <c r="I110" s="1328">
        <f t="shared" si="10"/>
        <v>221850.39</v>
      </c>
      <c r="J110" s="1328">
        <f t="shared" si="11"/>
        <v>-0.02</v>
      </c>
      <c r="K110" s="1329">
        <f t="shared" si="12"/>
        <v>37731.990000000005</v>
      </c>
    </row>
    <row r="111" spans="1:11" s="1312" customFormat="1" ht="15" customHeight="1" x14ac:dyDescent="0.3">
      <c r="A111" s="1324" t="s">
        <v>141</v>
      </c>
      <c r="B111" s="1325" t="s">
        <v>142</v>
      </c>
      <c r="C111" s="1326" t="s">
        <v>254</v>
      </c>
      <c r="D111" s="1327">
        <v>27224.421348468506</v>
      </c>
      <c r="E111" s="1328">
        <v>21050.058651531494</v>
      </c>
      <c r="F111" s="1328">
        <v>9532.5199999999986</v>
      </c>
      <c r="G111" s="1328">
        <v>3.0000000000000006E-2</v>
      </c>
      <c r="H111" s="1328">
        <v>0</v>
      </c>
      <c r="I111" s="1328">
        <f t="shared" si="10"/>
        <v>57807.029999999992</v>
      </c>
      <c r="J111" s="1328">
        <f t="shared" si="11"/>
        <v>3.0000000000000006E-2</v>
      </c>
      <c r="K111" s="1329">
        <f t="shared" si="12"/>
        <v>9532.5499999999993</v>
      </c>
    </row>
    <row r="112" spans="1:11" s="1312" customFormat="1" ht="15" customHeight="1" x14ac:dyDescent="0.3">
      <c r="A112" s="1324" t="s">
        <v>143</v>
      </c>
      <c r="B112" s="1325" t="s">
        <v>144</v>
      </c>
      <c r="C112" s="1326" t="s">
        <v>254</v>
      </c>
      <c r="D112" s="1327">
        <v>8549.4181139496486</v>
      </c>
      <c r="E112" s="1328">
        <v>3540.8318860503514</v>
      </c>
      <c r="F112" s="1328">
        <v>3030.73</v>
      </c>
      <c r="G112" s="1328">
        <v>-9.9999999999999985E-3</v>
      </c>
      <c r="H112" s="1328">
        <v>0</v>
      </c>
      <c r="I112" s="1328">
        <f t="shared" si="10"/>
        <v>15120.97</v>
      </c>
      <c r="J112" s="1328">
        <f t="shared" si="11"/>
        <v>-9.9999999999999985E-3</v>
      </c>
      <c r="K112" s="1329">
        <f t="shared" si="12"/>
        <v>3030.72</v>
      </c>
    </row>
    <row r="113" spans="1:11" s="1312" customFormat="1" ht="15" customHeight="1" x14ac:dyDescent="0.3">
      <c r="A113" s="1324" t="s">
        <v>157</v>
      </c>
      <c r="B113" s="1325" t="s">
        <v>158</v>
      </c>
      <c r="C113" s="1326" t="s">
        <v>251</v>
      </c>
      <c r="D113" s="1327">
        <v>362212.40044581192</v>
      </c>
      <c r="E113" s="1328">
        <v>373920.49955418817</v>
      </c>
      <c r="F113" s="1328">
        <v>149390.68000000002</v>
      </c>
      <c r="G113" s="1328">
        <v>-0.17</v>
      </c>
      <c r="H113" s="1328">
        <v>0</v>
      </c>
      <c r="I113" s="1328">
        <f t="shared" si="10"/>
        <v>885523.41000000015</v>
      </c>
      <c r="J113" s="1328">
        <f t="shared" si="11"/>
        <v>-0.17</v>
      </c>
      <c r="K113" s="1329">
        <f t="shared" si="12"/>
        <v>149390.51</v>
      </c>
    </row>
    <row r="114" spans="1:11" s="1312" customFormat="1" ht="15" customHeight="1" x14ac:dyDescent="0.3">
      <c r="A114" s="1324" t="s">
        <v>159</v>
      </c>
      <c r="B114" s="1325" t="s">
        <v>160</v>
      </c>
      <c r="C114" s="1326" t="s">
        <v>251</v>
      </c>
      <c r="D114" s="1327">
        <v>304562.62437865138</v>
      </c>
      <c r="E114" s="1328">
        <v>458639.89562134858</v>
      </c>
      <c r="F114" s="1328">
        <v>141027.17000000001</v>
      </c>
      <c r="G114" s="1328">
        <v>-0.32000000000000006</v>
      </c>
      <c r="H114" s="1328">
        <v>0</v>
      </c>
      <c r="I114" s="1328">
        <f t="shared" si="10"/>
        <v>904229.37000000011</v>
      </c>
      <c r="J114" s="1328">
        <f t="shared" si="11"/>
        <v>-0.32000000000000006</v>
      </c>
      <c r="K114" s="1329">
        <f t="shared" si="12"/>
        <v>141026.85</v>
      </c>
    </row>
    <row r="115" spans="1:11" s="1312" customFormat="1" ht="15" customHeight="1" x14ac:dyDescent="0.3">
      <c r="A115" s="1324" t="s">
        <v>165</v>
      </c>
      <c r="B115" s="1325" t="s">
        <v>166</v>
      </c>
      <c r="C115" s="1326" t="s">
        <v>255</v>
      </c>
      <c r="D115" s="1327">
        <v>26227.876320068357</v>
      </c>
      <c r="E115" s="1328">
        <v>21483.053679931647</v>
      </c>
      <c r="F115" s="1328">
        <v>9307.7100000000009</v>
      </c>
      <c r="G115" s="1328">
        <v>-7.0000000000000007E-2</v>
      </c>
      <c r="H115" s="1328">
        <v>0</v>
      </c>
      <c r="I115" s="1328">
        <f t="shared" si="10"/>
        <v>57018.570000000007</v>
      </c>
      <c r="J115" s="1328">
        <f t="shared" si="11"/>
        <v>-7.0000000000000007E-2</v>
      </c>
      <c r="K115" s="1329">
        <f t="shared" si="12"/>
        <v>9307.6400000000012</v>
      </c>
    </row>
    <row r="116" spans="1:11" s="1312" customFormat="1" ht="15" customHeight="1" x14ac:dyDescent="0.3">
      <c r="A116" s="1324" t="s">
        <v>175</v>
      </c>
      <c r="B116" s="1325" t="s">
        <v>176</v>
      </c>
      <c r="C116" s="1326" t="s">
        <v>253</v>
      </c>
      <c r="D116" s="1327">
        <v>70416.404539954325</v>
      </c>
      <c r="E116" s="1328">
        <v>109680.08546004568</v>
      </c>
      <c r="F116" s="1328">
        <v>34361.430000000015</v>
      </c>
      <c r="G116" s="1328">
        <v>-0.12</v>
      </c>
      <c r="H116" s="1328">
        <v>0</v>
      </c>
      <c r="I116" s="1328">
        <f t="shared" si="10"/>
        <v>214457.80000000002</v>
      </c>
      <c r="J116" s="1328">
        <f t="shared" si="11"/>
        <v>-0.12</v>
      </c>
      <c r="K116" s="1329">
        <f t="shared" si="12"/>
        <v>34361.310000000012</v>
      </c>
    </row>
    <row r="117" spans="1:11" s="1312" customFormat="1" ht="15" customHeight="1" x14ac:dyDescent="0.3">
      <c r="A117" s="1324" t="s">
        <v>179</v>
      </c>
      <c r="B117" s="1325" t="s">
        <v>180</v>
      </c>
      <c r="C117" s="1326" t="s">
        <v>251</v>
      </c>
      <c r="D117" s="1327">
        <v>106935.47664186674</v>
      </c>
      <c r="E117" s="1328">
        <v>106750.46335813323</v>
      </c>
      <c r="F117" s="1328">
        <v>40089.83</v>
      </c>
      <c r="G117" s="1328">
        <v>-0.08</v>
      </c>
      <c r="H117" s="1328">
        <v>0</v>
      </c>
      <c r="I117" s="1328">
        <f t="shared" si="10"/>
        <v>253775.68999999997</v>
      </c>
      <c r="J117" s="1328">
        <f t="shared" si="11"/>
        <v>-0.08</v>
      </c>
      <c r="K117" s="1329">
        <f t="shared" si="12"/>
        <v>40089.75</v>
      </c>
    </row>
    <row r="118" spans="1:11" s="1312" customFormat="1" ht="15" customHeight="1" x14ac:dyDescent="0.3">
      <c r="A118" s="1324" t="s">
        <v>191</v>
      </c>
      <c r="B118" s="1325" t="s">
        <v>192</v>
      </c>
      <c r="C118" s="1326" t="s">
        <v>255</v>
      </c>
      <c r="D118" s="1327">
        <v>8583.1910154923771</v>
      </c>
      <c r="E118" s="1328">
        <v>8968.358984507624</v>
      </c>
      <c r="F118" s="1328">
        <v>3529.1499999999996</v>
      </c>
      <c r="G118" s="1328">
        <v>-0.06</v>
      </c>
      <c r="H118" s="1328">
        <v>0</v>
      </c>
      <c r="I118" s="1328">
        <f t="shared" si="10"/>
        <v>21080.640000000003</v>
      </c>
      <c r="J118" s="1328">
        <f t="shared" si="11"/>
        <v>-0.06</v>
      </c>
      <c r="K118" s="1329">
        <f t="shared" si="12"/>
        <v>3529.0899999999997</v>
      </c>
    </row>
    <row r="119" spans="1:11" s="1312" customFormat="1" ht="15" customHeight="1" x14ac:dyDescent="0.3">
      <c r="A119" s="1324" t="s">
        <v>195</v>
      </c>
      <c r="B119" s="1325" t="s">
        <v>285</v>
      </c>
      <c r="C119" s="1326" t="s">
        <v>253</v>
      </c>
      <c r="D119" s="1327">
        <v>459607.45563322527</v>
      </c>
      <c r="E119" s="1328">
        <v>124447.50436677475</v>
      </c>
      <c r="F119" s="1328">
        <v>116010.61</v>
      </c>
      <c r="G119" s="1328">
        <v>-0.26</v>
      </c>
      <c r="H119" s="1328">
        <v>0</v>
      </c>
      <c r="I119" s="1328">
        <f t="shared" si="10"/>
        <v>700065.30999999994</v>
      </c>
      <c r="J119" s="1328">
        <f t="shared" si="11"/>
        <v>-0.26</v>
      </c>
      <c r="K119" s="1329">
        <f t="shared" si="12"/>
        <v>116010.35</v>
      </c>
    </row>
    <row r="120" spans="1:11" s="1312" customFormat="1" ht="15" customHeight="1" x14ac:dyDescent="0.3">
      <c r="A120" s="1324" t="s">
        <v>199</v>
      </c>
      <c r="B120" s="1325" t="s">
        <v>286</v>
      </c>
      <c r="C120" s="1326" t="s">
        <v>252</v>
      </c>
      <c r="D120" s="1327">
        <v>182709.40638052326</v>
      </c>
      <c r="E120" s="1328">
        <v>170730.47361947672</v>
      </c>
      <c r="F120" s="1328">
        <v>67488.56</v>
      </c>
      <c r="G120" s="1328">
        <v>15086.22</v>
      </c>
      <c r="H120" s="1328">
        <v>0</v>
      </c>
      <c r="I120" s="1328">
        <f t="shared" si="10"/>
        <v>436014.66</v>
      </c>
      <c r="J120" s="1328">
        <f t="shared" si="11"/>
        <v>15086.22</v>
      </c>
      <c r="K120" s="1329">
        <f t="shared" si="12"/>
        <v>82574.78</v>
      </c>
    </row>
    <row r="121" spans="1:11" s="1312" customFormat="1" ht="15" customHeight="1" x14ac:dyDescent="0.3">
      <c r="A121" s="1324" t="s">
        <v>221</v>
      </c>
      <c r="B121" s="1325" t="s">
        <v>222</v>
      </c>
      <c r="C121" s="1326" t="s">
        <v>251</v>
      </c>
      <c r="D121" s="1327">
        <v>147969.0946781917</v>
      </c>
      <c r="E121" s="1328">
        <v>42281.755321808319</v>
      </c>
      <c r="F121" s="1328">
        <v>47050.969999999994</v>
      </c>
      <c r="G121" s="1328">
        <v>244.89999999999998</v>
      </c>
      <c r="H121" s="1328">
        <v>57293.34</v>
      </c>
      <c r="I121" s="1328">
        <f t="shared" si="10"/>
        <v>294840.06000000006</v>
      </c>
      <c r="J121" s="1328">
        <f t="shared" si="11"/>
        <v>57538.239999999998</v>
      </c>
      <c r="K121" s="1329">
        <f t="shared" si="12"/>
        <v>104589.20999999999</v>
      </c>
    </row>
    <row r="122" spans="1:11" s="1312" customFormat="1" ht="15" customHeight="1" x14ac:dyDescent="0.3">
      <c r="A122" s="1324" t="s">
        <v>229</v>
      </c>
      <c r="B122" s="1325" t="s">
        <v>230</v>
      </c>
      <c r="C122" s="1326" t="s">
        <v>251</v>
      </c>
      <c r="D122" s="1327">
        <v>469429.72821331263</v>
      </c>
      <c r="E122" s="1328">
        <v>163117.99178668734</v>
      </c>
      <c r="F122" s="1328">
        <v>134262.13999999998</v>
      </c>
      <c r="G122" s="1328">
        <v>217033.00000000003</v>
      </c>
      <c r="H122" s="1328">
        <v>0</v>
      </c>
      <c r="I122" s="1328">
        <f t="shared" si="10"/>
        <v>983842.86</v>
      </c>
      <c r="J122" s="1328">
        <f t="shared" si="11"/>
        <v>217033.00000000003</v>
      </c>
      <c r="K122" s="1329">
        <f t="shared" si="12"/>
        <v>351295.14</v>
      </c>
    </row>
    <row r="123" spans="1:11" s="1312" customFormat="1" ht="15" customHeight="1" x14ac:dyDescent="0.3">
      <c r="A123" s="1324" t="s">
        <v>237</v>
      </c>
      <c r="B123" s="1325" t="s">
        <v>238</v>
      </c>
      <c r="C123" s="1326" t="s">
        <v>251</v>
      </c>
      <c r="D123" s="1327">
        <v>20468.958881322051</v>
      </c>
      <c r="E123" s="1328">
        <v>6633.0411186779502</v>
      </c>
      <c r="F123" s="1328">
        <v>5673.74</v>
      </c>
      <c r="G123" s="1328">
        <v>9.9999999999999967E-3</v>
      </c>
      <c r="H123" s="1328">
        <v>0</v>
      </c>
      <c r="I123" s="1328">
        <f t="shared" si="10"/>
        <v>32775.75</v>
      </c>
      <c r="J123" s="1328">
        <f t="shared" si="11"/>
        <v>9.9999999999999967E-3</v>
      </c>
      <c r="K123" s="1329">
        <f t="shared" si="12"/>
        <v>5673.75</v>
      </c>
    </row>
    <row r="124" spans="1:11" s="1312" customFormat="1" ht="15" customHeight="1" x14ac:dyDescent="0.3">
      <c r="A124" s="1330" t="s">
        <v>239</v>
      </c>
      <c r="B124" s="1331" t="s">
        <v>240</v>
      </c>
      <c r="C124" s="1332" t="s">
        <v>254</v>
      </c>
      <c r="D124" s="1333">
        <v>61695.648629383657</v>
      </c>
      <c r="E124" s="1334">
        <v>33331.101370616343</v>
      </c>
      <c r="F124" s="1334">
        <v>16498.989999999998</v>
      </c>
      <c r="G124" s="1334">
        <v>20455.93</v>
      </c>
      <c r="H124" s="1334">
        <v>8306.7099999999991</v>
      </c>
      <c r="I124" s="1334">
        <f t="shared" si="10"/>
        <v>140288.37999999998</v>
      </c>
      <c r="J124" s="1334">
        <f t="shared" si="11"/>
        <v>28762.639999999999</v>
      </c>
      <c r="K124" s="1335">
        <f t="shared" si="12"/>
        <v>45261.63</v>
      </c>
    </row>
    <row r="125" spans="1:11" s="1312" customFormat="1" ht="14.4" x14ac:dyDescent="0.3"/>
    <row r="126" spans="1:11" s="1312" customFormat="1" ht="14.4" x14ac:dyDescent="0.3">
      <c r="A126" s="1312" t="s">
        <v>253</v>
      </c>
      <c r="D126" s="1336">
        <v>1832954.7120143529</v>
      </c>
      <c r="E126" s="1337">
        <v>2185271.3179856469</v>
      </c>
      <c r="F126" s="1337">
        <v>772242.17999999993</v>
      </c>
      <c r="G126" s="1337">
        <v>4209.489999999998</v>
      </c>
      <c r="H126" s="1337">
        <v>56096.61</v>
      </c>
      <c r="I126" s="1337">
        <f t="shared" ref="I126:I130" si="13">SUM(D126:H126)</f>
        <v>4850774.3100000005</v>
      </c>
      <c r="J126" s="1337">
        <f t="shared" ref="J126:J130" si="14">G126+H126</f>
        <v>60306.1</v>
      </c>
      <c r="K126" s="1337">
        <f t="shared" ref="K126:K130" si="15">F126+J126</f>
        <v>832548.27999999991</v>
      </c>
    </row>
    <row r="127" spans="1:11" s="1312" customFormat="1" ht="14.4" x14ac:dyDescent="0.3">
      <c r="A127" s="1312" t="s">
        <v>251</v>
      </c>
      <c r="D127" s="1336">
        <v>2527151.235146794</v>
      </c>
      <c r="E127" s="1337">
        <v>2206375.894853204</v>
      </c>
      <c r="F127" s="1337">
        <v>963279.53999999969</v>
      </c>
      <c r="G127" s="1337">
        <v>312779.28999999998</v>
      </c>
      <c r="H127" s="1337">
        <v>110893.18</v>
      </c>
      <c r="I127" s="1337">
        <f t="shared" si="13"/>
        <v>6120479.1399999978</v>
      </c>
      <c r="J127" s="1337">
        <f t="shared" si="14"/>
        <v>423672.47</v>
      </c>
      <c r="K127" s="1337">
        <f t="shared" si="15"/>
        <v>1386952.0099999998</v>
      </c>
    </row>
    <row r="128" spans="1:11" s="1312" customFormat="1" ht="14.4" x14ac:dyDescent="0.3">
      <c r="A128" s="1312" t="s">
        <v>254</v>
      </c>
      <c r="D128" s="1336">
        <v>2949128.9024599614</v>
      </c>
      <c r="E128" s="1337">
        <v>2020294.9475400378</v>
      </c>
      <c r="F128" s="1337">
        <v>1130598.0999999994</v>
      </c>
      <c r="G128" s="1337">
        <v>1155691.93</v>
      </c>
      <c r="H128" s="1337">
        <v>2893745.5700000003</v>
      </c>
      <c r="I128" s="1337">
        <f t="shared" si="13"/>
        <v>10149459.449999999</v>
      </c>
      <c r="J128" s="1337">
        <f t="shared" si="14"/>
        <v>4049437.5</v>
      </c>
      <c r="K128" s="1337">
        <f t="shared" si="15"/>
        <v>5180035.5999999996</v>
      </c>
    </row>
    <row r="129" spans="1:11" s="1312" customFormat="1" ht="14.4" x14ac:dyDescent="0.3">
      <c r="A129" s="1312" t="s">
        <v>252</v>
      </c>
      <c r="D129" s="1336">
        <v>1885965.8737820892</v>
      </c>
      <c r="E129" s="1337">
        <v>1292891.8662179117</v>
      </c>
      <c r="F129" s="1337">
        <v>633525.78000000038</v>
      </c>
      <c r="G129" s="1337">
        <v>18334.839999999993</v>
      </c>
      <c r="H129" s="1337">
        <v>47676.200000000004</v>
      </c>
      <c r="I129" s="1337">
        <f t="shared" si="13"/>
        <v>3878394.5600000015</v>
      </c>
      <c r="J129" s="1337">
        <f t="shared" si="14"/>
        <v>66011.039999999994</v>
      </c>
      <c r="K129" s="1337">
        <f t="shared" si="15"/>
        <v>699536.82000000041</v>
      </c>
    </row>
    <row r="130" spans="1:11" s="1312" customFormat="1" ht="14.4" x14ac:dyDescent="0.3">
      <c r="A130" s="1312" t="s">
        <v>255</v>
      </c>
      <c r="D130" s="1336">
        <v>1406790.1565967994</v>
      </c>
      <c r="E130" s="1337">
        <v>937869.77340320055</v>
      </c>
      <c r="F130" s="1337">
        <v>453171.00999999989</v>
      </c>
      <c r="G130" s="1337">
        <v>950.64000000000033</v>
      </c>
      <c r="H130" s="1337">
        <v>5223.3099999999995</v>
      </c>
      <c r="I130" s="1337">
        <f t="shared" si="13"/>
        <v>2804004.8899999997</v>
      </c>
      <c r="J130" s="1337">
        <f t="shared" si="14"/>
        <v>6173.95</v>
      </c>
      <c r="K130" s="1337">
        <f t="shared" si="15"/>
        <v>459344.9599999999</v>
      </c>
    </row>
    <row r="131" spans="1:11" s="1312" customFormat="1" ht="14.4" x14ac:dyDescent="0.3">
      <c r="A131" s="1312" t="s">
        <v>8</v>
      </c>
      <c r="D131" s="1338">
        <f>SUM(D126:D130)</f>
        <v>10601990.879999999</v>
      </c>
      <c r="E131" s="1339">
        <f t="shared" ref="E131:H131" si="16">SUM(E126:E130)</f>
        <v>8642703.8000000007</v>
      </c>
      <c r="F131" s="1339">
        <f t="shared" si="16"/>
        <v>3952816.6099999994</v>
      </c>
      <c r="G131" s="1339">
        <f t="shared" si="16"/>
        <v>1491966.19</v>
      </c>
      <c r="H131" s="1339">
        <f t="shared" si="16"/>
        <v>3113634.8700000006</v>
      </c>
      <c r="I131" s="1339">
        <f t="shared" ref="I131" si="17">SUM(I126:I130)</f>
        <v>27803112.350000001</v>
      </c>
      <c r="J131" s="1339">
        <f>SUM(J126:J130)</f>
        <v>4605601.0600000005</v>
      </c>
      <c r="K131" s="1339">
        <f>SUM(K126:K130)</f>
        <v>8558417.6699999981</v>
      </c>
    </row>
    <row r="133" spans="1:11" s="173" customFormat="1" x14ac:dyDescent="0.3">
      <c r="A133" s="584" t="s">
        <v>911</v>
      </c>
      <c r="B133" s="410"/>
      <c r="C133" s="410"/>
      <c r="D133" s="368"/>
    </row>
    <row r="134" spans="1:11" s="173" customFormat="1" x14ac:dyDescent="0.3"/>
    <row r="135" spans="1:11" s="193" customFormat="1" x14ac:dyDescent="0.3">
      <c r="A135" s="193" t="s">
        <v>247</v>
      </c>
    </row>
    <row r="136" spans="1:11" x14ac:dyDescent="0.3">
      <c r="A136" s="194" t="s">
        <v>248</v>
      </c>
      <c r="B136" s="195" t="s">
        <v>249</v>
      </c>
      <c r="C136" s="195"/>
    </row>
  </sheetData>
  <autoFilter ref="A3:B3"/>
  <sortState ref="A5:K124">
    <sortCondition ref="A5:A124"/>
  </sortState>
  <hyperlinks>
    <hyperlink ref="B136" r:id="rId1"/>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119" activePane="bottomRight" state="frozen"/>
      <selection pane="topRight" activeCell="B1" sqref="B1"/>
      <selection pane="bottomLeft" activeCell="A5" sqref="A5"/>
      <selection pane="bottomRight" activeCell="I135" sqref="I135"/>
    </sheetView>
  </sheetViews>
  <sheetFormatPr defaultColWidth="9" defaultRowHeight="13.8" x14ac:dyDescent="0.3"/>
  <cols>
    <col min="1" max="1" width="9" style="89"/>
    <col min="2" max="2" width="27.69921875" style="89" customWidth="1"/>
    <col min="3" max="3" width="14.19921875" style="89" customWidth="1"/>
    <col min="4" max="9" width="12.09765625" style="89" customWidth="1"/>
    <col min="10" max="16384" width="9" style="89"/>
  </cols>
  <sheetData>
    <row r="1" spans="1:9" x14ac:dyDescent="0.3">
      <c r="A1" s="3" t="s">
        <v>903</v>
      </c>
      <c r="D1" s="600"/>
      <c r="E1" s="600"/>
      <c r="F1" s="600"/>
      <c r="G1" s="600"/>
      <c r="H1" s="600"/>
      <c r="I1" s="600"/>
    </row>
    <row r="2" spans="1:9" x14ac:dyDescent="0.3">
      <c r="D2" s="601"/>
      <c r="E2" s="601"/>
      <c r="F2" s="601"/>
      <c r="G2" s="601"/>
      <c r="H2" s="601"/>
      <c r="I2" s="601"/>
    </row>
    <row r="3" spans="1:9" ht="27.6" x14ac:dyDescent="0.3">
      <c r="A3" s="602" t="s">
        <v>4</v>
      </c>
      <c r="B3" s="603" t="s">
        <v>5</v>
      </c>
      <c r="C3" s="603" t="s">
        <v>250</v>
      </c>
      <c r="D3" s="604" t="s">
        <v>590</v>
      </c>
      <c r="E3" s="605" t="s">
        <v>591</v>
      </c>
      <c r="F3" s="605" t="s">
        <v>589</v>
      </c>
      <c r="G3" s="605" t="s">
        <v>592</v>
      </c>
      <c r="H3" s="606" t="s">
        <v>593</v>
      </c>
      <c r="I3" s="606" t="s">
        <v>594</v>
      </c>
    </row>
    <row r="4" spans="1:9" ht="14.4" x14ac:dyDescent="0.3">
      <c r="A4" s="1239">
        <v>999</v>
      </c>
      <c r="B4" s="1240" t="s">
        <v>8</v>
      </c>
      <c r="C4" s="1241"/>
      <c r="D4" s="1242">
        <f t="shared" ref="D4:H4" si="0">SUM(D5:D124)</f>
        <v>0</v>
      </c>
      <c r="E4" s="1243">
        <f t="shared" si="0"/>
        <v>289434477.63000011</v>
      </c>
      <c r="F4" s="1243">
        <f t="shared" si="0"/>
        <v>148876933.97999996</v>
      </c>
      <c r="G4" s="1243">
        <f t="shared" si="0"/>
        <v>0</v>
      </c>
      <c r="H4" s="1245">
        <f t="shared" si="0"/>
        <v>438311411.6099999</v>
      </c>
      <c r="I4" s="1245">
        <f t="shared" ref="I4" si="1">SUM(I5:I124)</f>
        <v>148876933.97999996</v>
      </c>
    </row>
    <row r="5" spans="1:9" s="91" customFormat="1" ht="14.4" x14ac:dyDescent="0.3">
      <c r="A5" s="1294" t="s">
        <v>9</v>
      </c>
      <c r="B5" s="1295" t="s">
        <v>10</v>
      </c>
      <c r="C5" s="895" t="s">
        <v>251</v>
      </c>
      <c r="D5" s="1296"/>
      <c r="E5" s="1297">
        <v>261710.51</v>
      </c>
      <c r="F5" s="1297">
        <v>83759.92</v>
      </c>
      <c r="G5" s="1298"/>
      <c r="H5" s="1299">
        <f t="shared" ref="H5:H36" si="2">SUM(D5:G5)</f>
        <v>345470.43</v>
      </c>
      <c r="I5" s="1299">
        <f t="shared" ref="I5:I36" si="3">F5+G5</f>
        <v>83759.92</v>
      </c>
    </row>
    <row r="6" spans="1:9" s="91" customFormat="1" ht="14.4" x14ac:dyDescent="0.3">
      <c r="A6" s="1294" t="s">
        <v>11</v>
      </c>
      <c r="B6" s="1295" t="s">
        <v>12</v>
      </c>
      <c r="C6" s="895" t="s">
        <v>252</v>
      </c>
      <c r="D6" s="1296"/>
      <c r="E6" s="1297">
        <v>6076633.71</v>
      </c>
      <c r="F6" s="1297">
        <v>3581237.44</v>
      </c>
      <c r="G6" s="1298"/>
      <c r="H6" s="1299">
        <f t="shared" si="2"/>
        <v>9657871.1500000004</v>
      </c>
      <c r="I6" s="1299">
        <f t="shared" si="3"/>
        <v>3581237.44</v>
      </c>
    </row>
    <row r="7" spans="1:9" s="91" customFormat="1" ht="14.4" x14ac:dyDescent="0.3">
      <c r="A7" s="1294" t="s">
        <v>15</v>
      </c>
      <c r="B7" s="1295" t="s">
        <v>273</v>
      </c>
      <c r="C7" s="895" t="s">
        <v>252</v>
      </c>
      <c r="D7" s="1296"/>
      <c r="E7" s="1297">
        <v>2664217.5700000003</v>
      </c>
      <c r="F7" s="1297">
        <v>773687.43</v>
      </c>
      <c r="G7" s="1298"/>
      <c r="H7" s="1299">
        <f t="shared" si="2"/>
        <v>3437905.0000000005</v>
      </c>
      <c r="I7" s="1299">
        <f t="shared" si="3"/>
        <v>773687.43</v>
      </c>
    </row>
    <row r="8" spans="1:9" s="91" customFormat="1" ht="14.4" x14ac:dyDescent="0.3">
      <c r="A8" s="1294" t="s">
        <v>17</v>
      </c>
      <c r="B8" s="1295" t="s">
        <v>18</v>
      </c>
      <c r="C8" s="895" t="s">
        <v>253</v>
      </c>
      <c r="D8" s="1296"/>
      <c r="E8" s="1297">
        <v>416328.38</v>
      </c>
      <c r="F8" s="1297">
        <v>208795.8</v>
      </c>
      <c r="G8" s="1298"/>
      <c r="H8" s="1299">
        <f t="shared" si="2"/>
        <v>625124.17999999993</v>
      </c>
      <c r="I8" s="1299">
        <f t="shared" si="3"/>
        <v>208795.8</v>
      </c>
    </row>
    <row r="9" spans="1:9" s="91" customFormat="1" ht="14.4" x14ac:dyDescent="0.3">
      <c r="A9" s="1294" t="s">
        <v>19</v>
      </c>
      <c r="B9" s="1295" t="s">
        <v>20</v>
      </c>
      <c r="C9" s="895" t="s">
        <v>252</v>
      </c>
      <c r="D9" s="1296"/>
      <c r="E9" s="1297">
        <v>1705605.74</v>
      </c>
      <c r="F9" s="1297">
        <v>542505.78</v>
      </c>
      <c r="G9" s="1298"/>
      <c r="H9" s="1299">
        <f t="shared" si="2"/>
        <v>2248111.52</v>
      </c>
      <c r="I9" s="1299">
        <f t="shared" si="3"/>
        <v>542505.78</v>
      </c>
    </row>
    <row r="10" spans="1:9" s="91" customFormat="1" ht="14.4" x14ac:dyDescent="0.3">
      <c r="A10" s="1294" t="s">
        <v>21</v>
      </c>
      <c r="B10" s="1295" t="s">
        <v>22</v>
      </c>
      <c r="C10" s="895" t="s">
        <v>252</v>
      </c>
      <c r="D10" s="1296"/>
      <c r="E10" s="1297">
        <v>1441864.86</v>
      </c>
      <c r="F10" s="1297">
        <v>463218.92</v>
      </c>
      <c r="G10" s="1298"/>
      <c r="H10" s="1299">
        <f t="shared" si="2"/>
        <v>1905083.78</v>
      </c>
      <c r="I10" s="1299">
        <f t="shared" si="3"/>
        <v>463218.92</v>
      </c>
    </row>
    <row r="11" spans="1:9" s="91" customFormat="1" ht="14.4" x14ac:dyDescent="0.3">
      <c r="A11" s="1294" t="s">
        <v>23</v>
      </c>
      <c r="B11" s="1295" t="s">
        <v>24</v>
      </c>
      <c r="C11" s="895" t="s">
        <v>254</v>
      </c>
      <c r="D11" s="1296"/>
      <c r="E11" s="1297">
        <v>3045300.18</v>
      </c>
      <c r="F11" s="1297">
        <v>2529811.56</v>
      </c>
      <c r="G11" s="1298"/>
      <c r="H11" s="1299">
        <f t="shared" si="2"/>
        <v>5575111.7400000002</v>
      </c>
      <c r="I11" s="1299">
        <f t="shared" si="3"/>
        <v>2529811.56</v>
      </c>
    </row>
    <row r="12" spans="1:9" s="91" customFormat="1" ht="14.4" x14ac:dyDescent="0.3">
      <c r="A12" s="1294" t="s">
        <v>25</v>
      </c>
      <c r="B12" s="1295" t="s">
        <v>444</v>
      </c>
      <c r="C12" s="895" t="s">
        <v>252</v>
      </c>
      <c r="D12" s="1296"/>
      <c r="E12" s="1297">
        <v>7654989.1900000004</v>
      </c>
      <c r="F12" s="1297">
        <v>3639136.96</v>
      </c>
      <c r="G12" s="1298"/>
      <c r="H12" s="1299">
        <f t="shared" si="2"/>
        <v>11294126.15</v>
      </c>
      <c r="I12" s="1299">
        <f t="shared" si="3"/>
        <v>3639136.96</v>
      </c>
    </row>
    <row r="13" spans="1:9" s="91" customFormat="1" ht="14.4" x14ac:dyDescent="0.3">
      <c r="A13" s="1294" t="s">
        <v>26</v>
      </c>
      <c r="B13" s="1295" t="s">
        <v>27</v>
      </c>
      <c r="C13" s="895" t="s">
        <v>252</v>
      </c>
      <c r="D13" s="1296"/>
      <c r="E13" s="1297">
        <v>74164.509999999995</v>
      </c>
      <c r="F13" s="1297">
        <v>47233.89</v>
      </c>
      <c r="G13" s="1298"/>
      <c r="H13" s="1299">
        <f t="shared" si="2"/>
        <v>121398.39999999999</v>
      </c>
      <c r="I13" s="1299">
        <f t="shared" si="3"/>
        <v>47233.89</v>
      </c>
    </row>
    <row r="14" spans="1:9" s="91" customFormat="1" ht="14.4" x14ac:dyDescent="0.3">
      <c r="A14" s="1294" t="s">
        <v>28</v>
      </c>
      <c r="B14" s="1295" t="s">
        <v>568</v>
      </c>
      <c r="C14" s="895" t="s">
        <v>252</v>
      </c>
      <c r="D14" s="1296"/>
      <c r="E14" s="1297">
        <v>4419770.53</v>
      </c>
      <c r="F14" s="1297">
        <v>1902747.86</v>
      </c>
      <c r="G14" s="1298"/>
      <c r="H14" s="1299">
        <f t="shared" si="2"/>
        <v>6322518.3900000006</v>
      </c>
      <c r="I14" s="1299">
        <f t="shared" si="3"/>
        <v>1902747.86</v>
      </c>
    </row>
    <row r="15" spans="1:9" s="91" customFormat="1" ht="14.4" x14ac:dyDescent="0.3">
      <c r="A15" s="1294" t="s">
        <v>29</v>
      </c>
      <c r="B15" s="1295" t="s">
        <v>30</v>
      </c>
      <c r="C15" s="895" t="s">
        <v>255</v>
      </c>
      <c r="D15" s="1296"/>
      <c r="E15" s="1297">
        <v>266193.03000000003</v>
      </c>
      <c r="F15" s="1297">
        <v>72201.08</v>
      </c>
      <c r="G15" s="1298"/>
      <c r="H15" s="1299">
        <f t="shared" si="2"/>
        <v>338394.11000000004</v>
      </c>
      <c r="I15" s="1299">
        <f t="shared" si="3"/>
        <v>72201.08</v>
      </c>
    </row>
    <row r="16" spans="1:9" s="91" customFormat="1" ht="14.4" x14ac:dyDescent="0.3">
      <c r="A16" s="1294" t="s">
        <v>31</v>
      </c>
      <c r="B16" s="1295" t="s">
        <v>32</v>
      </c>
      <c r="C16" s="895" t="s">
        <v>252</v>
      </c>
      <c r="D16" s="1296"/>
      <c r="E16" s="1297">
        <v>1006927.41</v>
      </c>
      <c r="F16" s="1297">
        <v>571117.27</v>
      </c>
      <c r="G16" s="1298"/>
      <c r="H16" s="1299">
        <f t="shared" si="2"/>
        <v>1578044.6800000002</v>
      </c>
      <c r="I16" s="1299">
        <f t="shared" si="3"/>
        <v>571117.27</v>
      </c>
    </row>
    <row r="17" spans="1:9" s="91" customFormat="1" ht="14.4" x14ac:dyDescent="0.3">
      <c r="A17" s="1294" t="s">
        <v>35</v>
      </c>
      <c r="B17" s="1295" t="s">
        <v>36</v>
      </c>
      <c r="C17" s="895" t="s">
        <v>251</v>
      </c>
      <c r="D17" s="1296"/>
      <c r="E17" s="1297">
        <v>534665.80000000005</v>
      </c>
      <c r="F17" s="1297">
        <v>173874.66</v>
      </c>
      <c r="G17" s="1298"/>
      <c r="H17" s="1299">
        <f t="shared" si="2"/>
        <v>708540.46000000008</v>
      </c>
      <c r="I17" s="1299">
        <f t="shared" si="3"/>
        <v>173874.66</v>
      </c>
    </row>
    <row r="18" spans="1:9" s="91" customFormat="1" ht="14.4" x14ac:dyDescent="0.3">
      <c r="A18" s="1294" t="s">
        <v>37</v>
      </c>
      <c r="B18" s="1295" t="s">
        <v>38</v>
      </c>
      <c r="C18" s="895" t="s">
        <v>255</v>
      </c>
      <c r="D18" s="1296"/>
      <c r="E18" s="1297">
        <v>881660.89</v>
      </c>
      <c r="F18" s="1297">
        <v>439863.15</v>
      </c>
      <c r="G18" s="1298"/>
      <c r="H18" s="1299">
        <f t="shared" si="2"/>
        <v>1321524.04</v>
      </c>
      <c r="I18" s="1299">
        <f t="shared" si="3"/>
        <v>439863.15</v>
      </c>
    </row>
    <row r="19" spans="1:9" s="91" customFormat="1" ht="14.4" x14ac:dyDescent="0.3">
      <c r="A19" s="1294" t="s">
        <v>39</v>
      </c>
      <c r="B19" s="1295" t="s">
        <v>40</v>
      </c>
      <c r="C19" s="895" t="s">
        <v>253</v>
      </c>
      <c r="D19" s="1296"/>
      <c r="E19" s="1297">
        <v>1492779.57</v>
      </c>
      <c r="F19" s="1297">
        <v>367046.03</v>
      </c>
      <c r="G19" s="1298"/>
      <c r="H19" s="1299">
        <f t="shared" si="2"/>
        <v>1859825.6</v>
      </c>
      <c r="I19" s="1299">
        <f t="shared" si="3"/>
        <v>367046.03</v>
      </c>
    </row>
    <row r="20" spans="1:9" s="91" customFormat="1" ht="14.4" x14ac:dyDescent="0.3">
      <c r="A20" s="1294" t="s">
        <v>41</v>
      </c>
      <c r="B20" s="1295" t="s">
        <v>42</v>
      </c>
      <c r="C20" s="895" t="s">
        <v>252</v>
      </c>
      <c r="D20" s="1296"/>
      <c r="E20" s="1297">
        <v>3100273.99</v>
      </c>
      <c r="F20" s="1297">
        <v>1289836.95</v>
      </c>
      <c r="G20" s="1298"/>
      <c r="H20" s="1299">
        <f t="shared" si="2"/>
        <v>4390110.9400000004</v>
      </c>
      <c r="I20" s="1299">
        <f t="shared" si="3"/>
        <v>1289836.95</v>
      </c>
    </row>
    <row r="21" spans="1:9" s="91" customFormat="1" ht="14.4" x14ac:dyDescent="0.3">
      <c r="A21" s="1294" t="s">
        <v>43</v>
      </c>
      <c r="B21" s="1295" t="s">
        <v>44</v>
      </c>
      <c r="C21" s="895" t="s">
        <v>253</v>
      </c>
      <c r="D21" s="1296"/>
      <c r="E21" s="1297">
        <v>940746.4</v>
      </c>
      <c r="F21" s="1297">
        <v>453129.1</v>
      </c>
      <c r="G21" s="1298"/>
      <c r="H21" s="1299">
        <f t="shared" si="2"/>
        <v>1393875.5</v>
      </c>
      <c r="I21" s="1299">
        <f t="shared" si="3"/>
        <v>453129.1</v>
      </c>
    </row>
    <row r="22" spans="1:9" s="91" customFormat="1" ht="14.4" x14ac:dyDescent="0.3">
      <c r="A22" s="1294" t="s">
        <v>45</v>
      </c>
      <c r="B22" s="1295" t="s">
        <v>46</v>
      </c>
      <c r="C22" s="895" t="s">
        <v>255</v>
      </c>
      <c r="D22" s="1296"/>
      <c r="E22" s="1297">
        <v>2566076.4900000002</v>
      </c>
      <c r="F22" s="1297">
        <v>1041007.59</v>
      </c>
      <c r="G22" s="1298"/>
      <c r="H22" s="1299">
        <f t="shared" si="2"/>
        <v>3607084.08</v>
      </c>
      <c r="I22" s="1299">
        <f t="shared" si="3"/>
        <v>1041007.59</v>
      </c>
    </row>
    <row r="23" spans="1:9" s="91" customFormat="1" ht="14.4" x14ac:dyDescent="0.3">
      <c r="A23" s="1294" t="s">
        <v>47</v>
      </c>
      <c r="B23" s="1295" t="s">
        <v>256</v>
      </c>
      <c r="C23" s="895" t="s">
        <v>253</v>
      </c>
      <c r="D23" s="1296"/>
      <c r="E23" s="1297">
        <v>387627.61</v>
      </c>
      <c r="F23" s="1297">
        <v>176304.7</v>
      </c>
      <c r="G23" s="1298"/>
      <c r="H23" s="1299">
        <f t="shared" si="2"/>
        <v>563932.31000000006</v>
      </c>
      <c r="I23" s="1299">
        <f t="shared" si="3"/>
        <v>176304.7</v>
      </c>
    </row>
    <row r="24" spans="1:9" s="91" customFormat="1" ht="14.4" x14ac:dyDescent="0.3">
      <c r="A24" s="1294" t="s">
        <v>49</v>
      </c>
      <c r="B24" s="1295" t="s">
        <v>50</v>
      </c>
      <c r="C24" s="895" t="s">
        <v>252</v>
      </c>
      <c r="D24" s="1296"/>
      <c r="E24" s="1297">
        <v>831542.6</v>
      </c>
      <c r="F24" s="1297">
        <v>216904.08</v>
      </c>
      <c r="G24" s="1298"/>
      <c r="H24" s="1299">
        <f t="shared" si="2"/>
        <v>1048446.6799999999</v>
      </c>
      <c r="I24" s="1299">
        <f t="shared" si="3"/>
        <v>216904.08</v>
      </c>
    </row>
    <row r="25" spans="1:9" s="91" customFormat="1" ht="14.4" x14ac:dyDescent="0.3">
      <c r="A25" s="1294" t="s">
        <v>55</v>
      </c>
      <c r="B25" s="1295" t="s">
        <v>271</v>
      </c>
      <c r="C25" s="895" t="s">
        <v>253</v>
      </c>
      <c r="D25" s="1296"/>
      <c r="E25" s="1297">
        <v>9426117.75</v>
      </c>
      <c r="F25" s="1297">
        <v>5725039.7599999998</v>
      </c>
      <c r="G25" s="1298"/>
      <c r="H25" s="1299">
        <f t="shared" si="2"/>
        <v>15151157.51</v>
      </c>
      <c r="I25" s="1299">
        <f t="shared" si="3"/>
        <v>5725039.7599999998</v>
      </c>
    </row>
    <row r="26" spans="1:9" s="91" customFormat="1" ht="14.4" x14ac:dyDescent="0.3">
      <c r="A26" s="1294" t="s">
        <v>57</v>
      </c>
      <c r="B26" s="1295" t="s">
        <v>58</v>
      </c>
      <c r="C26" s="895" t="s">
        <v>254</v>
      </c>
      <c r="D26" s="1296"/>
      <c r="E26" s="1297">
        <v>128062.82</v>
      </c>
      <c r="F26" s="1297">
        <v>89252.49</v>
      </c>
      <c r="G26" s="1298"/>
      <c r="H26" s="1299">
        <f t="shared" si="2"/>
        <v>217315.31</v>
      </c>
      <c r="I26" s="1299">
        <f t="shared" si="3"/>
        <v>89252.49</v>
      </c>
    </row>
    <row r="27" spans="1:9" s="91" customFormat="1" ht="14.4" x14ac:dyDescent="0.3">
      <c r="A27" s="1294" t="s">
        <v>59</v>
      </c>
      <c r="B27" s="1295" t="s">
        <v>60</v>
      </c>
      <c r="C27" s="895" t="s">
        <v>252</v>
      </c>
      <c r="D27" s="1296"/>
      <c r="E27" s="1297">
        <v>515856.7</v>
      </c>
      <c r="F27" s="1297">
        <v>182414.34</v>
      </c>
      <c r="G27" s="1298"/>
      <c r="H27" s="1299">
        <f t="shared" si="2"/>
        <v>698271.04</v>
      </c>
      <c r="I27" s="1299">
        <f t="shared" si="3"/>
        <v>182414.34</v>
      </c>
    </row>
    <row r="28" spans="1:9" s="91" customFormat="1" ht="14.4" x14ac:dyDescent="0.3">
      <c r="A28" s="1294" t="s">
        <v>61</v>
      </c>
      <c r="B28" s="1295" t="s">
        <v>62</v>
      </c>
      <c r="C28" s="895" t="s">
        <v>254</v>
      </c>
      <c r="D28" s="1296"/>
      <c r="E28" s="1297">
        <v>2033803.25</v>
      </c>
      <c r="F28" s="1297">
        <v>1000458.57</v>
      </c>
      <c r="G28" s="1298"/>
      <c r="H28" s="1299">
        <f t="shared" si="2"/>
        <v>3034261.82</v>
      </c>
      <c r="I28" s="1299">
        <f t="shared" si="3"/>
        <v>1000458.57</v>
      </c>
    </row>
    <row r="29" spans="1:9" s="91" customFormat="1" ht="14.4" x14ac:dyDescent="0.3">
      <c r="A29" s="1294" t="s">
        <v>63</v>
      </c>
      <c r="B29" s="1295" t="s">
        <v>64</v>
      </c>
      <c r="C29" s="895" t="s">
        <v>253</v>
      </c>
      <c r="D29" s="1296"/>
      <c r="E29" s="1297">
        <v>776259.19</v>
      </c>
      <c r="F29" s="1297">
        <v>304566.42</v>
      </c>
      <c r="G29" s="1298"/>
      <c r="H29" s="1299">
        <f t="shared" si="2"/>
        <v>1080825.6099999999</v>
      </c>
      <c r="I29" s="1299">
        <f t="shared" si="3"/>
        <v>304566.42</v>
      </c>
    </row>
    <row r="30" spans="1:9" s="91" customFormat="1" ht="14.4" x14ac:dyDescent="0.3">
      <c r="A30" s="1294" t="s">
        <v>67</v>
      </c>
      <c r="B30" s="1295" t="s">
        <v>68</v>
      </c>
      <c r="C30" s="895" t="s">
        <v>255</v>
      </c>
      <c r="D30" s="1296"/>
      <c r="E30" s="1297">
        <v>686433.27</v>
      </c>
      <c r="F30" s="1297">
        <v>274801.40999999997</v>
      </c>
      <c r="G30" s="1298"/>
      <c r="H30" s="1299">
        <f t="shared" si="2"/>
        <v>961234.67999999993</v>
      </c>
      <c r="I30" s="1299">
        <f t="shared" si="3"/>
        <v>274801.40999999997</v>
      </c>
    </row>
    <row r="31" spans="1:9" s="91" customFormat="1" ht="14.4" x14ac:dyDescent="0.3">
      <c r="A31" s="1294" t="s">
        <v>69</v>
      </c>
      <c r="B31" s="1295" t="s">
        <v>70</v>
      </c>
      <c r="C31" s="895" t="s">
        <v>251</v>
      </c>
      <c r="D31" s="1296"/>
      <c r="E31" s="1297">
        <v>1473590.34</v>
      </c>
      <c r="F31" s="1297">
        <v>729854.53</v>
      </c>
      <c r="G31" s="1298"/>
      <c r="H31" s="1299">
        <f t="shared" si="2"/>
        <v>2203444.87</v>
      </c>
      <c r="I31" s="1299">
        <f t="shared" si="3"/>
        <v>729854.53</v>
      </c>
    </row>
    <row r="32" spans="1:9" s="91" customFormat="1" ht="14.4" x14ac:dyDescent="0.3">
      <c r="A32" s="1294" t="s">
        <v>71</v>
      </c>
      <c r="B32" s="1295" t="s">
        <v>72</v>
      </c>
      <c r="C32" s="895" t="s">
        <v>253</v>
      </c>
      <c r="D32" s="1296"/>
      <c r="E32" s="1297">
        <v>685582.62</v>
      </c>
      <c r="F32" s="1297">
        <v>402690.79</v>
      </c>
      <c r="G32" s="1298"/>
      <c r="H32" s="1299">
        <f t="shared" si="2"/>
        <v>1088273.4099999999</v>
      </c>
      <c r="I32" s="1299">
        <f t="shared" si="3"/>
        <v>402690.79</v>
      </c>
    </row>
    <row r="33" spans="1:9" s="91" customFormat="1" ht="14.4" x14ac:dyDescent="0.3">
      <c r="A33" s="1294" t="s">
        <v>73</v>
      </c>
      <c r="B33" s="1295" t="s">
        <v>277</v>
      </c>
      <c r="C33" s="895" t="s">
        <v>254</v>
      </c>
      <c r="D33" s="1296"/>
      <c r="E33" s="1297">
        <v>21545657.309999999</v>
      </c>
      <c r="F33" s="1297">
        <v>16849377.57</v>
      </c>
      <c r="G33" s="1298"/>
      <c r="H33" s="1299">
        <f t="shared" si="2"/>
        <v>38395034.879999995</v>
      </c>
      <c r="I33" s="1299">
        <f t="shared" si="3"/>
        <v>16849377.57</v>
      </c>
    </row>
    <row r="34" spans="1:9" s="91" customFormat="1" ht="14.4" x14ac:dyDescent="0.3">
      <c r="A34" s="1294" t="s">
        <v>75</v>
      </c>
      <c r="B34" s="1295" t="s">
        <v>76</v>
      </c>
      <c r="C34" s="895" t="s">
        <v>254</v>
      </c>
      <c r="D34" s="1296"/>
      <c r="E34" s="1297">
        <v>2452934.4900000002</v>
      </c>
      <c r="F34" s="1297">
        <v>1944512.5</v>
      </c>
      <c r="G34" s="1298"/>
      <c r="H34" s="1299">
        <f t="shared" si="2"/>
        <v>4397446.99</v>
      </c>
      <c r="I34" s="1299">
        <f t="shared" si="3"/>
        <v>1944512.5</v>
      </c>
    </row>
    <row r="35" spans="1:9" s="91" customFormat="1" ht="14.4" x14ac:dyDescent="0.3">
      <c r="A35" s="1294" t="s">
        <v>77</v>
      </c>
      <c r="B35" s="1295" t="s">
        <v>78</v>
      </c>
      <c r="C35" s="895" t="s">
        <v>255</v>
      </c>
      <c r="D35" s="1296"/>
      <c r="E35" s="1297">
        <v>1047884.67</v>
      </c>
      <c r="F35" s="1297">
        <v>284781.68</v>
      </c>
      <c r="G35" s="1298"/>
      <c r="H35" s="1299">
        <f t="shared" si="2"/>
        <v>1332666.3500000001</v>
      </c>
      <c r="I35" s="1299">
        <f t="shared" si="3"/>
        <v>284781.68</v>
      </c>
    </row>
    <row r="36" spans="1:9" s="91" customFormat="1" ht="14.4" x14ac:dyDescent="0.3">
      <c r="A36" s="1294" t="s">
        <v>79</v>
      </c>
      <c r="B36" s="1295" t="s">
        <v>80</v>
      </c>
      <c r="C36" s="895" t="s">
        <v>253</v>
      </c>
      <c r="D36" s="1296"/>
      <c r="E36" s="1297">
        <v>1568670.64</v>
      </c>
      <c r="F36" s="1297">
        <v>850761.46</v>
      </c>
      <c r="G36" s="1298"/>
      <c r="H36" s="1299">
        <f t="shared" si="2"/>
        <v>2419432.0999999996</v>
      </c>
      <c r="I36" s="1299">
        <f t="shared" si="3"/>
        <v>850761.46</v>
      </c>
    </row>
    <row r="37" spans="1:9" s="91" customFormat="1" ht="14.4" x14ac:dyDescent="0.3">
      <c r="A37" s="1294" t="s">
        <v>83</v>
      </c>
      <c r="B37" s="1295" t="s">
        <v>281</v>
      </c>
      <c r="C37" s="895" t="s">
        <v>252</v>
      </c>
      <c r="D37" s="1296"/>
      <c r="E37" s="1297">
        <v>4499555.0599999996</v>
      </c>
      <c r="F37" s="1297">
        <v>1736758.22</v>
      </c>
      <c r="G37" s="1298"/>
      <c r="H37" s="1299">
        <f t="shared" ref="H37:H68" si="4">SUM(D37:G37)</f>
        <v>6236313.2799999993</v>
      </c>
      <c r="I37" s="1299">
        <f t="shared" ref="I37:I68" si="5">F37+G37</f>
        <v>1736758.22</v>
      </c>
    </row>
    <row r="38" spans="1:9" s="91" customFormat="1" ht="14.4" x14ac:dyDescent="0.3">
      <c r="A38" s="1294" t="s">
        <v>85</v>
      </c>
      <c r="B38" s="1295" t="s">
        <v>86</v>
      </c>
      <c r="C38" s="895" t="s">
        <v>254</v>
      </c>
      <c r="D38" s="1296"/>
      <c r="E38" s="1297">
        <v>2016038.17</v>
      </c>
      <c r="F38" s="1297">
        <v>1363259.82</v>
      </c>
      <c r="G38" s="1298"/>
      <c r="H38" s="1299">
        <f t="shared" si="4"/>
        <v>3379297.99</v>
      </c>
      <c r="I38" s="1299">
        <f t="shared" si="5"/>
        <v>1363259.82</v>
      </c>
    </row>
    <row r="39" spans="1:9" s="91" customFormat="1" ht="14.4" x14ac:dyDescent="0.3">
      <c r="A39" s="1294" t="s">
        <v>91</v>
      </c>
      <c r="B39" s="1295" t="s">
        <v>92</v>
      </c>
      <c r="C39" s="895" t="s">
        <v>255</v>
      </c>
      <c r="D39" s="1296"/>
      <c r="E39" s="1297">
        <v>1540599.17</v>
      </c>
      <c r="F39" s="1297">
        <v>573975.28</v>
      </c>
      <c r="G39" s="1298"/>
      <c r="H39" s="1299">
        <f t="shared" si="4"/>
        <v>2114574.4500000002</v>
      </c>
      <c r="I39" s="1299">
        <f t="shared" si="5"/>
        <v>573975.28</v>
      </c>
    </row>
    <row r="40" spans="1:9" s="91" customFormat="1" ht="14.4" x14ac:dyDescent="0.3">
      <c r="A40" s="1294" t="s">
        <v>93</v>
      </c>
      <c r="B40" s="1295" t="s">
        <v>94</v>
      </c>
      <c r="C40" s="895" t="s">
        <v>251</v>
      </c>
      <c r="D40" s="1296"/>
      <c r="E40" s="1297">
        <v>608371.47</v>
      </c>
      <c r="F40" s="1297">
        <v>345672.78</v>
      </c>
      <c r="G40" s="1298"/>
      <c r="H40" s="1299">
        <f t="shared" si="4"/>
        <v>954044.25</v>
      </c>
      <c r="I40" s="1299">
        <f t="shared" si="5"/>
        <v>345672.78</v>
      </c>
    </row>
    <row r="41" spans="1:9" s="91" customFormat="1" ht="14.4" x14ac:dyDescent="0.3">
      <c r="A41" s="1294" t="s">
        <v>95</v>
      </c>
      <c r="B41" s="1295" t="s">
        <v>96</v>
      </c>
      <c r="C41" s="895" t="s">
        <v>253</v>
      </c>
      <c r="D41" s="1296"/>
      <c r="E41" s="1297">
        <v>405478.77</v>
      </c>
      <c r="F41" s="1297">
        <v>381306.94</v>
      </c>
      <c r="G41" s="1298"/>
      <c r="H41" s="1299">
        <f t="shared" si="4"/>
        <v>786785.71</v>
      </c>
      <c r="I41" s="1299">
        <f t="shared" si="5"/>
        <v>381306.94</v>
      </c>
    </row>
    <row r="42" spans="1:9" s="91" customFormat="1" ht="14.4" x14ac:dyDescent="0.3">
      <c r="A42" s="1294" t="s">
        <v>97</v>
      </c>
      <c r="B42" s="1295" t="s">
        <v>98</v>
      </c>
      <c r="C42" s="895" t="s">
        <v>255</v>
      </c>
      <c r="D42" s="1296"/>
      <c r="E42" s="1297">
        <v>711004.19</v>
      </c>
      <c r="F42" s="1297">
        <v>180927.67</v>
      </c>
      <c r="G42" s="1298"/>
      <c r="H42" s="1299">
        <f t="shared" si="4"/>
        <v>891931.86</v>
      </c>
      <c r="I42" s="1299">
        <f t="shared" si="5"/>
        <v>180927.67</v>
      </c>
    </row>
    <row r="43" spans="1:9" s="91" customFormat="1" ht="14.4" x14ac:dyDescent="0.3">
      <c r="A43" s="1294" t="s">
        <v>99</v>
      </c>
      <c r="B43" s="1295" t="s">
        <v>100</v>
      </c>
      <c r="C43" s="895" t="s">
        <v>254</v>
      </c>
      <c r="D43" s="1296"/>
      <c r="E43" s="1297">
        <v>817653.58</v>
      </c>
      <c r="F43" s="1297">
        <v>421963.8</v>
      </c>
      <c r="G43" s="1298"/>
      <c r="H43" s="1299">
        <f t="shared" si="4"/>
        <v>1239617.3799999999</v>
      </c>
      <c r="I43" s="1299">
        <f t="shared" si="5"/>
        <v>421963.8</v>
      </c>
    </row>
    <row r="44" spans="1:9" s="91" customFormat="1" ht="14.4" x14ac:dyDescent="0.3">
      <c r="A44" s="1294" t="s">
        <v>101</v>
      </c>
      <c r="B44" s="1295" t="s">
        <v>102</v>
      </c>
      <c r="C44" s="895" t="s">
        <v>251</v>
      </c>
      <c r="D44" s="1296"/>
      <c r="E44" s="1297">
        <v>1133907.29</v>
      </c>
      <c r="F44" s="1297">
        <v>332686.38</v>
      </c>
      <c r="G44" s="1298"/>
      <c r="H44" s="1299">
        <f t="shared" si="4"/>
        <v>1466593.67</v>
      </c>
      <c r="I44" s="1299">
        <f t="shared" si="5"/>
        <v>332686.38</v>
      </c>
    </row>
    <row r="45" spans="1:9" s="91" customFormat="1" ht="14.4" x14ac:dyDescent="0.3">
      <c r="A45" s="1294" t="s">
        <v>103</v>
      </c>
      <c r="B45" s="1295" t="s">
        <v>282</v>
      </c>
      <c r="C45" s="895" t="s">
        <v>252</v>
      </c>
      <c r="D45" s="1296"/>
      <c r="E45" s="1297">
        <v>3037155.37</v>
      </c>
      <c r="F45" s="1297">
        <v>896328.64</v>
      </c>
      <c r="G45" s="1298"/>
      <c r="H45" s="1299">
        <f t="shared" si="4"/>
        <v>3933484.0100000002</v>
      </c>
      <c r="I45" s="1299">
        <f t="shared" si="5"/>
        <v>896328.64</v>
      </c>
    </row>
    <row r="46" spans="1:9" s="91" customFormat="1" ht="14.4" x14ac:dyDescent="0.3">
      <c r="A46" s="1294" t="s">
        <v>107</v>
      </c>
      <c r="B46" s="1295" t="s">
        <v>108</v>
      </c>
      <c r="C46" s="895" t="s">
        <v>253</v>
      </c>
      <c r="D46" s="1296"/>
      <c r="E46" s="1297">
        <v>3264523.1</v>
      </c>
      <c r="F46" s="1297">
        <v>2265770.5299999998</v>
      </c>
      <c r="G46" s="1298"/>
      <c r="H46" s="1299">
        <f t="shared" si="4"/>
        <v>5530293.6299999999</v>
      </c>
      <c r="I46" s="1299">
        <f t="shared" si="5"/>
        <v>2265770.5299999998</v>
      </c>
    </row>
    <row r="47" spans="1:9" s="91" customFormat="1" ht="14.4" x14ac:dyDescent="0.3">
      <c r="A47" s="1294" t="s">
        <v>109</v>
      </c>
      <c r="B47" s="1295" t="s">
        <v>110</v>
      </c>
      <c r="C47" s="895" t="s">
        <v>253</v>
      </c>
      <c r="D47" s="1296"/>
      <c r="E47" s="1297">
        <v>11974726.01</v>
      </c>
      <c r="F47" s="1297">
        <v>7044712.4699999997</v>
      </c>
      <c r="G47" s="1298"/>
      <c r="H47" s="1299">
        <f t="shared" si="4"/>
        <v>19019438.48</v>
      </c>
      <c r="I47" s="1299">
        <f t="shared" si="5"/>
        <v>7044712.4699999997</v>
      </c>
    </row>
    <row r="48" spans="1:9" s="91" customFormat="1" ht="14.4" x14ac:dyDescent="0.3">
      <c r="A48" s="1294" t="s">
        <v>111</v>
      </c>
      <c r="B48" s="1295" t="s">
        <v>275</v>
      </c>
      <c r="C48" s="895" t="s">
        <v>252</v>
      </c>
      <c r="D48" s="1296"/>
      <c r="E48" s="1297">
        <v>1811858.8699999999</v>
      </c>
      <c r="F48" s="1297">
        <v>730954.46</v>
      </c>
      <c r="G48" s="1298"/>
      <c r="H48" s="1299">
        <f t="shared" si="4"/>
        <v>2542813.33</v>
      </c>
      <c r="I48" s="1299">
        <f t="shared" si="5"/>
        <v>730954.46</v>
      </c>
    </row>
    <row r="49" spans="1:9" s="91" customFormat="1" ht="14.4" x14ac:dyDescent="0.3">
      <c r="A49" s="1294" t="s">
        <v>113</v>
      </c>
      <c r="B49" s="1295" t="s">
        <v>114</v>
      </c>
      <c r="C49" s="895" t="s">
        <v>252</v>
      </c>
      <c r="D49" s="1296"/>
      <c r="E49" s="1297">
        <v>4596.43</v>
      </c>
      <c r="F49" s="1297">
        <v>2843.57</v>
      </c>
      <c r="G49" s="1298"/>
      <c r="H49" s="1299">
        <f t="shared" si="4"/>
        <v>7440</v>
      </c>
      <c r="I49" s="1299">
        <f t="shared" si="5"/>
        <v>2843.57</v>
      </c>
    </row>
    <row r="50" spans="1:9" s="91" customFormat="1" ht="14.4" x14ac:dyDescent="0.3">
      <c r="A50" s="1294" t="s">
        <v>117</v>
      </c>
      <c r="B50" s="1295" t="s">
        <v>118</v>
      </c>
      <c r="C50" s="895" t="s">
        <v>251</v>
      </c>
      <c r="D50" s="1296"/>
      <c r="E50" s="1297">
        <v>239793.5</v>
      </c>
      <c r="F50" s="1297">
        <v>111698.76</v>
      </c>
      <c r="G50" s="1298"/>
      <c r="H50" s="1299">
        <f t="shared" si="4"/>
        <v>351492.26</v>
      </c>
      <c r="I50" s="1299">
        <f t="shared" si="5"/>
        <v>111698.76</v>
      </c>
    </row>
    <row r="51" spans="1:9" s="91" customFormat="1" ht="14.4" x14ac:dyDescent="0.3">
      <c r="A51" s="1294" t="s">
        <v>119</v>
      </c>
      <c r="B51" s="1295" t="s">
        <v>120</v>
      </c>
      <c r="C51" s="895" t="s">
        <v>251</v>
      </c>
      <c r="D51" s="1296"/>
      <c r="E51" s="1297">
        <v>1024926.78</v>
      </c>
      <c r="F51" s="1297">
        <v>768704.85</v>
      </c>
      <c r="G51" s="1298"/>
      <c r="H51" s="1299">
        <f t="shared" si="4"/>
        <v>1793631.63</v>
      </c>
      <c r="I51" s="1299">
        <f t="shared" si="5"/>
        <v>768704.85</v>
      </c>
    </row>
    <row r="52" spans="1:9" s="91" customFormat="1" ht="14.4" x14ac:dyDescent="0.3">
      <c r="A52" s="1294" t="s">
        <v>121</v>
      </c>
      <c r="B52" s="1295" t="s">
        <v>258</v>
      </c>
      <c r="C52" s="895" t="s">
        <v>253</v>
      </c>
      <c r="D52" s="1296"/>
      <c r="E52" s="1297">
        <v>266352.74</v>
      </c>
      <c r="F52" s="1297">
        <v>122053.89</v>
      </c>
      <c r="G52" s="1298"/>
      <c r="H52" s="1299">
        <f t="shared" si="4"/>
        <v>388406.63</v>
      </c>
      <c r="I52" s="1299">
        <f t="shared" si="5"/>
        <v>122053.89</v>
      </c>
    </row>
    <row r="53" spans="1:9" s="91" customFormat="1" ht="14.4" x14ac:dyDescent="0.3">
      <c r="A53" s="1294" t="s">
        <v>123</v>
      </c>
      <c r="B53" s="1295" t="s">
        <v>124</v>
      </c>
      <c r="C53" s="895" t="s">
        <v>254</v>
      </c>
      <c r="D53" s="1296"/>
      <c r="E53" s="1297">
        <v>1724069.94</v>
      </c>
      <c r="F53" s="1297">
        <v>991363.52</v>
      </c>
      <c r="G53" s="1298"/>
      <c r="H53" s="1299">
        <f t="shared" si="4"/>
        <v>2715433.46</v>
      </c>
      <c r="I53" s="1299">
        <f t="shared" si="5"/>
        <v>991363.52</v>
      </c>
    </row>
    <row r="54" spans="1:9" s="91" customFormat="1" ht="14.4" x14ac:dyDescent="0.3">
      <c r="A54" s="1294" t="s">
        <v>125</v>
      </c>
      <c r="B54" s="1295" t="s">
        <v>126</v>
      </c>
      <c r="C54" s="895" t="s">
        <v>253</v>
      </c>
      <c r="D54" s="1296"/>
      <c r="E54" s="1297">
        <v>590399.92000000004</v>
      </c>
      <c r="F54" s="1297">
        <v>371916.06</v>
      </c>
      <c r="G54" s="1298"/>
      <c r="H54" s="1299">
        <f t="shared" si="4"/>
        <v>962315.98</v>
      </c>
      <c r="I54" s="1299">
        <f t="shared" si="5"/>
        <v>371916.06</v>
      </c>
    </row>
    <row r="55" spans="1:9" s="91" customFormat="1" ht="14.4" x14ac:dyDescent="0.3">
      <c r="A55" s="1294" t="s">
        <v>127</v>
      </c>
      <c r="B55" s="1295" t="s">
        <v>128</v>
      </c>
      <c r="C55" s="895" t="s">
        <v>253</v>
      </c>
      <c r="D55" s="1296"/>
      <c r="E55" s="1297">
        <v>517172.68</v>
      </c>
      <c r="F55" s="1297">
        <v>438372.78</v>
      </c>
      <c r="G55" s="1298"/>
      <c r="H55" s="1299">
        <f t="shared" si="4"/>
        <v>955545.46</v>
      </c>
      <c r="I55" s="1299">
        <f t="shared" si="5"/>
        <v>438372.78</v>
      </c>
    </row>
    <row r="56" spans="1:9" s="91" customFormat="1" ht="14.4" x14ac:dyDescent="0.3">
      <c r="A56" s="1294" t="s">
        <v>129</v>
      </c>
      <c r="B56" s="1295" t="s">
        <v>130</v>
      </c>
      <c r="C56" s="895" t="s">
        <v>255</v>
      </c>
      <c r="D56" s="1296"/>
      <c r="E56" s="1297">
        <v>1244358.5</v>
      </c>
      <c r="F56" s="1297">
        <v>306022.51</v>
      </c>
      <c r="G56" s="1298"/>
      <c r="H56" s="1299">
        <f t="shared" si="4"/>
        <v>1550381.01</v>
      </c>
      <c r="I56" s="1299">
        <f t="shared" si="5"/>
        <v>306022.51</v>
      </c>
    </row>
    <row r="57" spans="1:9" s="91" customFormat="1" ht="14.4" x14ac:dyDescent="0.3">
      <c r="A57" s="1294" t="s">
        <v>131</v>
      </c>
      <c r="B57" s="1295" t="s">
        <v>132</v>
      </c>
      <c r="C57" s="895" t="s">
        <v>254</v>
      </c>
      <c r="D57" s="1296"/>
      <c r="E57" s="1297">
        <v>4381797.55</v>
      </c>
      <c r="F57" s="1297">
        <v>3837356.03</v>
      </c>
      <c r="G57" s="1298"/>
      <c r="H57" s="1299">
        <f t="shared" si="4"/>
        <v>8219153.5800000001</v>
      </c>
      <c r="I57" s="1299">
        <f t="shared" si="5"/>
        <v>3837356.03</v>
      </c>
    </row>
    <row r="58" spans="1:9" s="91" customFormat="1" ht="14.4" x14ac:dyDescent="0.3">
      <c r="A58" s="1294" t="s">
        <v>133</v>
      </c>
      <c r="B58" s="1295" t="s">
        <v>134</v>
      </c>
      <c r="C58" s="895" t="s">
        <v>254</v>
      </c>
      <c r="D58" s="1296"/>
      <c r="E58" s="1297">
        <v>1986410</v>
      </c>
      <c r="F58" s="1297">
        <v>1537012.22</v>
      </c>
      <c r="G58" s="1298"/>
      <c r="H58" s="1299">
        <f t="shared" si="4"/>
        <v>3523422.2199999997</v>
      </c>
      <c r="I58" s="1299">
        <f t="shared" si="5"/>
        <v>1537012.22</v>
      </c>
    </row>
    <row r="59" spans="1:9" s="91" customFormat="1" ht="14.4" x14ac:dyDescent="0.3">
      <c r="A59" s="1294" t="s">
        <v>135</v>
      </c>
      <c r="B59" s="1295" t="s">
        <v>136</v>
      </c>
      <c r="C59" s="895" t="s">
        <v>253</v>
      </c>
      <c r="D59" s="1296"/>
      <c r="E59" s="1297">
        <v>945093.52</v>
      </c>
      <c r="F59" s="1297">
        <v>176310.14</v>
      </c>
      <c r="G59" s="1298"/>
      <c r="H59" s="1299">
        <f t="shared" si="4"/>
        <v>1121403.6600000001</v>
      </c>
      <c r="I59" s="1299">
        <f t="shared" si="5"/>
        <v>176310.14</v>
      </c>
    </row>
    <row r="60" spans="1:9" s="91" customFormat="1" ht="14.4" x14ac:dyDescent="0.3">
      <c r="A60" s="1294" t="s">
        <v>139</v>
      </c>
      <c r="B60" s="1295" t="s">
        <v>140</v>
      </c>
      <c r="C60" s="895" t="s">
        <v>254</v>
      </c>
      <c r="D60" s="1296"/>
      <c r="E60" s="1297">
        <v>1421127.02</v>
      </c>
      <c r="F60" s="1297">
        <v>638411.30000000005</v>
      </c>
      <c r="G60" s="1298"/>
      <c r="H60" s="1299">
        <f t="shared" si="4"/>
        <v>2059538.32</v>
      </c>
      <c r="I60" s="1299">
        <f t="shared" si="5"/>
        <v>638411.30000000005</v>
      </c>
    </row>
    <row r="61" spans="1:9" s="91" customFormat="1" ht="14.4" x14ac:dyDescent="0.3">
      <c r="A61" s="1294" t="s">
        <v>145</v>
      </c>
      <c r="B61" s="1295" t="s">
        <v>146</v>
      </c>
      <c r="C61" s="895" t="s">
        <v>251</v>
      </c>
      <c r="D61" s="1296"/>
      <c r="E61" s="1297">
        <v>238678.03</v>
      </c>
      <c r="F61" s="1297">
        <v>180749.34</v>
      </c>
      <c r="G61" s="1298"/>
      <c r="H61" s="1299">
        <f t="shared" si="4"/>
        <v>419427.37</v>
      </c>
      <c r="I61" s="1299">
        <f t="shared" si="5"/>
        <v>180749.34</v>
      </c>
    </row>
    <row r="62" spans="1:9" s="91" customFormat="1" ht="14.4" x14ac:dyDescent="0.3">
      <c r="A62" s="1294" t="s">
        <v>147</v>
      </c>
      <c r="B62" s="1295" t="s">
        <v>148</v>
      </c>
      <c r="C62" s="895" t="s">
        <v>252</v>
      </c>
      <c r="D62" s="1296"/>
      <c r="E62" s="1297">
        <v>1967956.54</v>
      </c>
      <c r="F62" s="1297">
        <v>564569.68999999994</v>
      </c>
      <c r="G62" s="1298"/>
      <c r="H62" s="1299">
        <f t="shared" si="4"/>
        <v>2532526.23</v>
      </c>
      <c r="I62" s="1299">
        <f t="shared" si="5"/>
        <v>564569.68999999994</v>
      </c>
    </row>
    <row r="63" spans="1:9" s="91" customFormat="1" ht="14.4" x14ac:dyDescent="0.3">
      <c r="A63" s="1294" t="s">
        <v>149</v>
      </c>
      <c r="B63" s="1295" t="s">
        <v>150</v>
      </c>
      <c r="C63" s="895" t="s">
        <v>253</v>
      </c>
      <c r="D63" s="1296"/>
      <c r="E63" s="1297">
        <v>466406.96</v>
      </c>
      <c r="F63" s="1297">
        <v>350901.38</v>
      </c>
      <c r="G63" s="1298"/>
      <c r="H63" s="1299">
        <f t="shared" si="4"/>
        <v>817308.34000000008</v>
      </c>
      <c r="I63" s="1299">
        <f t="shared" si="5"/>
        <v>350901.38</v>
      </c>
    </row>
    <row r="64" spans="1:9" s="91" customFormat="1" ht="14.4" x14ac:dyDescent="0.3">
      <c r="A64" s="1294" t="s">
        <v>151</v>
      </c>
      <c r="B64" s="1295" t="s">
        <v>152</v>
      </c>
      <c r="C64" s="895" t="s">
        <v>255</v>
      </c>
      <c r="D64" s="1296"/>
      <c r="E64" s="1297">
        <v>1072034.3799999999</v>
      </c>
      <c r="F64" s="1297">
        <v>430100.3</v>
      </c>
      <c r="G64" s="1298"/>
      <c r="H64" s="1299">
        <f t="shared" si="4"/>
        <v>1502134.68</v>
      </c>
      <c r="I64" s="1299">
        <f t="shared" si="5"/>
        <v>430100.3</v>
      </c>
    </row>
    <row r="65" spans="1:9" s="91" customFormat="1" ht="14.4" x14ac:dyDescent="0.3">
      <c r="A65" s="1294" t="s">
        <v>153</v>
      </c>
      <c r="B65" s="1295" t="s">
        <v>154</v>
      </c>
      <c r="C65" s="895" t="s">
        <v>252</v>
      </c>
      <c r="D65" s="1296"/>
      <c r="E65" s="1297">
        <v>1190802.8999999999</v>
      </c>
      <c r="F65" s="1297">
        <v>525317.13</v>
      </c>
      <c r="G65" s="1298"/>
      <c r="H65" s="1299">
        <f t="shared" si="4"/>
        <v>1716120.0299999998</v>
      </c>
      <c r="I65" s="1299">
        <f t="shared" si="5"/>
        <v>525317.13</v>
      </c>
    </row>
    <row r="66" spans="1:9" s="91" customFormat="1" ht="14.4" x14ac:dyDescent="0.3">
      <c r="A66" s="1294" t="s">
        <v>155</v>
      </c>
      <c r="B66" s="1295" t="s">
        <v>156</v>
      </c>
      <c r="C66" s="895" t="s">
        <v>253</v>
      </c>
      <c r="D66" s="1296"/>
      <c r="E66" s="1297">
        <v>267669.56</v>
      </c>
      <c r="F66" s="1297">
        <v>214661.39</v>
      </c>
      <c r="G66" s="1298"/>
      <c r="H66" s="1299">
        <f t="shared" si="4"/>
        <v>482330.95</v>
      </c>
      <c r="I66" s="1299">
        <f t="shared" si="5"/>
        <v>214661.39</v>
      </c>
    </row>
    <row r="67" spans="1:9" s="91" customFormat="1" ht="14.4" x14ac:dyDescent="0.3">
      <c r="A67" s="1294" t="s">
        <v>161</v>
      </c>
      <c r="B67" s="1295" t="s">
        <v>162</v>
      </c>
      <c r="C67" s="895" t="s">
        <v>251</v>
      </c>
      <c r="D67" s="1296"/>
      <c r="E67" s="1297">
        <v>203513.08</v>
      </c>
      <c r="F67" s="1297">
        <v>48074.28</v>
      </c>
      <c r="G67" s="1298"/>
      <c r="H67" s="1299">
        <f t="shared" si="4"/>
        <v>251587.36</v>
      </c>
      <c r="I67" s="1299">
        <f t="shared" si="5"/>
        <v>48074.28</v>
      </c>
    </row>
    <row r="68" spans="1:9" s="91" customFormat="1" ht="14.4" x14ac:dyDescent="0.3">
      <c r="A68" s="1294" t="s">
        <v>163</v>
      </c>
      <c r="B68" s="1295" t="s">
        <v>164</v>
      </c>
      <c r="C68" s="895" t="s">
        <v>253</v>
      </c>
      <c r="D68" s="1296"/>
      <c r="E68" s="1297">
        <v>131042.8</v>
      </c>
      <c r="F68" s="1297">
        <v>63625.93</v>
      </c>
      <c r="G68" s="1298"/>
      <c r="H68" s="1299">
        <f t="shared" si="4"/>
        <v>194668.73</v>
      </c>
      <c r="I68" s="1299">
        <f t="shared" si="5"/>
        <v>63625.93</v>
      </c>
    </row>
    <row r="69" spans="1:9" s="91" customFormat="1" ht="14.4" x14ac:dyDescent="0.3">
      <c r="A69" s="1294" t="s">
        <v>167</v>
      </c>
      <c r="B69" s="1295" t="s">
        <v>168</v>
      </c>
      <c r="C69" s="895" t="s">
        <v>253</v>
      </c>
      <c r="D69" s="1296"/>
      <c r="E69" s="1297">
        <v>712139.16</v>
      </c>
      <c r="F69" s="1297">
        <v>288188.64</v>
      </c>
      <c r="G69" s="1298"/>
      <c r="H69" s="1299">
        <f t="shared" ref="H69:H100" si="6">SUM(D69:G69)</f>
        <v>1000327.8</v>
      </c>
      <c r="I69" s="1299">
        <f t="shared" ref="I69:I100" si="7">F69+G69</f>
        <v>288188.64</v>
      </c>
    </row>
    <row r="70" spans="1:9" s="91" customFormat="1" ht="14.4" x14ac:dyDescent="0.3">
      <c r="A70" s="1294" t="s">
        <v>169</v>
      </c>
      <c r="B70" s="1295" t="s">
        <v>170</v>
      </c>
      <c r="C70" s="895" t="s">
        <v>254</v>
      </c>
      <c r="D70" s="1296"/>
      <c r="E70" s="1297">
        <v>1772721.97</v>
      </c>
      <c r="F70" s="1297">
        <v>1065532.3400000001</v>
      </c>
      <c r="G70" s="1298"/>
      <c r="H70" s="1299">
        <f t="shared" si="6"/>
        <v>2838254.31</v>
      </c>
      <c r="I70" s="1299">
        <f t="shared" si="7"/>
        <v>1065532.3400000001</v>
      </c>
    </row>
    <row r="71" spans="1:9" s="91" customFormat="1" ht="14.4" x14ac:dyDescent="0.3">
      <c r="A71" s="1294" t="s">
        <v>171</v>
      </c>
      <c r="B71" s="1295" t="s">
        <v>172</v>
      </c>
      <c r="C71" s="895" t="s">
        <v>254</v>
      </c>
      <c r="D71" s="1296"/>
      <c r="E71" s="1297">
        <v>860589.71</v>
      </c>
      <c r="F71" s="1297">
        <v>371455.21</v>
      </c>
      <c r="G71" s="1298"/>
      <c r="H71" s="1299">
        <f t="shared" si="6"/>
        <v>1232044.92</v>
      </c>
      <c r="I71" s="1299">
        <f t="shared" si="7"/>
        <v>371455.21</v>
      </c>
    </row>
    <row r="72" spans="1:9" s="91" customFormat="1" ht="14.4" x14ac:dyDescent="0.3">
      <c r="A72" s="1294" t="s">
        <v>173</v>
      </c>
      <c r="B72" s="1295" t="s">
        <v>174</v>
      </c>
      <c r="C72" s="895" t="s">
        <v>255</v>
      </c>
      <c r="D72" s="1296"/>
      <c r="E72" s="1297">
        <v>546051.54</v>
      </c>
      <c r="F72" s="1297">
        <v>182119.11</v>
      </c>
      <c r="G72" s="1298"/>
      <c r="H72" s="1299">
        <f t="shared" si="6"/>
        <v>728170.65</v>
      </c>
      <c r="I72" s="1299">
        <f t="shared" si="7"/>
        <v>182119.11</v>
      </c>
    </row>
    <row r="73" spans="1:9" s="91" customFormat="1" ht="14.4" x14ac:dyDescent="0.3">
      <c r="A73" s="1294" t="s">
        <v>177</v>
      </c>
      <c r="B73" s="1295" t="s">
        <v>178</v>
      </c>
      <c r="C73" s="895" t="s">
        <v>252</v>
      </c>
      <c r="D73" s="1296"/>
      <c r="E73" s="1297">
        <v>4148623.59</v>
      </c>
      <c r="F73" s="1297">
        <v>1122179.08</v>
      </c>
      <c r="G73" s="1298"/>
      <c r="H73" s="1299">
        <f t="shared" si="6"/>
        <v>5270802.67</v>
      </c>
      <c r="I73" s="1299">
        <f t="shared" si="7"/>
        <v>1122179.08</v>
      </c>
    </row>
    <row r="74" spans="1:9" s="91" customFormat="1" ht="14.4" x14ac:dyDescent="0.3">
      <c r="A74" s="1294" t="s">
        <v>181</v>
      </c>
      <c r="B74" s="1295" t="s">
        <v>182</v>
      </c>
      <c r="C74" s="895" t="s">
        <v>253</v>
      </c>
      <c r="D74" s="1296"/>
      <c r="E74" s="1297">
        <v>947576.34</v>
      </c>
      <c r="F74" s="1297">
        <v>700230.17</v>
      </c>
      <c r="G74" s="1298"/>
      <c r="H74" s="1299">
        <f t="shared" si="6"/>
        <v>1647806.51</v>
      </c>
      <c r="I74" s="1299">
        <f t="shared" si="7"/>
        <v>700230.17</v>
      </c>
    </row>
    <row r="75" spans="1:9" s="91" customFormat="1" ht="14.4" x14ac:dyDescent="0.3">
      <c r="A75" s="1294" t="s">
        <v>183</v>
      </c>
      <c r="B75" s="1295" t="s">
        <v>184</v>
      </c>
      <c r="C75" s="895" t="s">
        <v>253</v>
      </c>
      <c r="D75" s="1296"/>
      <c r="E75" s="1297">
        <v>466545.27</v>
      </c>
      <c r="F75" s="1297">
        <v>140471.46</v>
      </c>
      <c r="G75" s="1298"/>
      <c r="H75" s="1299">
        <f t="shared" si="6"/>
        <v>607016.73</v>
      </c>
      <c r="I75" s="1299">
        <f t="shared" si="7"/>
        <v>140471.46</v>
      </c>
    </row>
    <row r="76" spans="1:9" s="91" customFormat="1" ht="14.4" x14ac:dyDescent="0.3">
      <c r="A76" s="1294" t="s">
        <v>185</v>
      </c>
      <c r="B76" s="1295" t="s">
        <v>186</v>
      </c>
      <c r="C76" s="895" t="s">
        <v>251</v>
      </c>
      <c r="D76" s="1296"/>
      <c r="E76" s="1297">
        <v>1254927.99</v>
      </c>
      <c r="F76" s="1297">
        <v>747201.69</v>
      </c>
      <c r="G76" s="1298"/>
      <c r="H76" s="1299">
        <f t="shared" si="6"/>
        <v>2002129.68</v>
      </c>
      <c r="I76" s="1299">
        <f t="shared" si="7"/>
        <v>747201.69</v>
      </c>
    </row>
    <row r="77" spans="1:9" s="91" customFormat="1" ht="14.4" x14ac:dyDescent="0.3">
      <c r="A77" s="1294" t="s">
        <v>187</v>
      </c>
      <c r="B77" s="1295" t="s">
        <v>188</v>
      </c>
      <c r="C77" s="895" t="s">
        <v>254</v>
      </c>
      <c r="D77" s="1296"/>
      <c r="E77" s="1297">
        <v>12226875.23</v>
      </c>
      <c r="F77" s="1297">
        <v>6082266.1500000004</v>
      </c>
      <c r="G77" s="1298"/>
      <c r="H77" s="1299">
        <f t="shared" si="6"/>
        <v>18309141.380000003</v>
      </c>
      <c r="I77" s="1299">
        <f t="shared" si="7"/>
        <v>6082266.1500000004</v>
      </c>
    </row>
    <row r="78" spans="1:9" s="91" customFormat="1" ht="14.4" x14ac:dyDescent="0.3">
      <c r="A78" s="1294" t="s">
        <v>189</v>
      </c>
      <c r="B78" s="1295" t="s">
        <v>190</v>
      </c>
      <c r="C78" s="895" t="s">
        <v>255</v>
      </c>
      <c r="D78" s="1296"/>
      <c r="E78" s="1297">
        <v>2382613</v>
      </c>
      <c r="F78" s="1297">
        <v>876477.71</v>
      </c>
      <c r="G78" s="1298"/>
      <c r="H78" s="1299">
        <f t="shared" si="6"/>
        <v>3259090.71</v>
      </c>
      <c r="I78" s="1299">
        <f t="shared" si="7"/>
        <v>876477.71</v>
      </c>
    </row>
    <row r="79" spans="1:9" s="91" customFormat="1" ht="14.4" x14ac:dyDescent="0.3">
      <c r="A79" s="1294" t="s">
        <v>193</v>
      </c>
      <c r="B79" s="1295" t="s">
        <v>194</v>
      </c>
      <c r="C79" s="895" t="s">
        <v>254</v>
      </c>
      <c r="D79" s="1296"/>
      <c r="E79" s="1297">
        <v>843865.27</v>
      </c>
      <c r="F79" s="1297">
        <v>592674.71</v>
      </c>
      <c r="G79" s="1298"/>
      <c r="H79" s="1299">
        <f t="shared" si="6"/>
        <v>1436539.98</v>
      </c>
      <c r="I79" s="1299">
        <f t="shared" si="7"/>
        <v>592674.71</v>
      </c>
    </row>
    <row r="80" spans="1:9" s="91" customFormat="1" ht="14.4" x14ac:dyDescent="0.3">
      <c r="A80" s="1294" t="s">
        <v>197</v>
      </c>
      <c r="B80" s="1295" t="s">
        <v>198</v>
      </c>
      <c r="C80" s="895" t="s">
        <v>253</v>
      </c>
      <c r="D80" s="1296"/>
      <c r="E80" s="1297">
        <v>195131.15</v>
      </c>
      <c r="F80" s="1297">
        <v>92970.35</v>
      </c>
      <c r="G80" s="1298"/>
      <c r="H80" s="1299">
        <f t="shared" si="6"/>
        <v>288101.5</v>
      </c>
      <c r="I80" s="1299">
        <f t="shared" si="7"/>
        <v>92970.35</v>
      </c>
    </row>
    <row r="81" spans="1:9" s="91" customFormat="1" ht="14.4" x14ac:dyDescent="0.3">
      <c r="A81" s="1294" t="s">
        <v>201</v>
      </c>
      <c r="B81" s="1295" t="s">
        <v>202</v>
      </c>
      <c r="C81" s="895" t="s">
        <v>252</v>
      </c>
      <c r="D81" s="1296"/>
      <c r="E81" s="1297">
        <v>6272121.2400000002</v>
      </c>
      <c r="F81" s="1297">
        <v>4133337.6900000004</v>
      </c>
      <c r="G81" s="1298"/>
      <c r="H81" s="1299">
        <f t="shared" si="6"/>
        <v>10405458.93</v>
      </c>
      <c r="I81" s="1299">
        <f t="shared" si="7"/>
        <v>4133337.6900000004</v>
      </c>
    </row>
    <row r="82" spans="1:9" s="91" customFormat="1" ht="14.4" x14ac:dyDescent="0.3">
      <c r="A82" s="1294" t="s">
        <v>203</v>
      </c>
      <c r="B82" s="1295" t="s">
        <v>204</v>
      </c>
      <c r="C82" s="895" t="s">
        <v>252</v>
      </c>
      <c r="D82" s="1296"/>
      <c r="E82" s="1297">
        <v>4948309.43</v>
      </c>
      <c r="F82" s="1297">
        <v>1505166.9300000002</v>
      </c>
      <c r="G82" s="1298"/>
      <c r="H82" s="1299">
        <f t="shared" si="6"/>
        <v>6453476.3599999994</v>
      </c>
      <c r="I82" s="1299">
        <f t="shared" si="7"/>
        <v>1505166.9300000002</v>
      </c>
    </row>
    <row r="83" spans="1:9" s="91" customFormat="1" ht="14.4" x14ac:dyDescent="0.3">
      <c r="A83" s="1294" t="s">
        <v>205</v>
      </c>
      <c r="B83" s="1295" t="s">
        <v>206</v>
      </c>
      <c r="C83" s="895" t="s">
        <v>254</v>
      </c>
      <c r="D83" s="1296"/>
      <c r="E83" s="1297">
        <v>6811110.0700000003</v>
      </c>
      <c r="F83" s="1297">
        <v>3710766.5700000003</v>
      </c>
      <c r="G83" s="1298"/>
      <c r="H83" s="1299">
        <f t="shared" si="6"/>
        <v>10521876.640000001</v>
      </c>
      <c r="I83" s="1299">
        <f t="shared" si="7"/>
        <v>3710766.5700000003</v>
      </c>
    </row>
    <row r="84" spans="1:9" s="91" customFormat="1" ht="14.4" x14ac:dyDescent="0.3">
      <c r="A84" s="1294" t="s">
        <v>207</v>
      </c>
      <c r="B84" s="1295" t="s">
        <v>208</v>
      </c>
      <c r="C84" s="895" t="s">
        <v>255</v>
      </c>
      <c r="D84" s="1296"/>
      <c r="E84" s="1297">
        <v>1152046.6000000001</v>
      </c>
      <c r="F84" s="1297">
        <v>273429.39</v>
      </c>
      <c r="G84" s="1298"/>
      <c r="H84" s="1299">
        <f t="shared" si="6"/>
        <v>1425475.9900000002</v>
      </c>
      <c r="I84" s="1299">
        <f t="shared" si="7"/>
        <v>273429.39</v>
      </c>
    </row>
    <row r="85" spans="1:9" s="91" customFormat="1" ht="14.4" x14ac:dyDescent="0.3">
      <c r="A85" s="1294" t="s">
        <v>209</v>
      </c>
      <c r="B85" s="1295" t="s">
        <v>210</v>
      </c>
      <c r="C85" s="895" t="s">
        <v>255</v>
      </c>
      <c r="D85" s="1296"/>
      <c r="E85" s="1297">
        <v>501125.49</v>
      </c>
      <c r="F85" s="1297">
        <v>230832.56</v>
      </c>
      <c r="G85" s="1298"/>
      <c r="H85" s="1299">
        <f t="shared" si="6"/>
        <v>731958.05</v>
      </c>
      <c r="I85" s="1299">
        <f t="shared" si="7"/>
        <v>230832.56</v>
      </c>
    </row>
    <row r="86" spans="1:9" s="91" customFormat="1" ht="14.4" x14ac:dyDescent="0.3">
      <c r="A86" s="1294" t="s">
        <v>211</v>
      </c>
      <c r="B86" s="1295" t="s">
        <v>212</v>
      </c>
      <c r="C86" s="895" t="s">
        <v>254</v>
      </c>
      <c r="D86" s="1296"/>
      <c r="E86" s="1297">
        <v>3772724.27</v>
      </c>
      <c r="F86" s="1297">
        <v>1460255.82</v>
      </c>
      <c r="G86" s="1298"/>
      <c r="H86" s="1299">
        <f t="shared" si="6"/>
        <v>5232980.09</v>
      </c>
      <c r="I86" s="1299">
        <f t="shared" si="7"/>
        <v>1460255.82</v>
      </c>
    </row>
    <row r="87" spans="1:9" s="91" customFormat="1" ht="14.4" x14ac:dyDescent="0.3">
      <c r="A87" s="1294" t="s">
        <v>213</v>
      </c>
      <c r="B87" s="1295" t="s">
        <v>214</v>
      </c>
      <c r="C87" s="895" t="s">
        <v>255</v>
      </c>
      <c r="D87" s="1296"/>
      <c r="E87" s="1297">
        <v>1360862.5</v>
      </c>
      <c r="F87" s="1297">
        <v>395976.77</v>
      </c>
      <c r="G87" s="1298"/>
      <c r="H87" s="1299">
        <f t="shared" si="6"/>
        <v>1756839.27</v>
      </c>
      <c r="I87" s="1299">
        <f t="shared" si="7"/>
        <v>395976.77</v>
      </c>
    </row>
    <row r="88" spans="1:9" s="91" customFormat="1" ht="14.4" x14ac:dyDescent="0.3">
      <c r="A88" s="1294" t="s">
        <v>215</v>
      </c>
      <c r="B88" s="1295" t="s">
        <v>216</v>
      </c>
      <c r="C88" s="895" t="s">
        <v>251</v>
      </c>
      <c r="D88" s="1296"/>
      <c r="E88" s="1297">
        <v>505970.47</v>
      </c>
      <c r="F88" s="1297">
        <v>240353.75</v>
      </c>
      <c r="G88" s="1298"/>
      <c r="H88" s="1299">
        <f t="shared" si="6"/>
        <v>746324.22</v>
      </c>
      <c r="I88" s="1299">
        <f t="shared" si="7"/>
        <v>240353.75</v>
      </c>
    </row>
    <row r="89" spans="1:9" s="91" customFormat="1" ht="14.4" x14ac:dyDescent="0.3">
      <c r="A89" s="1294" t="s">
        <v>217</v>
      </c>
      <c r="B89" s="1295" t="s">
        <v>218</v>
      </c>
      <c r="C89" s="895" t="s">
        <v>254</v>
      </c>
      <c r="D89" s="1296"/>
      <c r="E89" s="1297">
        <v>5867955.0499999998</v>
      </c>
      <c r="F89" s="1297">
        <v>4627719.8899999997</v>
      </c>
      <c r="G89" s="1298"/>
      <c r="H89" s="1299">
        <f t="shared" si="6"/>
        <v>10495674.939999999</v>
      </c>
      <c r="I89" s="1299">
        <f t="shared" si="7"/>
        <v>4627719.8899999997</v>
      </c>
    </row>
    <row r="90" spans="1:9" s="91" customFormat="1" ht="14.4" x14ac:dyDescent="0.3">
      <c r="A90" s="1294" t="s">
        <v>219</v>
      </c>
      <c r="B90" s="1295" t="s">
        <v>220</v>
      </c>
      <c r="C90" s="895" t="s">
        <v>254</v>
      </c>
      <c r="D90" s="1296"/>
      <c r="E90" s="1297">
        <v>3076421.38</v>
      </c>
      <c r="F90" s="1297">
        <v>2458625.35</v>
      </c>
      <c r="G90" s="1298"/>
      <c r="H90" s="1299">
        <f t="shared" si="6"/>
        <v>5535046.7300000004</v>
      </c>
      <c r="I90" s="1299">
        <f t="shared" si="7"/>
        <v>2458625.35</v>
      </c>
    </row>
    <row r="91" spans="1:9" s="91" customFormat="1" ht="14.4" x14ac:dyDescent="0.3">
      <c r="A91" s="1294" t="s">
        <v>223</v>
      </c>
      <c r="B91" s="1295" t="s">
        <v>224</v>
      </c>
      <c r="C91" s="895" t="s">
        <v>251</v>
      </c>
      <c r="D91" s="1296"/>
      <c r="E91" s="1297">
        <v>278482.77</v>
      </c>
      <c r="F91" s="1297">
        <v>184036.37</v>
      </c>
      <c r="G91" s="1298"/>
      <c r="H91" s="1299">
        <f t="shared" si="6"/>
        <v>462519.14</v>
      </c>
      <c r="I91" s="1299">
        <f t="shared" si="7"/>
        <v>184036.37</v>
      </c>
    </row>
    <row r="92" spans="1:9" s="91" customFormat="1" ht="14.4" x14ac:dyDescent="0.3">
      <c r="A92" s="1294" t="s">
        <v>225</v>
      </c>
      <c r="B92" s="1295" t="s">
        <v>226</v>
      </c>
      <c r="C92" s="895" t="s">
        <v>251</v>
      </c>
      <c r="D92" s="1296"/>
      <c r="E92" s="1297">
        <v>440918.71</v>
      </c>
      <c r="F92" s="1297">
        <v>139251.82</v>
      </c>
      <c r="G92" s="1298"/>
      <c r="H92" s="1299">
        <f t="shared" si="6"/>
        <v>580170.53</v>
      </c>
      <c r="I92" s="1299">
        <f t="shared" si="7"/>
        <v>139251.82</v>
      </c>
    </row>
    <row r="93" spans="1:9" s="91" customFormat="1" ht="14.4" x14ac:dyDescent="0.3">
      <c r="A93" s="1294" t="s">
        <v>227</v>
      </c>
      <c r="B93" s="1295" t="s">
        <v>228</v>
      </c>
      <c r="C93" s="895" t="s">
        <v>255</v>
      </c>
      <c r="D93" s="1296"/>
      <c r="E93" s="1297">
        <v>1406258.55</v>
      </c>
      <c r="F93" s="1297">
        <v>445502.51</v>
      </c>
      <c r="G93" s="1298"/>
      <c r="H93" s="1299">
        <f t="shared" si="6"/>
        <v>1851761.06</v>
      </c>
      <c r="I93" s="1299">
        <f t="shared" si="7"/>
        <v>445502.51</v>
      </c>
    </row>
    <row r="94" spans="1:9" s="91" customFormat="1" ht="14.4" x14ac:dyDescent="0.3">
      <c r="A94" s="1294" t="s">
        <v>231</v>
      </c>
      <c r="B94" s="1295" t="s">
        <v>232</v>
      </c>
      <c r="C94" s="895" t="s">
        <v>254</v>
      </c>
      <c r="D94" s="1296"/>
      <c r="E94" s="1297">
        <v>985185.49</v>
      </c>
      <c r="F94" s="1297">
        <v>604945.4</v>
      </c>
      <c r="G94" s="1298"/>
      <c r="H94" s="1299">
        <f t="shared" si="6"/>
        <v>1590130.8900000001</v>
      </c>
      <c r="I94" s="1299">
        <f t="shared" si="7"/>
        <v>604945.4</v>
      </c>
    </row>
    <row r="95" spans="1:9" s="91" customFormat="1" ht="14.4" x14ac:dyDescent="0.3">
      <c r="A95" s="1294" t="s">
        <v>233</v>
      </c>
      <c r="B95" s="1295" t="s">
        <v>234</v>
      </c>
      <c r="C95" s="895" t="s">
        <v>255</v>
      </c>
      <c r="D95" s="1296"/>
      <c r="E95" s="1297">
        <v>1491349.13</v>
      </c>
      <c r="F95" s="1297">
        <v>575245.86</v>
      </c>
      <c r="G95" s="1298"/>
      <c r="H95" s="1299">
        <f t="shared" si="6"/>
        <v>2066594.9899999998</v>
      </c>
      <c r="I95" s="1299">
        <f t="shared" si="7"/>
        <v>575245.86</v>
      </c>
    </row>
    <row r="96" spans="1:9" s="91" customFormat="1" ht="14.4" x14ac:dyDescent="0.3">
      <c r="A96" s="1294" t="s">
        <v>235</v>
      </c>
      <c r="B96" s="1295" t="s">
        <v>236</v>
      </c>
      <c r="C96" s="895" t="s">
        <v>253</v>
      </c>
      <c r="D96" s="1296"/>
      <c r="E96" s="1297">
        <v>1314038.05</v>
      </c>
      <c r="F96" s="1297">
        <v>599420.21</v>
      </c>
      <c r="G96" s="1298"/>
      <c r="H96" s="1299">
        <f t="shared" si="6"/>
        <v>1913458.26</v>
      </c>
      <c r="I96" s="1299">
        <f t="shared" si="7"/>
        <v>599420.21</v>
      </c>
    </row>
    <row r="97" spans="1:9" s="91" customFormat="1" ht="14.4" x14ac:dyDescent="0.3">
      <c r="A97" s="1294" t="s">
        <v>241</v>
      </c>
      <c r="B97" s="1295" t="s">
        <v>242</v>
      </c>
      <c r="C97" s="895" t="s">
        <v>255</v>
      </c>
      <c r="D97" s="1296"/>
      <c r="E97" s="1297">
        <v>1416829.43</v>
      </c>
      <c r="F97" s="1297">
        <v>528209.81000000006</v>
      </c>
      <c r="G97" s="1298"/>
      <c r="H97" s="1299">
        <f t="shared" si="6"/>
        <v>1945039.24</v>
      </c>
      <c r="I97" s="1299">
        <f t="shared" si="7"/>
        <v>528209.81000000006</v>
      </c>
    </row>
    <row r="98" spans="1:9" s="91" customFormat="1" ht="14.4" x14ac:dyDescent="0.3">
      <c r="A98" s="1294" t="s">
        <v>243</v>
      </c>
      <c r="B98" s="1295" t="s">
        <v>244</v>
      </c>
      <c r="C98" s="895" t="s">
        <v>255</v>
      </c>
      <c r="D98" s="1296"/>
      <c r="E98" s="1297">
        <v>1417204.84</v>
      </c>
      <c r="F98" s="1297">
        <v>489326.42</v>
      </c>
      <c r="G98" s="1298"/>
      <c r="H98" s="1299">
        <f t="shared" si="6"/>
        <v>1906531.26</v>
      </c>
      <c r="I98" s="1299">
        <f t="shared" si="7"/>
        <v>489326.42</v>
      </c>
    </row>
    <row r="99" spans="1:9" s="91" customFormat="1" ht="14.4" x14ac:dyDescent="0.3">
      <c r="A99" s="1294" t="s">
        <v>245</v>
      </c>
      <c r="B99" s="1295" t="s">
        <v>283</v>
      </c>
      <c r="C99" s="895" t="s">
        <v>251</v>
      </c>
      <c r="D99" s="1296"/>
      <c r="E99" s="1297">
        <v>1250324.79</v>
      </c>
      <c r="F99" s="1297">
        <v>688399.9</v>
      </c>
      <c r="G99" s="1298"/>
      <c r="H99" s="1299">
        <f t="shared" si="6"/>
        <v>1938724.69</v>
      </c>
      <c r="I99" s="1299">
        <f t="shared" si="7"/>
        <v>688399.9</v>
      </c>
    </row>
    <row r="100" spans="1:9" s="91" customFormat="1" ht="14.4" x14ac:dyDescent="0.3">
      <c r="A100" s="1294" t="s">
        <v>13</v>
      </c>
      <c r="B100" s="1295" t="s">
        <v>14</v>
      </c>
      <c r="C100" s="895" t="s">
        <v>254</v>
      </c>
      <c r="D100" s="1296"/>
      <c r="E100" s="1297">
        <v>4318166.3</v>
      </c>
      <c r="F100" s="1297">
        <v>4081780.08</v>
      </c>
      <c r="G100" s="1298"/>
      <c r="H100" s="1299">
        <f t="shared" si="6"/>
        <v>8399946.379999999</v>
      </c>
      <c r="I100" s="1299">
        <f t="shared" si="7"/>
        <v>4081780.08</v>
      </c>
    </row>
    <row r="101" spans="1:9" s="91" customFormat="1" ht="14.4" x14ac:dyDescent="0.3">
      <c r="A101" s="1294" t="s">
        <v>33</v>
      </c>
      <c r="B101" s="1295" t="s">
        <v>34</v>
      </c>
      <c r="C101" s="895" t="s">
        <v>255</v>
      </c>
      <c r="D101" s="1296"/>
      <c r="E101" s="1297">
        <v>1840579.89</v>
      </c>
      <c r="F101" s="1297">
        <v>652185.97</v>
      </c>
      <c r="G101" s="1298"/>
      <c r="H101" s="1299">
        <f t="shared" ref="H101:H124" si="8">SUM(D101:G101)</f>
        <v>2492765.86</v>
      </c>
      <c r="I101" s="1299">
        <f t="shared" ref="I101:I124" si="9">F101+G101</f>
        <v>652185.97</v>
      </c>
    </row>
    <row r="102" spans="1:9" s="91" customFormat="1" ht="14.4" x14ac:dyDescent="0.3">
      <c r="A102" s="1294" t="s">
        <v>51</v>
      </c>
      <c r="B102" s="1295" t="s">
        <v>52</v>
      </c>
      <c r="C102" s="895" t="s">
        <v>252</v>
      </c>
      <c r="D102" s="1296"/>
      <c r="E102" s="1297">
        <v>5680000.25</v>
      </c>
      <c r="F102" s="1297">
        <v>2199183.87</v>
      </c>
      <c r="G102" s="1298"/>
      <c r="H102" s="1299">
        <f t="shared" si="8"/>
        <v>7879184.1200000001</v>
      </c>
      <c r="I102" s="1299">
        <f t="shared" si="9"/>
        <v>2199183.87</v>
      </c>
    </row>
    <row r="103" spans="1:9" s="91" customFormat="1" ht="14.4" x14ac:dyDescent="0.3">
      <c r="A103" s="1294" t="s">
        <v>53</v>
      </c>
      <c r="B103" s="1295" t="s">
        <v>54</v>
      </c>
      <c r="C103" s="895" t="s">
        <v>251</v>
      </c>
      <c r="D103" s="1296"/>
      <c r="E103" s="1297">
        <v>3333809.8</v>
      </c>
      <c r="F103" s="1297">
        <v>1922348.93</v>
      </c>
      <c r="G103" s="1298"/>
      <c r="H103" s="1299">
        <f t="shared" si="8"/>
        <v>5256158.7299999995</v>
      </c>
      <c r="I103" s="1299">
        <f t="shared" si="9"/>
        <v>1922348.93</v>
      </c>
    </row>
    <row r="104" spans="1:9" s="91" customFormat="1" ht="14.4" x14ac:dyDescent="0.3">
      <c r="A104" s="1294" t="s">
        <v>65</v>
      </c>
      <c r="B104" s="1295" t="s">
        <v>66</v>
      </c>
      <c r="C104" s="895" t="s">
        <v>252</v>
      </c>
      <c r="D104" s="1296"/>
      <c r="E104" s="1297">
        <v>3532728.41</v>
      </c>
      <c r="F104" s="1297">
        <v>923487.6</v>
      </c>
      <c r="G104" s="1298"/>
      <c r="H104" s="1299">
        <f t="shared" si="8"/>
        <v>4456216.01</v>
      </c>
      <c r="I104" s="1299">
        <f t="shared" si="9"/>
        <v>923487.6</v>
      </c>
    </row>
    <row r="105" spans="1:9" s="91" customFormat="1" ht="14.4" x14ac:dyDescent="0.3">
      <c r="A105" s="1294" t="s">
        <v>81</v>
      </c>
      <c r="B105" s="1295" t="s">
        <v>284</v>
      </c>
      <c r="C105" s="895" t="s">
        <v>251</v>
      </c>
      <c r="D105" s="1296"/>
      <c r="E105" s="1297">
        <v>110416.17</v>
      </c>
      <c r="F105" s="1297">
        <v>51053.27</v>
      </c>
      <c r="G105" s="1298"/>
      <c r="H105" s="1299">
        <f t="shared" si="8"/>
        <v>161469.44</v>
      </c>
      <c r="I105" s="1299">
        <f t="shared" si="9"/>
        <v>51053.27</v>
      </c>
    </row>
    <row r="106" spans="1:9" s="91" customFormat="1" ht="14.4" x14ac:dyDescent="0.3">
      <c r="A106" s="1294" t="s">
        <v>87</v>
      </c>
      <c r="B106" s="1295" t="s">
        <v>88</v>
      </c>
      <c r="C106" s="895" t="s">
        <v>254</v>
      </c>
      <c r="D106" s="1296"/>
      <c r="E106" s="1297">
        <v>1926361.88</v>
      </c>
      <c r="F106" s="1297">
        <v>982186.75</v>
      </c>
      <c r="G106" s="1298"/>
      <c r="H106" s="1299">
        <f t="shared" si="8"/>
        <v>2908548.63</v>
      </c>
      <c r="I106" s="1299">
        <f t="shared" si="9"/>
        <v>982186.75</v>
      </c>
    </row>
    <row r="107" spans="1:9" s="91" customFormat="1" ht="14.4" x14ac:dyDescent="0.3">
      <c r="A107" s="1294" t="s">
        <v>89</v>
      </c>
      <c r="B107" s="1295" t="s">
        <v>90</v>
      </c>
      <c r="C107" s="895" t="s">
        <v>255</v>
      </c>
      <c r="D107" s="1296"/>
      <c r="E107" s="1297">
        <v>1149288.67</v>
      </c>
      <c r="F107" s="1297">
        <v>493222.82</v>
      </c>
      <c r="G107" s="1298"/>
      <c r="H107" s="1299">
        <f t="shared" si="8"/>
        <v>1642511.49</v>
      </c>
      <c r="I107" s="1299">
        <f t="shared" si="9"/>
        <v>493222.82</v>
      </c>
    </row>
    <row r="108" spans="1:9" s="91" customFormat="1" ht="14.4" x14ac:dyDescent="0.3">
      <c r="A108" s="1294" t="s">
        <v>105</v>
      </c>
      <c r="B108" s="1295" t="s">
        <v>106</v>
      </c>
      <c r="C108" s="895" t="s">
        <v>251</v>
      </c>
      <c r="D108" s="1296"/>
      <c r="E108" s="1297">
        <v>5029602.76</v>
      </c>
      <c r="F108" s="1297">
        <v>1365541.66</v>
      </c>
      <c r="G108" s="1298"/>
      <c r="H108" s="1299">
        <f t="shared" si="8"/>
        <v>6395144.4199999999</v>
      </c>
      <c r="I108" s="1299">
        <f t="shared" si="9"/>
        <v>1365541.66</v>
      </c>
    </row>
    <row r="109" spans="1:9" s="91" customFormat="1" ht="14.4" x14ac:dyDescent="0.3">
      <c r="A109" s="1294" t="s">
        <v>115</v>
      </c>
      <c r="B109" s="1295" t="s">
        <v>116</v>
      </c>
      <c r="C109" s="895" t="s">
        <v>253</v>
      </c>
      <c r="D109" s="1296"/>
      <c r="E109" s="1297">
        <v>2272084.2799999998</v>
      </c>
      <c r="F109" s="1297">
        <v>809248.64</v>
      </c>
      <c r="G109" s="1298"/>
      <c r="H109" s="1299">
        <f t="shared" si="8"/>
        <v>3081332.92</v>
      </c>
      <c r="I109" s="1299">
        <f t="shared" si="9"/>
        <v>809248.64</v>
      </c>
    </row>
    <row r="110" spans="1:9" s="91" customFormat="1" ht="14.4" x14ac:dyDescent="0.3">
      <c r="A110" s="1294" t="s">
        <v>137</v>
      </c>
      <c r="B110" s="1295" t="s">
        <v>138</v>
      </c>
      <c r="C110" s="895" t="s">
        <v>252</v>
      </c>
      <c r="D110" s="1296"/>
      <c r="E110" s="1297">
        <v>5202353.49</v>
      </c>
      <c r="F110" s="1297">
        <v>1808503.31</v>
      </c>
      <c r="G110" s="1298"/>
      <c r="H110" s="1299">
        <f t="shared" si="8"/>
        <v>7010856.8000000007</v>
      </c>
      <c r="I110" s="1299">
        <f t="shared" si="9"/>
        <v>1808503.31</v>
      </c>
    </row>
    <row r="111" spans="1:9" s="91" customFormat="1" ht="14.4" x14ac:dyDescent="0.3">
      <c r="A111" s="1294" t="s">
        <v>141</v>
      </c>
      <c r="B111" s="1295" t="s">
        <v>142</v>
      </c>
      <c r="C111" s="895" t="s">
        <v>254</v>
      </c>
      <c r="D111" s="1296"/>
      <c r="E111" s="1297">
        <v>599800.59</v>
      </c>
      <c r="F111" s="1297">
        <v>380423.1</v>
      </c>
      <c r="G111" s="1298"/>
      <c r="H111" s="1299">
        <f t="shared" si="8"/>
        <v>980223.69</v>
      </c>
      <c r="I111" s="1299">
        <f t="shared" si="9"/>
        <v>380423.1</v>
      </c>
    </row>
    <row r="112" spans="1:9" s="91" customFormat="1" ht="14.4" x14ac:dyDescent="0.3">
      <c r="A112" s="1294" t="s">
        <v>143</v>
      </c>
      <c r="B112" s="1295" t="s">
        <v>144</v>
      </c>
      <c r="C112" s="895" t="s">
        <v>254</v>
      </c>
      <c r="D112" s="1296"/>
      <c r="E112" s="1297">
        <v>463517.57</v>
      </c>
      <c r="F112" s="1297">
        <v>348981.26</v>
      </c>
      <c r="G112" s="1298"/>
      <c r="H112" s="1299">
        <f t="shared" si="8"/>
        <v>812498.83000000007</v>
      </c>
      <c r="I112" s="1299">
        <f t="shared" si="9"/>
        <v>348981.26</v>
      </c>
    </row>
    <row r="113" spans="1:9" s="91" customFormat="1" ht="14.4" x14ac:dyDescent="0.3">
      <c r="A113" s="1294" t="s">
        <v>157</v>
      </c>
      <c r="B113" s="1295" t="s">
        <v>158</v>
      </c>
      <c r="C113" s="895" t="s">
        <v>251</v>
      </c>
      <c r="D113" s="1296"/>
      <c r="E113" s="1297">
        <v>6494803</v>
      </c>
      <c r="F113" s="1297">
        <v>2289207.41</v>
      </c>
      <c r="G113" s="1298"/>
      <c r="H113" s="1299">
        <f t="shared" si="8"/>
        <v>8784010.4100000001</v>
      </c>
      <c r="I113" s="1299">
        <f t="shared" si="9"/>
        <v>2289207.41</v>
      </c>
    </row>
    <row r="114" spans="1:9" s="91" customFormat="1" ht="14.4" x14ac:dyDescent="0.3">
      <c r="A114" s="1294" t="s">
        <v>159</v>
      </c>
      <c r="B114" s="1295" t="s">
        <v>160</v>
      </c>
      <c r="C114" s="895" t="s">
        <v>251</v>
      </c>
      <c r="D114" s="1296"/>
      <c r="E114" s="1297">
        <v>8915618.2300000004</v>
      </c>
      <c r="F114" s="1297">
        <v>2630920.61</v>
      </c>
      <c r="G114" s="1298"/>
      <c r="H114" s="1299">
        <f t="shared" si="8"/>
        <v>11546538.84</v>
      </c>
      <c r="I114" s="1299">
        <f t="shared" si="9"/>
        <v>2630920.61</v>
      </c>
    </row>
    <row r="115" spans="1:9" s="91" customFormat="1" ht="14.4" x14ac:dyDescent="0.3">
      <c r="A115" s="1294" t="s">
        <v>165</v>
      </c>
      <c r="B115" s="1295" t="s">
        <v>166</v>
      </c>
      <c r="C115" s="895" t="s">
        <v>255</v>
      </c>
      <c r="D115" s="1296"/>
      <c r="E115" s="1297">
        <v>86421.02</v>
      </c>
      <c r="F115" s="1297">
        <v>41110.04</v>
      </c>
      <c r="G115" s="1298"/>
      <c r="H115" s="1299">
        <f t="shared" si="8"/>
        <v>127531.06</v>
      </c>
      <c r="I115" s="1299">
        <f t="shared" si="9"/>
        <v>41110.04</v>
      </c>
    </row>
    <row r="116" spans="1:9" s="91" customFormat="1" ht="14.4" x14ac:dyDescent="0.3">
      <c r="A116" s="1294" t="s">
        <v>175</v>
      </c>
      <c r="B116" s="1295" t="s">
        <v>176</v>
      </c>
      <c r="C116" s="895" t="s">
        <v>253</v>
      </c>
      <c r="D116" s="1296"/>
      <c r="E116" s="1297">
        <v>2579788.08</v>
      </c>
      <c r="F116" s="1297">
        <v>1359512.92</v>
      </c>
      <c r="G116" s="1298"/>
      <c r="H116" s="1299">
        <f t="shared" si="8"/>
        <v>3939301</v>
      </c>
      <c r="I116" s="1299">
        <f t="shared" si="9"/>
        <v>1359512.92</v>
      </c>
    </row>
    <row r="117" spans="1:9" s="91" customFormat="1" ht="14.4" x14ac:dyDescent="0.3">
      <c r="A117" s="1294" t="s">
        <v>179</v>
      </c>
      <c r="B117" s="1295" t="s">
        <v>180</v>
      </c>
      <c r="C117" s="895" t="s">
        <v>251</v>
      </c>
      <c r="D117" s="1296"/>
      <c r="E117" s="1297">
        <v>1027843.29</v>
      </c>
      <c r="F117" s="1297">
        <v>370528.51</v>
      </c>
      <c r="G117" s="1298"/>
      <c r="H117" s="1299">
        <f t="shared" si="8"/>
        <v>1398371.8</v>
      </c>
      <c r="I117" s="1299">
        <f t="shared" si="9"/>
        <v>370528.51</v>
      </c>
    </row>
    <row r="118" spans="1:9" s="91" customFormat="1" ht="14.4" x14ac:dyDescent="0.3">
      <c r="A118" s="1294" t="s">
        <v>191</v>
      </c>
      <c r="B118" s="1295" t="s">
        <v>192</v>
      </c>
      <c r="C118" s="895" t="s">
        <v>255</v>
      </c>
      <c r="D118" s="1296"/>
      <c r="E118" s="1297">
        <v>829015.58</v>
      </c>
      <c r="F118" s="1297">
        <v>193043.74</v>
      </c>
      <c r="G118" s="1298"/>
      <c r="H118" s="1299">
        <f t="shared" si="8"/>
        <v>1022059.32</v>
      </c>
      <c r="I118" s="1299">
        <f t="shared" si="9"/>
        <v>193043.74</v>
      </c>
    </row>
    <row r="119" spans="1:9" s="91" customFormat="1" ht="14.4" x14ac:dyDescent="0.3">
      <c r="A119" s="1294" t="s">
        <v>195</v>
      </c>
      <c r="B119" s="1295" t="s">
        <v>285</v>
      </c>
      <c r="C119" s="895" t="s">
        <v>253</v>
      </c>
      <c r="D119" s="1296"/>
      <c r="E119" s="1297">
        <v>9012080.5199999996</v>
      </c>
      <c r="F119" s="1297">
        <v>5221037.41</v>
      </c>
      <c r="G119" s="1298"/>
      <c r="H119" s="1299">
        <f t="shared" si="8"/>
        <v>14233117.93</v>
      </c>
      <c r="I119" s="1299">
        <f t="shared" si="9"/>
        <v>5221037.41</v>
      </c>
    </row>
    <row r="120" spans="1:9" s="91" customFormat="1" ht="14.4" x14ac:dyDescent="0.3">
      <c r="A120" s="1294" t="s">
        <v>199</v>
      </c>
      <c r="B120" s="1295" t="s">
        <v>286</v>
      </c>
      <c r="C120" s="895" t="s">
        <v>252</v>
      </c>
      <c r="D120" s="1296"/>
      <c r="E120" s="1297">
        <v>8106846.7400000002</v>
      </c>
      <c r="F120" s="1297">
        <v>3571024.85</v>
      </c>
      <c r="G120" s="1298"/>
      <c r="H120" s="1299">
        <f t="shared" si="8"/>
        <v>11677871.59</v>
      </c>
      <c r="I120" s="1299">
        <f t="shared" si="9"/>
        <v>3571024.85</v>
      </c>
    </row>
    <row r="121" spans="1:9" s="91" customFormat="1" ht="14.4" x14ac:dyDescent="0.3">
      <c r="A121" s="1294" t="s">
        <v>221</v>
      </c>
      <c r="B121" s="1295" t="s">
        <v>222</v>
      </c>
      <c r="C121" s="895" t="s">
        <v>251</v>
      </c>
      <c r="D121" s="1296"/>
      <c r="E121" s="1297">
        <v>1642560.59</v>
      </c>
      <c r="F121" s="1297">
        <v>523820.28</v>
      </c>
      <c r="G121" s="1298"/>
      <c r="H121" s="1299">
        <f t="shared" si="8"/>
        <v>2166380.87</v>
      </c>
      <c r="I121" s="1299">
        <f t="shared" si="9"/>
        <v>523820.28</v>
      </c>
    </row>
    <row r="122" spans="1:9" s="91" customFormat="1" ht="14.4" x14ac:dyDescent="0.3">
      <c r="A122" s="1294" t="s">
        <v>229</v>
      </c>
      <c r="B122" s="1295" t="s">
        <v>230</v>
      </c>
      <c r="C122" s="895" t="s">
        <v>251</v>
      </c>
      <c r="D122" s="1296"/>
      <c r="E122" s="1297">
        <v>8902485.8599999994</v>
      </c>
      <c r="F122" s="1297">
        <v>4535745.93</v>
      </c>
      <c r="G122" s="1298"/>
      <c r="H122" s="1299">
        <f t="shared" si="8"/>
        <v>13438231.789999999</v>
      </c>
      <c r="I122" s="1299">
        <f t="shared" si="9"/>
        <v>4535745.93</v>
      </c>
    </row>
    <row r="123" spans="1:9" s="91" customFormat="1" ht="14.4" x14ac:dyDescent="0.3">
      <c r="A123" s="1294" t="s">
        <v>237</v>
      </c>
      <c r="B123" s="1295" t="s">
        <v>238</v>
      </c>
      <c r="C123" s="895" t="s">
        <v>251</v>
      </c>
      <c r="D123" s="1296"/>
      <c r="E123" s="1297">
        <v>96958</v>
      </c>
      <c r="F123" s="1297">
        <v>85172.53</v>
      </c>
      <c r="G123" s="1298"/>
      <c r="H123" s="1299">
        <f t="shared" si="8"/>
        <v>182130.53</v>
      </c>
      <c r="I123" s="1299">
        <f t="shared" si="9"/>
        <v>85172.53</v>
      </c>
    </row>
    <row r="124" spans="1:9" s="91" customFormat="1" ht="14.4" x14ac:dyDescent="0.3">
      <c r="A124" s="1294" t="s">
        <v>239</v>
      </c>
      <c r="B124" s="1295" t="s">
        <v>240</v>
      </c>
      <c r="C124" s="905" t="s">
        <v>254</v>
      </c>
      <c r="D124" s="1296"/>
      <c r="E124" s="1297">
        <v>1839442.28</v>
      </c>
      <c r="F124" s="1297">
        <v>1318779.1000000001</v>
      </c>
      <c r="G124" s="1298"/>
      <c r="H124" s="1299">
        <f t="shared" si="8"/>
        <v>3158221.38</v>
      </c>
      <c r="I124" s="1299">
        <f t="shared" si="9"/>
        <v>1318779.1000000001</v>
      </c>
    </row>
    <row r="125" spans="1:9" s="91" customFormat="1" ht="14.4" x14ac:dyDescent="0.3">
      <c r="A125" s="1263"/>
      <c r="B125" s="1263"/>
      <c r="C125" s="1263"/>
      <c r="D125" s="1300"/>
      <c r="E125" s="1300"/>
      <c r="F125" s="1300"/>
      <c r="G125" s="1300"/>
      <c r="H125" s="1300"/>
      <c r="I125" s="1300"/>
    </row>
    <row r="126" spans="1:9" s="91" customFormat="1" ht="14.4" x14ac:dyDescent="0.3">
      <c r="A126" s="1263" t="s">
        <v>253</v>
      </c>
      <c r="B126" s="1263"/>
      <c r="C126" s="1263"/>
      <c r="D126" s="1301"/>
      <c r="E126" s="1302">
        <v>52022361.069999993</v>
      </c>
      <c r="F126" s="1302">
        <v>29129045.370000001</v>
      </c>
      <c r="G126" s="1302"/>
      <c r="H126" s="1303">
        <f t="shared" ref="H126:H130" si="10">SUM(D126:G126)</f>
        <v>81151406.439999998</v>
      </c>
      <c r="I126" s="1304">
        <f t="shared" ref="I126:I130" si="11">F126+G126</f>
        <v>29129045.370000001</v>
      </c>
    </row>
    <row r="127" spans="1:9" s="91" customFormat="1" ht="14.4" x14ac:dyDescent="0.3">
      <c r="A127" s="1263" t="s">
        <v>251</v>
      </c>
      <c r="B127" s="1263"/>
      <c r="C127" s="1263"/>
      <c r="D127" s="1301"/>
      <c r="E127" s="1302">
        <v>45003879.230000004</v>
      </c>
      <c r="F127" s="1302">
        <v>18548658.16</v>
      </c>
      <c r="G127" s="1302"/>
      <c r="H127" s="1303">
        <f t="shared" si="10"/>
        <v>63552537.390000001</v>
      </c>
      <c r="I127" s="1304">
        <f t="shared" si="11"/>
        <v>18548658.16</v>
      </c>
    </row>
    <row r="128" spans="1:9" s="91" customFormat="1" ht="14.4" x14ac:dyDescent="0.3">
      <c r="A128" s="1263" t="s">
        <v>254</v>
      </c>
      <c r="B128" s="1263"/>
      <c r="C128" s="1263"/>
      <c r="D128" s="1301"/>
      <c r="E128" s="1302">
        <v>86917591.36999999</v>
      </c>
      <c r="F128" s="1302">
        <v>59289171.110000007</v>
      </c>
      <c r="G128" s="1302"/>
      <c r="H128" s="1303">
        <f t="shared" si="10"/>
        <v>146206762.47999999</v>
      </c>
      <c r="I128" s="1304">
        <f t="shared" si="11"/>
        <v>59289171.110000007</v>
      </c>
    </row>
    <row r="129" spans="1:9" s="91" customFormat="1" ht="14.4" x14ac:dyDescent="0.3">
      <c r="A129" s="1263" t="s">
        <v>252</v>
      </c>
      <c r="B129" s="1263"/>
      <c r="C129" s="1263"/>
      <c r="D129" s="1301"/>
      <c r="E129" s="1302">
        <v>79894755.13000001</v>
      </c>
      <c r="F129" s="1302">
        <v>32929695.960000001</v>
      </c>
      <c r="G129" s="1302"/>
      <c r="H129" s="1303">
        <f t="shared" si="10"/>
        <v>112824451.09</v>
      </c>
      <c r="I129" s="1304">
        <f t="shared" si="11"/>
        <v>32929695.960000001</v>
      </c>
    </row>
    <row r="130" spans="1:9" s="91" customFormat="1" ht="14.4" x14ac:dyDescent="0.3">
      <c r="A130" s="1263" t="s">
        <v>255</v>
      </c>
      <c r="B130" s="1263"/>
      <c r="C130" s="1263"/>
      <c r="D130" s="1301"/>
      <c r="E130" s="1302">
        <v>25595890.829999994</v>
      </c>
      <c r="F130" s="1305">
        <v>8980363.3799999971</v>
      </c>
      <c r="G130" s="1302"/>
      <c r="H130" s="1303">
        <f t="shared" si="10"/>
        <v>34576254.209999993</v>
      </c>
      <c r="I130" s="1304">
        <f t="shared" si="11"/>
        <v>8980363.3799999971</v>
      </c>
    </row>
    <row r="131" spans="1:9" s="91" customFormat="1" ht="14.4" x14ac:dyDescent="0.3">
      <c r="A131" s="1263" t="s">
        <v>8</v>
      </c>
      <c r="B131" s="1263"/>
      <c r="C131" s="1263"/>
      <c r="D131" s="1264">
        <f>SUM(D126:D130)</f>
        <v>0</v>
      </c>
      <c r="E131" s="1305">
        <f>SUM(E126:E130)</f>
        <v>289434477.63</v>
      </c>
      <c r="F131" s="1305">
        <f>SUM(F126:F130)</f>
        <v>148876933.98000002</v>
      </c>
      <c r="G131" s="1305">
        <v>0</v>
      </c>
      <c r="H131" s="1303">
        <f t="shared" ref="H131" si="12">SUM(D131:G131)</f>
        <v>438311411.61000001</v>
      </c>
      <c r="I131" s="1304">
        <f t="shared" ref="I131" si="13">F131+G131</f>
        <v>148876933.98000002</v>
      </c>
    </row>
    <row r="132" spans="1:9" s="91" customFormat="1" x14ac:dyDescent="0.3">
      <c r="D132" s="886"/>
      <c r="E132" s="607"/>
      <c r="F132" s="607"/>
      <c r="G132" s="607"/>
      <c r="H132" s="800"/>
      <c r="I132" s="800"/>
    </row>
    <row r="133" spans="1:9" s="91" customFormat="1" x14ac:dyDescent="0.3">
      <c r="D133" s="607"/>
      <c r="E133" s="607"/>
      <c r="F133" s="607"/>
      <c r="G133" s="607"/>
      <c r="H133" s="607"/>
      <c r="I133" s="607"/>
    </row>
    <row r="134" spans="1:9" s="608" customFormat="1" ht="15.6" x14ac:dyDescent="0.3">
      <c r="A134" s="584" t="s">
        <v>898</v>
      </c>
      <c r="B134" s="609"/>
      <c r="C134" s="609"/>
    </row>
    <row r="135" spans="1:9" s="608" customFormat="1" x14ac:dyDescent="0.3"/>
    <row r="136" spans="1:9" s="81" customFormat="1" x14ac:dyDescent="0.3">
      <c r="A136" s="81" t="s">
        <v>247</v>
      </c>
    </row>
    <row r="137" spans="1:9" x14ac:dyDescent="0.3">
      <c r="A137" s="87" t="s">
        <v>248</v>
      </c>
      <c r="B137" s="71" t="s">
        <v>249</v>
      </c>
      <c r="C137" s="71"/>
    </row>
  </sheetData>
  <autoFilter ref="A3:I124"/>
  <sortState ref="A5:I124">
    <sortCondition ref="A5:A124"/>
  </sortState>
  <hyperlinks>
    <hyperlink ref="B137" r:id="rId1"/>
  </hyperlinks>
  <pageMargins left="0.7" right="0.7" top="0.75" bottom="0.75" header="0.3" footer="0.3"/>
  <pageSetup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H124" activePane="bottomRight" state="frozen"/>
      <selection pane="topRight" activeCell="D1" sqref="D1"/>
      <selection pane="bottomLeft" activeCell="A5" sqref="A5"/>
      <selection pane="bottomRight" activeCell="B133" sqref="B133"/>
    </sheetView>
  </sheetViews>
  <sheetFormatPr defaultColWidth="9" defaultRowHeight="15.6" x14ac:dyDescent="0.3"/>
  <cols>
    <col min="1" max="1" width="9.09765625" style="105" customWidth="1"/>
    <col min="2" max="2" width="33" style="105" customWidth="1"/>
    <col min="3" max="3" width="17.09765625" style="105" customWidth="1"/>
    <col min="4" max="4" width="22.69921875" style="105" customWidth="1"/>
    <col min="5" max="6" width="14.09765625" style="105" customWidth="1"/>
    <col min="7" max="7" width="13.5" style="105" customWidth="1"/>
    <col min="8" max="9" width="14.5" style="105" bestFit="1" customWidth="1"/>
    <col min="10" max="10" width="13.5" style="105" bestFit="1" customWidth="1"/>
    <col min="11" max="11" width="13.5" style="105" customWidth="1"/>
    <col min="12" max="14" width="16" style="105" bestFit="1" customWidth="1"/>
    <col min="15" max="15" width="15.296875" style="105" customWidth="1"/>
    <col min="16" max="16384" width="9" style="105"/>
  </cols>
  <sheetData>
    <row r="1" spans="1:15" x14ac:dyDescent="0.3">
      <c r="A1" s="96" t="s">
        <v>902</v>
      </c>
      <c r="B1" s="496"/>
      <c r="C1" s="497"/>
      <c r="D1" s="497"/>
    </row>
    <row r="2" spans="1:15" x14ac:dyDescent="0.3">
      <c r="A2" s="497"/>
      <c r="B2" s="497"/>
      <c r="C2" s="497"/>
      <c r="D2" s="497"/>
      <c r="E2" s="498"/>
      <c r="F2" s="498"/>
      <c r="G2" s="498"/>
      <c r="H2" s="498"/>
      <c r="I2" s="498"/>
      <c r="J2" s="498"/>
      <c r="K2" s="498"/>
      <c r="L2" s="498"/>
      <c r="M2" s="498"/>
      <c r="N2" s="498"/>
    </row>
    <row r="3" spans="1:15" ht="36.75" customHeight="1" x14ac:dyDescent="0.3">
      <c r="A3" s="420" t="s">
        <v>4</v>
      </c>
      <c r="B3" s="502" t="s">
        <v>5</v>
      </c>
      <c r="C3" s="1189" t="s">
        <v>250</v>
      </c>
      <c r="D3" s="1191" t="s">
        <v>442</v>
      </c>
      <c r="E3" s="1192" t="s">
        <v>287</v>
      </c>
      <c r="F3" s="1192" t="s">
        <v>288</v>
      </c>
      <c r="G3" s="1193" t="s">
        <v>289</v>
      </c>
      <c r="H3" s="1203" t="s">
        <v>391</v>
      </c>
      <c r="I3" s="1204" t="s">
        <v>392</v>
      </c>
      <c r="J3" s="1204" t="s">
        <v>393</v>
      </c>
      <c r="K3" s="1205" t="s">
        <v>705</v>
      </c>
      <c r="L3" s="1203" t="s">
        <v>394</v>
      </c>
      <c r="M3" s="1204" t="s">
        <v>292</v>
      </c>
      <c r="N3" s="1204" t="s">
        <v>390</v>
      </c>
      <c r="O3" s="1209" t="s">
        <v>522</v>
      </c>
    </row>
    <row r="4" spans="1:15" x14ac:dyDescent="0.3">
      <c r="A4" s="413">
        <v>999</v>
      </c>
      <c r="B4" s="499" t="s">
        <v>8</v>
      </c>
      <c r="C4" s="499"/>
      <c r="D4" s="1194">
        <f t="shared" ref="D4:O4" si="0">SUM(D5:D124)</f>
        <v>12430905372.071526</v>
      </c>
      <c r="E4" s="1195">
        <f t="shared" si="0"/>
        <v>6361387693.8021612</v>
      </c>
      <c r="F4" s="1195">
        <f t="shared" si="0"/>
        <v>6054100563.8493567</v>
      </c>
      <c r="G4" s="1196">
        <f t="shared" si="0"/>
        <v>15417114.419999998</v>
      </c>
      <c r="H4" s="1194">
        <f t="shared" si="0"/>
        <v>423983171.8954156</v>
      </c>
      <c r="I4" s="1195">
        <f t="shared" si="0"/>
        <v>357926593.7141099</v>
      </c>
      <c r="J4" s="1195">
        <f t="shared" si="0"/>
        <v>66056161.921305783</v>
      </c>
      <c r="K4" s="1196">
        <f t="shared" si="0"/>
        <v>416.26</v>
      </c>
      <c r="L4" s="1194">
        <f t="shared" si="0"/>
        <v>12006922200.1761</v>
      </c>
      <c r="M4" s="1195">
        <f t="shared" si="0"/>
        <v>6003461100.0880499</v>
      </c>
      <c r="N4" s="1195">
        <f t="shared" si="0"/>
        <v>5988044401.9280529</v>
      </c>
      <c r="O4" s="1210">
        <f t="shared" si="0"/>
        <v>15416698.159999998</v>
      </c>
    </row>
    <row r="5" spans="1:15" x14ac:dyDescent="0.3">
      <c r="A5" s="414" t="s">
        <v>9</v>
      </c>
      <c r="B5" s="500" t="s">
        <v>10</v>
      </c>
      <c r="C5" s="1190" t="s">
        <v>251</v>
      </c>
      <c r="D5" s="1197">
        <f t="shared" ref="D5:D36" si="1">H5+L5</f>
        <v>79173993.759626791</v>
      </c>
      <c r="E5" s="1198">
        <f t="shared" ref="E5:E36" si="2">+I5+M5</f>
        <v>40530782.34285447</v>
      </c>
      <c r="F5" s="1198">
        <f t="shared" ref="F5:F36" si="3">+J5+N5</f>
        <v>38633556.046772346</v>
      </c>
      <c r="G5" s="1199">
        <f t="shared" ref="G5:G36" si="4">K5+O5</f>
        <v>9655.369999999999</v>
      </c>
      <c r="H5" s="1206">
        <f t="shared" ref="H5:H36" si="5">I5+J5+K5</f>
        <v>2741968.2249885569</v>
      </c>
      <c r="I5" s="2103">
        <v>2314769.5755353398</v>
      </c>
      <c r="J5" s="2103">
        <v>427148.26945321716</v>
      </c>
      <c r="K5" s="2104">
        <v>50.38</v>
      </c>
      <c r="L5" s="1206">
        <f t="shared" ref="L5:L36" si="6">M5+N5+O5</f>
        <v>76432025.534638241</v>
      </c>
      <c r="M5" s="2103">
        <v>38216012.767319128</v>
      </c>
      <c r="N5" s="2103">
        <v>38206407.777319126</v>
      </c>
      <c r="O5" s="2105">
        <v>9604.99</v>
      </c>
    </row>
    <row r="6" spans="1:15" x14ac:dyDescent="0.3">
      <c r="A6" s="414" t="s">
        <v>11</v>
      </c>
      <c r="B6" s="500" t="s">
        <v>12</v>
      </c>
      <c r="C6" s="1190" t="s">
        <v>252</v>
      </c>
      <c r="D6" s="1197">
        <f t="shared" si="1"/>
        <v>101925928.86201547</v>
      </c>
      <c r="E6" s="1198">
        <f t="shared" si="2"/>
        <v>52465575.19051028</v>
      </c>
      <c r="F6" s="1198">
        <f t="shared" si="3"/>
        <v>49150753.691505186</v>
      </c>
      <c r="G6" s="1199">
        <f t="shared" si="4"/>
        <v>309599.98</v>
      </c>
      <c r="H6" s="1206">
        <f t="shared" si="5"/>
        <v>4365516.4424827155</v>
      </c>
      <c r="I6" s="2103">
        <v>3685368.9807439083</v>
      </c>
      <c r="J6" s="2103">
        <v>680147.46173880703</v>
      </c>
      <c r="K6" s="2104"/>
      <c r="L6" s="1206">
        <f t="shared" si="6"/>
        <v>97560412.419532761</v>
      </c>
      <c r="M6" s="2103">
        <v>48780206.209766373</v>
      </c>
      <c r="N6" s="2103">
        <v>48470606.229766376</v>
      </c>
      <c r="O6" s="2105">
        <v>309599.98</v>
      </c>
    </row>
    <row r="7" spans="1:15" x14ac:dyDescent="0.3">
      <c r="A7" s="414" t="s">
        <v>15</v>
      </c>
      <c r="B7" s="500" t="s">
        <v>273</v>
      </c>
      <c r="C7" s="1190" t="s">
        <v>252</v>
      </c>
      <c r="D7" s="1197">
        <f t="shared" si="1"/>
        <v>51802119.272251703</v>
      </c>
      <c r="E7" s="1198">
        <f t="shared" si="2"/>
        <v>26305998.248051405</v>
      </c>
      <c r="F7" s="1198">
        <f t="shared" si="3"/>
        <v>25431392.134200297</v>
      </c>
      <c r="G7" s="1199">
        <f t="shared" si="4"/>
        <v>64728.89</v>
      </c>
      <c r="H7" s="1206">
        <f t="shared" si="5"/>
        <v>1176463.1374943415</v>
      </c>
      <c r="I7" s="2103">
        <v>993170.1806727231</v>
      </c>
      <c r="J7" s="2103">
        <v>183292.9568216184</v>
      </c>
      <c r="K7" s="2104"/>
      <c r="L7" s="1206">
        <f t="shared" si="6"/>
        <v>50625656.134757362</v>
      </c>
      <c r="M7" s="2103">
        <v>25312828.067378681</v>
      </c>
      <c r="N7" s="2103">
        <v>25248099.177378681</v>
      </c>
      <c r="O7" s="2105">
        <v>64728.89</v>
      </c>
    </row>
    <row r="8" spans="1:15" x14ac:dyDescent="0.3">
      <c r="A8" s="414" t="s">
        <v>17</v>
      </c>
      <c r="B8" s="500" t="s">
        <v>18</v>
      </c>
      <c r="C8" s="1190" t="s">
        <v>253</v>
      </c>
      <c r="D8" s="1197">
        <f t="shared" si="1"/>
        <v>25566302.629888065</v>
      </c>
      <c r="E8" s="1198">
        <f t="shared" si="2"/>
        <v>13047355.911691861</v>
      </c>
      <c r="F8" s="1198">
        <f t="shared" si="3"/>
        <v>12472362.748196205</v>
      </c>
      <c r="G8" s="1199">
        <f t="shared" si="4"/>
        <v>46583.97</v>
      </c>
      <c r="H8" s="1206">
        <f t="shared" si="5"/>
        <v>767590.34499659238</v>
      </c>
      <c r="I8" s="2103">
        <v>647999.76924612327</v>
      </c>
      <c r="J8" s="2103">
        <v>119590.57575046908</v>
      </c>
      <c r="K8" s="2104"/>
      <c r="L8" s="1206">
        <f t="shared" si="6"/>
        <v>24798712.284891471</v>
      </c>
      <c r="M8" s="2103">
        <v>12399356.142445737</v>
      </c>
      <c r="N8" s="2103">
        <v>12352772.172445737</v>
      </c>
      <c r="O8" s="2105">
        <v>46583.97</v>
      </c>
    </row>
    <row r="9" spans="1:15" x14ac:dyDescent="0.3">
      <c r="A9" s="414" t="s">
        <v>19</v>
      </c>
      <c r="B9" s="500" t="s">
        <v>20</v>
      </c>
      <c r="C9" s="1190" t="s">
        <v>252</v>
      </c>
      <c r="D9" s="1197">
        <f t="shared" si="1"/>
        <v>66106756.204685695</v>
      </c>
      <c r="E9" s="1198">
        <f t="shared" si="2"/>
        <v>33643367.484510526</v>
      </c>
      <c r="F9" s="1198">
        <f t="shared" si="3"/>
        <v>32349661.470175166</v>
      </c>
      <c r="G9" s="1199">
        <f t="shared" si="4"/>
        <v>113727.25</v>
      </c>
      <c r="H9" s="1206">
        <f t="shared" si="5"/>
        <v>1714088.8499932627</v>
      </c>
      <c r="I9" s="2103">
        <v>1447033.8071643123</v>
      </c>
      <c r="J9" s="2103">
        <v>267055.04282895027</v>
      </c>
      <c r="K9" s="2104"/>
      <c r="L9" s="1206">
        <f t="shared" si="6"/>
        <v>64392667.354692429</v>
      </c>
      <c r="M9" s="2103">
        <v>32196333.677346215</v>
      </c>
      <c r="N9" s="2103">
        <v>32082606.427346215</v>
      </c>
      <c r="O9" s="2105">
        <v>113727.25</v>
      </c>
    </row>
    <row r="10" spans="1:15" x14ac:dyDescent="0.3">
      <c r="A10" s="414" t="s">
        <v>21</v>
      </c>
      <c r="B10" s="500" t="s">
        <v>22</v>
      </c>
      <c r="C10" s="1190" t="s">
        <v>252</v>
      </c>
      <c r="D10" s="1197">
        <f t="shared" si="1"/>
        <v>37264151.819827087</v>
      </c>
      <c r="E10" s="1198">
        <f t="shared" si="2"/>
        <v>18955980.3341753</v>
      </c>
      <c r="F10" s="1198">
        <f t="shared" si="3"/>
        <v>18160347.315651786</v>
      </c>
      <c r="G10" s="1199">
        <f t="shared" si="4"/>
        <v>147824.17000000001</v>
      </c>
      <c r="H10" s="1206">
        <f t="shared" si="5"/>
        <v>941035.51499638602</v>
      </c>
      <c r="I10" s="2103">
        <v>794422.18175994908</v>
      </c>
      <c r="J10" s="2103">
        <v>146613.33323643694</v>
      </c>
      <c r="K10" s="2104"/>
      <c r="L10" s="1206">
        <f t="shared" si="6"/>
        <v>36323116.3048307</v>
      </c>
      <c r="M10" s="2103">
        <v>18161558.15241535</v>
      </c>
      <c r="N10" s="2103">
        <v>18013733.982415348</v>
      </c>
      <c r="O10" s="2105">
        <v>147824.17000000001</v>
      </c>
    </row>
    <row r="11" spans="1:15" x14ac:dyDescent="0.3">
      <c r="A11" s="414" t="s">
        <v>23</v>
      </c>
      <c r="B11" s="500" t="s">
        <v>24</v>
      </c>
      <c r="C11" s="1190" t="s">
        <v>254</v>
      </c>
      <c r="D11" s="1197">
        <f t="shared" si="1"/>
        <v>159861423.57665735</v>
      </c>
      <c r="E11" s="1198">
        <f t="shared" si="2"/>
        <v>82931038.091485411</v>
      </c>
      <c r="F11" s="1198">
        <f t="shared" si="3"/>
        <v>76825917.085171923</v>
      </c>
      <c r="G11" s="1199">
        <f t="shared" si="4"/>
        <v>104468.4</v>
      </c>
      <c r="H11" s="1206">
        <f t="shared" si="5"/>
        <v>8716810.8749469686</v>
      </c>
      <c r="I11" s="2103">
        <v>7358731.7406302309</v>
      </c>
      <c r="J11" s="2103">
        <v>1358079.1343167378</v>
      </c>
      <c r="K11" s="2104"/>
      <c r="L11" s="1206">
        <f t="shared" si="6"/>
        <v>151144612.70171037</v>
      </c>
      <c r="M11" s="2103">
        <v>75572306.350855187</v>
      </c>
      <c r="N11" s="2103">
        <v>75467837.950855181</v>
      </c>
      <c r="O11" s="2105">
        <v>104468.4</v>
      </c>
    </row>
    <row r="12" spans="1:15" x14ac:dyDescent="0.3">
      <c r="A12" s="414" t="s">
        <v>25</v>
      </c>
      <c r="B12" s="500" t="s">
        <v>444</v>
      </c>
      <c r="C12" s="1190" t="s">
        <v>252</v>
      </c>
      <c r="D12" s="1197">
        <f t="shared" si="1"/>
        <v>201339934.31653678</v>
      </c>
      <c r="E12" s="1198">
        <f t="shared" si="2"/>
        <v>103255747.37302911</v>
      </c>
      <c r="F12" s="1198">
        <f t="shared" si="3"/>
        <v>97723433.893507659</v>
      </c>
      <c r="G12" s="1199">
        <f t="shared" si="4"/>
        <v>360753.05000000005</v>
      </c>
      <c r="H12" s="1206">
        <f t="shared" si="5"/>
        <v>7512435.2549701426</v>
      </c>
      <c r="I12" s="2103">
        <v>6341997.8422457948</v>
      </c>
      <c r="J12" s="2103">
        <v>1170437.4127243483</v>
      </c>
      <c r="K12" s="2104"/>
      <c r="L12" s="1206">
        <f t="shared" si="6"/>
        <v>193827499.06156665</v>
      </c>
      <c r="M12" s="2103">
        <v>96913749.530783311</v>
      </c>
      <c r="N12" s="2103">
        <v>96552996.480783314</v>
      </c>
      <c r="O12" s="2105">
        <v>360753.05000000005</v>
      </c>
    </row>
    <row r="13" spans="1:15" x14ac:dyDescent="0.3">
      <c r="A13" s="414" t="s">
        <v>26</v>
      </c>
      <c r="B13" s="500" t="s">
        <v>27</v>
      </c>
      <c r="C13" s="1190" t="s">
        <v>252</v>
      </c>
      <c r="D13" s="1197">
        <f t="shared" si="1"/>
        <v>7119851.3799650902</v>
      </c>
      <c r="E13" s="1198">
        <f t="shared" si="2"/>
        <v>3651603.0002930937</v>
      </c>
      <c r="F13" s="1198">
        <f t="shared" si="3"/>
        <v>3465268.8296719966</v>
      </c>
      <c r="G13" s="1199">
        <f t="shared" si="4"/>
        <v>2979.55</v>
      </c>
      <c r="H13" s="1206">
        <f t="shared" si="5"/>
        <v>266348.9549986886</v>
      </c>
      <c r="I13" s="2103">
        <v>224851.78780989291</v>
      </c>
      <c r="J13" s="2103">
        <v>41497.167188795684</v>
      </c>
      <c r="K13" s="2104"/>
      <c r="L13" s="1206">
        <f t="shared" si="6"/>
        <v>6853502.4249664014</v>
      </c>
      <c r="M13" s="2103">
        <v>3426751.2124832007</v>
      </c>
      <c r="N13" s="2103">
        <v>3423771.6624832009</v>
      </c>
      <c r="O13" s="2105">
        <v>2979.55</v>
      </c>
    </row>
    <row r="14" spans="1:15" x14ac:dyDescent="0.3">
      <c r="A14" s="414" t="s">
        <v>28</v>
      </c>
      <c r="B14" s="552" t="s">
        <v>568</v>
      </c>
      <c r="C14" s="1190" t="s">
        <v>252</v>
      </c>
      <c r="D14" s="1197">
        <f t="shared" si="1"/>
        <v>123945485.51442792</v>
      </c>
      <c r="E14" s="1198">
        <f t="shared" si="2"/>
        <v>63163484.928326577</v>
      </c>
      <c r="F14" s="1198">
        <f t="shared" si="3"/>
        <v>60264200.376101345</v>
      </c>
      <c r="G14" s="1199">
        <f t="shared" si="4"/>
        <v>517800.21000000014</v>
      </c>
      <c r="H14" s="1206">
        <f t="shared" si="5"/>
        <v>3459448.4924829197</v>
      </c>
      <c r="I14" s="2103">
        <v>2920466.4173540808</v>
      </c>
      <c r="J14" s="2103">
        <v>538904.23512883892</v>
      </c>
      <c r="K14" s="2104">
        <v>77.84</v>
      </c>
      <c r="L14" s="1206">
        <f t="shared" si="6"/>
        <v>120486037.021945</v>
      </c>
      <c r="M14" s="2103">
        <v>60243018.5109725</v>
      </c>
      <c r="N14" s="2103">
        <v>59725296.140972503</v>
      </c>
      <c r="O14" s="2105">
        <v>517722.37000000011</v>
      </c>
    </row>
    <row r="15" spans="1:15" x14ac:dyDescent="0.3">
      <c r="A15" s="414" t="s">
        <v>29</v>
      </c>
      <c r="B15" s="500" t="s">
        <v>30</v>
      </c>
      <c r="C15" s="1190" t="s">
        <v>255</v>
      </c>
      <c r="D15" s="1197">
        <f t="shared" si="1"/>
        <v>9021870.0699526817</v>
      </c>
      <c r="E15" s="1198">
        <f t="shared" si="2"/>
        <v>4601808.4739314085</v>
      </c>
      <c r="F15" s="1198">
        <f t="shared" si="3"/>
        <v>4418916.3260212746</v>
      </c>
      <c r="G15" s="1199">
        <f t="shared" si="4"/>
        <v>1145.2700000000002</v>
      </c>
      <c r="H15" s="1206">
        <f t="shared" si="5"/>
        <v>264013.47749874269</v>
      </c>
      <c r="I15" s="2103">
        <v>222880.1777044386</v>
      </c>
      <c r="J15" s="2103">
        <v>41133.299794304112</v>
      </c>
      <c r="K15" s="2104"/>
      <c r="L15" s="1206">
        <f t="shared" si="6"/>
        <v>8757856.5924539398</v>
      </c>
      <c r="M15" s="2103">
        <v>4378928.2962269699</v>
      </c>
      <c r="N15" s="2103">
        <v>4377783.0262269704</v>
      </c>
      <c r="O15" s="2105">
        <v>1145.2700000000002</v>
      </c>
    </row>
    <row r="16" spans="1:15" x14ac:dyDescent="0.3">
      <c r="A16" s="414" t="s">
        <v>31</v>
      </c>
      <c r="B16" s="500" t="s">
        <v>32</v>
      </c>
      <c r="C16" s="1190" t="s">
        <v>252</v>
      </c>
      <c r="D16" s="1197">
        <f t="shared" si="1"/>
        <v>38591451.937317185</v>
      </c>
      <c r="E16" s="1198">
        <f t="shared" si="2"/>
        <v>19684338.093796141</v>
      </c>
      <c r="F16" s="1198">
        <f t="shared" si="3"/>
        <v>18872186.373521045</v>
      </c>
      <c r="G16" s="1199">
        <f t="shared" si="4"/>
        <v>34927.47</v>
      </c>
      <c r="H16" s="1206">
        <f t="shared" si="5"/>
        <v>1129029.997494332</v>
      </c>
      <c r="I16" s="2103">
        <v>953127.12388471514</v>
      </c>
      <c r="J16" s="2103">
        <v>175902.87360961692</v>
      </c>
      <c r="K16" s="2104"/>
      <c r="L16" s="1206">
        <f t="shared" si="6"/>
        <v>37462421.939822853</v>
      </c>
      <c r="M16" s="2103">
        <v>18731210.969911426</v>
      </c>
      <c r="N16" s="2103">
        <v>18696283.499911427</v>
      </c>
      <c r="O16" s="2105">
        <v>34927.47</v>
      </c>
    </row>
    <row r="17" spans="1:15" x14ac:dyDescent="0.3">
      <c r="A17" s="414" t="s">
        <v>35</v>
      </c>
      <c r="B17" s="500" t="s">
        <v>36</v>
      </c>
      <c r="C17" s="1190" t="s">
        <v>251</v>
      </c>
      <c r="D17" s="1197">
        <f t="shared" si="1"/>
        <v>49507767.089789003</v>
      </c>
      <c r="E17" s="1198">
        <f t="shared" si="2"/>
        <v>25052824.009679798</v>
      </c>
      <c r="F17" s="1198">
        <f t="shared" si="3"/>
        <v>24418992.270109203</v>
      </c>
      <c r="G17" s="1199">
        <f t="shared" si="4"/>
        <v>35950.81</v>
      </c>
      <c r="H17" s="1206">
        <f t="shared" si="5"/>
        <v>868508.03249651042</v>
      </c>
      <c r="I17" s="2103">
        <v>733194.48103355407</v>
      </c>
      <c r="J17" s="2103">
        <v>135313.55146295633</v>
      </c>
      <c r="K17" s="2104"/>
      <c r="L17" s="1206">
        <f t="shared" si="6"/>
        <v>48639259.057292491</v>
      </c>
      <c r="M17" s="2103">
        <v>24319629.528646246</v>
      </c>
      <c r="N17" s="2103">
        <v>24283678.718646247</v>
      </c>
      <c r="O17" s="2105">
        <v>35950.81</v>
      </c>
    </row>
    <row r="18" spans="1:15" x14ac:dyDescent="0.3">
      <c r="A18" s="414" t="s">
        <v>37</v>
      </c>
      <c r="B18" s="500" t="s">
        <v>38</v>
      </c>
      <c r="C18" s="1190" t="s">
        <v>255</v>
      </c>
      <c r="D18" s="1197">
        <f t="shared" si="1"/>
        <v>63763072.927161649</v>
      </c>
      <c r="E18" s="1198">
        <f t="shared" si="2"/>
        <v>32233851.63169856</v>
      </c>
      <c r="F18" s="1198">
        <f t="shared" si="3"/>
        <v>31468308.375463087</v>
      </c>
      <c r="G18" s="1199">
        <f t="shared" si="4"/>
        <v>60912.92</v>
      </c>
      <c r="H18" s="1206">
        <f t="shared" si="5"/>
        <v>1023576.8974948723</v>
      </c>
      <c r="I18" s="2103">
        <v>864103.61686517124</v>
      </c>
      <c r="J18" s="2103">
        <v>159473.2806297011</v>
      </c>
      <c r="K18" s="2104"/>
      <c r="L18" s="1206">
        <f t="shared" si="6"/>
        <v>62739496.029666774</v>
      </c>
      <c r="M18" s="2103">
        <v>31369748.014833387</v>
      </c>
      <c r="N18" s="2103">
        <v>31308835.094833385</v>
      </c>
      <c r="O18" s="2105">
        <v>60912.92</v>
      </c>
    </row>
    <row r="19" spans="1:15" x14ac:dyDescent="0.3">
      <c r="A19" s="414" t="s">
        <v>39</v>
      </c>
      <c r="B19" s="500" t="s">
        <v>40</v>
      </c>
      <c r="C19" s="1190" t="s">
        <v>253</v>
      </c>
      <c r="D19" s="1197">
        <f t="shared" si="1"/>
        <v>36763157.132310286</v>
      </c>
      <c r="E19" s="1198">
        <f t="shared" si="2"/>
        <v>18763676.622824408</v>
      </c>
      <c r="F19" s="1198">
        <f t="shared" si="3"/>
        <v>17993241.099485882</v>
      </c>
      <c r="G19" s="1199">
        <f t="shared" si="4"/>
        <v>6239.41</v>
      </c>
      <c r="H19" s="1206">
        <f t="shared" si="5"/>
        <v>1110104.7549949556</v>
      </c>
      <c r="I19" s="2103">
        <v>937150.43416674156</v>
      </c>
      <c r="J19" s="2103">
        <v>172954.32082821408</v>
      </c>
      <c r="K19" s="2104"/>
      <c r="L19" s="1206">
        <f t="shared" si="6"/>
        <v>35653052.377315328</v>
      </c>
      <c r="M19" s="2103">
        <v>17826526.188657667</v>
      </c>
      <c r="N19" s="2103">
        <v>17820286.778657667</v>
      </c>
      <c r="O19" s="2105">
        <v>6239.41</v>
      </c>
    </row>
    <row r="20" spans="1:15" x14ac:dyDescent="0.3">
      <c r="A20" s="414" t="s">
        <v>41</v>
      </c>
      <c r="B20" s="500" t="s">
        <v>42</v>
      </c>
      <c r="C20" s="1190" t="s">
        <v>252</v>
      </c>
      <c r="D20" s="1197">
        <f t="shared" si="1"/>
        <v>106908917.56449476</v>
      </c>
      <c r="E20" s="1198">
        <f t="shared" si="2"/>
        <v>54613585.353839375</v>
      </c>
      <c r="F20" s="1198">
        <f t="shared" si="3"/>
        <v>52037494.460655384</v>
      </c>
      <c r="G20" s="1199">
        <f t="shared" si="4"/>
        <v>257837.75</v>
      </c>
      <c r="H20" s="1206">
        <f t="shared" si="5"/>
        <v>3367596.082486921</v>
      </c>
      <c r="I20" s="2103">
        <v>2842924.6128354589</v>
      </c>
      <c r="J20" s="2103">
        <v>524632.58965146227</v>
      </c>
      <c r="K20" s="2104">
        <v>38.880000000000003</v>
      </c>
      <c r="L20" s="1206">
        <f t="shared" si="6"/>
        <v>103541321.48200783</v>
      </c>
      <c r="M20" s="2103">
        <v>51770660.741003916</v>
      </c>
      <c r="N20" s="2103">
        <v>51512861.871003918</v>
      </c>
      <c r="O20" s="2105">
        <v>257798.87</v>
      </c>
    </row>
    <row r="21" spans="1:15" x14ac:dyDescent="0.3">
      <c r="A21" s="414" t="s">
        <v>43</v>
      </c>
      <c r="B21" s="500" t="s">
        <v>44</v>
      </c>
      <c r="C21" s="1190" t="s">
        <v>253</v>
      </c>
      <c r="D21" s="1197">
        <f t="shared" si="1"/>
        <v>54362685.224760413</v>
      </c>
      <c r="E21" s="1198">
        <f t="shared" si="2"/>
        <v>27848397.145753227</v>
      </c>
      <c r="F21" s="1198">
        <f t="shared" si="3"/>
        <v>26433100.929007187</v>
      </c>
      <c r="G21" s="1199">
        <f t="shared" si="4"/>
        <v>81187.149999999994</v>
      </c>
      <c r="H21" s="1206">
        <f t="shared" si="5"/>
        <v>1937985.2799913457</v>
      </c>
      <c r="I21" s="2103">
        <v>1636047.173368694</v>
      </c>
      <c r="J21" s="2103">
        <v>301938.10662265163</v>
      </c>
      <c r="K21" s="2104"/>
      <c r="L21" s="1206">
        <f t="shared" si="6"/>
        <v>52424699.94476907</v>
      </c>
      <c r="M21" s="2103">
        <v>26212349.972384535</v>
      </c>
      <c r="N21" s="2103">
        <v>26131162.822384536</v>
      </c>
      <c r="O21" s="2105">
        <v>81187.149999999994</v>
      </c>
    </row>
    <row r="22" spans="1:15" x14ac:dyDescent="0.3">
      <c r="A22" s="414" t="s">
        <v>45</v>
      </c>
      <c r="B22" s="500" t="s">
        <v>46</v>
      </c>
      <c r="C22" s="1190" t="s">
        <v>255</v>
      </c>
      <c r="D22" s="1197">
        <f t="shared" si="1"/>
        <v>70952367.107139468</v>
      </c>
      <c r="E22" s="1198">
        <f t="shared" si="2"/>
        <v>36138285.634082638</v>
      </c>
      <c r="F22" s="1198">
        <f t="shared" si="3"/>
        <v>34573520.403056838</v>
      </c>
      <c r="G22" s="1199">
        <f t="shared" si="4"/>
        <v>240561.06999999998</v>
      </c>
      <c r="H22" s="1206">
        <f t="shared" si="5"/>
        <v>1923596.9799909941</v>
      </c>
      <c r="I22" s="2103">
        <v>1623900.5705083972</v>
      </c>
      <c r="J22" s="2103">
        <v>299696.40948259691</v>
      </c>
      <c r="K22" s="2104"/>
      <c r="L22" s="1206">
        <f t="shared" si="6"/>
        <v>69028770.127148479</v>
      </c>
      <c r="M22" s="2103">
        <v>34514385.06357424</v>
      </c>
      <c r="N22" s="2103">
        <v>34273823.993574239</v>
      </c>
      <c r="O22" s="2105">
        <v>240561.06999999998</v>
      </c>
    </row>
    <row r="23" spans="1:15" x14ac:dyDescent="0.3">
      <c r="A23" s="414" t="s">
        <v>47</v>
      </c>
      <c r="B23" s="500" t="s">
        <v>256</v>
      </c>
      <c r="C23" s="1190" t="s">
        <v>253</v>
      </c>
      <c r="D23" s="1197">
        <f t="shared" si="1"/>
        <v>14126941.124937829</v>
      </c>
      <c r="E23" s="1198">
        <f t="shared" si="2"/>
        <v>7196019.5111123314</v>
      </c>
      <c r="F23" s="1198">
        <f t="shared" si="3"/>
        <v>6924435.0338254981</v>
      </c>
      <c r="G23" s="1199">
        <f t="shared" si="4"/>
        <v>6486.58</v>
      </c>
      <c r="H23" s="1206">
        <f t="shared" si="5"/>
        <v>385092.81999830605</v>
      </c>
      <c r="I23" s="2103">
        <v>325095.35864256998</v>
      </c>
      <c r="J23" s="2103">
        <v>59997.461355736079</v>
      </c>
      <c r="K23" s="2104"/>
      <c r="L23" s="1206">
        <f t="shared" si="6"/>
        <v>13741848.304939523</v>
      </c>
      <c r="M23" s="2103">
        <v>6870924.1524697617</v>
      </c>
      <c r="N23" s="2103">
        <v>6864437.5724697616</v>
      </c>
      <c r="O23" s="2105">
        <v>6486.58</v>
      </c>
    </row>
    <row r="24" spans="1:15" x14ac:dyDescent="0.3">
      <c r="A24" s="414" t="s">
        <v>49</v>
      </c>
      <c r="B24" s="500" t="s">
        <v>50</v>
      </c>
      <c r="C24" s="1190" t="s">
        <v>252</v>
      </c>
      <c r="D24" s="1197">
        <f t="shared" si="1"/>
        <v>27816167.674858171</v>
      </c>
      <c r="E24" s="1198">
        <f t="shared" si="2"/>
        <v>14137068.645033695</v>
      </c>
      <c r="F24" s="1198">
        <f t="shared" si="3"/>
        <v>13678585.639824474</v>
      </c>
      <c r="G24" s="1199">
        <f t="shared" si="4"/>
        <v>513.39</v>
      </c>
      <c r="H24" s="1206">
        <f t="shared" si="5"/>
        <v>665266.72749741201</v>
      </c>
      <c r="I24" s="2103">
        <v>561618.17135331524</v>
      </c>
      <c r="J24" s="2103">
        <v>103648.5561440968</v>
      </c>
      <c r="K24" s="2104"/>
      <c r="L24" s="1206">
        <f t="shared" si="6"/>
        <v>27150900.947360758</v>
      </c>
      <c r="M24" s="2103">
        <v>13575450.473680379</v>
      </c>
      <c r="N24" s="2103">
        <v>13574937.083680378</v>
      </c>
      <c r="O24" s="2105">
        <v>513.39</v>
      </c>
    </row>
    <row r="25" spans="1:15" x14ac:dyDescent="0.3">
      <c r="A25" s="414" t="s">
        <v>55</v>
      </c>
      <c r="B25" s="500" t="s">
        <v>271</v>
      </c>
      <c r="C25" s="1190" t="s">
        <v>253</v>
      </c>
      <c r="D25" s="1197">
        <f t="shared" si="1"/>
        <v>534446616.13759279</v>
      </c>
      <c r="E25" s="1198">
        <f t="shared" si="2"/>
        <v>274037653.79138416</v>
      </c>
      <c r="F25" s="1198">
        <f t="shared" si="3"/>
        <v>259825938.55620858</v>
      </c>
      <c r="G25" s="1199">
        <f t="shared" si="4"/>
        <v>583023.78999999992</v>
      </c>
      <c r="H25" s="1206">
        <f t="shared" si="5"/>
        <v>19797634.289912194</v>
      </c>
      <c r="I25" s="2103">
        <v>16713162.867543872</v>
      </c>
      <c r="J25" s="2103">
        <v>3084471.4223683197</v>
      </c>
      <c r="K25" s="2104"/>
      <c r="L25" s="1206">
        <f t="shared" si="6"/>
        <v>514648981.84768057</v>
      </c>
      <c r="M25" s="2103">
        <v>257324490.92384028</v>
      </c>
      <c r="N25" s="2103">
        <v>256741467.13384026</v>
      </c>
      <c r="O25" s="2105">
        <v>583023.78999999992</v>
      </c>
    </row>
    <row r="26" spans="1:15" x14ac:dyDescent="0.3">
      <c r="A26" s="414" t="s">
        <v>57</v>
      </c>
      <c r="B26" s="500" t="s">
        <v>58</v>
      </c>
      <c r="C26" s="1190" t="s">
        <v>254</v>
      </c>
      <c r="D26" s="1197">
        <f t="shared" si="1"/>
        <v>14942465.792435031</v>
      </c>
      <c r="E26" s="1198">
        <f t="shared" si="2"/>
        <v>7628544.5058511235</v>
      </c>
      <c r="F26" s="1198">
        <f t="shared" si="3"/>
        <v>7299850.4965839079</v>
      </c>
      <c r="G26" s="1199">
        <f t="shared" si="4"/>
        <v>14070.79</v>
      </c>
      <c r="H26" s="1206">
        <f t="shared" si="5"/>
        <v>457035.47249740805</v>
      </c>
      <c r="I26" s="2103">
        <v>385829.34588231187</v>
      </c>
      <c r="J26" s="2103">
        <v>71206.126615096175</v>
      </c>
      <c r="K26" s="2104"/>
      <c r="L26" s="1206">
        <f t="shared" si="6"/>
        <v>14485430.319937624</v>
      </c>
      <c r="M26" s="2103">
        <v>7242715.159968812</v>
      </c>
      <c r="N26" s="2103">
        <v>7228644.369968812</v>
      </c>
      <c r="O26" s="2105">
        <v>14070.79</v>
      </c>
    </row>
    <row r="27" spans="1:15" x14ac:dyDescent="0.3">
      <c r="A27" s="414" t="s">
        <v>59</v>
      </c>
      <c r="B27" s="500" t="s">
        <v>60</v>
      </c>
      <c r="C27" s="1190" t="s">
        <v>252</v>
      </c>
      <c r="D27" s="1197">
        <f t="shared" si="1"/>
        <v>8089969.8774627866</v>
      </c>
      <c r="E27" s="1198">
        <f t="shared" si="2"/>
        <v>4122245.2177775116</v>
      </c>
      <c r="F27" s="1198">
        <f t="shared" si="3"/>
        <v>3941819.9596852744</v>
      </c>
      <c r="G27" s="1199">
        <f t="shared" si="4"/>
        <v>25904.699999999997</v>
      </c>
      <c r="H27" s="1206">
        <f t="shared" si="5"/>
        <v>224463.33249889192</v>
      </c>
      <c r="I27" s="2103">
        <v>189491.94529556457</v>
      </c>
      <c r="J27" s="2103">
        <v>34971.387203327358</v>
      </c>
      <c r="K27" s="2104"/>
      <c r="L27" s="1206">
        <f t="shared" si="6"/>
        <v>7865506.5449638944</v>
      </c>
      <c r="M27" s="2103">
        <v>3932753.2724819472</v>
      </c>
      <c r="N27" s="2103">
        <v>3906848.572481947</v>
      </c>
      <c r="O27" s="2105">
        <v>25904.699999999997</v>
      </c>
    </row>
    <row r="28" spans="1:15" x14ac:dyDescent="0.3">
      <c r="A28" s="414" t="s">
        <v>61</v>
      </c>
      <c r="B28" s="500" t="s">
        <v>62</v>
      </c>
      <c r="C28" s="1190" t="s">
        <v>254</v>
      </c>
      <c r="D28" s="1197">
        <f t="shared" si="1"/>
        <v>80939953.152085274</v>
      </c>
      <c r="E28" s="1198">
        <f t="shared" si="2"/>
        <v>41506671.779004596</v>
      </c>
      <c r="F28" s="1198">
        <f t="shared" si="3"/>
        <v>39313613.923080668</v>
      </c>
      <c r="G28" s="1199">
        <f t="shared" si="4"/>
        <v>119667.45</v>
      </c>
      <c r="H28" s="1206">
        <f t="shared" si="5"/>
        <v>3011897.7424810054</v>
      </c>
      <c r="I28" s="2103">
        <v>2542644.0742024649</v>
      </c>
      <c r="J28" s="2103">
        <v>469253.6682785406</v>
      </c>
      <c r="K28" s="2104"/>
      <c r="L28" s="1206">
        <f t="shared" si="6"/>
        <v>77928055.409604266</v>
      </c>
      <c r="M28" s="2103">
        <v>38964027.704802133</v>
      </c>
      <c r="N28" s="2103">
        <v>38844360.25480213</v>
      </c>
      <c r="O28" s="2105">
        <v>119667.45</v>
      </c>
    </row>
    <row r="29" spans="1:15" x14ac:dyDescent="0.3">
      <c r="A29" s="414" t="s">
        <v>63</v>
      </c>
      <c r="B29" s="500" t="s">
        <v>64</v>
      </c>
      <c r="C29" s="1190" t="s">
        <v>253</v>
      </c>
      <c r="D29" s="1197">
        <f t="shared" si="1"/>
        <v>27277104.394884456</v>
      </c>
      <c r="E29" s="1198">
        <f t="shared" si="2"/>
        <v>13874834.392688731</v>
      </c>
      <c r="F29" s="1198">
        <f t="shared" si="3"/>
        <v>13374122.352195729</v>
      </c>
      <c r="G29" s="1199">
        <f t="shared" si="4"/>
        <v>28147.65</v>
      </c>
      <c r="H29" s="1206">
        <f t="shared" si="5"/>
        <v>686467.73749709572</v>
      </c>
      <c r="I29" s="2103">
        <v>579516.06399504817</v>
      </c>
      <c r="J29" s="2103">
        <v>106951.67350204749</v>
      </c>
      <c r="K29" s="2104"/>
      <c r="L29" s="1206">
        <f t="shared" si="6"/>
        <v>26590636.657387361</v>
      </c>
      <c r="M29" s="2103">
        <v>13295318.328693682</v>
      </c>
      <c r="N29" s="2103">
        <v>13267170.678693682</v>
      </c>
      <c r="O29" s="2105">
        <v>28147.65</v>
      </c>
    </row>
    <row r="30" spans="1:15" x14ac:dyDescent="0.3">
      <c r="A30" s="414" t="s">
        <v>67</v>
      </c>
      <c r="B30" s="500" t="s">
        <v>68</v>
      </c>
      <c r="C30" s="1190" t="s">
        <v>255</v>
      </c>
      <c r="D30" s="1197">
        <f t="shared" si="1"/>
        <v>40446912.347288638</v>
      </c>
      <c r="E30" s="1198">
        <f t="shared" si="2"/>
        <v>20578014.22382554</v>
      </c>
      <c r="F30" s="1198">
        <f t="shared" si="3"/>
        <v>19808043.673463091</v>
      </c>
      <c r="G30" s="1199">
        <f t="shared" si="4"/>
        <v>60854.45</v>
      </c>
      <c r="H30" s="1206">
        <f t="shared" si="5"/>
        <v>1030093.1149948407</v>
      </c>
      <c r="I30" s="2103">
        <v>869604.60767864459</v>
      </c>
      <c r="J30" s="2103">
        <v>160488.50731619616</v>
      </c>
      <c r="K30" s="2104"/>
      <c r="L30" s="1206">
        <f t="shared" si="6"/>
        <v>39416819.2322938</v>
      </c>
      <c r="M30" s="2103">
        <v>19708409.616146896</v>
      </c>
      <c r="N30" s="2103">
        <v>19647555.166146897</v>
      </c>
      <c r="O30" s="2105">
        <v>60854.45</v>
      </c>
    </row>
    <row r="31" spans="1:15" x14ac:dyDescent="0.3">
      <c r="A31" s="414" t="s">
        <v>69</v>
      </c>
      <c r="B31" s="500" t="s">
        <v>70</v>
      </c>
      <c r="C31" s="1190" t="s">
        <v>251</v>
      </c>
      <c r="D31" s="1197">
        <f t="shared" si="1"/>
        <v>55572254.709756233</v>
      </c>
      <c r="E31" s="1198">
        <f t="shared" si="2"/>
        <v>28339817.293180693</v>
      </c>
      <c r="F31" s="1198">
        <f t="shared" si="3"/>
        <v>27122108.376575541</v>
      </c>
      <c r="G31" s="1199">
        <f t="shared" si="4"/>
        <v>110329.04000000001</v>
      </c>
      <c r="H31" s="1206">
        <f t="shared" si="5"/>
        <v>1608628.5249929563</v>
      </c>
      <c r="I31" s="2103">
        <v>1358004.2007990538</v>
      </c>
      <c r="J31" s="2103">
        <v>250624.3241939026</v>
      </c>
      <c r="K31" s="2104"/>
      <c r="L31" s="1206">
        <f t="shared" si="6"/>
        <v>53963626.184763275</v>
      </c>
      <c r="M31" s="2103">
        <v>26981813.092381638</v>
      </c>
      <c r="N31" s="2103">
        <v>26871484.052381638</v>
      </c>
      <c r="O31" s="2105">
        <v>110329.04000000001</v>
      </c>
    </row>
    <row r="32" spans="1:15" x14ac:dyDescent="0.3">
      <c r="A32" s="414" t="s">
        <v>71</v>
      </c>
      <c r="B32" s="500" t="s">
        <v>72</v>
      </c>
      <c r="C32" s="1190" t="s">
        <v>253</v>
      </c>
      <c r="D32" s="1197">
        <f t="shared" si="1"/>
        <v>26391400.222380854</v>
      </c>
      <c r="E32" s="1198">
        <f t="shared" si="2"/>
        <v>13436463.538310349</v>
      </c>
      <c r="F32" s="1198">
        <f t="shared" si="3"/>
        <v>12941127.384070503</v>
      </c>
      <c r="G32" s="1199">
        <f t="shared" si="4"/>
        <v>13809.3</v>
      </c>
      <c r="H32" s="1206">
        <f t="shared" si="5"/>
        <v>699487.00499687227</v>
      </c>
      <c r="I32" s="2103">
        <v>590506.92961835954</v>
      </c>
      <c r="J32" s="2103">
        <v>108980.0753785127</v>
      </c>
      <c r="K32" s="2104"/>
      <c r="L32" s="1206">
        <f t="shared" si="6"/>
        <v>25691913.217383981</v>
      </c>
      <c r="M32" s="2103">
        <v>12845956.60869199</v>
      </c>
      <c r="N32" s="2103">
        <v>12832147.30869199</v>
      </c>
      <c r="O32" s="2105">
        <v>13809.3</v>
      </c>
    </row>
    <row r="33" spans="1:15" x14ac:dyDescent="0.3">
      <c r="A33" s="414" t="s">
        <v>73</v>
      </c>
      <c r="B33" s="500" t="s">
        <v>277</v>
      </c>
      <c r="C33" s="1190" t="s">
        <v>254</v>
      </c>
      <c r="D33" s="1197">
        <f t="shared" si="1"/>
        <v>898418218.36552894</v>
      </c>
      <c r="E33" s="1198">
        <f t="shared" si="2"/>
        <v>467027336.1291821</v>
      </c>
      <c r="F33" s="1198">
        <f t="shared" si="3"/>
        <v>430818155.49634677</v>
      </c>
      <c r="G33" s="1199">
        <f t="shared" si="4"/>
        <v>572726.74</v>
      </c>
      <c r="H33" s="1206">
        <f t="shared" si="5"/>
        <v>51767074.219691113</v>
      </c>
      <c r="I33" s="2103">
        <v>43701764.056263238</v>
      </c>
      <c r="J33" s="2103">
        <v>8065310.1634278754</v>
      </c>
      <c r="K33" s="2104"/>
      <c r="L33" s="1206">
        <f t="shared" si="6"/>
        <v>846651144.14583778</v>
      </c>
      <c r="M33" s="2103">
        <v>423325572.07291889</v>
      </c>
      <c r="N33" s="2103">
        <v>422752845.33291888</v>
      </c>
      <c r="O33" s="2105">
        <v>572726.74</v>
      </c>
    </row>
    <row r="34" spans="1:15" x14ac:dyDescent="0.3">
      <c r="A34" s="414" t="s">
        <v>75</v>
      </c>
      <c r="B34" s="500" t="s">
        <v>76</v>
      </c>
      <c r="C34" s="1190" t="s">
        <v>254</v>
      </c>
      <c r="D34" s="1197">
        <f t="shared" si="1"/>
        <v>70178360.627142698</v>
      </c>
      <c r="E34" s="1198">
        <f t="shared" si="2"/>
        <v>35978851.516553029</v>
      </c>
      <c r="F34" s="1198">
        <f t="shared" si="3"/>
        <v>34000125.320589662</v>
      </c>
      <c r="G34" s="1199">
        <f t="shared" si="4"/>
        <v>199383.79</v>
      </c>
      <c r="H34" s="1206">
        <f t="shared" si="5"/>
        <v>2584750.7349845553</v>
      </c>
      <c r="I34" s="2103">
        <v>2182046.5704739615</v>
      </c>
      <c r="J34" s="2103">
        <v>402704.16451059369</v>
      </c>
      <c r="K34" s="2104"/>
      <c r="L34" s="1206">
        <f t="shared" si="6"/>
        <v>67593609.892158136</v>
      </c>
      <c r="M34" s="2103">
        <v>33796804.946079068</v>
      </c>
      <c r="N34" s="2103">
        <v>33597421.156079069</v>
      </c>
      <c r="O34" s="2105">
        <v>199383.79</v>
      </c>
    </row>
    <row r="35" spans="1:15" x14ac:dyDescent="0.3">
      <c r="A35" s="414" t="s">
        <v>77</v>
      </c>
      <c r="B35" s="500" t="s">
        <v>78</v>
      </c>
      <c r="C35" s="1190" t="s">
        <v>255</v>
      </c>
      <c r="D35" s="1197">
        <f t="shared" si="1"/>
        <v>30770856.424857672</v>
      </c>
      <c r="E35" s="1198">
        <f t="shared" si="2"/>
        <v>15760476.086756371</v>
      </c>
      <c r="F35" s="1198">
        <f t="shared" si="3"/>
        <v>14976315.778101305</v>
      </c>
      <c r="G35" s="1199">
        <f t="shared" si="4"/>
        <v>34064.559999999998</v>
      </c>
      <c r="H35" s="1206">
        <f t="shared" si="5"/>
        <v>1089621.9474942831</v>
      </c>
      <c r="I35" s="2103">
        <v>919858.84807467379</v>
      </c>
      <c r="J35" s="2103">
        <v>169763.09941960929</v>
      </c>
      <c r="K35" s="2104"/>
      <c r="L35" s="1206">
        <f t="shared" si="6"/>
        <v>29681234.477363389</v>
      </c>
      <c r="M35" s="2103">
        <v>14840617.238681696</v>
      </c>
      <c r="N35" s="2103">
        <v>14806552.678681696</v>
      </c>
      <c r="O35" s="2105">
        <v>34064.559999999998</v>
      </c>
    </row>
    <row r="36" spans="1:15" x14ac:dyDescent="0.3">
      <c r="A36" s="414" t="s">
        <v>79</v>
      </c>
      <c r="B36" s="500" t="s">
        <v>80</v>
      </c>
      <c r="C36" s="1190" t="s">
        <v>253</v>
      </c>
      <c r="D36" s="1197">
        <f t="shared" si="1"/>
        <v>31510893.352347504</v>
      </c>
      <c r="E36" s="1198">
        <f t="shared" si="2"/>
        <v>16158505.899306614</v>
      </c>
      <c r="F36" s="1198">
        <f t="shared" si="3"/>
        <v>15265878.063040892</v>
      </c>
      <c r="G36" s="1199">
        <f t="shared" si="4"/>
        <v>86509.39</v>
      </c>
      <c r="H36" s="1206">
        <f t="shared" si="5"/>
        <v>1171002.9724952369</v>
      </c>
      <c r="I36" s="2103">
        <v>988560.70938047906</v>
      </c>
      <c r="J36" s="2103">
        <v>182442.26311475789</v>
      </c>
      <c r="K36" s="2104"/>
      <c r="L36" s="1206">
        <f t="shared" si="6"/>
        <v>30339890.379852269</v>
      </c>
      <c r="M36" s="2103">
        <v>15169945.189926134</v>
      </c>
      <c r="N36" s="2103">
        <v>15083435.799926134</v>
      </c>
      <c r="O36" s="2105">
        <v>86509.39</v>
      </c>
    </row>
    <row r="37" spans="1:15" x14ac:dyDescent="0.3">
      <c r="A37" s="414" t="s">
        <v>83</v>
      </c>
      <c r="B37" s="500" t="s">
        <v>281</v>
      </c>
      <c r="C37" s="1190" t="s">
        <v>252</v>
      </c>
      <c r="D37" s="1197">
        <f t="shared" ref="D37:D68" si="7">H37+L37</f>
        <v>97862895.997040614</v>
      </c>
      <c r="E37" s="1198">
        <f t="shared" ref="E37:E68" si="8">+I37+M37</f>
        <v>50012754.127937526</v>
      </c>
      <c r="F37" s="1198">
        <f t="shared" ref="F37:F68" si="9">+J37+N37</f>
        <v>47501273.659103103</v>
      </c>
      <c r="G37" s="1199">
        <f t="shared" ref="G37:G68" si="10">K37+O37</f>
        <v>348868.21</v>
      </c>
      <c r="H37" s="1206">
        <f t="shared" ref="H37:H68" si="11">I37+J37+K37</f>
        <v>3141505.314983184</v>
      </c>
      <c r="I37" s="2103">
        <v>2652058.786908804</v>
      </c>
      <c r="J37" s="2103">
        <v>489446.52807438007</v>
      </c>
      <c r="K37" s="2104"/>
      <c r="L37" s="1206">
        <f t="shared" ref="L37:L68" si="12">M37+N37+O37</f>
        <v>94721390.682057425</v>
      </c>
      <c r="M37" s="2103">
        <v>47360695.34102872</v>
      </c>
      <c r="N37" s="2103">
        <v>47011827.131028719</v>
      </c>
      <c r="O37" s="2105">
        <v>348868.21</v>
      </c>
    </row>
    <row r="38" spans="1:15" x14ac:dyDescent="0.3">
      <c r="A38" s="414" t="s">
        <v>85</v>
      </c>
      <c r="B38" s="500" t="s">
        <v>86</v>
      </c>
      <c r="C38" s="1190" t="s">
        <v>254</v>
      </c>
      <c r="D38" s="1197">
        <f t="shared" si="7"/>
        <v>93454928.099553168</v>
      </c>
      <c r="E38" s="1198">
        <f t="shared" si="8"/>
        <v>48315285.645373806</v>
      </c>
      <c r="F38" s="1198">
        <f t="shared" si="9"/>
        <v>44877115.544179358</v>
      </c>
      <c r="G38" s="1199">
        <f t="shared" si="10"/>
        <v>262526.91000000003</v>
      </c>
      <c r="H38" s="1206">
        <f t="shared" si="11"/>
        <v>4613078.4299745066</v>
      </c>
      <c r="I38" s="2103">
        <v>3894360.8105844785</v>
      </c>
      <c r="J38" s="2103">
        <v>718717.61939002806</v>
      </c>
      <c r="K38" s="2104"/>
      <c r="L38" s="1206">
        <f t="shared" si="12"/>
        <v>88841849.669578657</v>
      </c>
      <c r="M38" s="2103">
        <v>44420924.834789328</v>
      </c>
      <c r="N38" s="2103">
        <v>44158397.924789332</v>
      </c>
      <c r="O38" s="2105">
        <v>262526.91000000003</v>
      </c>
    </row>
    <row r="39" spans="1:15" x14ac:dyDescent="0.3">
      <c r="A39" s="414" t="s">
        <v>91</v>
      </c>
      <c r="B39" s="500" t="s">
        <v>92</v>
      </c>
      <c r="C39" s="1190" t="s">
        <v>255</v>
      </c>
      <c r="D39" s="1197">
        <f t="shared" si="7"/>
        <v>33589298.944839157</v>
      </c>
      <c r="E39" s="1198">
        <f t="shared" si="8"/>
        <v>17083376.775430128</v>
      </c>
      <c r="F39" s="1198">
        <f t="shared" si="9"/>
        <v>16436608.839409031</v>
      </c>
      <c r="G39" s="1199">
        <f t="shared" si="10"/>
        <v>69313.33</v>
      </c>
      <c r="H39" s="1206">
        <f t="shared" si="11"/>
        <v>838835.85999578121</v>
      </c>
      <c r="I39" s="2103">
        <v>708145.23300843849</v>
      </c>
      <c r="J39" s="2103">
        <v>130690.62698734272</v>
      </c>
      <c r="K39" s="2104"/>
      <c r="L39" s="1206">
        <f t="shared" si="12"/>
        <v>32750463.084843375</v>
      </c>
      <c r="M39" s="2103">
        <v>16375231.542421689</v>
      </c>
      <c r="N39" s="2103">
        <v>16305918.212421689</v>
      </c>
      <c r="O39" s="2105">
        <v>69313.33</v>
      </c>
    </row>
    <row r="40" spans="1:15" x14ac:dyDescent="0.3">
      <c r="A40" s="414" t="s">
        <v>93</v>
      </c>
      <c r="B40" s="500" t="s">
        <v>94</v>
      </c>
      <c r="C40" s="1190" t="s">
        <v>251</v>
      </c>
      <c r="D40" s="1197">
        <f t="shared" si="7"/>
        <v>57098949.452235207</v>
      </c>
      <c r="E40" s="1198">
        <f t="shared" si="8"/>
        <v>29120133.492945585</v>
      </c>
      <c r="F40" s="1198">
        <f t="shared" si="9"/>
        <v>27953547.989289623</v>
      </c>
      <c r="G40" s="1199">
        <f t="shared" si="10"/>
        <v>25267.97</v>
      </c>
      <c r="H40" s="1206">
        <f t="shared" si="11"/>
        <v>1657927.8524926826</v>
      </c>
      <c r="I40" s="2103">
        <v>1399622.6930743228</v>
      </c>
      <c r="J40" s="2103">
        <v>258305.15941835995</v>
      </c>
      <c r="K40" s="2104"/>
      <c r="L40" s="1206">
        <f t="shared" si="12"/>
        <v>55441021.599742524</v>
      </c>
      <c r="M40" s="2103">
        <v>27720510.799871262</v>
      </c>
      <c r="N40" s="2103">
        <v>27695242.829871263</v>
      </c>
      <c r="O40" s="2105">
        <v>25267.97</v>
      </c>
    </row>
    <row r="41" spans="1:15" x14ac:dyDescent="0.3">
      <c r="A41" s="414" t="s">
        <v>95</v>
      </c>
      <c r="B41" s="500" t="s">
        <v>96</v>
      </c>
      <c r="C41" s="1190" t="s">
        <v>253</v>
      </c>
      <c r="D41" s="1197">
        <f t="shared" si="7"/>
        <v>22757042.892404526</v>
      </c>
      <c r="E41" s="1198">
        <f t="shared" si="8"/>
        <v>11634170.951089662</v>
      </c>
      <c r="F41" s="1198">
        <f t="shared" si="9"/>
        <v>11064131.911314862</v>
      </c>
      <c r="G41" s="1199">
        <f t="shared" si="10"/>
        <v>58740.03</v>
      </c>
      <c r="H41" s="1206">
        <f t="shared" si="11"/>
        <v>742735.34249680396</v>
      </c>
      <c r="I41" s="2103">
        <v>627017.17613580194</v>
      </c>
      <c r="J41" s="2103">
        <v>115718.16636100205</v>
      </c>
      <c r="K41" s="2104"/>
      <c r="L41" s="1206">
        <f t="shared" si="12"/>
        <v>22014307.549907722</v>
      </c>
      <c r="M41" s="2103">
        <v>11007153.774953859</v>
      </c>
      <c r="N41" s="2103">
        <v>10948413.74495386</v>
      </c>
      <c r="O41" s="2105">
        <v>58740.03</v>
      </c>
    </row>
    <row r="42" spans="1:15" x14ac:dyDescent="0.3">
      <c r="A42" s="414" t="s">
        <v>97</v>
      </c>
      <c r="B42" s="500" t="s">
        <v>98</v>
      </c>
      <c r="C42" s="1190" t="s">
        <v>255</v>
      </c>
      <c r="D42" s="1197">
        <f t="shared" si="7"/>
        <v>33764935.092326969</v>
      </c>
      <c r="E42" s="1198">
        <f t="shared" si="8"/>
        <v>17234996.240472309</v>
      </c>
      <c r="F42" s="1198">
        <f t="shared" si="9"/>
        <v>16515126.391854657</v>
      </c>
      <c r="G42" s="1199">
        <f t="shared" si="10"/>
        <v>14812.46</v>
      </c>
      <c r="H42" s="1206">
        <f t="shared" si="11"/>
        <v>1024197.2524951338</v>
      </c>
      <c r="I42" s="2103">
        <v>864627.32055639196</v>
      </c>
      <c r="J42" s="2103">
        <v>159569.93193874182</v>
      </c>
      <c r="K42" s="2104"/>
      <c r="L42" s="1206">
        <f t="shared" si="12"/>
        <v>32740737.839831833</v>
      </c>
      <c r="M42" s="2103">
        <v>16370368.919915916</v>
      </c>
      <c r="N42" s="2103">
        <v>16355556.459915916</v>
      </c>
      <c r="O42" s="2105">
        <v>14812.46</v>
      </c>
    </row>
    <row r="43" spans="1:15" x14ac:dyDescent="0.3">
      <c r="A43" s="414" t="s">
        <v>99</v>
      </c>
      <c r="B43" s="500" t="s">
        <v>100</v>
      </c>
      <c r="C43" s="1190" t="s">
        <v>254</v>
      </c>
      <c r="D43" s="1197">
        <f t="shared" si="7"/>
        <v>27691833.222363856</v>
      </c>
      <c r="E43" s="1198">
        <f t="shared" si="8"/>
        <v>14284409.43189317</v>
      </c>
      <c r="F43" s="1198">
        <f t="shared" si="9"/>
        <v>13328312.770470686</v>
      </c>
      <c r="G43" s="1199">
        <f t="shared" si="10"/>
        <v>79111.020000000019</v>
      </c>
      <c r="H43" s="1206">
        <f t="shared" si="11"/>
        <v>1273947.7649948932</v>
      </c>
      <c r="I43" s="2103">
        <v>1075466.7032086889</v>
      </c>
      <c r="J43" s="2103">
        <v>198481.06178620434</v>
      </c>
      <c r="K43" s="2104"/>
      <c r="L43" s="1206">
        <f t="shared" si="12"/>
        <v>26417885.457368962</v>
      </c>
      <c r="M43" s="2103">
        <v>13208942.728684481</v>
      </c>
      <c r="N43" s="2103">
        <v>13129831.708684482</v>
      </c>
      <c r="O43" s="2105">
        <v>79111.020000000019</v>
      </c>
    </row>
    <row r="44" spans="1:15" x14ac:dyDescent="0.3">
      <c r="A44" s="414" t="s">
        <v>101</v>
      </c>
      <c r="B44" s="500" t="s">
        <v>102</v>
      </c>
      <c r="C44" s="1190" t="s">
        <v>251</v>
      </c>
      <c r="D44" s="1197">
        <f t="shared" si="7"/>
        <v>48999968.92978856</v>
      </c>
      <c r="E44" s="1198">
        <f t="shared" si="8"/>
        <v>24862521.367948286</v>
      </c>
      <c r="F44" s="1198">
        <f t="shared" si="9"/>
        <v>24121601.581840277</v>
      </c>
      <c r="G44" s="1199">
        <f t="shared" si="10"/>
        <v>15845.98</v>
      </c>
      <c r="H44" s="1206">
        <f t="shared" si="11"/>
        <v>1053273.9774956498</v>
      </c>
      <c r="I44" s="2103">
        <v>889173.89180182759</v>
      </c>
      <c r="J44" s="2103">
        <v>164100.08569382221</v>
      </c>
      <c r="K44" s="2104"/>
      <c r="L44" s="1206">
        <f t="shared" si="12"/>
        <v>47946694.952292912</v>
      </c>
      <c r="M44" s="2103">
        <v>23973347.47614646</v>
      </c>
      <c r="N44" s="2103">
        <v>23957501.496146455</v>
      </c>
      <c r="O44" s="2105">
        <v>15845.98</v>
      </c>
    </row>
    <row r="45" spans="1:15" x14ac:dyDescent="0.3">
      <c r="A45" s="414" t="s">
        <v>103</v>
      </c>
      <c r="B45" s="500" t="s">
        <v>282</v>
      </c>
      <c r="C45" s="1190" t="s">
        <v>252</v>
      </c>
      <c r="D45" s="1197">
        <f t="shared" si="7"/>
        <v>91891089.467028961</v>
      </c>
      <c r="E45" s="1198">
        <f t="shared" si="8"/>
        <v>46671089.915499136</v>
      </c>
      <c r="F45" s="1198">
        <f t="shared" si="9"/>
        <v>45083906.511529826</v>
      </c>
      <c r="G45" s="1199">
        <f t="shared" si="10"/>
        <v>136093.04</v>
      </c>
      <c r="H45" s="1206">
        <f t="shared" si="11"/>
        <v>2107917.4374917457</v>
      </c>
      <c r="I45" s="2103">
        <v>1779503.9007305317</v>
      </c>
      <c r="J45" s="2103">
        <v>328413.53676121397</v>
      </c>
      <c r="K45" s="2104"/>
      <c r="L45" s="1206">
        <f t="shared" si="12"/>
        <v>89783172.029537216</v>
      </c>
      <c r="M45" s="2103">
        <v>44891586.014768608</v>
      </c>
      <c r="N45" s="2103">
        <v>44755492.974768609</v>
      </c>
      <c r="O45" s="2105">
        <v>136093.04</v>
      </c>
    </row>
    <row r="46" spans="1:15" x14ac:dyDescent="0.3">
      <c r="A46" s="414" t="s">
        <v>107</v>
      </c>
      <c r="B46" s="500" t="s">
        <v>108</v>
      </c>
      <c r="C46" s="1190" t="s">
        <v>253</v>
      </c>
      <c r="D46" s="1197">
        <f t="shared" si="7"/>
        <v>101018030.36955543</v>
      </c>
      <c r="E46" s="1198">
        <f t="shared" si="8"/>
        <v>51745998.793886304</v>
      </c>
      <c r="F46" s="1198">
        <f t="shared" si="9"/>
        <v>48931327.585669138</v>
      </c>
      <c r="G46" s="1199">
        <f t="shared" si="10"/>
        <v>340703.99</v>
      </c>
      <c r="H46" s="1206">
        <f t="shared" si="11"/>
        <v>3593793.1699842503</v>
      </c>
      <c r="I46" s="2103">
        <v>3033880.194100704</v>
      </c>
      <c r="J46" s="2103">
        <v>559912.97588354605</v>
      </c>
      <c r="K46" s="2104"/>
      <c r="L46" s="1206">
        <f t="shared" si="12"/>
        <v>97424237.199571177</v>
      </c>
      <c r="M46" s="2103">
        <v>48712118.599785596</v>
      </c>
      <c r="N46" s="2103">
        <v>48371414.609785594</v>
      </c>
      <c r="O46" s="2105">
        <v>340703.99</v>
      </c>
    </row>
    <row r="47" spans="1:15" x14ac:dyDescent="0.3">
      <c r="A47" s="414" t="s">
        <v>109</v>
      </c>
      <c r="B47" s="500" t="s">
        <v>110</v>
      </c>
      <c r="C47" s="1190" t="s">
        <v>253</v>
      </c>
      <c r="D47" s="1197">
        <f t="shared" si="7"/>
        <v>512232118.28280205</v>
      </c>
      <c r="E47" s="1198">
        <f t="shared" si="8"/>
        <v>262796677.19900358</v>
      </c>
      <c r="F47" s="1198">
        <f t="shared" si="9"/>
        <v>248762661.01379845</v>
      </c>
      <c r="G47" s="1199">
        <f t="shared" si="10"/>
        <v>672780.07000000007</v>
      </c>
      <c r="H47" s="1206">
        <f t="shared" si="11"/>
        <v>19409116.959914498</v>
      </c>
      <c r="I47" s="2103">
        <v>16385176.537559818</v>
      </c>
      <c r="J47" s="2103">
        <v>3023940.4223546786</v>
      </c>
      <c r="K47" s="2104"/>
      <c r="L47" s="1206">
        <f t="shared" si="12"/>
        <v>492823001.32288754</v>
      </c>
      <c r="M47" s="2103">
        <v>246411500.66144377</v>
      </c>
      <c r="N47" s="2103">
        <v>245738720.59144378</v>
      </c>
      <c r="O47" s="2105">
        <v>672780.07000000007</v>
      </c>
    </row>
    <row r="48" spans="1:15" x14ac:dyDescent="0.3">
      <c r="A48" s="414" t="s">
        <v>111</v>
      </c>
      <c r="B48" s="500" t="s">
        <v>275</v>
      </c>
      <c r="C48" s="1190" t="s">
        <v>252</v>
      </c>
      <c r="D48" s="1197">
        <f t="shared" si="7"/>
        <v>207683343.04904816</v>
      </c>
      <c r="E48" s="1198">
        <f t="shared" si="8"/>
        <v>105485353.20646477</v>
      </c>
      <c r="F48" s="1198">
        <f t="shared" si="9"/>
        <v>102057284.06258339</v>
      </c>
      <c r="G48" s="1199">
        <f t="shared" si="10"/>
        <v>140705.78</v>
      </c>
      <c r="H48" s="1206">
        <f t="shared" si="11"/>
        <v>4775368.0474744104</v>
      </c>
      <c r="I48" s="2103">
        <v>4031365.7056778972</v>
      </c>
      <c r="J48" s="2103">
        <v>744002.34179651306</v>
      </c>
      <c r="K48" s="2104"/>
      <c r="L48" s="1206">
        <f t="shared" si="12"/>
        <v>202907975.00157374</v>
      </c>
      <c r="M48" s="2103">
        <v>101453987.50078687</v>
      </c>
      <c r="N48" s="2103">
        <v>101313281.72078687</v>
      </c>
      <c r="O48" s="2105">
        <v>140705.78</v>
      </c>
    </row>
    <row r="49" spans="1:15" x14ac:dyDescent="0.3">
      <c r="A49" s="414" t="s">
        <v>113</v>
      </c>
      <c r="B49" s="500" t="s">
        <v>114</v>
      </c>
      <c r="C49" s="1190" t="s">
        <v>252</v>
      </c>
      <c r="D49" s="1197">
        <f t="shared" si="7"/>
        <v>3216575.8199850214</v>
      </c>
      <c r="E49" s="1198">
        <f t="shared" si="8"/>
        <v>1642359.3085348087</v>
      </c>
      <c r="F49" s="1198">
        <f t="shared" si="9"/>
        <v>1573966.9314502126</v>
      </c>
      <c r="G49" s="1199">
        <f t="shared" si="10"/>
        <v>249.58</v>
      </c>
      <c r="H49" s="1206">
        <f t="shared" si="11"/>
        <v>98987.212499413276</v>
      </c>
      <c r="I49" s="2103">
        <v>83565.004792004693</v>
      </c>
      <c r="J49" s="2103">
        <v>15422.207707408588</v>
      </c>
      <c r="K49" s="2104"/>
      <c r="L49" s="1206">
        <f t="shared" si="12"/>
        <v>3117588.6074856082</v>
      </c>
      <c r="M49" s="2103">
        <v>1558794.3037428041</v>
      </c>
      <c r="N49" s="2103">
        <v>1558544.723742804</v>
      </c>
      <c r="O49" s="2105">
        <v>249.58</v>
      </c>
    </row>
    <row r="50" spans="1:15" x14ac:dyDescent="0.3">
      <c r="A50" s="414" t="s">
        <v>117</v>
      </c>
      <c r="B50" s="500" t="s">
        <v>118</v>
      </c>
      <c r="C50" s="1190" t="s">
        <v>251</v>
      </c>
      <c r="D50" s="1197">
        <f t="shared" si="7"/>
        <v>50543030.987261042</v>
      </c>
      <c r="E50" s="1198">
        <f t="shared" si="8"/>
        <v>25720634.82933801</v>
      </c>
      <c r="F50" s="1198">
        <f t="shared" si="9"/>
        <v>24819895.55792303</v>
      </c>
      <c r="G50" s="1199">
        <f t="shared" si="10"/>
        <v>2500.6</v>
      </c>
      <c r="H50" s="1206">
        <f t="shared" si="11"/>
        <v>1304820.8474941582</v>
      </c>
      <c r="I50" s="2103">
        <v>1101529.7594545684</v>
      </c>
      <c r="J50" s="2103">
        <v>203291.08803958981</v>
      </c>
      <c r="K50" s="2104"/>
      <c r="L50" s="1206">
        <f t="shared" si="12"/>
        <v>49238210.139766887</v>
      </c>
      <c r="M50" s="2103">
        <v>24619105.069883443</v>
      </c>
      <c r="N50" s="2103">
        <v>24616604.469883442</v>
      </c>
      <c r="O50" s="2105">
        <v>2500.6</v>
      </c>
    </row>
    <row r="51" spans="1:15" x14ac:dyDescent="0.3">
      <c r="A51" s="414" t="s">
        <v>119</v>
      </c>
      <c r="B51" s="500" t="s">
        <v>120</v>
      </c>
      <c r="C51" s="1190" t="s">
        <v>251</v>
      </c>
      <c r="D51" s="1197">
        <f t="shared" si="7"/>
        <v>56003459.552240886</v>
      </c>
      <c r="E51" s="1198">
        <f t="shared" si="8"/>
        <v>28974337.986975718</v>
      </c>
      <c r="F51" s="1198">
        <f t="shared" si="9"/>
        <v>26875431.985265169</v>
      </c>
      <c r="G51" s="1199">
        <f t="shared" si="10"/>
        <v>153689.58000000002</v>
      </c>
      <c r="H51" s="1206">
        <f t="shared" si="11"/>
        <v>2825706.5974877258</v>
      </c>
      <c r="I51" s="2103">
        <v>2385461.5095991381</v>
      </c>
      <c r="J51" s="2103">
        <v>440245.08788858762</v>
      </c>
      <c r="K51" s="2104"/>
      <c r="L51" s="1206">
        <f t="shared" si="12"/>
        <v>53177752.95475316</v>
      </c>
      <c r="M51" s="2103">
        <v>26588876.47737658</v>
      </c>
      <c r="N51" s="2103">
        <v>26435186.897376582</v>
      </c>
      <c r="O51" s="2105">
        <v>153689.58000000002</v>
      </c>
    </row>
    <row r="52" spans="1:15" x14ac:dyDescent="0.3">
      <c r="A52" s="414" t="s">
        <v>121</v>
      </c>
      <c r="B52" s="500" t="s">
        <v>258</v>
      </c>
      <c r="C52" s="1190" t="s">
        <v>253</v>
      </c>
      <c r="D52" s="1197">
        <f t="shared" si="7"/>
        <v>13108073.302441658</v>
      </c>
      <c r="E52" s="1198">
        <f t="shared" si="8"/>
        <v>6690375.2323986767</v>
      </c>
      <c r="F52" s="1198">
        <f t="shared" si="9"/>
        <v>6417267.9700429831</v>
      </c>
      <c r="G52" s="1199">
        <f t="shared" si="10"/>
        <v>430.1</v>
      </c>
      <c r="H52" s="1206">
        <f t="shared" si="11"/>
        <v>396102.79249810299</v>
      </c>
      <c r="I52" s="2103">
        <v>334389.97742689855</v>
      </c>
      <c r="J52" s="2103">
        <v>61712.815071204444</v>
      </c>
      <c r="K52" s="2104"/>
      <c r="L52" s="1206">
        <f t="shared" si="12"/>
        <v>12711970.509943556</v>
      </c>
      <c r="M52" s="2103">
        <v>6355985.254971778</v>
      </c>
      <c r="N52" s="2103">
        <v>6355555.1549717784</v>
      </c>
      <c r="O52" s="2105">
        <v>430.1</v>
      </c>
    </row>
    <row r="53" spans="1:15" x14ac:dyDescent="0.3">
      <c r="A53" s="414" t="s">
        <v>123</v>
      </c>
      <c r="B53" s="500" t="s">
        <v>124</v>
      </c>
      <c r="C53" s="1190" t="s">
        <v>254</v>
      </c>
      <c r="D53" s="1197">
        <f t="shared" si="7"/>
        <v>29612130.964868229</v>
      </c>
      <c r="E53" s="1198">
        <f t="shared" si="8"/>
        <v>15181099.772048425</v>
      </c>
      <c r="F53" s="1198">
        <f t="shared" si="9"/>
        <v>14349291.702819807</v>
      </c>
      <c r="G53" s="1199">
        <f t="shared" si="10"/>
        <v>81739.490000000005</v>
      </c>
      <c r="H53" s="1206">
        <f t="shared" si="11"/>
        <v>1089582.4799950873</v>
      </c>
      <c r="I53" s="2103">
        <v>919825.52961185272</v>
      </c>
      <c r="J53" s="2103">
        <v>169756.95038323459</v>
      </c>
      <c r="K53" s="2104"/>
      <c r="L53" s="1206">
        <f t="shared" si="12"/>
        <v>28522548.484873142</v>
      </c>
      <c r="M53" s="2103">
        <v>14261274.242436573</v>
      </c>
      <c r="N53" s="2103">
        <v>14179534.752436573</v>
      </c>
      <c r="O53" s="2105">
        <v>81739.490000000005</v>
      </c>
    </row>
    <row r="54" spans="1:15" x14ac:dyDescent="0.3">
      <c r="A54" s="414" t="s">
        <v>125</v>
      </c>
      <c r="B54" s="500" t="s">
        <v>126</v>
      </c>
      <c r="C54" s="1190" t="s">
        <v>253</v>
      </c>
      <c r="D54" s="1197">
        <f t="shared" si="7"/>
        <v>23428829.12239638</v>
      </c>
      <c r="E54" s="1198">
        <f t="shared" si="8"/>
        <v>12053746.583621832</v>
      </c>
      <c r="F54" s="1198">
        <f t="shared" si="9"/>
        <v>11360938.418774543</v>
      </c>
      <c r="G54" s="1199">
        <f t="shared" si="10"/>
        <v>14144.12</v>
      </c>
      <c r="H54" s="1206">
        <f t="shared" si="11"/>
        <v>985857.12499606144</v>
      </c>
      <c r="I54" s="2103">
        <v>832260.58492167504</v>
      </c>
      <c r="J54" s="2103">
        <v>153596.54007438634</v>
      </c>
      <c r="K54" s="2104"/>
      <c r="L54" s="1206">
        <f t="shared" si="12"/>
        <v>22442971.997400317</v>
      </c>
      <c r="M54" s="2103">
        <v>11221485.998700157</v>
      </c>
      <c r="N54" s="2103">
        <v>11207341.878700158</v>
      </c>
      <c r="O54" s="2105">
        <v>14144.12</v>
      </c>
    </row>
    <row r="55" spans="1:15" x14ac:dyDescent="0.3">
      <c r="A55" s="414" t="s">
        <v>127</v>
      </c>
      <c r="B55" s="500" t="s">
        <v>128</v>
      </c>
      <c r="C55" s="1190" t="s">
        <v>253</v>
      </c>
      <c r="D55" s="1197">
        <f t="shared" si="7"/>
        <v>20779659.599913418</v>
      </c>
      <c r="E55" s="1198">
        <f t="shared" si="8"/>
        <v>10608208.454576083</v>
      </c>
      <c r="F55" s="1198">
        <f t="shared" si="9"/>
        <v>10139763.395337336</v>
      </c>
      <c r="G55" s="1199">
        <f t="shared" si="10"/>
        <v>31687.75</v>
      </c>
      <c r="H55" s="1206">
        <f t="shared" si="11"/>
        <v>634452.80249672674</v>
      </c>
      <c r="I55" s="2103">
        <v>535605.05586773669</v>
      </c>
      <c r="J55" s="2103">
        <v>98847.746628990004</v>
      </c>
      <c r="K55" s="2104"/>
      <c r="L55" s="1206">
        <f t="shared" si="12"/>
        <v>20145206.797416691</v>
      </c>
      <c r="M55" s="2103">
        <v>10072603.398708345</v>
      </c>
      <c r="N55" s="2103">
        <v>10040915.648708345</v>
      </c>
      <c r="O55" s="2105">
        <v>31687.75</v>
      </c>
    </row>
    <row r="56" spans="1:15" x14ac:dyDescent="0.3">
      <c r="A56" s="414" t="s">
        <v>129</v>
      </c>
      <c r="B56" s="500" t="s">
        <v>130</v>
      </c>
      <c r="C56" s="1190" t="s">
        <v>255</v>
      </c>
      <c r="D56" s="1197">
        <f t="shared" si="7"/>
        <v>73972908.147116825</v>
      </c>
      <c r="E56" s="1198">
        <f t="shared" si="8"/>
        <v>37460679.08534763</v>
      </c>
      <c r="F56" s="1198">
        <f t="shared" si="9"/>
        <v>36475213.221769184</v>
      </c>
      <c r="G56" s="1199">
        <f t="shared" si="10"/>
        <v>37015.839999999997</v>
      </c>
      <c r="H56" s="1206">
        <f t="shared" si="11"/>
        <v>1377760.0574933831</v>
      </c>
      <c r="I56" s="2103">
        <v>1163105.040535914</v>
      </c>
      <c r="J56" s="2103">
        <v>214655.01695746905</v>
      </c>
      <c r="K56" s="2104"/>
      <c r="L56" s="1206">
        <f t="shared" si="12"/>
        <v>72595148.089623436</v>
      </c>
      <c r="M56" s="2103">
        <v>36297574.044811718</v>
      </c>
      <c r="N56" s="2103">
        <v>36260558.204811715</v>
      </c>
      <c r="O56" s="2105">
        <v>37015.839999999997</v>
      </c>
    </row>
    <row r="57" spans="1:15" x14ac:dyDescent="0.3">
      <c r="A57" s="414" t="s">
        <v>131</v>
      </c>
      <c r="B57" s="500" t="s">
        <v>132</v>
      </c>
      <c r="C57" s="1190" t="s">
        <v>254</v>
      </c>
      <c r="D57" s="1197">
        <f t="shared" si="7"/>
        <v>234275958.25129291</v>
      </c>
      <c r="E57" s="1198">
        <f t="shared" si="8"/>
        <v>121870246.14934206</v>
      </c>
      <c r="F57" s="1198">
        <f t="shared" si="9"/>
        <v>112135800.17195085</v>
      </c>
      <c r="G57" s="1199">
        <f t="shared" si="10"/>
        <v>269911.93000000005</v>
      </c>
      <c r="H57" s="1206">
        <f t="shared" si="11"/>
        <v>13748596.814920396</v>
      </c>
      <c r="I57" s="2103">
        <v>11606565.431155797</v>
      </c>
      <c r="J57" s="2103">
        <v>2142031.3837645976</v>
      </c>
      <c r="K57" s="2104"/>
      <c r="L57" s="1206">
        <f t="shared" si="12"/>
        <v>220527361.43637252</v>
      </c>
      <c r="M57" s="2103">
        <v>110263680.71818626</v>
      </c>
      <c r="N57" s="2103">
        <v>109993768.78818625</v>
      </c>
      <c r="O57" s="2105">
        <v>269911.93000000005</v>
      </c>
    </row>
    <row r="58" spans="1:15" x14ac:dyDescent="0.3">
      <c r="A58" s="414" t="s">
        <v>133</v>
      </c>
      <c r="B58" s="500" t="s">
        <v>134</v>
      </c>
      <c r="C58" s="1190" t="s">
        <v>254</v>
      </c>
      <c r="D58" s="1197">
        <f t="shared" si="7"/>
        <v>61931493.192199729</v>
      </c>
      <c r="E58" s="1198">
        <f t="shared" si="8"/>
        <v>31693149.805825457</v>
      </c>
      <c r="F58" s="1198">
        <f t="shared" si="9"/>
        <v>30025461.146374274</v>
      </c>
      <c r="G58" s="1199">
        <f t="shared" si="10"/>
        <v>212882.24</v>
      </c>
      <c r="H58" s="1206">
        <f t="shared" si="11"/>
        <v>2113315.5424915529</v>
      </c>
      <c r="I58" s="2103">
        <v>1784060.980971369</v>
      </c>
      <c r="J58" s="2103">
        <v>329254.56152018392</v>
      </c>
      <c r="K58" s="2104"/>
      <c r="L58" s="1206">
        <f t="shared" si="12"/>
        <v>59818177.649708174</v>
      </c>
      <c r="M58" s="2103">
        <v>29909088.824854087</v>
      </c>
      <c r="N58" s="2103">
        <v>29696206.584854089</v>
      </c>
      <c r="O58" s="2105">
        <v>212882.24</v>
      </c>
    </row>
    <row r="59" spans="1:15" x14ac:dyDescent="0.3">
      <c r="A59" s="414" t="s">
        <v>135</v>
      </c>
      <c r="B59" s="500" t="s">
        <v>136</v>
      </c>
      <c r="C59" s="1190" t="s">
        <v>253</v>
      </c>
      <c r="D59" s="1197">
        <f t="shared" si="7"/>
        <v>33027578.527362227</v>
      </c>
      <c r="E59" s="1198">
        <f t="shared" si="8"/>
        <v>16767974.684611507</v>
      </c>
      <c r="F59" s="1198">
        <f t="shared" si="9"/>
        <v>16208350.392750721</v>
      </c>
      <c r="G59" s="1199">
        <f t="shared" si="10"/>
        <v>51253.45</v>
      </c>
      <c r="H59" s="1206">
        <f t="shared" si="11"/>
        <v>738481.75749678153</v>
      </c>
      <c r="I59" s="2103">
        <v>623426.29967878293</v>
      </c>
      <c r="J59" s="2103">
        <v>115055.45781799855</v>
      </c>
      <c r="K59" s="2104"/>
      <c r="L59" s="1206">
        <f t="shared" si="12"/>
        <v>32289096.769865446</v>
      </c>
      <c r="M59" s="2103">
        <v>16144548.384932723</v>
      </c>
      <c r="N59" s="2103">
        <v>16093294.934932724</v>
      </c>
      <c r="O59" s="2105">
        <v>51253.45</v>
      </c>
    </row>
    <row r="60" spans="1:15" x14ac:dyDescent="0.3">
      <c r="A60" s="414" t="s">
        <v>139</v>
      </c>
      <c r="B60" s="500" t="s">
        <v>140</v>
      </c>
      <c r="C60" s="1190" t="s">
        <v>254</v>
      </c>
      <c r="D60" s="1197">
        <f t="shared" si="7"/>
        <v>20007332.894896068</v>
      </c>
      <c r="E60" s="1198">
        <f t="shared" si="8"/>
        <v>10277968.350831838</v>
      </c>
      <c r="F60" s="1198">
        <f t="shared" si="9"/>
        <v>9704608.534064224</v>
      </c>
      <c r="G60" s="1199">
        <f t="shared" si="10"/>
        <v>24756.01</v>
      </c>
      <c r="H60" s="1206">
        <f t="shared" si="11"/>
        <v>796925.92499653553</v>
      </c>
      <c r="I60" s="2103">
        <v>672764.86588207528</v>
      </c>
      <c r="J60" s="2103">
        <v>124161.05911446022</v>
      </c>
      <c r="K60" s="2104"/>
      <c r="L60" s="1206">
        <f t="shared" si="12"/>
        <v>19210406.969899531</v>
      </c>
      <c r="M60" s="2103">
        <v>9605203.4849497639</v>
      </c>
      <c r="N60" s="2103">
        <v>9580447.4749497641</v>
      </c>
      <c r="O60" s="2105">
        <v>24756.01</v>
      </c>
    </row>
    <row r="61" spans="1:15" x14ac:dyDescent="0.3">
      <c r="A61" s="414" t="s">
        <v>145</v>
      </c>
      <c r="B61" s="500" t="s">
        <v>146</v>
      </c>
      <c r="C61" s="1190" t="s">
        <v>251</v>
      </c>
      <c r="D61" s="1197">
        <f t="shared" si="7"/>
        <v>17388816.497423265</v>
      </c>
      <c r="E61" s="1198">
        <f t="shared" si="8"/>
        <v>8849407.792942429</v>
      </c>
      <c r="F61" s="1198">
        <f t="shared" si="9"/>
        <v>8530995.9944808334</v>
      </c>
      <c r="G61" s="1199">
        <f t="shared" si="10"/>
        <v>8412.7099999999991</v>
      </c>
      <c r="H61" s="1206">
        <f t="shared" si="11"/>
        <v>450318.25749795861</v>
      </c>
      <c r="I61" s="2103">
        <v>380158.67297977669</v>
      </c>
      <c r="J61" s="2103">
        <v>70159.584518181946</v>
      </c>
      <c r="K61" s="2104"/>
      <c r="L61" s="1206">
        <f t="shared" si="12"/>
        <v>16938498.239925306</v>
      </c>
      <c r="M61" s="2103">
        <v>8469249.1199626531</v>
      </c>
      <c r="N61" s="2103">
        <v>8460836.4099626523</v>
      </c>
      <c r="O61" s="2105">
        <v>8412.7099999999991</v>
      </c>
    </row>
    <row r="62" spans="1:15" x14ac:dyDescent="0.3">
      <c r="A62" s="414" t="s">
        <v>147</v>
      </c>
      <c r="B62" s="500" t="s">
        <v>148</v>
      </c>
      <c r="C62" s="1190" t="s">
        <v>252</v>
      </c>
      <c r="D62" s="1197">
        <f t="shared" si="7"/>
        <v>70673720.604700759</v>
      </c>
      <c r="E62" s="1198">
        <f t="shared" si="8"/>
        <v>35990036.526507571</v>
      </c>
      <c r="F62" s="1198">
        <f t="shared" si="9"/>
        <v>34573808.99819319</v>
      </c>
      <c r="G62" s="1199">
        <f t="shared" si="10"/>
        <v>109875.08</v>
      </c>
      <c r="H62" s="1206">
        <f t="shared" si="11"/>
        <v>1897664.7999918438</v>
      </c>
      <c r="I62" s="2103">
        <v>1602008.6241531144</v>
      </c>
      <c r="J62" s="2103">
        <v>295656.17583872925</v>
      </c>
      <c r="K62" s="2104"/>
      <c r="L62" s="1206">
        <f t="shared" si="12"/>
        <v>68776055.804708913</v>
      </c>
      <c r="M62" s="2103">
        <v>34388027.902354456</v>
      </c>
      <c r="N62" s="2103">
        <v>34278152.822354458</v>
      </c>
      <c r="O62" s="2105">
        <v>109875.08</v>
      </c>
    </row>
    <row r="63" spans="1:15" x14ac:dyDescent="0.3">
      <c r="A63" s="414" t="s">
        <v>149</v>
      </c>
      <c r="B63" s="500" t="s">
        <v>150</v>
      </c>
      <c r="C63" s="1190" t="s">
        <v>253</v>
      </c>
      <c r="D63" s="1197">
        <f t="shared" si="7"/>
        <v>22667315.752399765</v>
      </c>
      <c r="E63" s="1198">
        <f t="shared" si="8"/>
        <v>11506098.819206649</v>
      </c>
      <c r="F63" s="1198">
        <f t="shared" si="9"/>
        <v>11160960.283193115</v>
      </c>
      <c r="G63" s="1199">
        <f t="shared" si="10"/>
        <v>256.64999999999998</v>
      </c>
      <c r="H63" s="1206">
        <f t="shared" si="11"/>
        <v>500990.53749787004</v>
      </c>
      <c r="I63" s="2103">
        <v>422936.21175570192</v>
      </c>
      <c r="J63" s="2103">
        <v>78054.325742168148</v>
      </c>
      <c r="K63" s="2104"/>
      <c r="L63" s="1206">
        <f t="shared" si="12"/>
        <v>22166325.214901894</v>
      </c>
      <c r="M63" s="2103">
        <v>11083162.607450947</v>
      </c>
      <c r="N63" s="2103">
        <v>11082905.957450947</v>
      </c>
      <c r="O63" s="2105">
        <v>256.64999999999998</v>
      </c>
    </row>
    <row r="64" spans="1:15" x14ac:dyDescent="0.3">
      <c r="A64" s="414" t="s">
        <v>151</v>
      </c>
      <c r="B64" s="500" t="s">
        <v>152</v>
      </c>
      <c r="C64" s="1190" t="s">
        <v>255</v>
      </c>
      <c r="D64" s="1197">
        <f t="shared" si="7"/>
        <v>98842961.024531201</v>
      </c>
      <c r="E64" s="1198">
        <f t="shared" si="8"/>
        <v>50430220.132847421</v>
      </c>
      <c r="F64" s="1198">
        <f t="shared" si="9"/>
        <v>48331199.261683777</v>
      </c>
      <c r="G64" s="1199">
        <f t="shared" si="10"/>
        <v>81541.63</v>
      </c>
      <c r="H64" s="1206">
        <f t="shared" si="11"/>
        <v>2930678.7349849502</v>
      </c>
      <c r="I64" s="2103">
        <v>2474078.9880742948</v>
      </c>
      <c r="J64" s="2103">
        <v>456599.74691065523</v>
      </c>
      <c r="K64" s="2104"/>
      <c r="L64" s="1206">
        <f t="shared" si="12"/>
        <v>95912282.289546251</v>
      </c>
      <c r="M64" s="2103">
        <v>47956141.144773126</v>
      </c>
      <c r="N64" s="2103">
        <v>47874599.514773123</v>
      </c>
      <c r="O64" s="2105">
        <v>81541.63</v>
      </c>
    </row>
    <row r="65" spans="1:15" x14ac:dyDescent="0.3">
      <c r="A65" s="414" t="s">
        <v>153</v>
      </c>
      <c r="B65" s="500" t="s">
        <v>154</v>
      </c>
      <c r="C65" s="1190" t="s">
        <v>252</v>
      </c>
      <c r="D65" s="1197">
        <f t="shared" si="7"/>
        <v>29418377.2773536</v>
      </c>
      <c r="E65" s="1198">
        <f t="shared" si="8"/>
        <v>15025992.226404019</v>
      </c>
      <c r="F65" s="1198">
        <f t="shared" si="9"/>
        <v>14335949.270949582</v>
      </c>
      <c r="G65" s="1199">
        <f t="shared" si="10"/>
        <v>56435.78</v>
      </c>
      <c r="H65" s="1206">
        <f t="shared" si="11"/>
        <v>920405.54249627772</v>
      </c>
      <c r="I65" s="2103">
        <v>777006.35897535761</v>
      </c>
      <c r="J65" s="2103">
        <v>143399.18352092005</v>
      </c>
      <c r="K65" s="2104"/>
      <c r="L65" s="1206">
        <f t="shared" si="12"/>
        <v>28497971.734857321</v>
      </c>
      <c r="M65" s="2103">
        <v>14248985.86742866</v>
      </c>
      <c r="N65" s="2103">
        <v>14192550.087428661</v>
      </c>
      <c r="O65" s="2105">
        <v>56435.78</v>
      </c>
    </row>
    <row r="66" spans="1:15" x14ac:dyDescent="0.3">
      <c r="A66" s="414" t="s">
        <v>155</v>
      </c>
      <c r="B66" s="500" t="s">
        <v>156</v>
      </c>
      <c r="C66" s="1190" t="s">
        <v>253</v>
      </c>
      <c r="D66" s="1197">
        <f t="shared" si="7"/>
        <v>20902180.289906643</v>
      </c>
      <c r="E66" s="1198">
        <f t="shared" si="8"/>
        <v>10714510.84943467</v>
      </c>
      <c r="F66" s="1198">
        <f t="shared" si="9"/>
        <v>10185572.670471976</v>
      </c>
      <c r="G66" s="1199">
        <f t="shared" si="10"/>
        <v>2096.77</v>
      </c>
      <c r="H66" s="1206">
        <f t="shared" si="11"/>
        <v>765312.91249665059</v>
      </c>
      <c r="I66" s="2103">
        <v>646077.16072967241</v>
      </c>
      <c r="J66" s="2103">
        <v>119235.75176697815</v>
      </c>
      <c r="K66" s="2104"/>
      <c r="L66" s="1206">
        <f t="shared" si="12"/>
        <v>20136867.377409995</v>
      </c>
      <c r="M66" s="2103">
        <v>10068433.688704997</v>
      </c>
      <c r="N66" s="2103">
        <v>10066336.918704998</v>
      </c>
      <c r="O66" s="2105">
        <v>2096.77</v>
      </c>
    </row>
    <row r="67" spans="1:15" x14ac:dyDescent="0.3">
      <c r="A67" s="414" t="s">
        <v>161</v>
      </c>
      <c r="B67" s="500" t="s">
        <v>162</v>
      </c>
      <c r="C67" s="1190" t="s">
        <v>251</v>
      </c>
      <c r="D67" s="1197">
        <f t="shared" si="7"/>
        <v>43008623.374793977</v>
      </c>
      <c r="E67" s="1198">
        <f t="shared" si="8"/>
        <v>21851619.770370509</v>
      </c>
      <c r="F67" s="1198">
        <f t="shared" si="9"/>
        <v>21142219.254423466</v>
      </c>
      <c r="G67" s="1199">
        <f t="shared" si="10"/>
        <v>14784.349999999999</v>
      </c>
      <c r="H67" s="1206">
        <f t="shared" si="11"/>
        <v>1009029.8749957073</v>
      </c>
      <c r="I67" s="2103">
        <v>851823.02047137613</v>
      </c>
      <c r="J67" s="2103">
        <v>157206.8545243312</v>
      </c>
      <c r="K67" s="2104"/>
      <c r="L67" s="1206">
        <f t="shared" si="12"/>
        <v>41999593.499798268</v>
      </c>
      <c r="M67" s="2103">
        <v>20999796.749899134</v>
      </c>
      <c r="N67" s="2103">
        <v>20985012.399899133</v>
      </c>
      <c r="O67" s="2105">
        <v>14784.349999999999</v>
      </c>
    </row>
    <row r="68" spans="1:15" x14ac:dyDescent="0.3">
      <c r="A68" s="414" t="s">
        <v>163</v>
      </c>
      <c r="B68" s="500" t="s">
        <v>164</v>
      </c>
      <c r="C68" s="1190" t="s">
        <v>253</v>
      </c>
      <c r="D68" s="1197">
        <f t="shared" si="7"/>
        <v>21229610.494908892</v>
      </c>
      <c r="E68" s="1198">
        <f t="shared" si="8"/>
        <v>10844308.566543953</v>
      </c>
      <c r="F68" s="1198">
        <f t="shared" si="9"/>
        <v>10384420.618364938</v>
      </c>
      <c r="G68" s="1199">
        <f t="shared" si="10"/>
        <v>881.31</v>
      </c>
      <c r="H68" s="1206">
        <f t="shared" si="11"/>
        <v>666773.15249711601</v>
      </c>
      <c r="I68" s="2103">
        <v>562889.89533806534</v>
      </c>
      <c r="J68" s="2103">
        <v>103883.25715905067</v>
      </c>
      <c r="K68" s="2104"/>
      <c r="L68" s="1206">
        <f t="shared" si="12"/>
        <v>20562837.342411775</v>
      </c>
      <c r="M68" s="2103">
        <v>10281418.671205888</v>
      </c>
      <c r="N68" s="2103">
        <v>10280537.361205887</v>
      </c>
      <c r="O68" s="2105">
        <v>881.31</v>
      </c>
    </row>
    <row r="69" spans="1:15" x14ac:dyDescent="0.3">
      <c r="A69" s="414" t="s">
        <v>167</v>
      </c>
      <c r="B69" s="500" t="s">
        <v>168</v>
      </c>
      <c r="C69" s="1190" t="s">
        <v>253</v>
      </c>
      <c r="D69" s="1197">
        <f t="shared" ref="D69:D100" si="13">H69+L69</f>
        <v>38217424.83483202</v>
      </c>
      <c r="E69" s="1198">
        <f t="shared" ref="E69:E100" si="14">+I69+M69</f>
        <v>19470689.254579462</v>
      </c>
      <c r="F69" s="1198">
        <f t="shared" ref="F69:F100" si="15">+J69+N69</f>
        <v>18687954.240252551</v>
      </c>
      <c r="G69" s="1199">
        <f t="shared" ref="G69:G100" si="16">K69+O69</f>
        <v>58781.34</v>
      </c>
      <c r="H69" s="1206">
        <f t="shared" ref="H69:H100" si="17">I69+J69+K69</f>
        <v>1051646.8249955098</v>
      </c>
      <c r="I69" s="2103">
        <v>887800.24966120941</v>
      </c>
      <c r="J69" s="2103">
        <v>163846.5753343004</v>
      </c>
      <c r="K69" s="2104"/>
      <c r="L69" s="1206">
        <f t="shared" ref="L69:L100" si="18">M69+N69+O69</f>
        <v>37165778.00983651</v>
      </c>
      <c r="M69" s="2103">
        <v>18582889.004918251</v>
      </c>
      <c r="N69" s="2103">
        <v>18524107.664918251</v>
      </c>
      <c r="O69" s="2105">
        <v>58781.34</v>
      </c>
    </row>
    <row r="70" spans="1:15" x14ac:dyDescent="0.3">
      <c r="A70" s="414" t="s">
        <v>169</v>
      </c>
      <c r="B70" s="500" t="s">
        <v>170</v>
      </c>
      <c r="C70" s="1190" t="s">
        <v>254</v>
      </c>
      <c r="D70" s="1197">
        <f t="shared" si="13"/>
        <v>55163715.292226225</v>
      </c>
      <c r="E70" s="1198">
        <f t="shared" si="14"/>
        <v>28244731.170899883</v>
      </c>
      <c r="F70" s="1198">
        <f t="shared" si="15"/>
        <v>26824127.211326346</v>
      </c>
      <c r="G70" s="1199">
        <f t="shared" si="16"/>
        <v>94856.91</v>
      </c>
      <c r="H70" s="1206">
        <f t="shared" si="17"/>
        <v>1925838.2474920624</v>
      </c>
      <c r="I70" s="2103">
        <v>1625792.648532799</v>
      </c>
      <c r="J70" s="2103">
        <v>300045.5989592633</v>
      </c>
      <c r="K70" s="2104"/>
      <c r="L70" s="1206">
        <f t="shared" si="18"/>
        <v>53237877.044734165</v>
      </c>
      <c r="M70" s="2103">
        <v>26618938.522367083</v>
      </c>
      <c r="N70" s="2103">
        <v>26524081.612367082</v>
      </c>
      <c r="O70" s="2105">
        <v>94856.91</v>
      </c>
    </row>
    <row r="71" spans="1:15" x14ac:dyDescent="0.3">
      <c r="A71" s="414" t="s">
        <v>171</v>
      </c>
      <c r="B71" s="500" t="s">
        <v>172</v>
      </c>
      <c r="C71" s="1190" t="s">
        <v>254</v>
      </c>
      <c r="D71" s="1197">
        <f t="shared" si="13"/>
        <v>42811248.164791472</v>
      </c>
      <c r="E71" s="1198">
        <f t="shared" si="14"/>
        <v>21927354.204826221</v>
      </c>
      <c r="F71" s="1198">
        <f t="shared" si="15"/>
        <v>20826705.74996525</v>
      </c>
      <c r="G71" s="1199">
        <f t="shared" si="16"/>
        <v>57188.21</v>
      </c>
      <c r="H71" s="1206">
        <f t="shared" si="17"/>
        <v>1515776.0674912415</v>
      </c>
      <c r="I71" s="2103">
        <v>1279618.1561761061</v>
      </c>
      <c r="J71" s="2103">
        <v>236157.91131513537</v>
      </c>
      <c r="K71" s="2104"/>
      <c r="L71" s="1206">
        <f t="shared" si="18"/>
        <v>41295472.097300231</v>
      </c>
      <c r="M71" s="2103">
        <v>20647736.048650116</v>
      </c>
      <c r="N71" s="2103">
        <v>20590547.838650115</v>
      </c>
      <c r="O71" s="2105">
        <v>57188.21</v>
      </c>
    </row>
    <row r="72" spans="1:15" x14ac:dyDescent="0.3">
      <c r="A72" s="414" t="s">
        <v>173</v>
      </c>
      <c r="B72" s="500" t="s">
        <v>174</v>
      </c>
      <c r="C72" s="1190" t="s">
        <v>255</v>
      </c>
      <c r="D72" s="1197">
        <f t="shared" si="13"/>
        <v>41634668.929809928</v>
      </c>
      <c r="E72" s="1198">
        <f t="shared" si="14"/>
        <v>21206142.777158335</v>
      </c>
      <c r="F72" s="1198">
        <f t="shared" si="15"/>
        <v>20394838.2426516</v>
      </c>
      <c r="G72" s="1199">
        <f t="shared" si="16"/>
        <v>33687.910000000003</v>
      </c>
      <c r="H72" s="1206">
        <f t="shared" si="17"/>
        <v>1129599.977493806</v>
      </c>
      <c r="I72" s="2103">
        <v>953608.30100027099</v>
      </c>
      <c r="J72" s="2103">
        <v>175991.67649353499</v>
      </c>
      <c r="K72" s="2104"/>
      <c r="L72" s="1206">
        <f t="shared" si="18"/>
        <v>40505068.95231612</v>
      </c>
      <c r="M72" s="2103">
        <v>20252534.476158064</v>
      </c>
      <c r="N72" s="2103">
        <v>20218846.566158064</v>
      </c>
      <c r="O72" s="2105">
        <v>33687.910000000003</v>
      </c>
    </row>
    <row r="73" spans="1:15" x14ac:dyDescent="0.3">
      <c r="A73" s="414" t="s">
        <v>177</v>
      </c>
      <c r="B73" s="500" t="s">
        <v>178</v>
      </c>
      <c r="C73" s="1190" t="s">
        <v>252</v>
      </c>
      <c r="D73" s="1197">
        <f t="shared" si="13"/>
        <v>134218138.68683645</v>
      </c>
      <c r="E73" s="1198">
        <f t="shared" si="14"/>
        <v>68411814.276279062</v>
      </c>
      <c r="F73" s="1198">
        <f t="shared" si="15"/>
        <v>65633034.120557398</v>
      </c>
      <c r="G73" s="1199">
        <f t="shared" si="16"/>
        <v>173290.28999999998</v>
      </c>
      <c r="H73" s="1206">
        <f t="shared" si="17"/>
        <v>3784848.7299849843</v>
      </c>
      <c r="I73" s="2103">
        <v>3195169.2978533236</v>
      </c>
      <c r="J73" s="2103">
        <v>589679.43213166052</v>
      </c>
      <c r="K73" s="2104"/>
      <c r="L73" s="1206">
        <f t="shared" si="18"/>
        <v>130433289.95685147</v>
      </c>
      <c r="M73" s="2103">
        <v>65216644.978425734</v>
      </c>
      <c r="N73" s="2103">
        <v>65043354.688425735</v>
      </c>
      <c r="O73" s="2105">
        <v>173290.28999999998</v>
      </c>
    </row>
    <row r="74" spans="1:15" x14ac:dyDescent="0.3">
      <c r="A74" s="414" t="s">
        <v>181</v>
      </c>
      <c r="B74" s="500" t="s">
        <v>182</v>
      </c>
      <c r="C74" s="1190" t="s">
        <v>253</v>
      </c>
      <c r="D74" s="1197">
        <f t="shared" si="13"/>
        <v>27191125.802377738</v>
      </c>
      <c r="E74" s="1198">
        <f t="shared" si="14"/>
        <v>13972898.662590627</v>
      </c>
      <c r="F74" s="1198">
        <f t="shared" si="15"/>
        <v>13096199.529787112</v>
      </c>
      <c r="G74" s="1199">
        <f t="shared" si="16"/>
        <v>122027.61000000002</v>
      </c>
      <c r="H74" s="1206">
        <f t="shared" si="17"/>
        <v>1096268.9174949366</v>
      </c>
      <c r="I74" s="2103">
        <v>925470.22014922556</v>
      </c>
      <c r="J74" s="2103">
        <v>170798.69734571112</v>
      </c>
      <c r="K74" s="2104"/>
      <c r="L74" s="1206">
        <f t="shared" si="18"/>
        <v>26094856.8848828</v>
      </c>
      <c r="M74" s="2103">
        <v>13047428.4424414</v>
      </c>
      <c r="N74" s="2103">
        <v>12925400.832441401</v>
      </c>
      <c r="O74" s="2105">
        <v>122027.61000000002</v>
      </c>
    </row>
    <row r="75" spans="1:15" x14ac:dyDescent="0.3">
      <c r="A75" s="414" t="s">
        <v>183</v>
      </c>
      <c r="B75" s="500" t="s">
        <v>184</v>
      </c>
      <c r="C75" s="1190" t="s">
        <v>253</v>
      </c>
      <c r="D75" s="1197">
        <f t="shared" si="13"/>
        <v>48067804.634798028</v>
      </c>
      <c r="E75" s="1198">
        <f t="shared" si="14"/>
        <v>24455566.655413758</v>
      </c>
      <c r="F75" s="1198">
        <f t="shared" si="15"/>
        <v>23593443.499384273</v>
      </c>
      <c r="G75" s="1199">
        <f t="shared" si="16"/>
        <v>18794.48</v>
      </c>
      <c r="H75" s="1206">
        <f t="shared" si="17"/>
        <v>1225056.1824948904</v>
      </c>
      <c r="I75" s="2103">
        <v>1034192.4292621864</v>
      </c>
      <c r="J75" s="2103">
        <v>190863.75323270389</v>
      </c>
      <c r="K75" s="2104"/>
      <c r="L75" s="1206">
        <f t="shared" si="18"/>
        <v>46842748.452303134</v>
      </c>
      <c r="M75" s="2103">
        <v>23421374.226151571</v>
      </c>
      <c r="N75" s="2103">
        <v>23402579.74615157</v>
      </c>
      <c r="O75" s="2105">
        <v>18794.48</v>
      </c>
    </row>
    <row r="76" spans="1:15" x14ac:dyDescent="0.3">
      <c r="A76" s="414" t="s">
        <v>185</v>
      </c>
      <c r="B76" s="500" t="s">
        <v>186</v>
      </c>
      <c r="C76" s="1190" t="s">
        <v>251</v>
      </c>
      <c r="D76" s="1197">
        <f t="shared" si="13"/>
        <v>47396368.899789289</v>
      </c>
      <c r="E76" s="1198">
        <f t="shared" si="14"/>
        <v>24204248.976213362</v>
      </c>
      <c r="F76" s="1198">
        <f t="shared" si="15"/>
        <v>23065332.053575933</v>
      </c>
      <c r="G76" s="1199">
        <f t="shared" si="16"/>
        <v>126787.87000000001</v>
      </c>
      <c r="H76" s="1206">
        <f t="shared" si="17"/>
        <v>1470263.004993357</v>
      </c>
      <c r="I76" s="2103">
        <v>1241196.0288153919</v>
      </c>
      <c r="J76" s="2103">
        <v>229066.97617796497</v>
      </c>
      <c r="K76" s="2104"/>
      <c r="L76" s="1206">
        <f t="shared" si="18"/>
        <v>45926105.894795932</v>
      </c>
      <c r="M76" s="2103">
        <v>22963052.94739797</v>
      </c>
      <c r="N76" s="2103">
        <v>22836265.077397969</v>
      </c>
      <c r="O76" s="2105">
        <v>126787.87000000001</v>
      </c>
    </row>
    <row r="77" spans="1:15" x14ac:dyDescent="0.3">
      <c r="A77" s="414" t="s">
        <v>187</v>
      </c>
      <c r="B77" s="500" t="s">
        <v>188</v>
      </c>
      <c r="C77" s="1190" t="s">
        <v>254</v>
      </c>
      <c r="D77" s="1197">
        <f t="shared" si="13"/>
        <v>469746861.73998106</v>
      </c>
      <c r="E77" s="1198">
        <f t="shared" si="14"/>
        <v>244956030.41732755</v>
      </c>
      <c r="F77" s="1198">
        <f t="shared" si="15"/>
        <v>224281070.80265349</v>
      </c>
      <c r="G77" s="1199">
        <f t="shared" si="16"/>
        <v>509760.52000000014</v>
      </c>
      <c r="H77" s="1206">
        <f t="shared" si="17"/>
        <v>29292851.677330114</v>
      </c>
      <c r="I77" s="2103">
        <v>24729025.386002082</v>
      </c>
      <c r="J77" s="2103">
        <v>4563826.2913280316</v>
      </c>
      <c r="K77" s="2104"/>
      <c r="L77" s="1206">
        <f t="shared" si="18"/>
        <v>440454010.06265092</v>
      </c>
      <c r="M77" s="2103">
        <v>220227005.03132546</v>
      </c>
      <c r="N77" s="2103">
        <v>219717244.51132545</v>
      </c>
      <c r="O77" s="2105">
        <v>509760.52000000014</v>
      </c>
    </row>
    <row r="78" spans="1:15" x14ac:dyDescent="0.3">
      <c r="A78" s="414" t="s">
        <v>189</v>
      </c>
      <c r="B78" s="500" t="s">
        <v>190</v>
      </c>
      <c r="C78" s="1190" t="s">
        <v>255</v>
      </c>
      <c r="D78" s="1197">
        <f t="shared" si="13"/>
        <v>72030854.009667635</v>
      </c>
      <c r="E78" s="1198">
        <f t="shared" si="14"/>
        <v>36527218.221468695</v>
      </c>
      <c r="F78" s="1198">
        <f t="shared" si="15"/>
        <v>35421149.718198948</v>
      </c>
      <c r="G78" s="1199">
        <f t="shared" si="16"/>
        <v>82486.069999999992</v>
      </c>
      <c r="H78" s="1206">
        <f t="shared" si="17"/>
        <v>1486900.6874923636</v>
      </c>
      <c r="I78" s="2103">
        <v>1255241.5603810535</v>
      </c>
      <c r="J78" s="2103">
        <v>231659.12711131026</v>
      </c>
      <c r="K78" s="2104"/>
      <c r="L78" s="1206">
        <f t="shared" si="18"/>
        <v>70543953.322175264</v>
      </c>
      <c r="M78" s="2103">
        <v>35271976.66108764</v>
      </c>
      <c r="N78" s="2103">
        <v>35189490.591087639</v>
      </c>
      <c r="O78" s="2105">
        <v>82486.069999999992</v>
      </c>
    </row>
    <row r="79" spans="1:15" x14ac:dyDescent="0.3">
      <c r="A79" s="414" t="s">
        <v>193</v>
      </c>
      <c r="B79" s="500" t="s">
        <v>194</v>
      </c>
      <c r="C79" s="1190" t="s">
        <v>254</v>
      </c>
      <c r="D79" s="1197">
        <f t="shared" si="13"/>
        <v>7542152.699959401</v>
      </c>
      <c r="E79" s="1198">
        <f t="shared" si="14"/>
        <v>3846996.5818412174</v>
      </c>
      <c r="F79" s="1198">
        <f t="shared" si="15"/>
        <v>3559615.2681181845</v>
      </c>
      <c r="G79" s="1199">
        <f t="shared" si="16"/>
        <v>135540.85</v>
      </c>
      <c r="H79" s="1206">
        <f t="shared" si="17"/>
        <v>220570.10999859474</v>
      </c>
      <c r="I79" s="2103">
        <v>186205.28686081368</v>
      </c>
      <c r="J79" s="2103">
        <v>34364.823137781059</v>
      </c>
      <c r="K79" s="2104"/>
      <c r="L79" s="1206">
        <f t="shared" si="18"/>
        <v>7321582.5899608061</v>
      </c>
      <c r="M79" s="2103">
        <v>3660791.2949804035</v>
      </c>
      <c r="N79" s="2103">
        <v>3525250.4449804034</v>
      </c>
      <c r="O79" s="2105">
        <v>135540.85</v>
      </c>
    </row>
    <row r="80" spans="1:15" x14ac:dyDescent="0.3">
      <c r="A80" s="414" t="s">
        <v>197</v>
      </c>
      <c r="B80" s="500" t="s">
        <v>198</v>
      </c>
      <c r="C80" s="1190" t="s">
        <v>253</v>
      </c>
      <c r="D80" s="1197">
        <f t="shared" si="13"/>
        <v>16831984.28242553</v>
      </c>
      <c r="E80" s="1198">
        <f t="shared" si="14"/>
        <v>8647270.9454412051</v>
      </c>
      <c r="F80" s="1198">
        <f t="shared" si="15"/>
        <v>8189242.766984323</v>
      </c>
      <c r="G80" s="1199">
        <f t="shared" si="16"/>
        <v>-4529.4299999999994</v>
      </c>
      <c r="H80" s="1206">
        <f t="shared" si="17"/>
        <v>671931.44749692362</v>
      </c>
      <c r="I80" s="2103">
        <v>567244.5279769029</v>
      </c>
      <c r="J80" s="2103">
        <v>104686.91952002069</v>
      </c>
      <c r="K80" s="2104"/>
      <c r="L80" s="1206">
        <f t="shared" si="18"/>
        <v>16160052.834928606</v>
      </c>
      <c r="M80" s="2103">
        <v>8080026.4174643029</v>
      </c>
      <c r="N80" s="2103">
        <v>8084555.8474643026</v>
      </c>
      <c r="O80" s="2105">
        <v>-4529.4299999999994</v>
      </c>
    </row>
    <row r="81" spans="1:15" x14ac:dyDescent="0.3">
      <c r="A81" s="414" t="s">
        <v>201</v>
      </c>
      <c r="B81" s="500" t="s">
        <v>202</v>
      </c>
      <c r="C81" s="1190" t="s">
        <v>252</v>
      </c>
      <c r="D81" s="1197">
        <f t="shared" si="13"/>
        <v>141521380.89432418</v>
      </c>
      <c r="E81" s="1198">
        <f t="shared" si="14"/>
        <v>72607026.285524726</v>
      </c>
      <c r="F81" s="1198">
        <f t="shared" si="15"/>
        <v>68369030.54879947</v>
      </c>
      <c r="G81" s="1199">
        <f t="shared" si="16"/>
        <v>545324.06000000006</v>
      </c>
      <c r="H81" s="1206">
        <f t="shared" si="17"/>
        <v>5364136.6599727673</v>
      </c>
      <c r="I81" s="2103">
        <v>4528404.1683490099</v>
      </c>
      <c r="J81" s="2103">
        <v>835732.49162375717</v>
      </c>
      <c r="K81" s="2104"/>
      <c r="L81" s="1206">
        <f t="shared" si="18"/>
        <v>136157244.23435143</v>
      </c>
      <c r="M81" s="2103">
        <v>68078622.117175713</v>
      </c>
      <c r="N81" s="2103">
        <v>67533298.057175711</v>
      </c>
      <c r="O81" s="2105">
        <v>545324.06000000006</v>
      </c>
    </row>
    <row r="82" spans="1:15" x14ac:dyDescent="0.3">
      <c r="A82" s="414" t="s">
        <v>203</v>
      </c>
      <c r="B82" s="500" t="s">
        <v>204</v>
      </c>
      <c r="C82" s="1190" t="s">
        <v>252</v>
      </c>
      <c r="D82" s="1197">
        <f t="shared" si="13"/>
        <v>60285962.062219582</v>
      </c>
      <c r="E82" s="1198">
        <f t="shared" si="14"/>
        <v>30699455.359823007</v>
      </c>
      <c r="F82" s="1198">
        <f t="shared" si="15"/>
        <v>29415869.322396576</v>
      </c>
      <c r="G82" s="1199">
        <f t="shared" si="16"/>
        <v>170637.38000000003</v>
      </c>
      <c r="H82" s="1206">
        <f t="shared" si="17"/>
        <v>1616717.9799919138</v>
      </c>
      <c r="I82" s="2103">
        <v>1364833.3187091737</v>
      </c>
      <c r="J82" s="2103">
        <v>251884.66128274018</v>
      </c>
      <c r="K82" s="2104"/>
      <c r="L82" s="1206">
        <f t="shared" si="18"/>
        <v>58669244.08222767</v>
      </c>
      <c r="M82" s="2103">
        <v>29334622.041113835</v>
      </c>
      <c r="N82" s="2103">
        <v>29163984.661113836</v>
      </c>
      <c r="O82" s="2105">
        <v>170637.38000000003</v>
      </c>
    </row>
    <row r="83" spans="1:15" x14ac:dyDescent="0.3">
      <c r="A83" s="414" t="s">
        <v>205</v>
      </c>
      <c r="B83" s="500" t="s">
        <v>206</v>
      </c>
      <c r="C83" s="1190" t="s">
        <v>254</v>
      </c>
      <c r="D83" s="1197">
        <f t="shared" si="13"/>
        <v>158337295.43423787</v>
      </c>
      <c r="E83" s="1198">
        <f t="shared" si="14"/>
        <v>82355345.802588299</v>
      </c>
      <c r="F83" s="1198">
        <f t="shared" si="15"/>
        <v>75081894.481649563</v>
      </c>
      <c r="G83" s="1199">
        <f t="shared" si="16"/>
        <v>900055.15</v>
      </c>
      <c r="H83" s="1206">
        <f t="shared" si="17"/>
        <v>9258274.5074647665</v>
      </c>
      <c r="I83" s="2103">
        <v>7815835.3392017549</v>
      </c>
      <c r="J83" s="2103">
        <v>1442262.6882630105</v>
      </c>
      <c r="K83" s="2104">
        <v>176.48</v>
      </c>
      <c r="L83" s="1206">
        <f t="shared" si="18"/>
        <v>149079020.9267731</v>
      </c>
      <c r="M83" s="2103">
        <v>74539510.463386551</v>
      </c>
      <c r="N83" s="2103">
        <v>73639631.793386549</v>
      </c>
      <c r="O83" s="2105">
        <v>899878.67</v>
      </c>
    </row>
    <row r="84" spans="1:15" x14ac:dyDescent="0.3">
      <c r="A84" s="414" t="s">
        <v>207</v>
      </c>
      <c r="B84" s="500" t="s">
        <v>208</v>
      </c>
      <c r="C84" s="1190" t="s">
        <v>255</v>
      </c>
      <c r="D84" s="1197">
        <f t="shared" si="13"/>
        <v>62713196.727173105</v>
      </c>
      <c r="E84" s="1198">
        <f t="shared" si="14"/>
        <v>31920798.672618788</v>
      </c>
      <c r="F84" s="1198">
        <f t="shared" si="15"/>
        <v>30752041.764554318</v>
      </c>
      <c r="G84" s="1199">
        <f t="shared" si="16"/>
        <v>40356.289999999994</v>
      </c>
      <c r="H84" s="1206">
        <f t="shared" si="17"/>
        <v>1639164.1749919674</v>
      </c>
      <c r="I84" s="2103">
        <v>1383782.3965282189</v>
      </c>
      <c r="J84" s="2103">
        <v>255381.77846374857</v>
      </c>
      <c r="K84" s="2104"/>
      <c r="L84" s="1206">
        <f t="shared" si="18"/>
        <v>61074032.55218114</v>
      </c>
      <c r="M84" s="2103">
        <v>30537016.27609057</v>
      </c>
      <c r="N84" s="2103">
        <v>30496659.986090571</v>
      </c>
      <c r="O84" s="2105">
        <v>40356.289999999994</v>
      </c>
    </row>
    <row r="85" spans="1:15" x14ac:dyDescent="0.3">
      <c r="A85" s="414" t="s">
        <v>209</v>
      </c>
      <c r="B85" s="500" t="s">
        <v>210</v>
      </c>
      <c r="C85" s="1190" t="s">
        <v>255</v>
      </c>
      <c r="D85" s="1197">
        <f t="shared" si="13"/>
        <v>47204826.499756306</v>
      </c>
      <c r="E85" s="1198">
        <f t="shared" si="14"/>
        <v>23996079.741193395</v>
      </c>
      <c r="F85" s="1198">
        <f t="shared" si="15"/>
        <v>23205136.968562912</v>
      </c>
      <c r="G85" s="1199">
        <f t="shared" si="16"/>
        <v>3609.79</v>
      </c>
      <c r="H85" s="1206">
        <f t="shared" si="17"/>
        <v>1143714.3849948952</v>
      </c>
      <c r="I85" s="2103">
        <v>965523.68381269043</v>
      </c>
      <c r="J85" s="2103">
        <v>178190.70118220465</v>
      </c>
      <c r="K85" s="2104"/>
      <c r="L85" s="1206">
        <f t="shared" si="18"/>
        <v>46061112.114761412</v>
      </c>
      <c r="M85" s="2103">
        <v>23030556.057380706</v>
      </c>
      <c r="N85" s="2103">
        <v>23026946.267380707</v>
      </c>
      <c r="O85" s="2105">
        <v>3609.79</v>
      </c>
    </row>
    <row r="86" spans="1:15" x14ac:dyDescent="0.3">
      <c r="A86" s="414" t="s">
        <v>211</v>
      </c>
      <c r="B86" s="500" t="s">
        <v>212</v>
      </c>
      <c r="C86" s="1190" t="s">
        <v>254</v>
      </c>
      <c r="D86" s="1197">
        <f t="shared" si="13"/>
        <v>78743068.627130687</v>
      </c>
      <c r="E86" s="1198">
        <f t="shared" si="14"/>
        <v>40261381.929373413</v>
      </c>
      <c r="F86" s="1198">
        <f t="shared" si="15"/>
        <v>38192114.167757265</v>
      </c>
      <c r="G86" s="1199">
        <f t="shared" si="16"/>
        <v>289572.52999999997</v>
      </c>
      <c r="H86" s="1206">
        <f t="shared" si="17"/>
        <v>2585263.2649856899</v>
      </c>
      <c r="I86" s="2103">
        <v>2182479.2483009193</v>
      </c>
      <c r="J86" s="2103">
        <v>402784.01668477047</v>
      </c>
      <c r="K86" s="2104"/>
      <c r="L86" s="1206">
        <f t="shared" si="18"/>
        <v>76157805.362144992</v>
      </c>
      <c r="M86" s="2103">
        <v>38078902.681072496</v>
      </c>
      <c r="N86" s="2103">
        <v>37789330.151072495</v>
      </c>
      <c r="O86" s="2105">
        <v>289572.52999999997</v>
      </c>
    </row>
    <row r="87" spans="1:15" x14ac:dyDescent="0.3">
      <c r="A87" s="414" t="s">
        <v>213</v>
      </c>
      <c r="B87" s="500" t="s">
        <v>214</v>
      </c>
      <c r="C87" s="1190" t="s">
        <v>255</v>
      </c>
      <c r="D87" s="1197">
        <f t="shared" si="13"/>
        <v>76397048.384605661</v>
      </c>
      <c r="E87" s="1198">
        <f t="shared" si="14"/>
        <v>38859492.417780817</v>
      </c>
      <c r="F87" s="1198">
        <f t="shared" si="15"/>
        <v>37405174.266824849</v>
      </c>
      <c r="G87" s="1199">
        <f t="shared" si="16"/>
        <v>132381.70000000001</v>
      </c>
      <c r="H87" s="1206">
        <f t="shared" si="17"/>
        <v>1920302.8049912371</v>
      </c>
      <c r="I87" s="2103">
        <v>1621119.6279736024</v>
      </c>
      <c r="J87" s="2103">
        <v>299183.17701763473</v>
      </c>
      <c r="K87" s="2104"/>
      <c r="L87" s="1206">
        <f t="shared" si="18"/>
        <v>74476745.579614431</v>
      </c>
      <c r="M87" s="2103">
        <v>37238372.789807215</v>
      </c>
      <c r="N87" s="2103">
        <v>37105991.089807212</v>
      </c>
      <c r="O87" s="2105">
        <v>132381.70000000001</v>
      </c>
    </row>
    <row r="88" spans="1:15" x14ac:dyDescent="0.3">
      <c r="A88" s="414" t="s">
        <v>215</v>
      </c>
      <c r="B88" s="500" t="s">
        <v>216</v>
      </c>
      <c r="C88" s="1190" t="s">
        <v>251</v>
      </c>
      <c r="D88" s="1197">
        <f t="shared" si="13"/>
        <v>40087249.944828048</v>
      </c>
      <c r="E88" s="1198">
        <f t="shared" si="14"/>
        <v>20423700.638097905</v>
      </c>
      <c r="F88" s="1198">
        <f t="shared" si="15"/>
        <v>19636463.646730155</v>
      </c>
      <c r="G88" s="1199">
        <f t="shared" si="16"/>
        <v>27085.660000000003</v>
      </c>
      <c r="H88" s="1206">
        <f t="shared" si="17"/>
        <v>1104229.1274952774</v>
      </c>
      <c r="I88" s="2103">
        <v>932190.22943151323</v>
      </c>
      <c r="J88" s="2103">
        <v>172038.89806376421</v>
      </c>
      <c r="K88" s="2104"/>
      <c r="L88" s="1206">
        <f t="shared" si="18"/>
        <v>38983020.817332774</v>
      </c>
      <c r="M88" s="2103">
        <v>19491510.408666391</v>
      </c>
      <c r="N88" s="2103">
        <v>19464424.748666391</v>
      </c>
      <c r="O88" s="2105">
        <v>27085.660000000003</v>
      </c>
    </row>
    <row r="89" spans="1:15" x14ac:dyDescent="0.3">
      <c r="A89" s="414" t="s">
        <v>217</v>
      </c>
      <c r="B89" s="500" t="s">
        <v>218</v>
      </c>
      <c r="C89" s="1190" t="s">
        <v>254</v>
      </c>
      <c r="D89" s="1197">
        <f t="shared" si="13"/>
        <v>199844201.00409526</v>
      </c>
      <c r="E89" s="1198">
        <f t="shared" si="14"/>
        <v>102481398.93686986</v>
      </c>
      <c r="F89" s="1198">
        <f t="shared" si="15"/>
        <v>96952145.427225426</v>
      </c>
      <c r="G89" s="1199">
        <f t="shared" si="16"/>
        <v>410656.64</v>
      </c>
      <c r="H89" s="1206">
        <f t="shared" si="17"/>
        <v>7435498.0674672108</v>
      </c>
      <c r="I89" s="2103">
        <v>6277047.4685558192</v>
      </c>
      <c r="J89" s="2103">
        <v>1158450.5989113913</v>
      </c>
      <c r="K89" s="2104"/>
      <c r="L89" s="1206">
        <f t="shared" si="18"/>
        <v>192408702.93662804</v>
      </c>
      <c r="M89" s="2103">
        <v>96204351.468314037</v>
      </c>
      <c r="N89" s="2103">
        <v>95793694.828314036</v>
      </c>
      <c r="O89" s="2105">
        <v>410656.64</v>
      </c>
    </row>
    <row r="90" spans="1:15" x14ac:dyDescent="0.3">
      <c r="A90" s="414" t="s">
        <v>219</v>
      </c>
      <c r="B90" s="500" t="s">
        <v>220</v>
      </c>
      <c r="C90" s="1190" t="s">
        <v>254</v>
      </c>
      <c r="D90" s="1197">
        <f t="shared" si="13"/>
        <v>161928613.35926643</v>
      </c>
      <c r="E90" s="1198">
        <f t="shared" si="14"/>
        <v>83382453.263710782</v>
      </c>
      <c r="F90" s="1198">
        <f t="shared" si="15"/>
        <v>78440421.655555665</v>
      </c>
      <c r="G90" s="1199">
        <f t="shared" si="16"/>
        <v>105738.43999999999</v>
      </c>
      <c r="H90" s="1206">
        <f t="shared" si="17"/>
        <v>7025411.3424682096</v>
      </c>
      <c r="I90" s="2103">
        <v>5930852.2553116623</v>
      </c>
      <c r="J90" s="2103">
        <v>1094559.087156547</v>
      </c>
      <c r="K90" s="2104"/>
      <c r="L90" s="1206">
        <f t="shared" si="18"/>
        <v>154903202.01679823</v>
      </c>
      <c r="M90" s="2103">
        <v>77451601.008399114</v>
      </c>
      <c r="N90" s="2103">
        <v>77345862.568399116</v>
      </c>
      <c r="O90" s="2105">
        <v>105738.43999999999</v>
      </c>
    </row>
    <row r="91" spans="1:15" x14ac:dyDescent="0.3">
      <c r="A91" s="414" t="s">
        <v>223</v>
      </c>
      <c r="B91" s="500" t="s">
        <v>224</v>
      </c>
      <c r="C91" s="1190" t="s">
        <v>251</v>
      </c>
      <c r="D91" s="1197">
        <f t="shared" si="13"/>
        <v>12697145.0524438</v>
      </c>
      <c r="E91" s="1198">
        <f t="shared" si="14"/>
        <v>6466988.1401248537</v>
      </c>
      <c r="F91" s="1198">
        <f t="shared" si="15"/>
        <v>6217490.4523189468</v>
      </c>
      <c r="G91" s="1199">
        <f t="shared" si="16"/>
        <v>12666.46</v>
      </c>
      <c r="H91" s="1206">
        <f t="shared" si="17"/>
        <v>344031.41749841184</v>
      </c>
      <c r="I91" s="2103">
        <v>290431.32265215926</v>
      </c>
      <c r="J91" s="2103">
        <v>53600.094846252556</v>
      </c>
      <c r="K91" s="2104"/>
      <c r="L91" s="1206">
        <f t="shared" si="18"/>
        <v>12353113.634945389</v>
      </c>
      <c r="M91" s="2103">
        <v>6176556.8174726944</v>
      </c>
      <c r="N91" s="2103">
        <v>6163890.3574726945</v>
      </c>
      <c r="O91" s="2105">
        <v>12666.46</v>
      </c>
    </row>
    <row r="92" spans="1:15" x14ac:dyDescent="0.3">
      <c r="A92" s="414" t="s">
        <v>225</v>
      </c>
      <c r="B92" s="500" t="s">
        <v>226</v>
      </c>
      <c r="C92" s="1190" t="s">
        <v>251</v>
      </c>
      <c r="D92" s="1197">
        <f t="shared" si="13"/>
        <v>27551948.812380467</v>
      </c>
      <c r="E92" s="1198">
        <f t="shared" si="14"/>
        <v>13939635.26068053</v>
      </c>
      <c r="F92" s="1198">
        <f t="shared" si="15"/>
        <v>13606979.191699937</v>
      </c>
      <c r="G92" s="1199">
        <f t="shared" si="16"/>
        <v>5334.3600000000006</v>
      </c>
      <c r="H92" s="1206">
        <f t="shared" si="17"/>
        <v>475481.8549979555</v>
      </c>
      <c r="I92" s="2103">
        <v>401401.78198927402</v>
      </c>
      <c r="J92" s="2103">
        <v>74080.073008681458</v>
      </c>
      <c r="K92" s="2104"/>
      <c r="L92" s="1206">
        <f t="shared" si="18"/>
        <v>27076466.957382511</v>
      </c>
      <c r="M92" s="2103">
        <v>13538233.478691256</v>
      </c>
      <c r="N92" s="2103">
        <v>13532899.118691256</v>
      </c>
      <c r="O92" s="2105">
        <v>5334.3600000000006</v>
      </c>
    </row>
    <row r="93" spans="1:15" x14ac:dyDescent="0.3">
      <c r="A93" s="414" t="s">
        <v>227</v>
      </c>
      <c r="B93" s="500" t="s">
        <v>228</v>
      </c>
      <c r="C93" s="1190" t="s">
        <v>255</v>
      </c>
      <c r="D93" s="1197">
        <f t="shared" si="13"/>
        <v>94535494.296998993</v>
      </c>
      <c r="E93" s="1198">
        <f t="shared" si="14"/>
        <v>47988551.306775987</v>
      </c>
      <c r="F93" s="1198">
        <f t="shared" si="15"/>
        <v>46485989.890223011</v>
      </c>
      <c r="G93" s="1199">
        <f t="shared" si="16"/>
        <v>60953.1</v>
      </c>
      <c r="H93" s="1206">
        <f t="shared" si="17"/>
        <v>2094143.3999897931</v>
      </c>
      <c r="I93" s="2103">
        <v>1767875.8582713832</v>
      </c>
      <c r="J93" s="2103">
        <v>326267.54171840975</v>
      </c>
      <c r="K93" s="2104"/>
      <c r="L93" s="1206">
        <f t="shared" si="18"/>
        <v>92441350.897009194</v>
      </c>
      <c r="M93" s="2103">
        <v>46220675.448504604</v>
      </c>
      <c r="N93" s="2103">
        <v>46159722.348504603</v>
      </c>
      <c r="O93" s="2105">
        <v>60953.1</v>
      </c>
    </row>
    <row r="94" spans="1:15" x14ac:dyDescent="0.3">
      <c r="A94" s="414" t="s">
        <v>231</v>
      </c>
      <c r="B94" s="500" t="s">
        <v>232</v>
      </c>
      <c r="C94" s="1190" t="s">
        <v>254</v>
      </c>
      <c r="D94" s="1197">
        <f t="shared" si="13"/>
        <v>59188527.564695776</v>
      </c>
      <c r="E94" s="1198">
        <f t="shared" si="14"/>
        <v>30244970.168426</v>
      </c>
      <c r="F94" s="1198">
        <f t="shared" si="15"/>
        <v>28906980.556269769</v>
      </c>
      <c r="G94" s="1199">
        <f t="shared" si="16"/>
        <v>36576.840000000004</v>
      </c>
      <c r="H94" s="1206">
        <f t="shared" si="17"/>
        <v>1890489.2099887149</v>
      </c>
      <c r="I94" s="2103">
        <v>1595950.9910724731</v>
      </c>
      <c r="J94" s="2103">
        <v>294538.21891624178</v>
      </c>
      <c r="K94" s="2104"/>
      <c r="L94" s="1206">
        <f t="shared" si="18"/>
        <v>57298038.354707062</v>
      </c>
      <c r="M94" s="2103">
        <v>28649019.177353527</v>
      </c>
      <c r="N94" s="2103">
        <v>28612442.337353528</v>
      </c>
      <c r="O94" s="2105">
        <v>36576.840000000004</v>
      </c>
    </row>
    <row r="95" spans="1:15" x14ac:dyDescent="0.3">
      <c r="A95" s="414" t="s">
        <v>233</v>
      </c>
      <c r="B95" s="500" t="s">
        <v>234</v>
      </c>
      <c r="C95" s="1190" t="s">
        <v>255</v>
      </c>
      <c r="D95" s="1197">
        <f t="shared" si="13"/>
        <v>91321249.964521974</v>
      </c>
      <c r="E95" s="1198">
        <f t="shared" si="14"/>
        <v>46532246.412967533</v>
      </c>
      <c r="F95" s="1198">
        <f t="shared" si="15"/>
        <v>44688846.491554432</v>
      </c>
      <c r="G95" s="1199">
        <f t="shared" si="16"/>
        <v>100157.06</v>
      </c>
      <c r="H95" s="1206">
        <f t="shared" si="17"/>
        <v>2532310.9549870715</v>
      </c>
      <c r="I95" s="2103">
        <v>2137776.9082000856</v>
      </c>
      <c r="J95" s="2103">
        <v>394534.04678698571</v>
      </c>
      <c r="K95" s="2104"/>
      <c r="L95" s="1206">
        <f t="shared" si="18"/>
        <v>88788939.009534895</v>
      </c>
      <c r="M95" s="2103">
        <v>44394469.504767448</v>
      </c>
      <c r="N95" s="2103">
        <v>44294312.444767445</v>
      </c>
      <c r="O95" s="2105">
        <v>100157.06</v>
      </c>
    </row>
    <row r="96" spans="1:15" x14ac:dyDescent="0.3">
      <c r="A96" s="414" t="s">
        <v>235</v>
      </c>
      <c r="B96" s="500" t="s">
        <v>236</v>
      </c>
      <c r="C96" s="1190" t="s">
        <v>253</v>
      </c>
      <c r="D96" s="1197">
        <f t="shared" si="13"/>
        <v>38813791.194826648</v>
      </c>
      <c r="E96" s="1198">
        <f t="shared" si="14"/>
        <v>19790262.32021052</v>
      </c>
      <c r="F96" s="1198">
        <f t="shared" si="15"/>
        <v>18978852.814616133</v>
      </c>
      <c r="G96" s="1199">
        <f t="shared" si="16"/>
        <v>44676.06</v>
      </c>
      <c r="H96" s="1206">
        <f t="shared" si="17"/>
        <v>1113790.5949947559</v>
      </c>
      <c r="I96" s="2103">
        <v>940262.02029457293</v>
      </c>
      <c r="J96" s="2103">
        <v>173528.57470018297</v>
      </c>
      <c r="K96" s="2104"/>
      <c r="L96" s="1206">
        <f t="shared" si="18"/>
        <v>37700000.599831894</v>
      </c>
      <c r="M96" s="2103">
        <v>18850000.299915947</v>
      </c>
      <c r="N96" s="2103">
        <v>18805324.239915948</v>
      </c>
      <c r="O96" s="2105">
        <v>44676.06</v>
      </c>
    </row>
    <row r="97" spans="1:15" x14ac:dyDescent="0.3">
      <c r="A97" s="414" t="s">
        <v>241</v>
      </c>
      <c r="B97" s="500" t="s">
        <v>242</v>
      </c>
      <c r="C97" s="1190" t="s">
        <v>255</v>
      </c>
      <c r="D97" s="1197">
        <f t="shared" si="13"/>
        <v>96870123.111997038</v>
      </c>
      <c r="E97" s="1198">
        <f t="shared" si="14"/>
        <v>49109853.381823167</v>
      </c>
      <c r="F97" s="1198">
        <f t="shared" si="15"/>
        <v>47739589.120173864</v>
      </c>
      <c r="G97" s="1199">
        <f t="shared" si="16"/>
        <v>20680.61</v>
      </c>
      <c r="H97" s="1206">
        <f t="shared" si="17"/>
        <v>1960464.3399902806</v>
      </c>
      <c r="I97" s="2103">
        <v>1655023.9958197949</v>
      </c>
      <c r="J97" s="2103">
        <v>305440.34417048574</v>
      </c>
      <c r="K97" s="2104"/>
      <c r="L97" s="1206">
        <f t="shared" si="18"/>
        <v>94909658.77200675</v>
      </c>
      <c r="M97" s="2103">
        <v>47454829.386003375</v>
      </c>
      <c r="N97" s="2103">
        <v>47434148.776003376</v>
      </c>
      <c r="O97" s="2105">
        <v>20680.61</v>
      </c>
    </row>
    <row r="98" spans="1:15" x14ac:dyDescent="0.3">
      <c r="A98" s="414" t="s">
        <v>243</v>
      </c>
      <c r="B98" s="500" t="s">
        <v>244</v>
      </c>
      <c r="C98" s="1190" t="s">
        <v>255</v>
      </c>
      <c r="D98" s="1197">
        <f t="shared" si="13"/>
        <v>65833344.329694472</v>
      </c>
      <c r="E98" s="1198">
        <f t="shared" si="14"/>
        <v>33423799.296800628</v>
      </c>
      <c r="F98" s="1198">
        <f t="shared" si="15"/>
        <v>32311097.202893846</v>
      </c>
      <c r="G98" s="1199">
        <f t="shared" si="16"/>
        <v>98447.830000000016</v>
      </c>
      <c r="H98" s="1206">
        <f t="shared" si="17"/>
        <v>1473350.1799924234</v>
      </c>
      <c r="I98" s="2103">
        <v>1243802.2219496039</v>
      </c>
      <c r="J98" s="2103">
        <v>229547.95804281958</v>
      </c>
      <c r="K98" s="2104"/>
      <c r="L98" s="1206">
        <f t="shared" si="18"/>
        <v>64359994.14970205</v>
      </c>
      <c r="M98" s="2103">
        <v>32179997.074851025</v>
      </c>
      <c r="N98" s="2103">
        <v>32081549.244851027</v>
      </c>
      <c r="O98" s="2105">
        <v>98447.830000000016</v>
      </c>
    </row>
    <row r="99" spans="1:15" x14ac:dyDescent="0.3">
      <c r="A99" s="414" t="s">
        <v>245</v>
      </c>
      <c r="B99" s="500" t="s">
        <v>283</v>
      </c>
      <c r="C99" s="1190" t="s">
        <v>251</v>
      </c>
      <c r="D99" s="1197">
        <f t="shared" si="13"/>
        <v>52918783.00975313</v>
      </c>
      <c r="E99" s="1198">
        <f t="shared" si="14"/>
        <v>27162004.757690918</v>
      </c>
      <c r="F99" s="1198">
        <f t="shared" si="15"/>
        <v>25703117.302062206</v>
      </c>
      <c r="G99" s="1199">
        <f t="shared" si="16"/>
        <v>53660.95</v>
      </c>
      <c r="H99" s="1206">
        <f t="shared" si="17"/>
        <v>2041293.5874908667</v>
      </c>
      <c r="I99" s="2103">
        <v>1723260.0465597897</v>
      </c>
      <c r="J99" s="2103">
        <v>318033.54093107698</v>
      </c>
      <c r="K99" s="2104"/>
      <c r="L99" s="1206">
        <f t="shared" si="18"/>
        <v>50877489.422262266</v>
      </c>
      <c r="M99" s="2103">
        <v>25438744.711131129</v>
      </c>
      <c r="N99" s="2103">
        <v>25385083.76113113</v>
      </c>
      <c r="O99" s="2105">
        <v>53660.95</v>
      </c>
    </row>
    <row r="100" spans="1:15" x14ac:dyDescent="0.3">
      <c r="A100" s="414" t="s">
        <v>13</v>
      </c>
      <c r="B100" s="500" t="s">
        <v>14</v>
      </c>
      <c r="C100" s="1190" t="s">
        <v>254</v>
      </c>
      <c r="D100" s="1197">
        <f t="shared" si="13"/>
        <v>150626492.0642179</v>
      </c>
      <c r="E100" s="1198">
        <f t="shared" si="14"/>
        <v>78032872.723666251</v>
      </c>
      <c r="F100" s="1198">
        <f t="shared" si="15"/>
        <v>72518237.740551636</v>
      </c>
      <c r="G100" s="1199">
        <f t="shared" si="16"/>
        <v>75381.599999999991</v>
      </c>
      <c r="H100" s="1206">
        <f t="shared" si="17"/>
        <v>7901297.767452972</v>
      </c>
      <c r="I100" s="2103">
        <v>6670275.5752837993</v>
      </c>
      <c r="J100" s="2103">
        <v>1231022.1921691732</v>
      </c>
      <c r="K100" s="2104"/>
      <c r="L100" s="1206">
        <f t="shared" si="18"/>
        <v>142725194.29676491</v>
      </c>
      <c r="M100" s="2103">
        <v>71362597.148382455</v>
      </c>
      <c r="N100" s="2103">
        <v>71287215.548382461</v>
      </c>
      <c r="O100" s="2105">
        <v>75381.599999999991</v>
      </c>
    </row>
    <row r="101" spans="1:15" x14ac:dyDescent="0.3">
      <c r="A101" s="414" t="s">
        <v>33</v>
      </c>
      <c r="B101" s="500" t="s">
        <v>34</v>
      </c>
      <c r="C101" s="1190" t="s">
        <v>255</v>
      </c>
      <c r="D101" s="1197">
        <f t="shared" ref="D101:D124" si="19">H101+L101</f>
        <v>46966752.412251078</v>
      </c>
      <c r="E101" s="1198">
        <f t="shared" ref="E101:E124" si="20">+I101+M101</f>
        <v>23859120.918516107</v>
      </c>
      <c r="F101" s="1198">
        <f t="shared" ref="F101:F124" si="21">+J101+N101</f>
        <v>23051807.37373497</v>
      </c>
      <c r="G101" s="1199">
        <f t="shared" ref="G101:G124" si="22">K101+O101</f>
        <v>55824.119999999995</v>
      </c>
      <c r="H101" s="1206">
        <f t="shared" ref="H101:H124" si="23">I101+J101+K101</f>
        <v>1091646.4624943873</v>
      </c>
      <c r="I101" s="2103">
        <v>921567.94363776175</v>
      </c>
      <c r="J101" s="2103">
        <v>170078.51885662554</v>
      </c>
      <c r="K101" s="2104"/>
      <c r="L101" s="1206">
        <f t="shared" ref="L101:L124" si="24">M101+N101+O101</f>
        <v>45875105.949756689</v>
      </c>
      <c r="M101" s="2103">
        <v>22937552.974878345</v>
      </c>
      <c r="N101" s="2103">
        <v>22881728.854878344</v>
      </c>
      <c r="O101" s="2105">
        <v>55824.119999999995</v>
      </c>
    </row>
    <row r="102" spans="1:15" x14ac:dyDescent="0.3">
      <c r="A102" s="414" t="s">
        <v>51</v>
      </c>
      <c r="B102" s="500" t="s">
        <v>52</v>
      </c>
      <c r="C102" s="1190" t="s">
        <v>252</v>
      </c>
      <c r="D102" s="1197">
        <f t="shared" si="19"/>
        <v>72609430.179652274</v>
      </c>
      <c r="E102" s="1198">
        <f t="shared" si="20"/>
        <v>37001582.234281301</v>
      </c>
      <c r="F102" s="1198">
        <f t="shared" si="21"/>
        <v>35564328.345370963</v>
      </c>
      <c r="G102" s="1199">
        <f t="shared" si="22"/>
        <v>43519.599999999991</v>
      </c>
      <c r="H102" s="1206">
        <f t="shared" si="23"/>
        <v>2024599.4899917794</v>
      </c>
      <c r="I102" s="2103">
        <v>1709166.8894510602</v>
      </c>
      <c r="J102" s="2103">
        <v>315432.60054071923</v>
      </c>
      <c r="K102" s="2104"/>
      <c r="L102" s="1206">
        <f t="shared" si="24"/>
        <v>70584830.68966049</v>
      </c>
      <c r="M102" s="2103">
        <v>35292415.344830245</v>
      </c>
      <c r="N102" s="2103">
        <v>35248895.744830243</v>
      </c>
      <c r="O102" s="2105">
        <v>43519.599999999991</v>
      </c>
    </row>
    <row r="103" spans="1:15" x14ac:dyDescent="0.3">
      <c r="A103" s="414" t="s">
        <v>53</v>
      </c>
      <c r="B103" s="500" t="s">
        <v>54</v>
      </c>
      <c r="C103" s="1190" t="s">
        <v>251</v>
      </c>
      <c r="D103" s="1197">
        <f t="shared" si="19"/>
        <v>335797308.5709393</v>
      </c>
      <c r="E103" s="1198">
        <f t="shared" si="20"/>
        <v>171434941.29693148</v>
      </c>
      <c r="F103" s="1198">
        <f t="shared" si="21"/>
        <v>164288812.54400781</v>
      </c>
      <c r="G103" s="1199">
        <f t="shared" si="22"/>
        <v>73554.73</v>
      </c>
      <c r="H103" s="1206">
        <f t="shared" si="23"/>
        <v>10273930.887454536</v>
      </c>
      <c r="I103" s="2103">
        <v>8673252.45518912</v>
      </c>
      <c r="J103" s="2103">
        <v>1600678.4322654167</v>
      </c>
      <c r="K103" s="2104"/>
      <c r="L103" s="1206">
        <f t="shared" si="24"/>
        <v>325523377.68348479</v>
      </c>
      <c r="M103" s="2103">
        <v>162761688.84174237</v>
      </c>
      <c r="N103" s="2103">
        <v>162688134.11174238</v>
      </c>
      <c r="O103" s="2105">
        <v>73554.73</v>
      </c>
    </row>
    <row r="104" spans="1:15" x14ac:dyDescent="0.3">
      <c r="A104" s="414" t="s">
        <v>65</v>
      </c>
      <c r="B104" s="500" t="s">
        <v>66</v>
      </c>
      <c r="C104" s="1190" t="s">
        <v>252</v>
      </c>
      <c r="D104" s="1197">
        <f t="shared" si="19"/>
        <v>169132106.30164823</v>
      </c>
      <c r="E104" s="1198">
        <f t="shared" si="20"/>
        <v>85463401.194413543</v>
      </c>
      <c r="F104" s="1198">
        <f t="shared" si="21"/>
        <v>83561056.747234672</v>
      </c>
      <c r="G104" s="1199">
        <f t="shared" si="22"/>
        <v>107648.35999999999</v>
      </c>
      <c r="H104" s="1206">
        <f t="shared" si="23"/>
        <v>2607054.1649896335</v>
      </c>
      <c r="I104" s="2103">
        <v>2200875.1260842485</v>
      </c>
      <c r="J104" s="2103">
        <v>406179.03890538489</v>
      </c>
      <c r="K104" s="2104"/>
      <c r="L104" s="1206">
        <f t="shared" si="24"/>
        <v>166525052.13665861</v>
      </c>
      <c r="M104" s="2103">
        <v>83262526.06832929</v>
      </c>
      <c r="N104" s="2103">
        <v>83154877.70832929</v>
      </c>
      <c r="O104" s="2105">
        <v>107648.35999999999</v>
      </c>
    </row>
    <row r="105" spans="1:15" x14ac:dyDescent="0.3">
      <c r="A105" s="414" t="s">
        <v>81</v>
      </c>
      <c r="B105" s="500" t="s">
        <v>284</v>
      </c>
      <c r="C105" s="1190" t="s">
        <v>251</v>
      </c>
      <c r="D105" s="1197">
        <f t="shared" si="19"/>
        <v>33704792.002362356</v>
      </c>
      <c r="E105" s="1198">
        <f t="shared" si="20"/>
        <v>17027702.390256982</v>
      </c>
      <c r="F105" s="1198">
        <f t="shared" si="21"/>
        <v>16666894.582105376</v>
      </c>
      <c r="G105" s="1199">
        <f t="shared" si="22"/>
        <v>10195.030000000001</v>
      </c>
      <c r="H105" s="1206">
        <f t="shared" si="23"/>
        <v>509315.48249797639</v>
      </c>
      <c r="I105" s="2103">
        <v>429964.13032479165</v>
      </c>
      <c r="J105" s="2103">
        <v>79351.352173184714</v>
      </c>
      <c r="K105" s="2104"/>
      <c r="L105" s="1206">
        <f t="shared" si="24"/>
        <v>33195476.51986438</v>
      </c>
      <c r="M105" s="2103">
        <v>16597738.25993219</v>
      </c>
      <c r="N105" s="2103">
        <v>16587543.229932191</v>
      </c>
      <c r="O105" s="2105">
        <v>10195.030000000001</v>
      </c>
    </row>
    <row r="106" spans="1:15" x14ac:dyDescent="0.3">
      <c r="A106" s="414" t="s">
        <v>87</v>
      </c>
      <c r="B106" s="500" t="s">
        <v>88</v>
      </c>
      <c r="C106" s="1190" t="s">
        <v>254</v>
      </c>
      <c r="D106" s="1197">
        <f t="shared" si="19"/>
        <v>59556321.654729895</v>
      </c>
      <c r="E106" s="1198">
        <f t="shared" si="20"/>
        <v>30355075.744135797</v>
      </c>
      <c r="F106" s="1198">
        <f t="shared" si="21"/>
        <v>29130121.830594104</v>
      </c>
      <c r="G106" s="1199">
        <f t="shared" si="22"/>
        <v>71124.08</v>
      </c>
      <c r="H106" s="1206">
        <f t="shared" si="23"/>
        <v>1676103.7674922971</v>
      </c>
      <c r="I106" s="2103">
        <v>1414966.8005169972</v>
      </c>
      <c r="J106" s="2103">
        <v>261136.96697529987</v>
      </c>
      <c r="K106" s="2104"/>
      <c r="L106" s="1206">
        <f t="shared" si="24"/>
        <v>57880217.887237601</v>
      </c>
      <c r="M106" s="2103">
        <v>28940108.9436188</v>
      </c>
      <c r="N106" s="2103">
        <v>28868984.863618802</v>
      </c>
      <c r="O106" s="2105">
        <v>71124.08</v>
      </c>
    </row>
    <row r="107" spans="1:15" x14ac:dyDescent="0.3">
      <c r="A107" s="414" t="s">
        <v>89</v>
      </c>
      <c r="B107" s="500" t="s">
        <v>90</v>
      </c>
      <c r="C107" s="1190" t="s">
        <v>255</v>
      </c>
      <c r="D107" s="1197">
        <f t="shared" si="19"/>
        <v>25504600.872371424</v>
      </c>
      <c r="E107" s="1198">
        <f t="shared" si="20"/>
        <v>12961641.072576651</v>
      </c>
      <c r="F107" s="1198">
        <f t="shared" si="21"/>
        <v>12519395.809794776</v>
      </c>
      <c r="G107" s="1199">
        <f t="shared" si="22"/>
        <v>23563.989999999998</v>
      </c>
      <c r="H107" s="1206">
        <f t="shared" si="23"/>
        <v>608194.75999691384</v>
      </c>
      <c r="I107" s="2103">
        <v>513438.01638939464</v>
      </c>
      <c r="J107" s="2103">
        <v>94756.743607519165</v>
      </c>
      <c r="K107" s="2104"/>
      <c r="L107" s="1206">
        <f t="shared" si="24"/>
        <v>24896406.112374511</v>
      </c>
      <c r="M107" s="2103">
        <v>12448203.056187257</v>
      </c>
      <c r="N107" s="2103">
        <v>12424639.066187257</v>
      </c>
      <c r="O107" s="2105">
        <v>23563.989999999998</v>
      </c>
    </row>
    <row r="108" spans="1:15" x14ac:dyDescent="0.3">
      <c r="A108" s="414" t="s">
        <v>105</v>
      </c>
      <c r="B108" s="500" t="s">
        <v>106</v>
      </c>
      <c r="C108" s="1190" t="s">
        <v>251</v>
      </c>
      <c r="D108" s="1197">
        <f t="shared" si="19"/>
        <v>268367244.94878545</v>
      </c>
      <c r="E108" s="1198">
        <f t="shared" si="20"/>
        <v>136716324.25769088</v>
      </c>
      <c r="F108" s="1198">
        <f t="shared" si="21"/>
        <v>131651446.85109459</v>
      </c>
      <c r="G108" s="1199">
        <f t="shared" si="22"/>
        <v>-526.16</v>
      </c>
      <c r="H108" s="1206">
        <f t="shared" si="23"/>
        <v>7358227.1449684268</v>
      </c>
      <c r="I108" s="2103">
        <v>6211815.3557823459</v>
      </c>
      <c r="J108" s="2103">
        <v>1146411.7891860809</v>
      </c>
      <c r="K108" s="2104"/>
      <c r="L108" s="1206">
        <f t="shared" si="24"/>
        <v>261009017.80381703</v>
      </c>
      <c r="M108" s="2103">
        <v>130504508.90190852</v>
      </c>
      <c r="N108" s="2103">
        <v>130505035.06190851</v>
      </c>
      <c r="O108" s="2105">
        <v>-526.16</v>
      </c>
    </row>
    <row r="109" spans="1:15" x14ac:dyDescent="0.3">
      <c r="A109" s="414" t="s">
        <v>115</v>
      </c>
      <c r="B109" s="500" t="s">
        <v>116</v>
      </c>
      <c r="C109" s="1190" t="s">
        <v>253</v>
      </c>
      <c r="D109" s="1197">
        <f t="shared" si="19"/>
        <v>74582727.147167563</v>
      </c>
      <c r="E109" s="1198">
        <f t="shared" si="20"/>
        <v>38006156.222928055</v>
      </c>
      <c r="F109" s="1198">
        <f t="shared" si="21"/>
        <v>36572822.094239511</v>
      </c>
      <c r="G109" s="1199">
        <f t="shared" si="22"/>
        <v>3748.8300000000004</v>
      </c>
      <c r="H109" s="1206">
        <f t="shared" si="23"/>
        <v>2076678.2374906247</v>
      </c>
      <c r="I109" s="2103">
        <v>1753131.7680895855</v>
      </c>
      <c r="J109" s="2103">
        <v>323546.4694010393</v>
      </c>
      <c r="K109" s="2104"/>
      <c r="L109" s="1206">
        <f t="shared" si="24"/>
        <v>72506048.909676939</v>
      </c>
      <c r="M109" s="2103">
        <v>36253024.45483847</v>
      </c>
      <c r="N109" s="2103">
        <v>36249275.624838471</v>
      </c>
      <c r="O109" s="2105">
        <v>3748.8300000000004</v>
      </c>
    </row>
    <row r="110" spans="1:15" x14ac:dyDescent="0.3">
      <c r="A110" s="414" t="s">
        <v>137</v>
      </c>
      <c r="B110" s="500" t="s">
        <v>138</v>
      </c>
      <c r="C110" s="1190" t="s">
        <v>252</v>
      </c>
      <c r="D110" s="1197">
        <f t="shared" si="19"/>
        <v>159573836.7042307</v>
      </c>
      <c r="E110" s="1198">
        <f t="shared" si="20"/>
        <v>81066352.809809208</v>
      </c>
      <c r="F110" s="1198">
        <f t="shared" si="21"/>
        <v>78175006.204421476</v>
      </c>
      <c r="G110" s="1199">
        <f t="shared" si="22"/>
        <v>332477.69000000006</v>
      </c>
      <c r="H110" s="1206">
        <f t="shared" si="23"/>
        <v>3717125.0949850911</v>
      </c>
      <c r="I110" s="2103">
        <v>3137997.0051864139</v>
      </c>
      <c r="J110" s="2103">
        <v>579128.08979867725</v>
      </c>
      <c r="K110" s="2104"/>
      <c r="L110" s="1206">
        <f t="shared" si="24"/>
        <v>155856711.6092456</v>
      </c>
      <c r="M110" s="2103">
        <v>77928355.804622799</v>
      </c>
      <c r="N110" s="2103">
        <v>77595878.114622802</v>
      </c>
      <c r="O110" s="2105">
        <v>332477.69000000006</v>
      </c>
    </row>
    <row r="111" spans="1:15" x14ac:dyDescent="0.3">
      <c r="A111" s="414" t="s">
        <v>141</v>
      </c>
      <c r="B111" s="500" t="s">
        <v>142</v>
      </c>
      <c r="C111" s="1190" t="s">
        <v>254</v>
      </c>
      <c r="D111" s="1197">
        <f t="shared" si="19"/>
        <v>51401952.567217983</v>
      </c>
      <c r="E111" s="1198">
        <f t="shared" si="20"/>
        <v>27129427.006161604</v>
      </c>
      <c r="F111" s="1198">
        <f t="shared" si="21"/>
        <v>24190524.95105638</v>
      </c>
      <c r="G111" s="1199">
        <f t="shared" si="22"/>
        <v>82000.610000000015</v>
      </c>
      <c r="H111" s="1206">
        <f t="shared" si="23"/>
        <v>4150060.2049756348</v>
      </c>
      <c r="I111" s="2103">
        <v>3503480.8250404308</v>
      </c>
      <c r="J111" s="2103">
        <v>646579.37993520382</v>
      </c>
      <c r="K111" s="2104"/>
      <c r="L111" s="1206">
        <f t="shared" si="24"/>
        <v>47251892.362242348</v>
      </c>
      <c r="M111" s="2103">
        <v>23625946.181121174</v>
      </c>
      <c r="N111" s="2103">
        <v>23543945.571121175</v>
      </c>
      <c r="O111" s="2105">
        <v>82000.610000000015</v>
      </c>
    </row>
    <row r="112" spans="1:15" x14ac:dyDescent="0.3">
      <c r="A112" s="414" t="s">
        <v>143</v>
      </c>
      <c r="B112" s="500" t="s">
        <v>144</v>
      </c>
      <c r="C112" s="1190" t="s">
        <v>254</v>
      </c>
      <c r="D112" s="1197">
        <f t="shared" si="19"/>
        <v>19263892.144891545</v>
      </c>
      <c r="E112" s="1198">
        <f t="shared" si="20"/>
        <v>10194090.954175927</v>
      </c>
      <c r="F112" s="1198">
        <f t="shared" si="21"/>
        <v>9058775.9707156178</v>
      </c>
      <c r="G112" s="1199">
        <f t="shared" si="22"/>
        <v>11025.22</v>
      </c>
      <c r="H112" s="1206">
        <f t="shared" si="23"/>
        <v>1633192.5674902815</v>
      </c>
      <c r="I112" s="2103">
        <v>1378741.1654752956</v>
      </c>
      <c r="J112" s="2103">
        <v>254397.94201498586</v>
      </c>
      <c r="K112" s="2104">
        <v>53.46</v>
      </c>
      <c r="L112" s="1206">
        <f t="shared" si="24"/>
        <v>17630699.577401262</v>
      </c>
      <c r="M112" s="2103">
        <v>8815349.7887006309</v>
      </c>
      <c r="N112" s="2103">
        <v>8804378.0287006311</v>
      </c>
      <c r="O112" s="2105">
        <v>10971.76</v>
      </c>
    </row>
    <row r="113" spans="1:15" x14ac:dyDescent="0.3">
      <c r="A113" s="414" t="s">
        <v>157</v>
      </c>
      <c r="B113" s="500" t="s">
        <v>158</v>
      </c>
      <c r="C113" s="1190" t="s">
        <v>251</v>
      </c>
      <c r="D113" s="1197">
        <f t="shared" si="19"/>
        <v>369990385.88089085</v>
      </c>
      <c r="E113" s="1198">
        <f t="shared" si="20"/>
        <v>188704065.8513028</v>
      </c>
      <c r="F113" s="1198">
        <f t="shared" si="21"/>
        <v>181217760.66958803</v>
      </c>
      <c r="G113" s="1199">
        <f t="shared" si="22"/>
        <v>68559.360000000001</v>
      </c>
      <c r="H113" s="1206">
        <f t="shared" si="23"/>
        <v>10775342.564954644</v>
      </c>
      <c r="I113" s="2103">
        <v>9096544.1933347099</v>
      </c>
      <c r="J113" s="2103">
        <v>1678798.3716199335</v>
      </c>
      <c r="K113" s="2104"/>
      <c r="L113" s="1206">
        <f t="shared" si="24"/>
        <v>359215043.31593621</v>
      </c>
      <c r="M113" s="2103">
        <v>179607521.6579681</v>
      </c>
      <c r="N113" s="2103">
        <v>179538962.29796809</v>
      </c>
      <c r="O113" s="2105">
        <v>68559.360000000001</v>
      </c>
    </row>
    <row r="114" spans="1:15" x14ac:dyDescent="0.3">
      <c r="A114" s="414" t="s">
        <v>159</v>
      </c>
      <c r="B114" s="500" t="s">
        <v>160</v>
      </c>
      <c r="C114" s="1190" t="s">
        <v>251</v>
      </c>
      <c r="D114" s="1197">
        <f t="shared" si="19"/>
        <v>527338362.46265239</v>
      </c>
      <c r="E114" s="1198">
        <f t="shared" si="20"/>
        <v>267461518.22695678</v>
      </c>
      <c r="F114" s="1198">
        <f t="shared" si="21"/>
        <v>259622953.16569561</v>
      </c>
      <c r="G114" s="1199">
        <f t="shared" si="22"/>
        <v>253891.07000000004</v>
      </c>
      <c r="H114" s="1206">
        <f t="shared" si="23"/>
        <v>11017829.737450842</v>
      </c>
      <c r="I114" s="2103">
        <v>9301251.864356</v>
      </c>
      <c r="J114" s="2103">
        <v>1716577.8730948411</v>
      </c>
      <c r="K114" s="2104"/>
      <c r="L114" s="1206">
        <f t="shared" si="24"/>
        <v>516320532.72520155</v>
      </c>
      <c r="M114" s="2103">
        <v>258160266.36260077</v>
      </c>
      <c r="N114" s="2103">
        <v>257906375.29260078</v>
      </c>
      <c r="O114" s="2105">
        <v>253891.07000000004</v>
      </c>
    </row>
    <row r="115" spans="1:15" x14ac:dyDescent="0.3">
      <c r="A115" s="414" t="s">
        <v>165</v>
      </c>
      <c r="B115" s="500" t="s">
        <v>166</v>
      </c>
      <c r="C115" s="1190" t="s">
        <v>255</v>
      </c>
      <c r="D115" s="1197">
        <f t="shared" si="19"/>
        <v>10361110.404944986</v>
      </c>
      <c r="E115" s="1198">
        <f t="shared" si="20"/>
        <v>5263076.809132562</v>
      </c>
      <c r="F115" s="1198">
        <f t="shared" si="21"/>
        <v>5097170.0358124245</v>
      </c>
      <c r="G115" s="1199">
        <f t="shared" si="22"/>
        <v>863.56</v>
      </c>
      <c r="H115" s="1206">
        <f t="shared" si="23"/>
        <v>239749.00249874796</v>
      </c>
      <c r="I115" s="2103">
        <v>202396.10790944303</v>
      </c>
      <c r="J115" s="2103">
        <v>37352.894589304931</v>
      </c>
      <c r="K115" s="2104"/>
      <c r="L115" s="1206">
        <f t="shared" si="24"/>
        <v>10121361.402446238</v>
      </c>
      <c r="M115" s="2103">
        <v>5060680.7012231192</v>
      </c>
      <c r="N115" s="2103">
        <v>5059817.1412231196</v>
      </c>
      <c r="O115" s="2105">
        <v>863.56</v>
      </c>
    </row>
    <row r="116" spans="1:15" x14ac:dyDescent="0.3">
      <c r="A116" s="414" t="s">
        <v>175</v>
      </c>
      <c r="B116" s="500" t="s">
        <v>176</v>
      </c>
      <c r="C116" s="1190" t="s">
        <v>253</v>
      </c>
      <c r="D116" s="1197">
        <f t="shared" si="19"/>
        <v>143970584.40938529</v>
      </c>
      <c r="E116" s="1198">
        <f t="shared" si="20"/>
        <v>72680628.128980622</v>
      </c>
      <c r="F116" s="1198">
        <f t="shared" si="21"/>
        <v>71231643.590404674</v>
      </c>
      <c r="G116" s="1199">
        <f t="shared" si="22"/>
        <v>58312.69</v>
      </c>
      <c r="H116" s="1206">
        <f t="shared" si="23"/>
        <v>2020150.8549912162</v>
      </c>
      <c r="I116" s="2103">
        <v>1705411.3517835848</v>
      </c>
      <c r="J116" s="2103">
        <v>314739.50320763153</v>
      </c>
      <c r="K116" s="2104"/>
      <c r="L116" s="1206">
        <f t="shared" si="24"/>
        <v>141950433.55439407</v>
      </c>
      <c r="M116" s="2103">
        <v>70975216.777197033</v>
      </c>
      <c r="N116" s="2103">
        <v>70916904.087197036</v>
      </c>
      <c r="O116" s="2105">
        <v>58312.69</v>
      </c>
    </row>
    <row r="117" spans="1:15" x14ac:dyDescent="0.3">
      <c r="A117" s="414" t="s">
        <v>179</v>
      </c>
      <c r="B117" s="500" t="s">
        <v>180</v>
      </c>
      <c r="C117" s="1190" t="s">
        <v>251</v>
      </c>
      <c r="D117" s="1197">
        <f t="shared" si="19"/>
        <v>273232946.51872623</v>
      </c>
      <c r="E117" s="1198">
        <f t="shared" si="20"/>
        <v>138580349.00831574</v>
      </c>
      <c r="F117" s="1198">
        <f t="shared" si="21"/>
        <v>134628337.4704105</v>
      </c>
      <c r="G117" s="1199">
        <f t="shared" si="22"/>
        <v>24260.040000000005</v>
      </c>
      <c r="H117" s="1206">
        <f t="shared" si="23"/>
        <v>5705623.9074741807</v>
      </c>
      <c r="I117" s="2103">
        <v>4816687.7026897036</v>
      </c>
      <c r="J117" s="2103">
        <v>888936.20478447736</v>
      </c>
      <c r="K117" s="2104"/>
      <c r="L117" s="1206">
        <f t="shared" si="24"/>
        <v>267527322.61125204</v>
      </c>
      <c r="M117" s="2103">
        <v>133763661.30562603</v>
      </c>
      <c r="N117" s="2103">
        <v>133739401.26562603</v>
      </c>
      <c r="O117" s="2105">
        <v>24260.040000000005</v>
      </c>
    </row>
    <row r="118" spans="1:15" x14ac:dyDescent="0.3">
      <c r="A118" s="414" t="s">
        <v>191</v>
      </c>
      <c r="B118" s="500" t="s">
        <v>192</v>
      </c>
      <c r="C118" s="1190" t="s">
        <v>255</v>
      </c>
      <c r="D118" s="1197">
        <f t="shared" si="19"/>
        <v>20792737.857400447</v>
      </c>
      <c r="E118" s="1198">
        <f t="shared" si="20"/>
        <v>10564892.679512851</v>
      </c>
      <c r="F118" s="1198">
        <f t="shared" si="21"/>
        <v>10210557.297887601</v>
      </c>
      <c r="G118" s="1199">
        <f t="shared" si="22"/>
        <v>17287.88</v>
      </c>
      <c r="H118" s="1206">
        <f t="shared" si="23"/>
        <v>489609.96749745775</v>
      </c>
      <c r="I118" s="2103">
        <v>413328.73456135381</v>
      </c>
      <c r="J118" s="2103">
        <v>76281.232936103916</v>
      </c>
      <c r="K118" s="2104"/>
      <c r="L118" s="1206">
        <f t="shared" si="24"/>
        <v>20303127.88990299</v>
      </c>
      <c r="M118" s="2103">
        <v>10151563.944951497</v>
      </c>
      <c r="N118" s="2103">
        <v>10134276.064951496</v>
      </c>
      <c r="O118" s="2105">
        <v>17287.88</v>
      </c>
    </row>
    <row r="119" spans="1:15" x14ac:dyDescent="0.3">
      <c r="A119" s="414" t="s">
        <v>195</v>
      </c>
      <c r="B119" s="500" t="s">
        <v>285</v>
      </c>
      <c r="C119" s="1190" t="s">
        <v>253</v>
      </c>
      <c r="D119" s="1197">
        <f t="shared" si="19"/>
        <v>588212222.71753585</v>
      </c>
      <c r="E119" s="1198">
        <f t="shared" si="20"/>
        <v>297542788.22916806</v>
      </c>
      <c r="F119" s="1198">
        <f t="shared" si="21"/>
        <v>289969809.31836784</v>
      </c>
      <c r="G119" s="1199">
        <f t="shared" si="22"/>
        <v>699625.16999999993</v>
      </c>
      <c r="H119" s="1206">
        <f t="shared" si="23"/>
        <v>9984534.7774552908</v>
      </c>
      <c r="I119" s="2103">
        <v>8428944.2591277566</v>
      </c>
      <c r="J119" s="2103">
        <v>1555590.5183275342</v>
      </c>
      <c r="K119" s="2104"/>
      <c r="L119" s="1206">
        <f t="shared" si="24"/>
        <v>578227687.94008052</v>
      </c>
      <c r="M119" s="2103">
        <v>289113843.97004032</v>
      </c>
      <c r="N119" s="2103">
        <v>288414218.8000403</v>
      </c>
      <c r="O119" s="2105">
        <v>699625.16999999993</v>
      </c>
    </row>
    <row r="120" spans="1:15" x14ac:dyDescent="0.3">
      <c r="A120" s="414" t="s">
        <v>199</v>
      </c>
      <c r="B120" s="500" t="s">
        <v>286</v>
      </c>
      <c r="C120" s="1190" t="s">
        <v>252</v>
      </c>
      <c r="D120" s="1197">
        <f t="shared" si="19"/>
        <v>286412667.59609699</v>
      </c>
      <c r="E120" s="1198">
        <f t="shared" si="20"/>
        <v>145484758.76498842</v>
      </c>
      <c r="F120" s="1198">
        <f t="shared" si="21"/>
        <v>140527504.05110857</v>
      </c>
      <c r="G120" s="1199">
        <f t="shared" si="22"/>
        <v>400404.77999999991</v>
      </c>
      <c r="H120" s="1206">
        <f t="shared" si="23"/>
        <v>6619479.8574663522</v>
      </c>
      <c r="I120" s="2103">
        <v>5588164.8956730943</v>
      </c>
      <c r="J120" s="2103">
        <v>1031295.7417932576</v>
      </c>
      <c r="K120" s="2104">
        <v>19.22</v>
      </c>
      <c r="L120" s="1206">
        <f t="shared" si="24"/>
        <v>279793187.73863065</v>
      </c>
      <c r="M120" s="2103">
        <v>139896593.86931533</v>
      </c>
      <c r="N120" s="2103">
        <v>139496208.30931532</v>
      </c>
      <c r="O120" s="2105">
        <v>400385.55999999994</v>
      </c>
    </row>
    <row r="121" spans="1:15" x14ac:dyDescent="0.3">
      <c r="A121" s="414" t="s">
        <v>221</v>
      </c>
      <c r="B121" s="500" t="s">
        <v>222</v>
      </c>
      <c r="C121" s="1190" t="s">
        <v>251</v>
      </c>
      <c r="D121" s="1197">
        <f t="shared" si="19"/>
        <v>172869806.55166182</v>
      </c>
      <c r="E121" s="1198">
        <f t="shared" si="20"/>
        <v>87826480.000391722</v>
      </c>
      <c r="F121" s="1198">
        <f t="shared" si="21"/>
        <v>84967234.921270087</v>
      </c>
      <c r="G121" s="1199">
        <f t="shared" si="22"/>
        <v>76091.63</v>
      </c>
      <c r="H121" s="1206">
        <f t="shared" si="23"/>
        <v>4042930.6349820439</v>
      </c>
      <c r="I121" s="2103">
        <v>3413042.0420518415</v>
      </c>
      <c r="J121" s="2103">
        <v>629888.59293020237</v>
      </c>
      <c r="K121" s="2104"/>
      <c r="L121" s="1206">
        <f t="shared" si="24"/>
        <v>168826875.91667977</v>
      </c>
      <c r="M121" s="2103">
        <v>84413437.958339885</v>
      </c>
      <c r="N121" s="2103">
        <v>84337346.32833989</v>
      </c>
      <c r="O121" s="2105">
        <v>76091.63</v>
      </c>
    </row>
    <row r="122" spans="1:15" x14ac:dyDescent="0.3">
      <c r="A122" s="414" t="s">
        <v>229</v>
      </c>
      <c r="B122" s="500" t="s">
        <v>230</v>
      </c>
      <c r="C122" s="1190" t="s">
        <v>251</v>
      </c>
      <c r="D122" s="1197">
        <f t="shared" si="19"/>
        <v>516894389.69030112</v>
      </c>
      <c r="E122" s="1198">
        <f t="shared" si="20"/>
        <v>264997833.47164705</v>
      </c>
      <c r="F122" s="1198">
        <f t="shared" si="21"/>
        <v>251215350.23865405</v>
      </c>
      <c r="G122" s="1199">
        <f t="shared" si="22"/>
        <v>681205.98</v>
      </c>
      <c r="H122" s="1206">
        <f t="shared" si="23"/>
        <v>19031489.327415779</v>
      </c>
      <c r="I122" s="2103">
        <v>16066383.290204402</v>
      </c>
      <c r="J122" s="2103">
        <v>2965106.0372113781</v>
      </c>
      <c r="K122" s="2104"/>
      <c r="L122" s="1206">
        <f t="shared" si="24"/>
        <v>497862900.36288536</v>
      </c>
      <c r="M122" s="2103">
        <v>248931450.18144265</v>
      </c>
      <c r="N122" s="2103">
        <v>248250244.20144266</v>
      </c>
      <c r="O122" s="2105">
        <v>681205.98</v>
      </c>
    </row>
    <row r="123" spans="1:15" x14ac:dyDescent="0.3">
      <c r="A123" s="414" t="s">
        <v>237</v>
      </c>
      <c r="B123" s="500" t="s">
        <v>238</v>
      </c>
      <c r="C123" s="1190" t="s">
        <v>251</v>
      </c>
      <c r="D123" s="1197">
        <f t="shared" si="19"/>
        <v>13576454.137438066</v>
      </c>
      <c r="E123" s="1198">
        <f t="shared" si="20"/>
        <v>6965599.7222332004</v>
      </c>
      <c r="F123" s="1198">
        <f t="shared" si="21"/>
        <v>6610649.865204866</v>
      </c>
      <c r="G123" s="1199">
        <f t="shared" si="22"/>
        <v>204.55</v>
      </c>
      <c r="H123" s="1206">
        <f t="shared" si="23"/>
        <v>515318.57499758166</v>
      </c>
      <c r="I123" s="2103">
        <v>435031.94101295841</v>
      </c>
      <c r="J123" s="2103">
        <v>80286.633984623215</v>
      </c>
      <c r="K123" s="2104"/>
      <c r="L123" s="1206">
        <f t="shared" si="24"/>
        <v>13061135.562440485</v>
      </c>
      <c r="M123" s="2103">
        <v>6530567.7812202424</v>
      </c>
      <c r="N123" s="2103">
        <v>6530363.2312202426</v>
      </c>
      <c r="O123" s="2105">
        <v>204.55</v>
      </c>
    </row>
    <row r="124" spans="1:15" x14ac:dyDescent="0.3">
      <c r="A124" s="414" t="s">
        <v>239</v>
      </c>
      <c r="B124" s="500" t="s">
        <v>240</v>
      </c>
      <c r="C124" s="1190" t="s">
        <v>254</v>
      </c>
      <c r="D124" s="1197">
        <f t="shared" si="19"/>
        <v>55532227.952231646</v>
      </c>
      <c r="E124" s="1198">
        <f t="shared" si="20"/>
        <v>28480663.370714437</v>
      </c>
      <c r="F124" s="1198">
        <f t="shared" si="21"/>
        <v>26843626.18151721</v>
      </c>
      <c r="G124" s="1199">
        <f t="shared" si="22"/>
        <v>207938.39999999997</v>
      </c>
      <c r="H124" s="1206">
        <f t="shared" si="23"/>
        <v>2075971.5124887098</v>
      </c>
      <c r="I124" s="2103">
        <v>1752535.1508429688</v>
      </c>
      <c r="J124" s="2103">
        <v>323436.36164574104</v>
      </c>
      <c r="K124" s="2104"/>
      <c r="L124" s="1206">
        <f t="shared" si="24"/>
        <v>53456256.439742938</v>
      </c>
      <c r="M124" s="2103">
        <v>26728128.219871469</v>
      </c>
      <c r="N124" s="2103">
        <v>26520189.81987147</v>
      </c>
      <c r="O124" s="2105">
        <v>207938.39999999997</v>
      </c>
    </row>
    <row r="125" spans="1:15" x14ac:dyDescent="0.3">
      <c r="D125" s="1200"/>
      <c r="E125" s="1201"/>
      <c r="F125" s="1201"/>
      <c r="G125" s="1202"/>
      <c r="H125" s="501"/>
      <c r="I125" s="501"/>
      <c r="J125" s="501"/>
      <c r="K125" s="501"/>
      <c r="L125" s="501"/>
      <c r="M125" s="501"/>
      <c r="N125" s="501"/>
      <c r="O125" s="586"/>
    </row>
    <row r="126" spans="1:15" x14ac:dyDescent="0.3">
      <c r="A126" s="105" t="s">
        <v>253</v>
      </c>
      <c r="D126" s="1197">
        <f t="shared" ref="D126" si="25">H126+L126</f>
        <v>2517483203.8765421</v>
      </c>
      <c r="E126" s="1198">
        <f t="shared" ref="E126" si="26">+I126+M126</f>
        <v>1284291237.3667567</v>
      </c>
      <c r="F126" s="1198">
        <f t="shared" ref="F126" si="27">+J126+N126</f>
        <v>1230165568.2797854</v>
      </c>
      <c r="G126" s="1199">
        <f>K126+O126</f>
        <v>3026398.23</v>
      </c>
      <c r="H126" s="1206">
        <f>I126+J126+K126</f>
        <v>74229039.594671592</v>
      </c>
      <c r="I126" s="2101">
        <v>62664155.225821756</v>
      </c>
      <c r="J126" s="2101">
        <v>11564884.368849836</v>
      </c>
      <c r="K126" s="2102"/>
      <c r="L126" s="1206">
        <f t="shared" ref="L126:L131" si="28">M126+N126+O126</f>
        <v>2443254164.2818704</v>
      </c>
      <c r="M126" s="2101">
        <v>1221627082.1409349</v>
      </c>
      <c r="N126" s="2101">
        <v>1218600683.9109356</v>
      </c>
      <c r="O126" s="2102">
        <v>3026398.23</v>
      </c>
    </row>
    <row r="127" spans="1:15" x14ac:dyDescent="0.3">
      <c r="A127" s="105" t="s">
        <v>251</v>
      </c>
      <c r="D127" s="1197">
        <f t="shared" ref="D127:D131" si="29">H127+L127</f>
        <v>3149720050.8358674</v>
      </c>
      <c r="E127" s="1198">
        <f t="shared" ref="E127:E131" si="30">+I127+M127</f>
        <v>1605213470.8847699</v>
      </c>
      <c r="F127" s="1198">
        <f t="shared" ref="F127:F131" si="31">+J127+N127</f>
        <v>1542717172.0110974</v>
      </c>
      <c r="G127" s="1199">
        <f t="shared" ref="G127:G131" si="32">K127+O127</f>
        <v>1789407.9400000002</v>
      </c>
      <c r="H127" s="1206">
        <f t="shared" ref="H127:H131" si="33">I127+J127+K127</f>
        <v>88185489.444613785</v>
      </c>
      <c r="I127" s="2101">
        <v>74446190.189142957</v>
      </c>
      <c r="J127" s="2101">
        <v>13739248.875470826</v>
      </c>
      <c r="K127" s="2102">
        <v>50.38</v>
      </c>
      <c r="L127" s="1206">
        <f t="shared" si="28"/>
        <v>3061534561.3912535</v>
      </c>
      <c r="M127" s="2101">
        <v>1530767280.695627</v>
      </c>
      <c r="N127" s="2101">
        <v>1528977923.1356266</v>
      </c>
      <c r="O127" s="2102">
        <v>1789357.5600000003</v>
      </c>
    </row>
    <row r="128" spans="1:15" x14ac:dyDescent="0.3">
      <c r="A128" s="105" t="s">
        <v>254</v>
      </c>
      <c r="D128" s="1197">
        <f t="shared" si="29"/>
        <v>3261000668.4086962</v>
      </c>
      <c r="E128" s="1198">
        <f t="shared" si="30"/>
        <v>1688587393.4521079</v>
      </c>
      <c r="F128" s="1198">
        <f t="shared" si="31"/>
        <v>1567484614.1865878</v>
      </c>
      <c r="G128" s="1199">
        <f t="shared" si="32"/>
        <v>4928660.7700000014</v>
      </c>
      <c r="H128" s="1206">
        <f t="shared" si="33"/>
        <v>168759614.31656051</v>
      </c>
      <c r="I128" s="2101">
        <v>142466866.40604037</v>
      </c>
      <c r="J128" s="2101">
        <v>26292517.970520128</v>
      </c>
      <c r="K128" s="2102">
        <v>229.94</v>
      </c>
      <c r="L128" s="1206">
        <f t="shared" si="28"/>
        <v>3092241054.0921354</v>
      </c>
      <c r="M128" s="2101">
        <v>1546120527.0460675</v>
      </c>
      <c r="N128" s="2101">
        <v>1541192096.2160678</v>
      </c>
      <c r="O128" s="2102">
        <v>4928430.830000001</v>
      </c>
    </row>
    <row r="129" spans="1:15" x14ac:dyDescent="0.3">
      <c r="A129" s="105" t="s">
        <v>252</v>
      </c>
      <c r="D129" s="1197">
        <f t="shared" si="29"/>
        <v>2295410259.0640078</v>
      </c>
      <c r="E129" s="1198">
        <f t="shared" si="30"/>
        <v>1169560970.1058102</v>
      </c>
      <c r="F129" s="1198">
        <f t="shared" si="31"/>
        <v>1121447162.9181981</v>
      </c>
      <c r="G129" s="1199">
        <f t="shared" si="32"/>
        <v>4402126.04</v>
      </c>
      <c r="H129" s="1206">
        <f t="shared" si="33"/>
        <v>63497503.119715407</v>
      </c>
      <c r="I129" s="2101">
        <v>53604592.133663751</v>
      </c>
      <c r="J129" s="2101">
        <v>9892775.0460516624</v>
      </c>
      <c r="K129" s="2102">
        <v>135.94</v>
      </c>
      <c r="L129" s="1206">
        <f t="shared" si="28"/>
        <v>2231912755.9442925</v>
      </c>
      <c r="M129" s="2101">
        <v>1115956377.9721465</v>
      </c>
      <c r="N129" s="2101">
        <v>1111554387.8721464</v>
      </c>
      <c r="O129" s="2102">
        <v>4401990.0999999996</v>
      </c>
    </row>
    <row r="130" spans="1:15" x14ac:dyDescent="0.3">
      <c r="A130" s="105" t="s">
        <v>255</v>
      </c>
      <c r="D130" s="1197">
        <f t="shared" si="29"/>
        <v>1207291189.8864076</v>
      </c>
      <c r="E130" s="1198">
        <f t="shared" si="30"/>
        <v>613734621.99271762</v>
      </c>
      <c r="F130" s="1198">
        <f t="shared" si="31"/>
        <v>592286046.45368969</v>
      </c>
      <c r="G130" s="1199">
        <f t="shared" si="32"/>
        <v>1270521.4400000002</v>
      </c>
      <c r="H130" s="1206">
        <f t="shared" si="33"/>
        <v>29311525.419854328</v>
      </c>
      <c r="I130" s="2101">
        <v>24744789.759441026</v>
      </c>
      <c r="J130" s="2101">
        <v>4566735.6604133043</v>
      </c>
      <c r="K130" s="2102"/>
      <c r="L130" s="1206">
        <f t="shared" si="28"/>
        <v>1177979664.4665532</v>
      </c>
      <c r="M130" s="2101">
        <v>588989832.23327661</v>
      </c>
      <c r="N130" s="2101">
        <v>587719310.79327643</v>
      </c>
      <c r="O130" s="2102">
        <v>1270521.4400000002</v>
      </c>
    </row>
    <row r="131" spans="1:15" x14ac:dyDescent="0.3">
      <c r="A131" s="105" t="s">
        <v>8</v>
      </c>
      <c r="D131" s="1197">
        <f t="shared" si="29"/>
        <v>12430905372.071522</v>
      </c>
      <c r="E131" s="1198">
        <f t="shared" si="30"/>
        <v>6361387693.8021622</v>
      </c>
      <c r="F131" s="1198">
        <f t="shared" si="31"/>
        <v>6054100563.8493586</v>
      </c>
      <c r="G131" s="1199">
        <f t="shared" si="32"/>
        <v>15417114.42</v>
      </c>
      <c r="H131" s="1206">
        <f t="shared" si="33"/>
        <v>423983171.89541566</v>
      </c>
      <c r="I131" s="1207">
        <f t="shared" ref="I131:K131" si="34">SUM(I126:I130)</f>
        <v>357926593.7141099</v>
      </c>
      <c r="J131" s="1207">
        <f t="shared" si="34"/>
        <v>66056161.921305753</v>
      </c>
      <c r="K131" s="1208">
        <f t="shared" si="34"/>
        <v>416.26</v>
      </c>
      <c r="L131" s="1206">
        <f t="shared" si="28"/>
        <v>12006922200.176105</v>
      </c>
      <c r="M131" s="1207">
        <f>SUM(M126:M130)</f>
        <v>6003461100.0880527</v>
      </c>
      <c r="N131" s="1207">
        <f t="shared" ref="N131:O131" si="35">SUM(N126:N130)</f>
        <v>5988044401.9280529</v>
      </c>
      <c r="O131" s="1208">
        <f t="shared" si="35"/>
        <v>15416698.16</v>
      </c>
    </row>
    <row r="132" spans="1:15" x14ac:dyDescent="0.3">
      <c r="H132" s="501"/>
      <c r="I132" s="501"/>
      <c r="J132" s="501"/>
      <c r="K132" s="501"/>
      <c r="L132" s="501"/>
      <c r="M132" s="501"/>
      <c r="N132" s="501"/>
      <c r="O132" s="586"/>
    </row>
    <row r="133" spans="1:15" s="173" customFormat="1" x14ac:dyDescent="0.3">
      <c r="A133" s="584" t="s">
        <v>898</v>
      </c>
      <c r="B133" s="410"/>
      <c r="C133" s="410"/>
      <c r="D133" s="368"/>
      <c r="O133" s="587"/>
    </row>
    <row r="134" spans="1:15" s="173" customFormat="1" x14ac:dyDescent="0.3">
      <c r="O134" s="587"/>
    </row>
    <row r="135" spans="1:15" s="193" customFormat="1" x14ac:dyDescent="0.3">
      <c r="A135" s="193" t="s">
        <v>247</v>
      </c>
      <c r="O135" s="588"/>
    </row>
    <row r="136" spans="1:15" x14ac:dyDescent="0.3">
      <c r="A136" s="194" t="s">
        <v>248</v>
      </c>
      <c r="B136" s="195" t="s">
        <v>249</v>
      </c>
      <c r="C136" s="195"/>
      <c r="O136" s="586"/>
    </row>
    <row r="137" spans="1:15" x14ac:dyDescent="0.3">
      <c r="O137" s="586"/>
    </row>
    <row r="138" spans="1:15" x14ac:dyDescent="0.3">
      <c r="O138" s="586"/>
    </row>
    <row r="139" spans="1:15" x14ac:dyDescent="0.3">
      <c r="O139" s="586"/>
    </row>
    <row r="140" spans="1:15" x14ac:dyDescent="0.3">
      <c r="O140" s="586"/>
    </row>
    <row r="141" spans="1:15" x14ac:dyDescent="0.3">
      <c r="O141" s="586"/>
    </row>
    <row r="142" spans="1:15" x14ac:dyDescent="0.3">
      <c r="O142" s="586"/>
    </row>
    <row r="143" spans="1:15" x14ac:dyDescent="0.3">
      <c r="O143" s="586"/>
    </row>
    <row r="144" spans="1:15" x14ac:dyDescent="0.3">
      <c r="O144" s="586"/>
    </row>
    <row r="145" spans="15:15" x14ac:dyDescent="0.3">
      <c r="O145" s="586"/>
    </row>
    <row r="146" spans="15:15" x14ac:dyDescent="0.3">
      <c r="O146" s="586"/>
    </row>
  </sheetData>
  <autoFilter ref="A3:C124"/>
  <sortState ref="A5:O124">
    <sortCondition ref="A5:A124"/>
  </sortState>
  <hyperlinks>
    <hyperlink ref="B136" r:id="rId1"/>
  </hyperlinks>
  <pageMargins left="0.7" right="0.7" top="0.75" bottom="0.75" header="0.3" footer="0.3"/>
  <pageSetup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116" activePane="bottomLeft" state="frozen"/>
      <selection pane="bottomLeft" activeCell="B133" sqref="B133"/>
    </sheetView>
  </sheetViews>
  <sheetFormatPr defaultColWidth="9" defaultRowHeight="15.6" x14ac:dyDescent="0.3"/>
  <cols>
    <col min="1" max="1" width="9.09765625" style="105" customWidth="1"/>
    <col min="2" max="2" width="34.09765625" style="105" customWidth="1"/>
    <col min="3" max="3" width="16.5" style="105" customWidth="1"/>
    <col min="4" max="4" width="14.09765625" style="105" bestFit="1" customWidth="1"/>
    <col min="5" max="5" width="14.09765625" style="105" customWidth="1"/>
    <col min="6" max="16384" width="9" style="105"/>
  </cols>
  <sheetData>
    <row r="1" spans="1:5" x14ac:dyDescent="0.3">
      <c r="A1" s="2" t="s">
        <v>897</v>
      </c>
    </row>
    <row r="3" spans="1:5" s="892" customFormat="1" ht="12.75" customHeight="1" x14ac:dyDescent="0.3">
      <c r="A3" s="909" t="s">
        <v>4</v>
      </c>
      <c r="B3" s="910" t="s">
        <v>5</v>
      </c>
      <c r="C3" s="910" t="s">
        <v>250</v>
      </c>
      <c r="D3" s="911" t="s">
        <v>293</v>
      </c>
      <c r="E3" s="911" t="s">
        <v>294</v>
      </c>
    </row>
    <row r="4" spans="1:5" s="892" customFormat="1" ht="12.75" customHeight="1" x14ac:dyDescent="0.3">
      <c r="A4" s="912">
        <v>999</v>
      </c>
      <c r="B4" s="913" t="s">
        <v>8</v>
      </c>
      <c r="C4" s="913"/>
      <c r="D4" s="914">
        <f>SUM(D5:D124)</f>
        <v>1177173890.6900001</v>
      </c>
      <c r="E4" s="914">
        <f>SUM(E5:E124)</f>
        <v>1177173890.6900001</v>
      </c>
    </row>
    <row r="5" spans="1:5" s="892" customFormat="1" ht="12.75" customHeight="1" x14ac:dyDescent="0.3">
      <c r="A5" s="915" t="s">
        <v>9</v>
      </c>
      <c r="B5" s="916" t="s">
        <v>10</v>
      </c>
      <c r="C5" s="895" t="s">
        <v>251</v>
      </c>
      <c r="D5" s="917">
        <v>7633193.8199999994</v>
      </c>
      <c r="E5" s="917">
        <v>7633193.8199999994</v>
      </c>
    </row>
    <row r="6" spans="1:5" s="892" customFormat="1" ht="12.75" customHeight="1" x14ac:dyDescent="0.3">
      <c r="A6" s="915" t="s">
        <v>11</v>
      </c>
      <c r="B6" s="916" t="s">
        <v>12</v>
      </c>
      <c r="C6" s="895" t="s">
        <v>252</v>
      </c>
      <c r="D6" s="917">
        <v>7291413.5099999998</v>
      </c>
      <c r="E6" s="917">
        <v>7291413.5099999998</v>
      </c>
    </row>
    <row r="7" spans="1:5" s="892" customFormat="1" ht="12.75" customHeight="1" x14ac:dyDescent="0.3">
      <c r="A7" s="915" t="s">
        <v>15</v>
      </c>
      <c r="B7" s="916" t="s">
        <v>273</v>
      </c>
      <c r="C7" s="895" t="s">
        <v>252</v>
      </c>
      <c r="D7" s="917">
        <v>4466377</v>
      </c>
      <c r="E7" s="917">
        <v>4466377</v>
      </c>
    </row>
    <row r="8" spans="1:5" s="892" customFormat="1" ht="12.75" customHeight="1" x14ac:dyDescent="0.3">
      <c r="A8" s="915" t="s">
        <v>17</v>
      </c>
      <c r="B8" s="916" t="s">
        <v>18</v>
      </c>
      <c r="C8" s="895" t="s">
        <v>253</v>
      </c>
      <c r="D8" s="917">
        <v>2017873</v>
      </c>
      <c r="E8" s="917">
        <v>2017873</v>
      </c>
    </row>
    <row r="9" spans="1:5" s="892" customFormat="1" ht="12.75" customHeight="1" x14ac:dyDescent="0.3">
      <c r="A9" s="915" t="s">
        <v>19</v>
      </c>
      <c r="B9" s="916" t="s">
        <v>20</v>
      </c>
      <c r="C9" s="895" t="s">
        <v>252</v>
      </c>
      <c r="D9" s="917">
        <v>5136900</v>
      </c>
      <c r="E9" s="917">
        <v>5136900</v>
      </c>
    </row>
    <row r="10" spans="1:5" s="892" customFormat="1" ht="12.75" customHeight="1" x14ac:dyDescent="0.3">
      <c r="A10" s="915" t="s">
        <v>21</v>
      </c>
      <c r="B10" s="916" t="s">
        <v>22</v>
      </c>
      <c r="C10" s="895" t="s">
        <v>252</v>
      </c>
      <c r="D10" s="917">
        <v>3334236</v>
      </c>
      <c r="E10" s="917">
        <v>3334236</v>
      </c>
    </row>
    <row r="11" spans="1:5" s="892" customFormat="1" ht="12.75" customHeight="1" x14ac:dyDescent="0.3">
      <c r="A11" s="915" t="s">
        <v>23</v>
      </c>
      <c r="B11" s="916" t="s">
        <v>24</v>
      </c>
      <c r="C11" s="895" t="s">
        <v>254</v>
      </c>
      <c r="D11" s="917">
        <v>9234228</v>
      </c>
      <c r="E11" s="917">
        <v>9234228</v>
      </c>
    </row>
    <row r="12" spans="1:5" s="892" customFormat="1" ht="12.75" customHeight="1" x14ac:dyDescent="0.3">
      <c r="A12" s="915" t="s">
        <v>25</v>
      </c>
      <c r="B12" s="916" t="s">
        <v>444</v>
      </c>
      <c r="C12" s="895" t="s">
        <v>252</v>
      </c>
      <c r="D12" s="917">
        <v>15524606</v>
      </c>
      <c r="E12" s="917">
        <v>15524606</v>
      </c>
    </row>
    <row r="13" spans="1:5" s="892" customFormat="1" ht="12.75" customHeight="1" x14ac:dyDescent="0.3">
      <c r="A13" s="915" t="s">
        <v>26</v>
      </c>
      <c r="B13" s="916" t="s">
        <v>27</v>
      </c>
      <c r="C13" s="895" t="s">
        <v>252</v>
      </c>
      <c r="D13" s="917">
        <v>412986</v>
      </c>
      <c r="E13" s="917">
        <v>412986</v>
      </c>
    </row>
    <row r="14" spans="1:5" s="892" customFormat="1" ht="12.75" customHeight="1" x14ac:dyDescent="0.3">
      <c r="A14" s="915" t="s">
        <v>28</v>
      </c>
      <c r="B14" s="916" t="s">
        <v>568</v>
      </c>
      <c r="C14" s="895" t="s">
        <v>252</v>
      </c>
      <c r="D14" s="917">
        <v>7854230</v>
      </c>
      <c r="E14" s="917">
        <v>7854230</v>
      </c>
    </row>
    <row r="15" spans="1:5" s="892" customFormat="1" ht="12.75" customHeight="1" x14ac:dyDescent="0.3">
      <c r="A15" s="915" t="s">
        <v>29</v>
      </c>
      <c r="B15" s="916" t="s">
        <v>30</v>
      </c>
      <c r="C15" s="895" t="s">
        <v>255</v>
      </c>
      <c r="D15" s="917">
        <v>673241</v>
      </c>
      <c r="E15" s="917">
        <v>673241</v>
      </c>
    </row>
    <row r="16" spans="1:5" s="892" customFormat="1" ht="12.75" customHeight="1" x14ac:dyDescent="0.3">
      <c r="A16" s="915" t="s">
        <v>31</v>
      </c>
      <c r="B16" s="916" t="s">
        <v>32</v>
      </c>
      <c r="C16" s="895" t="s">
        <v>252</v>
      </c>
      <c r="D16" s="917">
        <v>2171832</v>
      </c>
      <c r="E16" s="917">
        <v>2171832</v>
      </c>
    </row>
    <row r="17" spans="1:5" s="892" customFormat="1" ht="12.75" customHeight="1" x14ac:dyDescent="0.3">
      <c r="A17" s="915" t="s">
        <v>35</v>
      </c>
      <c r="B17" s="916" t="s">
        <v>36</v>
      </c>
      <c r="C17" s="895" t="s">
        <v>251</v>
      </c>
      <c r="D17" s="917">
        <v>4725461.59</v>
      </c>
      <c r="E17" s="917">
        <v>4725461.59</v>
      </c>
    </row>
    <row r="18" spans="1:5" s="892" customFormat="1" ht="12.75" customHeight="1" x14ac:dyDescent="0.3">
      <c r="A18" s="915" t="s">
        <v>37</v>
      </c>
      <c r="B18" s="916" t="s">
        <v>38</v>
      </c>
      <c r="C18" s="895" t="s">
        <v>255</v>
      </c>
      <c r="D18" s="917">
        <v>7018088.6200000001</v>
      </c>
      <c r="E18" s="917">
        <v>7018088.6200000001</v>
      </c>
    </row>
    <row r="19" spans="1:5" s="892" customFormat="1" ht="12.75" customHeight="1" x14ac:dyDescent="0.3">
      <c r="A19" s="915" t="s">
        <v>39</v>
      </c>
      <c r="B19" s="916" t="s">
        <v>40</v>
      </c>
      <c r="C19" s="895" t="s">
        <v>253</v>
      </c>
      <c r="D19" s="917">
        <v>3980099</v>
      </c>
      <c r="E19" s="917">
        <v>3980099</v>
      </c>
    </row>
    <row r="20" spans="1:5" s="892" customFormat="1" ht="12.75" customHeight="1" x14ac:dyDescent="0.3">
      <c r="A20" s="915" t="s">
        <v>41</v>
      </c>
      <c r="B20" s="916" t="s">
        <v>42</v>
      </c>
      <c r="C20" s="895" t="s">
        <v>252</v>
      </c>
      <c r="D20" s="917">
        <v>9267957</v>
      </c>
      <c r="E20" s="917">
        <v>9267957</v>
      </c>
    </row>
    <row r="21" spans="1:5" s="892" customFormat="1" ht="12.75" customHeight="1" x14ac:dyDescent="0.3">
      <c r="A21" s="915" t="s">
        <v>43</v>
      </c>
      <c r="B21" s="916" t="s">
        <v>44</v>
      </c>
      <c r="C21" s="895" t="s">
        <v>253</v>
      </c>
      <c r="D21" s="917">
        <v>5630536.6799999997</v>
      </c>
      <c r="E21" s="917">
        <v>5630536.6799999997</v>
      </c>
    </row>
    <row r="22" spans="1:5" s="892" customFormat="1" ht="12.75" customHeight="1" x14ac:dyDescent="0.3">
      <c r="A22" s="915" t="s">
        <v>45</v>
      </c>
      <c r="B22" s="916" t="s">
        <v>46</v>
      </c>
      <c r="C22" s="895" t="s">
        <v>255</v>
      </c>
      <c r="D22" s="917">
        <v>6235865</v>
      </c>
      <c r="E22" s="917">
        <v>6235865</v>
      </c>
    </row>
    <row r="23" spans="1:5" s="892" customFormat="1" ht="12.75" customHeight="1" x14ac:dyDescent="0.3">
      <c r="A23" s="915" t="s">
        <v>47</v>
      </c>
      <c r="B23" s="916" t="s">
        <v>256</v>
      </c>
      <c r="C23" s="895" t="s">
        <v>253</v>
      </c>
      <c r="D23" s="917">
        <v>1260616</v>
      </c>
      <c r="E23" s="917">
        <v>1260616</v>
      </c>
    </row>
    <row r="24" spans="1:5" s="892" customFormat="1" ht="12.75" customHeight="1" x14ac:dyDescent="0.3">
      <c r="A24" s="915" t="s">
        <v>49</v>
      </c>
      <c r="B24" s="916" t="s">
        <v>50</v>
      </c>
      <c r="C24" s="895" t="s">
        <v>252</v>
      </c>
      <c r="D24" s="917">
        <v>2901632</v>
      </c>
      <c r="E24" s="917">
        <v>2901632</v>
      </c>
    </row>
    <row r="25" spans="1:5" s="892" customFormat="1" ht="12.75" customHeight="1" x14ac:dyDescent="0.3">
      <c r="A25" s="915" t="s">
        <v>55</v>
      </c>
      <c r="B25" s="916" t="s">
        <v>271</v>
      </c>
      <c r="C25" s="895" t="s">
        <v>253</v>
      </c>
      <c r="D25" s="917">
        <v>47854618</v>
      </c>
      <c r="E25" s="917">
        <v>47854618</v>
      </c>
    </row>
    <row r="26" spans="1:5" s="892" customFormat="1" ht="12.75" customHeight="1" x14ac:dyDescent="0.3">
      <c r="A26" s="915" t="s">
        <v>57</v>
      </c>
      <c r="B26" s="916" t="s">
        <v>58</v>
      </c>
      <c r="C26" s="895" t="s">
        <v>254</v>
      </c>
      <c r="D26" s="917">
        <v>747898</v>
      </c>
      <c r="E26" s="917">
        <v>747898</v>
      </c>
    </row>
    <row r="27" spans="1:5" s="892" customFormat="1" ht="12.75" customHeight="1" x14ac:dyDescent="0.3">
      <c r="A27" s="915" t="s">
        <v>59</v>
      </c>
      <c r="B27" s="916" t="s">
        <v>60</v>
      </c>
      <c r="C27" s="895" t="s">
        <v>252</v>
      </c>
      <c r="D27" s="917">
        <v>604642</v>
      </c>
      <c r="E27" s="917">
        <v>604642</v>
      </c>
    </row>
    <row r="28" spans="1:5" s="892" customFormat="1" ht="12.75" customHeight="1" x14ac:dyDescent="0.3">
      <c r="A28" s="915" t="s">
        <v>61</v>
      </c>
      <c r="B28" s="916" t="s">
        <v>62</v>
      </c>
      <c r="C28" s="895" t="s">
        <v>254</v>
      </c>
      <c r="D28" s="917">
        <v>6384480</v>
      </c>
      <c r="E28" s="917">
        <v>6384480</v>
      </c>
    </row>
    <row r="29" spans="1:5" s="892" customFormat="1" ht="12.75" customHeight="1" x14ac:dyDescent="0.3">
      <c r="A29" s="915" t="s">
        <v>63</v>
      </c>
      <c r="B29" s="916" t="s">
        <v>64</v>
      </c>
      <c r="C29" s="895" t="s">
        <v>253</v>
      </c>
      <c r="D29" s="917">
        <v>2981698</v>
      </c>
      <c r="E29" s="917">
        <v>2981698</v>
      </c>
    </row>
    <row r="30" spans="1:5" s="892" customFormat="1" ht="12.75" customHeight="1" x14ac:dyDescent="0.3">
      <c r="A30" s="915" t="s">
        <v>67</v>
      </c>
      <c r="B30" s="916" t="s">
        <v>68</v>
      </c>
      <c r="C30" s="895" t="s">
        <v>255</v>
      </c>
      <c r="D30" s="917">
        <v>3955252</v>
      </c>
      <c r="E30" s="917">
        <v>3955252</v>
      </c>
    </row>
    <row r="31" spans="1:5" s="892" customFormat="1" ht="12.75" customHeight="1" x14ac:dyDescent="0.3">
      <c r="A31" s="915" t="s">
        <v>69</v>
      </c>
      <c r="B31" s="916" t="s">
        <v>70</v>
      </c>
      <c r="C31" s="895" t="s">
        <v>251</v>
      </c>
      <c r="D31" s="917">
        <v>6405858.5</v>
      </c>
      <c r="E31" s="917">
        <v>6405858.5</v>
      </c>
    </row>
    <row r="32" spans="1:5" s="892" customFormat="1" ht="12.75" customHeight="1" x14ac:dyDescent="0.3">
      <c r="A32" s="915" t="s">
        <v>71</v>
      </c>
      <c r="B32" s="916" t="s">
        <v>72</v>
      </c>
      <c r="C32" s="895" t="s">
        <v>253</v>
      </c>
      <c r="D32" s="917">
        <v>2800848</v>
      </c>
      <c r="E32" s="917">
        <v>2800848</v>
      </c>
    </row>
    <row r="33" spans="1:5" s="892" customFormat="1" ht="12.75" customHeight="1" x14ac:dyDescent="0.3">
      <c r="A33" s="915" t="s">
        <v>73</v>
      </c>
      <c r="B33" s="916" t="s">
        <v>277</v>
      </c>
      <c r="C33" s="895" t="s">
        <v>254</v>
      </c>
      <c r="D33" s="917">
        <v>63687577</v>
      </c>
      <c r="E33" s="917">
        <v>63687577</v>
      </c>
    </row>
    <row r="34" spans="1:5" s="892" customFormat="1" ht="12.75" customHeight="1" x14ac:dyDescent="0.3">
      <c r="A34" s="915" t="s">
        <v>75</v>
      </c>
      <c r="B34" s="916" t="s">
        <v>76</v>
      </c>
      <c r="C34" s="895" t="s">
        <v>254</v>
      </c>
      <c r="D34" s="917">
        <v>4266448</v>
      </c>
      <c r="E34" s="917">
        <v>4266448</v>
      </c>
    </row>
    <row r="35" spans="1:5" s="892" customFormat="1" ht="12.75" customHeight="1" x14ac:dyDescent="0.3">
      <c r="A35" s="915" t="s">
        <v>77</v>
      </c>
      <c r="B35" s="916" t="s">
        <v>78</v>
      </c>
      <c r="C35" s="895" t="s">
        <v>255</v>
      </c>
      <c r="D35" s="917">
        <v>2439298</v>
      </c>
      <c r="E35" s="917">
        <v>2439298</v>
      </c>
    </row>
    <row r="36" spans="1:5" s="892" customFormat="1" ht="12.75" customHeight="1" x14ac:dyDescent="0.3">
      <c r="A36" s="915" t="s">
        <v>79</v>
      </c>
      <c r="B36" s="916" t="s">
        <v>80</v>
      </c>
      <c r="C36" s="895" t="s">
        <v>253</v>
      </c>
      <c r="D36" s="917">
        <v>2175826</v>
      </c>
      <c r="E36" s="917">
        <v>2175826</v>
      </c>
    </row>
    <row r="37" spans="1:5" s="892" customFormat="1" ht="12.75" customHeight="1" x14ac:dyDescent="0.3">
      <c r="A37" s="915" t="s">
        <v>83</v>
      </c>
      <c r="B37" s="916" t="s">
        <v>281</v>
      </c>
      <c r="C37" s="895" t="s">
        <v>252</v>
      </c>
      <c r="D37" s="917">
        <v>9059452.75</v>
      </c>
      <c r="E37" s="917">
        <v>9059452.75</v>
      </c>
    </row>
    <row r="38" spans="1:5" s="892" customFormat="1" ht="12.75" customHeight="1" x14ac:dyDescent="0.3">
      <c r="A38" s="915" t="s">
        <v>85</v>
      </c>
      <c r="B38" s="916" t="s">
        <v>86</v>
      </c>
      <c r="C38" s="895" t="s">
        <v>254</v>
      </c>
      <c r="D38" s="917">
        <v>7420731</v>
      </c>
      <c r="E38" s="917">
        <v>7420731</v>
      </c>
    </row>
    <row r="39" spans="1:5" s="892" customFormat="1" ht="12.75" customHeight="1" x14ac:dyDescent="0.3">
      <c r="A39" s="915" t="s">
        <v>91</v>
      </c>
      <c r="B39" s="916" t="s">
        <v>92</v>
      </c>
      <c r="C39" s="895" t="s">
        <v>255</v>
      </c>
      <c r="D39" s="917">
        <v>2691149</v>
      </c>
      <c r="E39" s="917">
        <v>2691149</v>
      </c>
    </row>
    <row r="40" spans="1:5" s="892" customFormat="1" ht="12.75" customHeight="1" x14ac:dyDescent="0.3">
      <c r="A40" s="915" t="s">
        <v>93</v>
      </c>
      <c r="B40" s="916" t="s">
        <v>94</v>
      </c>
      <c r="C40" s="895" t="s">
        <v>251</v>
      </c>
      <c r="D40" s="917">
        <v>5132996</v>
      </c>
      <c r="E40" s="917">
        <v>5132996</v>
      </c>
    </row>
    <row r="41" spans="1:5" s="892" customFormat="1" ht="12.75" customHeight="1" x14ac:dyDescent="0.3">
      <c r="A41" s="915" t="s">
        <v>95</v>
      </c>
      <c r="B41" s="916" t="s">
        <v>96</v>
      </c>
      <c r="C41" s="895" t="s">
        <v>253</v>
      </c>
      <c r="D41" s="917">
        <v>1554584</v>
      </c>
      <c r="E41" s="917">
        <v>1554584</v>
      </c>
    </row>
    <row r="42" spans="1:5" s="892" customFormat="1" ht="12.75" customHeight="1" x14ac:dyDescent="0.3">
      <c r="A42" s="915" t="s">
        <v>97</v>
      </c>
      <c r="B42" s="916" t="s">
        <v>98</v>
      </c>
      <c r="C42" s="895" t="s">
        <v>255</v>
      </c>
      <c r="D42" s="917">
        <v>3349421</v>
      </c>
      <c r="E42" s="917">
        <v>3349421</v>
      </c>
    </row>
    <row r="43" spans="1:5" s="892" customFormat="1" ht="12.75" customHeight="1" x14ac:dyDescent="0.3">
      <c r="A43" s="915" t="s">
        <v>99</v>
      </c>
      <c r="B43" s="916" t="s">
        <v>100</v>
      </c>
      <c r="C43" s="895" t="s">
        <v>254</v>
      </c>
      <c r="D43" s="917">
        <v>2634292.5</v>
      </c>
      <c r="E43" s="917">
        <v>2634292.5</v>
      </c>
    </row>
    <row r="44" spans="1:5" s="892" customFormat="1" ht="12.75" customHeight="1" x14ac:dyDescent="0.3">
      <c r="A44" s="915" t="s">
        <v>101</v>
      </c>
      <c r="B44" s="916" t="s">
        <v>102</v>
      </c>
      <c r="C44" s="895" t="s">
        <v>251</v>
      </c>
      <c r="D44" s="917">
        <v>5557369</v>
      </c>
      <c r="E44" s="917">
        <v>5557369</v>
      </c>
    </row>
    <row r="45" spans="1:5" s="892" customFormat="1" ht="12.75" customHeight="1" x14ac:dyDescent="0.3">
      <c r="A45" s="915" t="s">
        <v>103</v>
      </c>
      <c r="B45" s="916" t="s">
        <v>282</v>
      </c>
      <c r="C45" s="895" t="s">
        <v>252</v>
      </c>
      <c r="D45" s="917">
        <v>9337806</v>
      </c>
      <c r="E45" s="917">
        <v>9337806</v>
      </c>
    </row>
    <row r="46" spans="1:5" s="892" customFormat="1" ht="12.75" customHeight="1" x14ac:dyDescent="0.3">
      <c r="A46" s="915" t="s">
        <v>107</v>
      </c>
      <c r="B46" s="916" t="s">
        <v>108</v>
      </c>
      <c r="C46" s="895" t="s">
        <v>253</v>
      </c>
      <c r="D46" s="917">
        <v>7060922</v>
      </c>
      <c r="E46" s="917">
        <v>7060922</v>
      </c>
    </row>
    <row r="47" spans="1:5" s="892" customFormat="1" ht="12.75" customHeight="1" x14ac:dyDescent="0.3">
      <c r="A47" s="915" t="s">
        <v>109</v>
      </c>
      <c r="B47" s="916" t="s">
        <v>110</v>
      </c>
      <c r="C47" s="895" t="s">
        <v>253</v>
      </c>
      <c r="D47" s="917">
        <v>49136042.299999997</v>
      </c>
      <c r="E47" s="917">
        <v>49136042.299999997</v>
      </c>
    </row>
    <row r="48" spans="1:5" s="892" customFormat="1" ht="12.75" customHeight="1" x14ac:dyDescent="0.3">
      <c r="A48" s="915" t="s">
        <v>111</v>
      </c>
      <c r="B48" s="916" t="s">
        <v>275</v>
      </c>
      <c r="C48" s="895" t="s">
        <v>252</v>
      </c>
      <c r="D48" s="917">
        <v>20096048.439999998</v>
      </c>
      <c r="E48" s="917">
        <v>20096048.439999998</v>
      </c>
    </row>
    <row r="49" spans="1:5" s="892" customFormat="1" ht="12.75" customHeight="1" x14ac:dyDescent="0.3">
      <c r="A49" s="915" t="s">
        <v>113</v>
      </c>
      <c r="B49" s="916" t="s">
        <v>114</v>
      </c>
      <c r="C49" s="895" t="s">
        <v>252</v>
      </c>
      <c r="D49" s="917">
        <v>157695</v>
      </c>
      <c r="E49" s="917">
        <v>157695</v>
      </c>
    </row>
    <row r="50" spans="1:5" s="892" customFormat="1" ht="12.75" customHeight="1" x14ac:dyDescent="0.3">
      <c r="A50" s="915" t="s">
        <v>117</v>
      </c>
      <c r="B50" s="916" t="s">
        <v>118</v>
      </c>
      <c r="C50" s="895" t="s">
        <v>251</v>
      </c>
      <c r="D50" s="917">
        <v>4821696</v>
      </c>
      <c r="E50" s="917">
        <v>4821696</v>
      </c>
    </row>
    <row r="51" spans="1:5" s="892" customFormat="1" ht="12.75" customHeight="1" x14ac:dyDescent="0.3">
      <c r="A51" s="915" t="s">
        <v>119</v>
      </c>
      <c r="B51" s="916" t="s">
        <v>120</v>
      </c>
      <c r="C51" s="895" t="s">
        <v>251</v>
      </c>
      <c r="D51" s="917">
        <v>6019952</v>
      </c>
      <c r="E51" s="917">
        <v>6019952</v>
      </c>
    </row>
    <row r="52" spans="1:5" s="892" customFormat="1" ht="12.75" customHeight="1" x14ac:dyDescent="0.3">
      <c r="A52" s="915" t="s">
        <v>121</v>
      </c>
      <c r="B52" s="916" t="s">
        <v>258</v>
      </c>
      <c r="C52" s="895" t="s">
        <v>253</v>
      </c>
      <c r="D52" s="917">
        <v>1485895</v>
      </c>
      <c r="E52" s="917">
        <v>1485895</v>
      </c>
    </row>
    <row r="53" spans="1:5" s="892" customFormat="1" ht="12.75" customHeight="1" x14ac:dyDescent="0.3">
      <c r="A53" s="915" t="s">
        <v>123</v>
      </c>
      <c r="B53" s="916" t="s">
        <v>124</v>
      </c>
      <c r="C53" s="895" t="s">
        <v>254</v>
      </c>
      <c r="D53" s="917">
        <v>3033051</v>
      </c>
      <c r="E53" s="917">
        <v>3033051</v>
      </c>
    </row>
    <row r="54" spans="1:5" s="892" customFormat="1" ht="12.75" customHeight="1" x14ac:dyDescent="0.3">
      <c r="A54" s="915" t="s">
        <v>125</v>
      </c>
      <c r="B54" s="916" t="s">
        <v>126</v>
      </c>
      <c r="C54" s="895" t="s">
        <v>253</v>
      </c>
      <c r="D54" s="917">
        <v>2126130</v>
      </c>
      <c r="E54" s="917">
        <v>2126130</v>
      </c>
    </row>
    <row r="55" spans="1:5" s="892" customFormat="1" ht="12.75" customHeight="1" x14ac:dyDescent="0.3">
      <c r="A55" s="915" t="s">
        <v>127</v>
      </c>
      <c r="B55" s="916" t="s">
        <v>128</v>
      </c>
      <c r="C55" s="895" t="s">
        <v>253</v>
      </c>
      <c r="D55" s="917">
        <v>2119565</v>
      </c>
      <c r="E55" s="917">
        <v>2119565</v>
      </c>
    </row>
    <row r="56" spans="1:5" s="892" customFormat="1" ht="12.75" customHeight="1" x14ac:dyDescent="0.3">
      <c r="A56" s="915" t="s">
        <v>129</v>
      </c>
      <c r="B56" s="916" t="s">
        <v>130</v>
      </c>
      <c r="C56" s="895" t="s">
        <v>255</v>
      </c>
      <c r="D56" s="917">
        <v>8513247</v>
      </c>
      <c r="E56" s="917">
        <v>8513247</v>
      </c>
    </row>
    <row r="57" spans="1:5" s="892" customFormat="1" ht="12.75" customHeight="1" x14ac:dyDescent="0.3">
      <c r="A57" s="915" t="s">
        <v>131</v>
      </c>
      <c r="B57" s="916" t="s">
        <v>132</v>
      </c>
      <c r="C57" s="895" t="s">
        <v>254</v>
      </c>
      <c r="D57" s="917">
        <v>14752320.439999999</v>
      </c>
      <c r="E57" s="917">
        <v>14752320.439999999</v>
      </c>
    </row>
    <row r="58" spans="1:5" s="892" customFormat="1" ht="12.75" customHeight="1" x14ac:dyDescent="0.3">
      <c r="A58" s="915" t="s">
        <v>133</v>
      </c>
      <c r="B58" s="916" t="s">
        <v>134</v>
      </c>
      <c r="C58" s="895" t="s">
        <v>254</v>
      </c>
      <c r="D58" s="917">
        <v>5087635</v>
      </c>
      <c r="E58" s="917">
        <v>5087635</v>
      </c>
    </row>
    <row r="59" spans="1:5" s="892" customFormat="1" ht="12.75" customHeight="1" x14ac:dyDescent="0.3">
      <c r="A59" s="915" t="s">
        <v>135</v>
      </c>
      <c r="B59" s="916" t="s">
        <v>136</v>
      </c>
      <c r="C59" s="895" t="s">
        <v>253</v>
      </c>
      <c r="D59" s="917">
        <v>3123230</v>
      </c>
      <c r="E59" s="917">
        <v>3123230</v>
      </c>
    </row>
    <row r="60" spans="1:5" s="892" customFormat="1" ht="12.75" customHeight="1" x14ac:dyDescent="0.3">
      <c r="A60" s="915" t="s">
        <v>139</v>
      </c>
      <c r="B60" s="916" t="s">
        <v>140</v>
      </c>
      <c r="C60" s="895" t="s">
        <v>254</v>
      </c>
      <c r="D60" s="917">
        <v>1390058</v>
      </c>
      <c r="E60" s="917">
        <v>1390058</v>
      </c>
    </row>
    <row r="61" spans="1:5" s="892" customFormat="1" ht="12.75" customHeight="1" x14ac:dyDescent="0.3">
      <c r="A61" s="915" t="s">
        <v>145</v>
      </c>
      <c r="B61" s="916" t="s">
        <v>146</v>
      </c>
      <c r="C61" s="895" t="s">
        <v>251</v>
      </c>
      <c r="D61" s="917">
        <v>1107797</v>
      </c>
      <c r="E61" s="917">
        <v>1107797</v>
      </c>
    </row>
    <row r="62" spans="1:5" s="892" customFormat="1" ht="12.75" customHeight="1" x14ac:dyDescent="0.3">
      <c r="A62" s="915" t="s">
        <v>147</v>
      </c>
      <c r="B62" s="916" t="s">
        <v>148</v>
      </c>
      <c r="C62" s="895" t="s">
        <v>252</v>
      </c>
      <c r="D62" s="917">
        <v>6215534</v>
      </c>
      <c r="E62" s="917">
        <v>6215534</v>
      </c>
    </row>
    <row r="63" spans="1:5" s="892" customFormat="1" ht="12.75" customHeight="1" x14ac:dyDescent="0.3">
      <c r="A63" s="915" t="s">
        <v>149</v>
      </c>
      <c r="B63" s="916" t="s">
        <v>150</v>
      </c>
      <c r="C63" s="895" t="s">
        <v>253</v>
      </c>
      <c r="D63" s="917">
        <v>2320572</v>
      </c>
      <c r="E63" s="917">
        <v>2320572</v>
      </c>
    </row>
    <row r="64" spans="1:5" s="892" customFormat="1" ht="12.75" customHeight="1" x14ac:dyDescent="0.3">
      <c r="A64" s="915" t="s">
        <v>151</v>
      </c>
      <c r="B64" s="916" t="s">
        <v>152</v>
      </c>
      <c r="C64" s="895" t="s">
        <v>255</v>
      </c>
      <c r="D64" s="917">
        <v>8533259</v>
      </c>
      <c r="E64" s="917">
        <v>8533259</v>
      </c>
    </row>
    <row r="65" spans="1:5" s="892" customFormat="1" ht="12.75" customHeight="1" x14ac:dyDescent="0.3">
      <c r="A65" s="915" t="s">
        <v>153</v>
      </c>
      <c r="B65" s="916" t="s">
        <v>154</v>
      </c>
      <c r="C65" s="895" t="s">
        <v>252</v>
      </c>
      <c r="D65" s="917">
        <v>2401751</v>
      </c>
      <c r="E65" s="917">
        <v>2401751</v>
      </c>
    </row>
    <row r="66" spans="1:5" s="892" customFormat="1" ht="12.75" customHeight="1" x14ac:dyDescent="0.3">
      <c r="A66" s="915" t="s">
        <v>155</v>
      </c>
      <c r="B66" s="916" t="s">
        <v>156</v>
      </c>
      <c r="C66" s="895" t="s">
        <v>253</v>
      </c>
      <c r="D66" s="917">
        <v>1574379</v>
      </c>
      <c r="E66" s="917">
        <v>1574379</v>
      </c>
    </row>
    <row r="67" spans="1:5" s="892" customFormat="1" ht="12.75" customHeight="1" x14ac:dyDescent="0.3">
      <c r="A67" s="915" t="s">
        <v>161</v>
      </c>
      <c r="B67" s="916" t="s">
        <v>162</v>
      </c>
      <c r="C67" s="895" t="s">
        <v>251</v>
      </c>
      <c r="D67" s="917">
        <v>3245135</v>
      </c>
      <c r="E67" s="917">
        <v>3245135</v>
      </c>
    </row>
    <row r="68" spans="1:5" s="892" customFormat="1" ht="12.75" customHeight="1" x14ac:dyDescent="0.3">
      <c r="A68" s="915" t="s">
        <v>163</v>
      </c>
      <c r="B68" s="916" t="s">
        <v>164</v>
      </c>
      <c r="C68" s="895" t="s">
        <v>253</v>
      </c>
      <c r="D68" s="917">
        <v>2300813</v>
      </c>
      <c r="E68" s="917">
        <v>2300813</v>
      </c>
    </row>
    <row r="69" spans="1:5" s="892" customFormat="1" ht="12.75" customHeight="1" x14ac:dyDescent="0.3">
      <c r="A69" s="915" t="s">
        <v>167</v>
      </c>
      <c r="B69" s="916" t="s">
        <v>168</v>
      </c>
      <c r="C69" s="895" t="s">
        <v>253</v>
      </c>
      <c r="D69" s="917">
        <v>4049798</v>
      </c>
      <c r="E69" s="917">
        <v>4049798</v>
      </c>
    </row>
    <row r="70" spans="1:5" s="892" customFormat="1" ht="12.75" customHeight="1" x14ac:dyDescent="0.3">
      <c r="A70" s="915" t="s">
        <v>169</v>
      </c>
      <c r="B70" s="916" t="s">
        <v>170</v>
      </c>
      <c r="C70" s="895" t="s">
        <v>254</v>
      </c>
      <c r="D70" s="917">
        <v>4541712.93</v>
      </c>
      <c r="E70" s="917">
        <v>4541712.93</v>
      </c>
    </row>
    <row r="71" spans="1:5" s="892" customFormat="1" ht="12.75" customHeight="1" x14ac:dyDescent="0.3">
      <c r="A71" s="915" t="s">
        <v>171</v>
      </c>
      <c r="B71" s="916" t="s">
        <v>172</v>
      </c>
      <c r="C71" s="895" t="s">
        <v>254</v>
      </c>
      <c r="D71" s="917">
        <v>3834016.27</v>
      </c>
      <c r="E71" s="917">
        <v>3834016.27</v>
      </c>
    </row>
    <row r="72" spans="1:5" s="892" customFormat="1" ht="12.75" customHeight="1" x14ac:dyDescent="0.3">
      <c r="A72" s="915" t="s">
        <v>173</v>
      </c>
      <c r="B72" s="916" t="s">
        <v>174</v>
      </c>
      <c r="C72" s="895" t="s">
        <v>255</v>
      </c>
      <c r="D72" s="917">
        <v>3762462</v>
      </c>
      <c r="E72" s="917">
        <v>3762462</v>
      </c>
    </row>
    <row r="73" spans="1:5" s="892" customFormat="1" ht="12.75" customHeight="1" x14ac:dyDescent="0.3">
      <c r="A73" s="915" t="s">
        <v>177</v>
      </c>
      <c r="B73" s="916" t="s">
        <v>178</v>
      </c>
      <c r="C73" s="895" t="s">
        <v>252</v>
      </c>
      <c r="D73" s="917">
        <v>12500737.039999999</v>
      </c>
      <c r="E73" s="917">
        <v>12500737.039999999</v>
      </c>
    </row>
    <row r="74" spans="1:5" s="892" customFormat="1" ht="12.75" customHeight="1" x14ac:dyDescent="0.3">
      <c r="A74" s="915" t="s">
        <v>181</v>
      </c>
      <c r="B74" s="916" t="s">
        <v>182</v>
      </c>
      <c r="C74" s="895" t="s">
        <v>253</v>
      </c>
      <c r="D74" s="917">
        <v>1794221</v>
      </c>
      <c r="E74" s="917">
        <v>1794221</v>
      </c>
    </row>
    <row r="75" spans="1:5" s="892" customFormat="1" ht="12.75" customHeight="1" x14ac:dyDescent="0.3">
      <c r="A75" s="915" t="s">
        <v>183</v>
      </c>
      <c r="B75" s="916" t="s">
        <v>184</v>
      </c>
      <c r="C75" s="895" t="s">
        <v>253</v>
      </c>
      <c r="D75" s="917">
        <v>4527363</v>
      </c>
      <c r="E75" s="917">
        <v>4527363</v>
      </c>
    </row>
    <row r="76" spans="1:5" s="892" customFormat="1" ht="12.75" customHeight="1" x14ac:dyDescent="0.3">
      <c r="A76" s="915" t="s">
        <v>185</v>
      </c>
      <c r="B76" s="916" t="s">
        <v>186</v>
      </c>
      <c r="C76" s="895" t="s">
        <v>251</v>
      </c>
      <c r="D76" s="917">
        <v>4905374</v>
      </c>
      <c r="E76" s="917">
        <v>4905374</v>
      </c>
    </row>
    <row r="77" spans="1:5" s="892" customFormat="1" ht="12.75" customHeight="1" x14ac:dyDescent="0.3">
      <c r="A77" s="915" t="s">
        <v>187</v>
      </c>
      <c r="B77" s="916" t="s">
        <v>188</v>
      </c>
      <c r="C77" s="895" t="s">
        <v>254</v>
      </c>
      <c r="D77" s="917">
        <v>37399731</v>
      </c>
      <c r="E77" s="917">
        <v>37399731</v>
      </c>
    </row>
    <row r="78" spans="1:5" s="892" customFormat="1" ht="12.75" customHeight="1" x14ac:dyDescent="0.3">
      <c r="A78" s="915" t="s">
        <v>189</v>
      </c>
      <c r="B78" s="916" t="s">
        <v>190</v>
      </c>
      <c r="C78" s="895" t="s">
        <v>255</v>
      </c>
      <c r="D78" s="917">
        <v>7391082</v>
      </c>
      <c r="E78" s="917">
        <v>7391082</v>
      </c>
    </row>
    <row r="79" spans="1:5" s="892" customFormat="1" ht="12.75" customHeight="1" x14ac:dyDescent="0.3">
      <c r="A79" s="915" t="s">
        <v>193</v>
      </c>
      <c r="B79" s="916" t="s">
        <v>194</v>
      </c>
      <c r="C79" s="895" t="s">
        <v>254</v>
      </c>
      <c r="D79" s="917">
        <v>630420</v>
      </c>
      <c r="E79" s="917">
        <v>630420</v>
      </c>
    </row>
    <row r="80" spans="1:5" s="892" customFormat="1" ht="12.75" customHeight="1" x14ac:dyDescent="0.3">
      <c r="A80" s="915" t="s">
        <v>197</v>
      </c>
      <c r="B80" s="916" t="s">
        <v>198</v>
      </c>
      <c r="C80" s="895" t="s">
        <v>253</v>
      </c>
      <c r="D80" s="917">
        <v>2047512</v>
      </c>
      <c r="E80" s="917">
        <v>2047512</v>
      </c>
    </row>
    <row r="81" spans="1:5" s="892" customFormat="1" ht="12.75" customHeight="1" x14ac:dyDescent="0.3">
      <c r="A81" s="915" t="s">
        <v>201</v>
      </c>
      <c r="B81" s="916" t="s">
        <v>202</v>
      </c>
      <c r="C81" s="895" t="s">
        <v>252</v>
      </c>
      <c r="D81" s="917">
        <v>9392371</v>
      </c>
      <c r="E81" s="917">
        <v>9392371</v>
      </c>
    </row>
    <row r="82" spans="1:5" s="892" customFormat="1" ht="12.75" customHeight="1" x14ac:dyDescent="0.3">
      <c r="A82" s="915" t="s">
        <v>203</v>
      </c>
      <c r="B82" s="916" t="s">
        <v>204</v>
      </c>
      <c r="C82" s="895" t="s">
        <v>252</v>
      </c>
      <c r="D82" s="917">
        <v>4823032</v>
      </c>
      <c r="E82" s="917">
        <v>4823032</v>
      </c>
    </row>
    <row r="83" spans="1:5" s="892" customFormat="1" ht="12.75" customHeight="1" x14ac:dyDescent="0.3">
      <c r="A83" s="915" t="s">
        <v>205</v>
      </c>
      <c r="B83" s="916" t="s">
        <v>206</v>
      </c>
      <c r="C83" s="895" t="s">
        <v>254</v>
      </c>
      <c r="D83" s="917">
        <v>12080848.310000001</v>
      </c>
      <c r="E83" s="917">
        <v>12080848.310000001</v>
      </c>
    </row>
    <row r="84" spans="1:5" s="892" customFormat="1" ht="12.75" customHeight="1" x14ac:dyDescent="0.3">
      <c r="A84" s="915" t="s">
        <v>207</v>
      </c>
      <c r="B84" s="916" t="s">
        <v>208</v>
      </c>
      <c r="C84" s="895" t="s">
        <v>255</v>
      </c>
      <c r="D84" s="917">
        <v>7998879.4000000004</v>
      </c>
      <c r="E84" s="917">
        <v>7998879.4000000004</v>
      </c>
    </row>
    <row r="85" spans="1:5" s="892" customFormat="1" ht="12.75" customHeight="1" x14ac:dyDescent="0.3">
      <c r="A85" s="915" t="s">
        <v>209</v>
      </c>
      <c r="B85" s="916" t="s">
        <v>210</v>
      </c>
      <c r="C85" s="895" t="s">
        <v>255</v>
      </c>
      <c r="D85" s="917">
        <v>4801438</v>
      </c>
      <c r="E85" s="917">
        <v>4801438</v>
      </c>
    </row>
    <row r="86" spans="1:5" s="892" customFormat="1" ht="12.75" customHeight="1" x14ac:dyDescent="0.3">
      <c r="A86" s="915" t="s">
        <v>211</v>
      </c>
      <c r="B86" s="916" t="s">
        <v>212</v>
      </c>
      <c r="C86" s="895" t="s">
        <v>254</v>
      </c>
      <c r="D86" s="917">
        <v>6765509</v>
      </c>
      <c r="E86" s="917">
        <v>6765509</v>
      </c>
    </row>
    <row r="87" spans="1:5" s="892" customFormat="1" ht="12.75" customHeight="1" x14ac:dyDescent="0.3">
      <c r="A87" s="915" t="s">
        <v>213</v>
      </c>
      <c r="B87" s="916" t="s">
        <v>214</v>
      </c>
      <c r="C87" s="895" t="s">
        <v>255</v>
      </c>
      <c r="D87" s="917">
        <v>8367162</v>
      </c>
      <c r="E87" s="917">
        <v>8367162</v>
      </c>
    </row>
    <row r="88" spans="1:5" s="892" customFormat="1" ht="12.75" customHeight="1" x14ac:dyDescent="0.3">
      <c r="A88" s="915" t="s">
        <v>215</v>
      </c>
      <c r="B88" s="916" t="s">
        <v>216</v>
      </c>
      <c r="C88" s="895" t="s">
        <v>251</v>
      </c>
      <c r="D88" s="917">
        <v>3510689</v>
      </c>
      <c r="E88" s="917">
        <v>3510689</v>
      </c>
    </row>
    <row r="89" spans="1:5" s="892" customFormat="1" ht="12.75" customHeight="1" x14ac:dyDescent="0.3">
      <c r="A89" s="915" t="s">
        <v>217</v>
      </c>
      <c r="B89" s="916" t="s">
        <v>218</v>
      </c>
      <c r="C89" s="895" t="s">
        <v>254</v>
      </c>
      <c r="D89" s="917">
        <v>16177340</v>
      </c>
      <c r="E89" s="917">
        <v>16177340</v>
      </c>
    </row>
    <row r="90" spans="1:5" s="892" customFormat="1" ht="12.75" customHeight="1" x14ac:dyDescent="0.3">
      <c r="A90" s="915" t="s">
        <v>219</v>
      </c>
      <c r="B90" s="916" t="s">
        <v>220</v>
      </c>
      <c r="C90" s="895" t="s">
        <v>254</v>
      </c>
      <c r="D90" s="917">
        <v>14615902</v>
      </c>
      <c r="E90" s="917">
        <v>14615902</v>
      </c>
    </row>
    <row r="91" spans="1:5" s="892" customFormat="1" ht="12.75" customHeight="1" x14ac:dyDescent="0.3">
      <c r="A91" s="915" t="s">
        <v>223</v>
      </c>
      <c r="B91" s="916" t="s">
        <v>224</v>
      </c>
      <c r="C91" s="895" t="s">
        <v>251</v>
      </c>
      <c r="D91" s="917">
        <v>1358728</v>
      </c>
      <c r="E91" s="917">
        <v>1358728</v>
      </c>
    </row>
    <row r="92" spans="1:5" s="892" customFormat="1" ht="12.75" customHeight="1" x14ac:dyDescent="0.3">
      <c r="A92" s="915" t="s">
        <v>225</v>
      </c>
      <c r="B92" s="916" t="s">
        <v>226</v>
      </c>
      <c r="C92" s="895" t="s">
        <v>251</v>
      </c>
      <c r="D92" s="917">
        <v>2732907</v>
      </c>
      <c r="E92" s="917">
        <v>2732907</v>
      </c>
    </row>
    <row r="93" spans="1:5" s="892" customFormat="1" ht="12.75" customHeight="1" x14ac:dyDescent="0.3">
      <c r="A93" s="915" t="s">
        <v>227</v>
      </c>
      <c r="B93" s="916" t="s">
        <v>228</v>
      </c>
      <c r="C93" s="895" t="s">
        <v>255</v>
      </c>
      <c r="D93" s="917">
        <v>11553461</v>
      </c>
      <c r="E93" s="917">
        <v>11553461</v>
      </c>
    </row>
    <row r="94" spans="1:5" s="892" customFormat="1" ht="12.75" customHeight="1" x14ac:dyDescent="0.3">
      <c r="A94" s="915" t="s">
        <v>231</v>
      </c>
      <c r="B94" s="916" t="s">
        <v>232</v>
      </c>
      <c r="C94" s="895" t="s">
        <v>254</v>
      </c>
      <c r="D94" s="917">
        <v>5986831</v>
      </c>
      <c r="E94" s="917">
        <v>5986831</v>
      </c>
    </row>
    <row r="95" spans="1:5" s="892" customFormat="1" ht="12.75" customHeight="1" x14ac:dyDescent="0.3">
      <c r="A95" s="915" t="s">
        <v>233</v>
      </c>
      <c r="B95" s="916" t="s">
        <v>234</v>
      </c>
      <c r="C95" s="895" t="s">
        <v>255</v>
      </c>
      <c r="D95" s="917">
        <v>9882952</v>
      </c>
      <c r="E95" s="917">
        <v>9882952</v>
      </c>
    </row>
    <row r="96" spans="1:5" s="892" customFormat="1" ht="12.75" customHeight="1" x14ac:dyDescent="0.3">
      <c r="A96" s="915" t="s">
        <v>235</v>
      </c>
      <c r="B96" s="916" t="s">
        <v>236</v>
      </c>
      <c r="C96" s="895" t="s">
        <v>253</v>
      </c>
      <c r="D96" s="917">
        <v>4725642</v>
      </c>
      <c r="E96" s="917">
        <v>4725642</v>
      </c>
    </row>
    <row r="97" spans="1:5" s="892" customFormat="1" ht="12.75" customHeight="1" x14ac:dyDescent="0.3">
      <c r="A97" s="915" t="s">
        <v>241</v>
      </c>
      <c r="B97" s="916" t="s">
        <v>242</v>
      </c>
      <c r="C97" s="895" t="s">
        <v>255</v>
      </c>
      <c r="D97" s="917">
        <v>11293465</v>
      </c>
      <c r="E97" s="917">
        <v>11293465</v>
      </c>
    </row>
    <row r="98" spans="1:5" s="892" customFormat="1" ht="12.75" customHeight="1" x14ac:dyDescent="0.3">
      <c r="A98" s="915" t="s">
        <v>243</v>
      </c>
      <c r="B98" s="916" t="s">
        <v>244</v>
      </c>
      <c r="C98" s="895" t="s">
        <v>255</v>
      </c>
      <c r="D98" s="917">
        <v>5809134</v>
      </c>
      <c r="E98" s="917">
        <v>5809134</v>
      </c>
    </row>
    <row r="99" spans="1:5" s="892" customFormat="1" ht="12.75" customHeight="1" x14ac:dyDescent="0.3">
      <c r="A99" s="915" t="s">
        <v>245</v>
      </c>
      <c r="B99" s="916" t="s">
        <v>283</v>
      </c>
      <c r="C99" s="895" t="s">
        <v>251</v>
      </c>
      <c r="D99" s="917">
        <v>4200872</v>
      </c>
      <c r="E99" s="917">
        <v>4200872</v>
      </c>
    </row>
    <row r="100" spans="1:5" s="892" customFormat="1" ht="12.75" customHeight="1" x14ac:dyDescent="0.3">
      <c r="A100" s="915" t="s">
        <v>13</v>
      </c>
      <c r="B100" s="916" t="s">
        <v>14</v>
      </c>
      <c r="C100" s="895" t="s">
        <v>254</v>
      </c>
      <c r="D100" s="917">
        <v>13820339</v>
      </c>
      <c r="E100" s="917">
        <v>13820339</v>
      </c>
    </row>
    <row r="101" spans="1:5" s="892" customFormat="1" ht="12.75" customHeight="1" x14ac:dyDescent="0.3">
      <c r="A101" s="915" t="s">
        <v>33</v>
      </c>
      <c r="B101" s="916" t="s">
        <v>34</v>
      </c>
      <c r="C101" s="895" t="s">
        <v>255</v>
      </c>
      <c r="D101" s="917">
        <v>6764930</v>
      </c>
      <c r="E101" s="917">
        <v>6764930</v>
      </c>
    </row>
    <row r="102" spans="1:5" s="892" customFormat="1" ht="12.75" customHeight="1" x14ac:dyDescent="0.3">
      <c r="A102" s="915" t="s">
        <v>51</v>
      </c>
      <c r="B102" s="916" t="s">
        <v>52</v>
      </c>
      <c r="C102" s="895" t="s">
        <v>252</v>
      </c>
      <c r="D102" s="917">
        <v>6390677</v>
      </c>
      <c r="E102" s="917">
        <v>6390677</v>
      </c>
    </row>
    <row r="103" spans="1:5" s="892" customFormat="1" ht="12.75" customHeight="1" x14ac:dyDescent="0.3">
      <c r="A103" s="915" t="s">
        <v>53</v>
      </c>
      <c r="B103" s="916" t="s">
        <v>54</v>
      </c>
      <c r="C103" s="895" t="s">
        <v>251</v>
      </c>
      <c r="D103" s="917">
        <v>31118895.509999998</v>
      </c>
      <c r="E103" s="917">
        <v>31118895.509999998</v>
      </c>
    </row>
    <row r="104" spans="1:5" s="892" customFormat="1" ht="12.75" customHeight="1" x14ac:dyDescent="0.3">
      <c r="A104" s="915" t="s">
        <v>65</v>
      </c>
      <c r="B104" s="916" t="s">
        <v>66</v>
      </c>
      <c r="C104" s="895" t="s">
        <v>252</v>
      </c>
      <c r="D104" s="917">
        <v>19584327</v>
      </c>
      <c r="E104" s="917">
        <v>19584327</v>
      </c>
    </row>
    <row r="105" spans="1:5" s="892" customFormat="1" ht="12.75" customHeight="1" x14ac:dyDescent="0.3">
      <c r="A105" s="915" t="s">
        <v>81</v>
      </c>
      <c r="B105" s="916" t="s">
        <v>284</v>
      </c>
      <c r="C105" s="895" t="s">
        <v>251</v>
      </c>
      <c r="D105" s="917">
        <v>3827342</v>
      </c>
      <c r="E105" s="917">
        <v>3827342</v>
      </c>
    </row>
    <row r="106" spans="1:5" s="892" customFormat="1" ht="12.75" customHeight="1" x14ac:dyDescent="0.3">
      <c r="A106" s="915" t="s">
        <v>87</v>
      </c>
      <c r="B106" s="916" t="s">
        <v>88</v>
      </c>
      <c r="C106" s="895" t="s">
        <v>254</v>
      </c>
      <c r="D106" s="917">
        <v>6704562</v>
      </c>
      <c r="E106" s="917">
        <v>6704562</v>
      </c>
    </row>
    <row r="107" spans="1:5" s="892" customFormat="1" ht="12.75" customHeight="1" x14ac:dyDescent="0.3">
      <c r="A107" s="915" t="s">
        <v>89</v>
      </c>
      <c r="B107" s="916" t="s">
        <v>90</v>
      </c>
      <c r="C107" s="895" t="s">
        <v>255</v>
      </c>
      <c r="D107" s="917">
        <v>2332531</v>
      </c>
      <c r="E107" s="917">
        <v>2332531</v>
      </c>
    </row>
    <row r="108" spans="1:5" s="892" customFormat="1" ht="12.75" customHeight="1" x14ac:dyDescent="0.3">
      <c r="A108" s="915" t="s">
        <v>105</v>
      </c>
      <c r="B108" s="916" t="s">
        <v>106</v>
      </c>
      <c r="C108" s="895" t="s">
        <v>251</v>
      </c>
      <c r="D108" s="917">
        <v>32162957</v>
      </c>
      <c r="E108" s="917">
        <v>32162957</v>
      </c>
    </row>
    <row r="109" spans="1:5" s="892" customFormat="1" ht="12.75" customHeight="1" x14ac:dyDescent="0.3">
      <c r="A109" s="915" t="s">
        <v>115</v>
      </c>
      <c r="B109" s="916" t="s">
        <v>116</v>
      </c>
      <c r="C109" s="895" t="s">
        <v>253</v>
      </c>
      <c r="D109" s="917">
        <v>11005257</v>
      </c>
      <c r="E109" s="917">
        <v>11005257</v>
      </c>
    </row>
    <row r="110" spans="1:5" s="892" customFormat="1" ht="12.75" customHeight="1" x14ac:dyDescent="0.3">
      <c r="A110" s="915" t="s">
        <v>137</v>
      </c>
      <c r="B110" s="916" t="s">
        <v>138</v>
      </c>
      <c r="C110" s="895" t="s">
        <v>252</v>
      </c>
      <c r="D110" s="917">
        <v>17456474</v>
      </c>
      <c r="E110" s="917">
        <v>17456474</v>
      </c>
    </row>
    <row r="111" spans="1:5" s="892" customFormat="1" ht="12.75" customHeight="1" x14ac:dyDescent="0.3">
      <c r="A111" s="915" t="s">
        <v>141</v>
      </c>
      <c r="B111" s="916" t="s">
        <v>142</v>
      </c>
      <c r="C111" s="895" t="s">
        <v>254</v>
      </c>
      <c r="D111" s="917">
        <v>4650593</v>
      </c>
      <c r="E111" s="917">
        <v>4650593</v>
      </c>
    </row>
    <row r="112" spans="1:5" s="892" customFormat="1" ht="12.75" customHeight="1" x14ac:dyDescent="0.3">
      <c r="A112" s="915" t="s">
        <v>143</v>
      </c>
      <c r="B112" s="916" t="s">
        <v>144</v>
      </c>
      <c r="C112" s="895" t="s">
        <v>254</v>
      </c>
      <c r="D112" s="917">
        <v>1437505</v>
      </c>
      <c r="E112" s="917">
        <v>1437505</v>
      </c>
    </row>
    <row r="113" spans="1:5" s="892" customFormat="1" ht="12.75" customHeight="1" x14ac:dyDescent="0.3">
      <c r="A113" s="915" t="s">
        <v>157</v>
      </c>
      <c r="B113" s="916" t="s">
        <v>158</v>
      </c>
      <c r="C113" s="895" t="s">
        <v>251</v>
      </c>
      <c r="D113" s="917">
        <v>50591960.359999999</v>
      </c>
      <c r="E113" s="917">
        <v>50591960.359999999</v>
      </c>
    </row>
    <row r="114" spans="1:5" s="892" customFormat="1" ht="12.75" customHeight="1" x14ac:dyDescent="0.3">
      <c r="A114" s="915" t="s">
        <v>159</v>
      </c>
      <c r="B114" s="916" t="s">
        <v>160</v>
      </c>
      <c r="C114" s="895" t="s">
        <v>251</v>
      </c>
      <c r="D114" s="917">
        <v>60968456.769999996</v>
      </c>
      <c r="E114" s="917">
        <v>60968456.769999996</v>
      </c>
    </row>
    <row r="115" spans="1:5" s="892" customFormat="1" ht="12.75" customHeight="1" x14ac:dyDescent="0.3">
      <c r="A115" s="915" t="s">
        <v>165</v>
      </c>
      <c r="B115" s="916" t="s">
        <v>166</v>
      </c>
      <c r="C115" s="895" t="s">
        <v>255</v>
      </c>
      <c r="D115" s="917">
        <v>1366440</v>
      </c>
      <c r="E115" s="917">
        <v>1366440</v>
      </c>
    </row>
    <row r="116" spans="1:5" s="892" customFormat="1" ht="12.75" customHeight="1" x14ac:dyDescent="0.3">
      <c r="A116" s="915" t="s">
        <v>175</v>
      </c>
      <c r="B116" s="916" t="s">
        <v>176</v>
      </c>
      <c r="C116" s="895" t="s">
        <v>253</v>
      </c>
      <c r="D116" s="917">
        <v>16611295</v>
      </c>
      <c r="E116" s="917">
        <v>16611295</v>
      </c>
    </row>
    <row r="117" spans="1:5" s="892" customFormat="1" ht="12.75" customHeight="1" x14ac:dyDescent="0.3">
      <c r="A117" s="915" t="s">
        <v>179</v>
      </c>
      <c r="B117" s="916" t="s">
        <v>180</v>
      </c>
      <c r="C117" s="895" t="s">
        <v>251</v>
      </c>
      <c r="D117" s="917">
        <v>35602154.649999999</v>
      </c>
      <c r="E117" s="917">
        <v>35602154.649999999</v>
      </c>
    </row>
    <row r="118" spans="1:5" s="892" customFormat="1" ht="12.75" customHeight="1" x14ac:dyDescent="0.3">
      <c r="A118" s="915" t="s">
        <v>191</v>
      </c>
      <c r="B118" s="916" t="s">
        <v>192</v>
      </c>
      <c r="C118" s="895" t="s">
        <v>255</v>
      </c>
      <c r="D118" s="917">
        <v>2205231.0700000003</v>
      </c>
      <c r="E118" s="917">
        <v>2205231.0700000003</v>
      </c>
    </row>
    <row r="119" spans="1:5" s="892" customFormat="1" ht="12.75" customHeight="1" x14ac:dyDescent="0.3">
      <c r="A119" s="915" t="s">
        <v>195</v>
      </c>
      <c r="B119" s="916" t="s">
        <v>285</v>
      </c>
      <c r="C119" s="895" t="s">
        <v>253</v>
      </c>
      <c r="D119" s="917">
        <v>63918757.030000001</v>
      </c>
      <c r="E119" s="917">
        <v>63918757.030000001</v>
      </c>
    </row>
    <row r="120" spans="1:5" s="892" customFormat="1" ht="12.75" customHeight="1" x14ac:dyDescent="0.3">
      <c r="A120" s="915" t="s">
        <v>199</v>
      </c>
      <c r="B120" s="916" t="s">
        <v>286</v>
      </c>
      <c r="C120" s="895" t="s">
        <v>252</v>
      </c>
      <c r="D120" s="917">
        <v>32492681</v>
      </c>
      <c r="E120" s="917">
        <v>32492681</v>
      </c>
    </row>
    <row r="121" spans="1:5" s="892" customFormat="1" ht="12.75" customHeight="1" x14ac:dyDescent="0.3">
      <c r="A121" s="915" t="s">
        <v>221</v>
      </c>
      <c r="B121" s="916" t="s">
        <v>222</v>
      </c>
      <c r="C121" s="895" t="s">
        <v>251</v>
      </c>
      <c r="D121" s="917">
        <v>17101788</v>
      </c>
      <c r="E121" s="917">
        <v>17101788</v>
      </c>
    </row>
    <row r="122" spans="1:5" s="892" customFormat="1" ht="12.75" customHeight="1" x14ac:dyDescent="0.3">
      <c r="A122" s="915" t="s">
        <v>229</v>
      </c>
      <c r="B122" s="916" t="s">
        <v>230</v>
      </c>
      <c r="C122" s="895" t="s">
        <v>251</v>
      </c>
      <c r="D122" s="917">
        <v>44175153.200000003</v>
      </c>
      <c r="E122" s="917">
        <v>44175153.200000003</v>
      </c>
    </row>
    <row r="123" spans="1:5" s="892" customFormat="1" ht="12.75" customHeight="1" x14ac:dyDescent="0.3">
      <c r="A123" s="915" t="s">
        <v>237</v>
      </c>
      <c r="B123" s="916" t="s">
        <v>238</v>
      </c>
      <c r="C123" s="895" t="s">
        <v>251</v>
      </c>
      <c r="D123" s="917">
        <v>1833731</v>
      </c>
      <c r="E123" s="917">
        <v>1833731</v>
      </c>
    </row>
    <row r="124" spans="1:5" s="892" customFormat="1" ht="12.75" customHeight="1" x14ac:dyDescent="0.3">
      <c r="A124" s="915" t="s">
        <v>239</v>
      </c>
      <c r="B124" s="916" t="s">
        <v>240</v>
      </c>
      <c r="C124" s="905" t="s">
        <v>254</v>
      </c>
      <c r="D124" s="917">
        <v>5151917</v>
      </c>
      <c r="E124" s="917">
        <v>5151917</v>
      </c>
    </row>
    <row r="125" spans="1:5" s="892" customFormat="1" ht="12.75" customHeight="1" x14ac:dyDescent="0.3"/>
    <row r="126" spans="1:5" s="892" customFormat="1" ht="12.75" customHeight="1" x14ac:dyDescent="0.3">
      <c r="A126" s="892" t="s">
        <v>253</v>
      </c>
      <c r="D126" s="1211">
        <v>250184092.01000002</v>
      </c>
      <c r="E126" s="1211">
        <v>250184092.01000002</v>
      </c>
    </row>
    <row r="127" spans="1:5" s="892" customFormat="1" ht="12.75" customHeight="1" x14ac:dyDescent="0.3">
      <c r="A127" s="892" t="s">
        <v>251</v>
      </c>
      <c r="D127" s="1211">
        <v>338740467.39999992</v>
      </c>
      <c r="E127" s="1211">
        <v>338740467.39999992</v>
      </c>
    </row>
    <row r="128" spans="1:5" s="892" customFormat="1" ht="12.75" customHeight="1" x14ac:dyDescent="0.3">
      <c r="A128" s="892" t="s">
        <v>254</v>
      </c>
      <c r="D128" s="1211">
        <v>252435945.44999999</v>
      </c>
      <c r="E128" s="1211">
        <v>252435945.44999999</v>
      </c>
    </row>
    <row r="129" spans="1:5" s="892" customFormat="1" ht="12.75" customHeight="1" x14ac:dyDescent="0.3">
      <c r="A129" s="892" t="s">
        <v>252</v>
      </c>
      <c r="D129" s="1211">
        <v>208875397.73999998</v>
      </c>
      <c r="E129" s="1211">
        <v>208875397.73999998</v>
      </c>
    </row>
    <row r="130" spans="1:5" s="892" customFormat="1" ht="12.75" customHeight="1" x14ac:dyDescent="0.3">
      <c r="A130" s="892" t="s">
        <v>255</v>
      </c>
      <c r="D130" s="1211">
        <v>126937988.09</v>
      </c>
      <c r="E130" s="1211">
        <v>126937988.09</v>
      </c>
    </row>
    <row r="131" spans="1:5" s="892" customFormat="1" ht="12.75" customHeight="1" x14ac:dyDescent="0.3">
      <c r="A131" s="892" t="s">
        <v>8</v>
      </c>
      <c r="D131" s="1212">
        <f>E131</f>
        <v>1177173890.6899998</v>
      </c>
      <c r="E131" s="1212">
        <f>SUM(E126:E130)</f>
        <v>1177173890.6899998</v>
      </c>
    </row>
    <row r="133" spans="1:5" s="173" customFormat="1" x14ac:dyDescent="0.3">
      <c r="A133" s="584" t="s">
        <v>898</v>
      </c>
      <c r="B133" s="410"/>
      <c r="C133" s="410"/>
      <c r="D133" s="368"/>
    </row>
    <row r="134" spans="1:5" s="173" customFormat="1" x14ac:dyDescent="0.3"/>
    <row r="135" spans="1:5" s="193" customFormat="1" x14ac:dyDescent="0.3">
      <c r="A135" s="193" t="s">
        <v>247</v>
      </c>
    </row>
    <row r="136" spans="1:5" x14ac:dyDescent="0.3">
      <c r="A136" s="194" t="s">
        <v>248</v>
      </c>
      <c r="B136" s="195" t="s">
        <v>249</v>
      </c>
      <c r="C136" s="195"/>
    </row>
  </sheetData>
  <autoFilter ref="A3:C124"/>
  <sortState ref="A5:E124">
    <sortCondition ref="A5:A124"/>
  </sortState>
  <hyperlinks>
    <hyperlink ref="B136" r:id="rId1"/>
  </hyperlinks>
  <pageMargins left="0.7" right="0.7" top="0.75" bottom="0.75" header="0.3" footer="0.3"/>
  <pageSetup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6"/>
  <sheetViews>
    <sheetView workbookViewId="0">
      <pane xSplit="3" ySplit="4" topLeftCell="D116" activePane="bottomRight" state="frozen"/>
      <selection pane="topRight" activeCell="D1" sqref="D1"/>
      <selection pane="bottomLeft" activeCell="A5" sqref="A5"/>
      <selection pane="bottomRight" activeCell="B133" sqref="B133"/>
    </sheetView>
  </sheetViews>
  <sheetFormatPr defaultColWidth="9" defaultRowHeight="15.6" x14ac:dyDescent="0.3"/>
  <cols>
    <col min="1" max="1" width="10" style="105" customWidth="1"/>
    <col min="2" max="2" width="28.59765625" style="105" customWidth="1"/>
    <col min="3" max="3" width="16.5" style="105" customWidth="1"/>
    <col min="4" max="9" width="17.09765625" style="105" customWidth="1"/>
    <col min="10" max="16384" width="9" style="105"/>
  </cols>
  <sheetData>
    <row r="1" spans="1:9" x14ac:dyDescent="0.3">
      <c r="A1" s="2" t="s">
        <v>900</v>
      </c>
      <c r="D1" s="416"/>
    </row>
    <row r="2" spans="1:9" x14ac:dyDescent="0.3">
      <c r="D2" s="416"/>
    </row>
    <row r="3" spans="1:9" s="892" customFormat="1" ht="12.75" customHeight="1" x14ac:dyDescent="0.3">
      <c r="A3" s="918" t="s">
        <v>4</v>
      </c>
      <c r="B3" s="919" t="s">
        <v>5</v>
      </c>
      <c r="C3" s="919" t="s">
        <v>250</v>
      </c>
      <c r="D3" s="1219" t="s">
        <v>295</v>
      </c>
      <c r="E3" s="1220" t="s">
        <v>585</v>
      </c>
      <c r="F3" s="1220" t="s">
        <v>583</v>
      </c>
      <c r="G3" s="1220" t="s">
        <v>584</v>
      </c>
      <c r="H3" s="1220" t="s">
        <v>586</v>
      </c>
      <c r="I3" s="1221" t="s">
        <v>587</v>
      </c>
    </row>
    <row r="4" spans="1:9" s="892" customFormat="1" ht="12.75" customHeight="1" x14ac:dyDescent="0.3">
      <c r="A4" s="920">
        <v>999</v>
      </c>
      <c r="B4" s="921" t="s">
        <v>8</v>
      </c>
      <c r="C4" s="921"/>
      <c r="D4" s="1222">
        <f>SUM(D5:D124)</f>
        <v>69929600.410000011</v>
      </c>
      <c r="E4" s="1223">
        <f>SUM(E5:E124)</f>
        <v>69929600.410000011</v>
      </c>
      <c r="F4" s="1223">
        <f t="shared" ref="F4:I4" si="0">SUM(F5:F124)</f>
        <v>0</v>
      </c>
      <c r="G4" s="1223">
        <f t="shared" si="0"/>
        <v>0</v>
      </c>
      <c r="H4" s="1223">
        <f t="shared" si="0"/>
        <v>0</v>
      </c>
      <c r="I4" s="1224">
        <f t="shared" si="0"/>
        <v>0</v>
      </c>
    </row>
    <row r="5" spans="1:9" s="892" customFormat="1" ht="12.75" customHeight="1" x14ac:dyDescent="0.3">
      <c r="A5" s="922" t="s">
        <v>9</v>
      </c>
      <c r="B5" s="923" t="s">
        <v>10</v>
      </c>
      <c r="C5" s="895" t="s">
        <v>251</v>
      </c>
      <c r="D5" s="1225">
        <v>920765.87</v>
      </c>
      <c r="E5" s="1226">
        <v>920765.87</v>
      </c>
      <c r="F5" s="1226">
        <v>0</v>
      </c>
      <c r="G5" s="1226">
        <v>0</v>
      </c>
      <c r="H5" s="1226">
        <v>0</v>
      </c>
      <c r="I5" s="1227">
        <f t="shared" ref="I5:I36" si="1">G5+H5</f>
        <v>0</v>
      </c>
    </row>
    <row r="6" spans="1:9" s="892" customFormat="1" ht="12.75" customHeight="1" x14ac:dyDescent="0.3">
      <c r="A6" s="922" t="s">
        <v>11</v>
      </c>
      <c r="B6" s="923" t="s">
        <v>12</v>
      </c>
      <c r="C6" s="895" t="s">
        <v>252</v>
      </c>
      <c r="D6" s="1225">
        <v>485156.13</v>
      </c>
      <c r="E6" s="1226">
        <v>485156.13</v>
      </c>
      <c r="F6" s="1226">
        <v>0</v>
      </c>
      <c r="G6" s="1226">
        <v>0</v>
      </c>
      <c r="H6" s="1226">
        <v>0</v>
      </c>
      <c r="I6" s="1227">
        <f t="shared" si="1"/>
        <v>0</v>
      </c>
    </row>
    <row r="7" spans="1:9" s="892" customFormat="1" ht="12.75" customHeight="1" x14ac:dyDescent="0.3">
      <c r="A7" s="922" t="s">
        <v>15</v>
      </c>
      <c r="B7" s="923" t="s">
        <v>273</v>
      </c>
      <c r="C7" s="895" t="s">
        <v>252</v>
      </c>
      <c r="D7" s="1225">
        <v>607029.48</v>
      </c>
      <c r="E7" s="1226">
        <v>607029.48</v>
      </c>
      <c r="F7" s="1226">
        <v>0</v>
      </c>
      <c r="G7" s="1226">
        <v>0</v>
      </c>
      <c r="H7" s="1226">
        <v>0</v>
      </c>
      <c r="I7" s="1227">
        <f t="shared" si="1"/>
        <v>0</v>
      </c>
    </row>
    <row r="8" spans="1:9" s="892" customFormat="1" ht="12.75" customHeight="1" x14ac:dyDescent="0.3">
      <c r="A8" s="922" t="s">
        <v>17</v>
      </c>
      <c r="B8" s="923" t="s">
        <v>18</v>
      </c>
      <c r="C8" s="895" t="s">
        <v>253</v>
      </c>
      <c r="D8" s="1225">
        <v>171975.86</v>
      </c>
      <c r="E8" s="1226">
        <v>171975.86</v>
      </c>
      <c r="F8" s="1226">
        <v>0</v>
      </c>
      <c r="G8" s="1226">
        <v>0</v>
      </c>
      <c r="H8" s="1226">
        <v>0</v>
      </c>
      <c r="I8" s="1227">
        <f t="shared" si="1"/>
        <v>0</v>
      </c>
    </row>
    <row r="9" spans="1:9" s="892" customFormat="1" ht="12.75" customHeight="1" x14ac:dyDescent="0.3">
      <c r="A9" s="922" t="s">
        <v>19</v>
      </c>
      <c r="B9" s="923" t="s">
        <v>20</v>
      </c>
      <c r="C9" s="895" t="s">
        <v>252</v>
      </c>
      <c r="D9" s="1225">
        <v>528160.38</v>
      </c>
      <c r="E9" s="1226">
        <v>528160.38</v>
      </c>
      <c r="F9" s="1226">
        <v>0</v>
      </c>
      <c r="G9" s="1226">
        <v>0</v>
      </c>
      <c r="H9" s="1226">
        <v>0</v>
      </c>
      <c r="I9" s="1227">
        <f t="shared" si="1"/>
        <v>0</v>
      </c>
    </row>
    <row r="10" spans="1:9" s="892" customFormat="1" ht="12.75" customHeight="1" x14ac:dyDescent="0.3">
      <c r="A10" s="922" t="s">
        <v>21</v>
      </c>
      <c r="B10" s="923" t="s">
        <v>22</v>
      </c>
      <c r="C10" s="895" t="s">
        <v>252</v>
      </c>
      <c r="D10" s="1225">
        <v>364447.17</v>
      </c>
      <c r="E10" s="1226">
        <v>364447.17</v>
      </c>
      <c r="F10" s="1226">
        <v>0</v>
      </c>
      <c r="G10" s="1226">
        <v>0</v>
      </c>
      <c r="H10" s="1226">
        <v>0</v>
      </c>
      <c r="I10" s="1227">
        <f t="shared" si="1"/>
        <v>0</v>
      </c>
    </row>
    <row r="11" spans="1:9" s="892" customFormat="1" ht="12.75" customHeight="1" x14ac:dyDescent="0.3">
      <c r="A11" s="922" t="s">
        <v>23</v>
      </c>
      <c r="B11" s="923" t="s">
        <v>24</v>
      </c>
      <c r="C11" s="895" t="s">
        <v>254</v>
      </c>
      <c r="D11" s="1225">
        <v>470230.32</v>
      </c>
      <c r="E11" s="1226">
        <v>470230.32</v>
      </c>
      <c r="F11" s="1226">
        <v>0</v>
      </c>
      <c r="G11" s="1226">
        <v>0</v>
      </c>
      <c r="H11" s="1226">
        <v>0</v>
      </c>
      <c r="I11" s="1227">
        <f t="shared" si="1"/>
        <v>0</v>
      </c>
    </row>
    <row r="12" spans="1:9" s="892" customFormat="1" ht="12.75" customHeight="1" x14ac:dyDescent="0.3">
      <c r="A12" s="922" t="s">
        <v>25</v>
      </c>
      <c r="B12" s="923" t="s">
        <v>444</v>
      </c>
      <c r="C12" s="895" t="s">
        <v>252</v>
      </c>
      <c r="D12" s="1225">
        <v>1279864.8</v>
      </c>
      <c r="E12" s="1226">
        <v>1279864.8</v>
      </c>
      <c r="F12" s="1226">
        <v>0</v>
      </c>
      <c r="G12" s="1226">
        <v>0</v>
      </c>
      <c r="H12" s="1226">
        <v>0</v>
      </c>
      <c r="I12" s="1227">
        <f t="shared" si="1"/>
        <v>0</v>
      </c>
    </row>
    <row r="13" spans="1:9" s="892" customFormat="1" ht="12.75" customHeight="1" x14ac:dyDescent="0.3">
      <c r="A13" s="922" t="s">
        <v>26</v>
      </c>
      <c r="B13" s="923" t="s">
        <v>27</v>
      </c>
      <c r="C13" s="895" t="s">
        <v>252</v>
      </c>
      <c r="D13" s="1225">
        <v>54714.99</v>
      </c>
      <c r="E13" s="1226">
        <v>54714.99</v>
      </c>
      <c r="F13" s="1226">
        <v>0</v>
      </c>
      <c r="G13" s="1226">
        <v>0</v>
      </c>
      <c r="H13" s="1226">
        <v>0</v>
      </c>
      <c r="I13" s="1227">
        <f t="shared" si="1"/>
        <v>0</v>
      </c>
    </row>
    <row r="14" spans="1:9" s="892" customFormat="1" ht="12.75" customHeight="1" x14ac:dyDescent="0.3">
      <c r="A14" s="922" t="s">
        <v>28</v>
      </c>
      <c r="B14" s="923" t="s">
        <v>568</v>
      </c>
      <c r="C14" s="895" t="s">
        <v>252</v>
      </c>
      <c r="D14" s="1225">
        <v>681524.7300000001</v>
      </c>
      <c r="E14" s="1226">
        <v>681524.7300000001</v>
      </c>
      <c r="F14" s="1226">
        <v>0</v>
      </c>
      <c r="G14" s="1226">
        <v>0</v>
      </c>
      <c r="H14" s="1226">
        <v>0</v>
      </c>
      <c r="I14" s="1227">
        <f t="shared" si="1"/>
        <v>0</v>
      </c>
    </row>
    <row r="15" spans="1:9" s="892" customFormat="1" ht="12.75" customHeight="1" x14ac:dyDescent="0.3">
      <c r="A15" s="922" t="s">
        <v>29</v>
      </c>
      <c r="B15" s="923" t="s">
        <v>30</v>
      </c>
      <c r="C15" s="895" t="s">
        <v>255</v>
      </c>
      <c r="D15" s="1225">
        <v>78601.98000000001</v>
      </c>
      <c r="E15" s="1226">
        <v>78601.98000000001</v>
      </c>
      <c r="F15" s="1226">
        <v>0</v>
      </c>
      <c r="G15" s="1226">
        <v>0</v>
      </c>
      <c r="H15" s="1226">
        <v>0</v>
      </c>
      <c r="I15" s="1227">
        <f t="shared" si="1"/>
        <v>0</v>
      </c>
    </row>
    <row r="16" spans="1:9" s="892" customFormat="1" ht="12.75" customHeight="1" x14ac:dyDescent="0.3">
      <c r="A16" s="922" t="s">
        <v>31</v>
      </c>
      <c r="B16" s="923" t="s">
        <v>32</v>
      </c>
      <c r="C16" s="895" t="s">
        <v>252</v>
      </c>
      <c r="D16" s="1225">
        <v>143470.20000000001</v>
      </c>
      <c r="E16" s="1226">
        <v>143470.20000000001</v>
      </c>
      <c r="F16" s="1226">
        <v>0</v>
      </c>
      <c r="G16" s="1226">
        <v>0</v>
      </c>
      <c r="H16" s="1226">
        <v>0</v>
      </c>
      <c r="I16" s="1227">
        <f t="shared" si="1"/>
        <v>0</v>
      </c>
    </row>
    <row r="17" spans="1:9" s="892" customFormat="1" ht="12.75" customHeight="1" x14ac:dyDescent="0.3">
      <c r="A17" s="922" t="s">
        <v>35</v>
      </c>
      <c r="B17" s="923" t="s">
        <v>36</v>
      </c>
      <c r="C17" s="895" t="s">
        <v>251</v>
      </c>
      <c r="D17" s="1225">
        <v>653224.34000000008</v>
      </c>
      <c r="E17" s="1226">
        <v>653224.34000000008</v>
      </c>
      <c r="F17" s="1226">
        <v>0</v>
      </c>
      <c r="G17" s="1226">
        <v>0</v>
      </c>
      <c r="H17" s="1226">
        <v>0</v>
      </c>
      <c r="I17" s="1227">
        <f t="shared" si="1"/>
        <v>0</v>
      </c>
    </row>
    <row r="18" spans="1:9" s="892" customFormat="1" ht="12.75" customHeight="1" x14ac:dyDescent="0.3">
      <c r="A18" s="922" t="s">
        <v>37</v>
      </c>
      <c r="B18" s="923" t="s">
        <v>38</v>
      </c>
      <c r="C18" s="895" t="s">
        <v>255</v>
      </c>
      <c r="D18" s="1225">
        <v>1684857.55</v>
      </c>
      <c r="E18" s="1226">
        <v>1684857.55</v>
      </c>
      <c r="F18" s="1226">
        <v>0</v>
      </c>
      <c r="G18" s="1226">
        <v>0</v>
      </c>
      <c r="H18" s="1226">
        <v>0</v>
      </c>
      <c r="I18" s="1227">
        <f t="shared" si="1"/>
        <v>0</v>
      </c>
    </row>
    <row r="19" spans="1:9" s="892" customFormat="1" ht="12.75" customHeight="1" x14ac:dyDescent="0.3">
      <c r="A19" s="922" t="s">
        <v>39</v>
      </c>
      <c r="B19" s="923" t="s">
        <v>40</v>
      </c>
      <c r="C19" s="895" t="s">
        <v>253</v>
      </c>
      <c r="D19" s="1225">
        <v>419390.85000000003</v>
      </c>
      <c r="E19" s="1226">
        <v>419390.85000000003</v>
      </c>
      <c r="F19" s="1226">
        <v>0</v>
      </c>
      <c r="G19" s="1226">
        <v>0</v>
      </c>
      <c r="H19" s="1226">
        <v>0</v>
      </c>
      <c r="I19" s="1227">
        <f t="shared" si="1"/>
        <v>0</v>
      </c>
    </row>
    <row r="20" spans="1:9" s="892" customFormat="1" ht="12.75" customHeight="1" x14ac:dyDescent="0.3">
      <c r="A20" s="922" t="s">
        <v>41</v>
      </c>
      <c r="B20" s="923" t="s">
        <v>42</v>
      </c>
      <c r="C20" s="895" t="s">
        <v>252</v>
      </c>
      <c r="D20" s="1225">
        <v>1032412.1000000001</v>
      </c>
      <c r="E20" s="1226">
        <v>1032412.1000000001</v>
      </c>
      <c r="F20" s="1226">
        <v>0</v>
      </c>
      <c r="G20" s="1226">
        <v>0</v>
      </c>
      <c r="H20" s="1226">
        <v>0</v>
      </c>
      <c r="I20" s="1227">
        <f t="shared" si="1"/>
        <v>0</v>
      </c>
    </row>
    <row r="21" spans="1:9" s="892" customFormat="1" ht="12.75" customHeight="1" x14ac:dyDescent="0.3">
      <c r="A21" s="922" t="s">
        <v>43</v>
      </c>
      <c r="B21" s="923" t="s">
        <v>44</v>
      </c>
      <c r="C21" s="895" t="s">
        <v>253</v>
      </c>
      <c r="D21" s="1225">
        <v>253598.97999999998</v>
      </c>
      <c r="E21" s="1226">
        <v>253598.97999999998</v>
      </c>
      <c r="F21" s="1226">
        <v>0</v>
      </c>
      <c r="G21" s="1226">
        <v>0</v>
      </c>
      <c r="H21" s="1226">
        <v>0</v>
      </c>
      <c r="I21" s="1227">
        <f t="shared" si="1"/>
        <v>0</v>
      </c>
    </row>
    <row r="22" spans="1:9" s="892" customFormat="1" ht="12.75" customHeight="1" x14ac:dyDescent="0.3">
      <c r="A22" s="922" t="s">
        <v>45</v>
      </c>
      <c r="B22" s="923" t="s">
        <v>46</v>
      </c>
      <c r="C22" s="895" t="s">
        <v>255</v>
      </c>
      <c r="D22" s="1225">
        <v>793162.80999999994</v>
      </c>
      <c r="E22" s="1226">
        <v>793162.80999999994</v>
      </c>
      <c r="F22" s="1226">
        <v>0</v>
      </c>
      <c r="G22" s="1226">
        <v>0</v>
      </c>
      <c r="H22" s="1226">
        <v>0</v>
      </c>
      <c r="I22" s="1227">
        <f t="shared" si="1"/>
        <v>0</v>
      </c>
    </row>
    <row r="23" spans="1:9" s="892" customFormat="1" ht="12.75" customHeight="1" x14ac:dyDescent="0.3">
      <c r="A23" s="922" t="s">
        <v>47</v>
      </c>
      <c r="B23" s="923" t="s">
        <v>256</v>
      </c>
      <c r="C23" s="895" t="s">
        <v>253</v>
      </c>
      <c r="D23" s="1225">
        <v>93992.31</v>
      </c>
      <c r="E23" s="1226">
        <v>93992.31</v>
      </c>
      <c r="F23" s="1226">
        <v>0</v>
      </c>
      <c r="G23" s="1226">
        <v>0</v>
      </c>
      <c r="H23" s="1226">
        <v>0</v>
      </c>
      <c r="I23" s="1227">
        <f t="shared" si="1"/>
        <v>0</v>
      </c>
    </row>
    <row r="24" spans="1:9" s="892" customFormat="1" ht="12.75" customHeight="1" x14ac:dyDescent="0.3">
      <c r="A24" s="922" t="s">
        <v>49</v>
      </c>
      <c r="B24" s="923" t="s">
        <v>50</v>
      </c>
      <c r="C24" s="895" t="s">
        <v>252</v>
      </c>
      <c r="D24" s="1225">
        <v>374657.32</v>
      </c>
      <c r="E24" s="1226">
        <v>374657.32</v>
      </c>
      <c r="F24" s="1226">
        <v>0</v>
      </c>
      <c r="G24" s="1226">
        <v>0</v>
      </c>
      <c r="H24" s="1226">
        <v>0</v>
      </c>
      <c r="I24" s="1227">
        <f t="shared" si="1"/>
        <v>0</v>
      </c>
    </row>
    <row r="25" spans="1:9" s="892" customFormat="1" ht="12.75" customHeight="1" x14ac:dyDescent="0.3">
      <c r="A25" s="922" t="s">
        <v>55</v>
      </c>
      <c r="B25" s="923" t="s">
        <v>271</v>
      </c>
      <c r="C25" s="895" t="s">
        <v>253</v>
      </c>
      <c r="D25" s="1225">
        <v>1267283.3299999998</v>
      </c>
      <c r="E25" s="1226">
        <v>1267283.3299999998</v>
      </c>
      <c r="F25" s="1226">
        <v>0</v>
      </c>
      <c r="G25" s="1226">
        <v>0</v>
      </c>
      <c r="H25" s="1226">
        <v>0</v>
      </c>
      <c r="I25" s="1227">
        <f t="shared" si="1"/>
        <v>0</v>
      </c>
    </row>
    <row r="26" spans="1:9" s="892" customFormat="1" ht="12.75" customHeight="1" x14ac:dyDescent="0.3">
      <c r="A26" s="922" t="s">
        <v>57</v>
      </c>
      <c r="B26" s="923" t="s">
        <v>58</v>
      </c>
      <c r="C26" s="895" t="s">
        <v>254</v>
      </c>
      <c r="D26" s="1225">
        <v>39468.769999999997</v>
      </c>
      <c r="E26" s="1226">
        <v>39468.769999999997</v>
      </c>
      <c r="F26" s="1226">
        <v>0</v>
      </c>
      <c r="G26" s="1226">
        <v>0</v>
      </c>
      <c r="H26" s="1226">
        <v>0</v>
      </c>
      <c r="I26" s="1227">
        <f t="shared" si="1"/>
        <v>0</v>
      </c>
    </row>
    <row r="27" spans="1:9" s="892" customFormat="1" ht="12.75" customHeight="1" x14ac:dyDescent="0.3">
      <c r="A27" s="922" t="s">
        <v>59</v>
      </c>
      <c r="B27" s="923" t="s">
        <v>60</v>
      </c>
      <c r="C27" s="895" t="s">
        <v>252</v>
      </c>
      <c r="D27" s="1225">
        <v>83164.37999999999</v>
      </c>
      <c r="E27" s="1226">
        <v>83164.37999999999</v>
      </c>
      <c r="F27" s="1226">
        <v>0</v>
      </c>
      <c r="G27" s="1226">
        <v>0</v>
      </c>
      <c r="H27" s="1226">
        <v>0</v>
      </c>
      <c r="I27" s="1227">
        <f t="shared" si="1"/>
        <v>0</v>
      </c>
    </row>
    <row r="28" spans="1:9" s="892" customFormat="1" ht="12.75" customHeight="1" x14ac:dyDescent="0.3">
      <c r="A28" s="922" t="s">
        <v>61</v>
      </c>
      <c r="B28" s="923" t="s">
        <v>62</v>
      </c>
      <c r="C28" s="895" t="s">
        <v>254</v>
      </c>
      <c r="D28" s="1225">
        <v>287176.02999999997</v>
      </c>
      <c r="E28" s="1226">
        <v>287176.02999999997</v>
      </c>
      <c r="F28" s="1226">
        <v>0</v>
      </c>
      <c r="G28" s="1226">
        <v>0</v>
      </c>
      <c r="H28" s="1226">
        <v>0</v>
      </c>
      <c r="I28" s="1227">
        <f t="shared" si="1"/>
        <v>0</v>
      </c>
    </row>
    <row r="29" spans="1:9" s="892" customFormat="1" ht="12.75" customHeight="1" x14ac:dyDescent="0.3">
      <c r="A29" s="922" t="s">
        <v>63</v>
      </c>
      <c r="B29" s="923" t="s">
        <v>64</v>
      </c>
      <c r="C29" s="895" t="s">
        <v>253</v>
      </c>
      <c r="D29" s="1225">
        <v>271361.73000000004</v>
      </c>
      <c r="E29" s="1226">
        <v>271361.73000000004</v>
      </c>
      <c r="F29" s="1226">
        <v>0</v>
      </c>
      <c r="G29" s="1226">
        <v>0</v>
      </c>
      <c r="H29" s="1226">
        <v>0</v>
      </c>
      <c r="I29" s="1227">
        <f t="shared" si="1"/>
        <v>0</v>
      </c>
    </row>
    <row r="30" spans="1:9" s="892" customFormat="1" ht="12.75" customHeight="1" x14ac:dyDescent="0.3">
      <c r="A30" s="922" t="s">
        <v>67</v>
      </c>
      <c r="B30" s="923" t="s">
        <v>68</v>
      </c>
      <c r="C30" s="895" t="s">
        <v>255</v>
      </c>
      <c r="D30" s="1225">
        <v>797049.59</v>
      </c>
      <c r="E30" s="1226">
        <v>797049.59</v>
      </c>
      <c r="F30" s="1226">
        <v>0</v>
      </c>
      <c r="G30" s="1226">
        <v>0</v>
      </c>
      <c r="H30" s="1226">
        <v>0</v>
      </c>
      <c r="I30" s="1227">
        <f t="shared" si="1"/>
        <v>0</v>
      </c>
    </row>
    <row r="31" spans="1:9" s="892" customFormat="1" ht="12.75" customHeight="1" x14ac:dyDescent="0.3">
      <c r="A31" s="922" t="s">
        <v>69</v>
      </c>
      <c r="B31" s="923" t="s">
        <v>70</v>
      </c>
      <c r="C31" s="895" t="s">
        <v>251</v>
      </c>
      <c r="D31" s="1225">
        <v>429074.48</v>
      </c>
      <c r="E31" s="1226">
        <v>429074.48</v>
      </c>
      <c r="F31" s="1226">
        <v>0</v>
      </c>
      <c r="G31" s="1226">
        <v>0</v>
      </c>
      <c r="H31" s="1226">
        <v>0</v>
      </c>
      <c r="I31" s="1227">
        <f t="shared" si="1"/>
        <v>0</v>
      </c>
    </row>
    <row r="32" spans="1:9" s="892" customFormat="1" ht="12.75" customHeight="1" x14ac:dyDescent="0.3">
      <c r="A32" s="922" t="s">
        <v>71</v>
      </c>
      <c r="B32" s="923" t="s">
        <v>72</v>
      </c>
      <c r="C32" s="895" t="s">
        <v>253</v>
      </c>
      <c r="D32" s="1225">
        <v>272291.93</v>
      </c>
      <c r="E32" s="1226">
        <v>272291.93</v>
      </c>
      <c r="F32" s="1226">
        <v>0</v>
      </c>
      <c r="G32" s="1226">
        <v>0</v>
      </c>
      <c r="H32" s="1226">
        <v>0</v>
      </c>
      <c r="I32" s="1227">
        <f t="shared" si="1"/>
        <v>0</v>
      </c>
    </row>
    <row r="33" spans="1:9" s="892" customFormat="1" ht="12.75" customHeight="1" x14ac:dyDescent="0.3">
      <c r="A33" s="922" t="s">
        <v>73</v>
      </c>
      <c r="B33" s="923" t="s">
        <v>277</v>
      </c>
      <c r="C33" s="895" t="s">
        <v>254</v>
      </c>
      <c r="D33" s="1225">
        <v>790909.77</v>
      </c>
      <c r="E33" s="1226">
        <v>790909.77</v>
      </c>
      <c r="F33" s="1226">
        <v>0</v>
      </c>
      <c r="G33" s="1226">
        <v>0</v>
      </c>
      <c r="H33" s="1226">
        <v>0</v>
      </c>
      <c r="I33" s="1227">
        <f t="shared" si="1"/>
        <v>0</v>
      </c>
    </row>
    <row r="34" spans="1:9" s="892" customFormat="1" ht="12.75" customHeight="1" x14ac:dyDescent="0.3">
      <c r="A34" s="922" t="s">
        <v>75</v>
      </c>
      <c r="B34" s="923" t="s">
        <v>76</v>
      </c>
      <c r="C34" s="895" t="s">
        <v>254</v>
      </c>
      <c r="D34" s="1225">
        <v>156133.02000000002</v>
      </c>
      <c r="E34" s="1226">
        <v>156133.02000000002</v>
      </c>
      <c r="F34" s="1226">
        <v>0</v>
      </c>
      <c r="G34" s="1226">
        <v>0</v>
      </c>
      <c r="H34" s="1226">
        <v>0</v>
      </c>
      <c r="I34" s="1227">
        <f t="shared" si="1"/>
        <v>0</v>
      </c>
    </row>
    <row r="35" spans="1:9" s="892" customFormat="1" ht="12.75" customHeight="1" x14ac:dyDescent="0.3">
      <c r="A35" s="922" t="s">
        <v>77</v>
      </c>
      <c r="B35" s="923" t="s">
        <v>78</v>
      </c>
      <c r="C35" s="895" t="s">
        <v>255</v>
      </c>
      <c r="D35" s="1225">
        <v>244815.13999999998</v>
      </c>
      <c r="E35" s="1226">
        <v>244815.13999999998</v>
      </c>
      <c r="F35" s="1226">
        <v>0</v>
      </c>
      <c r="G35" s="1226">
        <v>0</v>
      </c>
      <c r="H35" s="1226">
        <v>0</v>
      </c>
      <c r="I35" s="1227">
        <f t="shared" si="1"/>
        <v>0</v>
      </c>
    </row>
    <row r="36" spans="1:9" s="892" customFormat="1" ht="12.75" customHeight="1" x14ac:dyDescent="0.3">
      <c r="A36" s="922" t="s">
        <v>79</v>
      </c>
      <c r="B36" s="923" t="s">
        <v>80</v>
      </c>
      <c r="C36" s="895" t="s">
        <v>253</v>
      </c>
      <c r="D36" s="1225">
        <v>173395.89</v>
      </c>
      <c r="E36" s="1226">
        <v>173395.89</v>
      </c>
      <c r="F36" s="1226">
        <v>0</v>
      </c>
      <c r="G36" s="1226">
        <v>0</v>
      </c>
      <c r="H36" s="1226">
        <v>0</v>
      </c>
      <c r="I36" s="1227">
        <f t="shared" si="1"/>
        <v>0</v>
      </c>
    </row>
    <row r="37" spans="1:9" s="892" customFormat="1" ht="12.75" customHeight="1" x14ac:dyDescent="0.3">
      <c r="A37" s="922" t="s">
        <v>83</v>
      </c>
      <c r="B37" s="923" t="s">
        <v>281</v>
      </c>
      <c r="C37" s="895" t="s">
        <v>252</v>
      </c>
      <c r="D37" s="1225">
        <v>845955.6399999999</v>
      </c>
      <c r="E37" s="1226">
        <v>845955.6399999999</v>
      </c>
      <c r="F37" s="1226">
        <v>0</v>
      </c>
      <c r="G37" s="1226">
        <v>0</v>
      </c>
      <c r="H37" s="1226">
        <v>0</v>
      </c>
      <c r="I37" s="1227">
        <f t="shared" ref="I37:I68" si="2">G37+H37</f>
        <v>0</v>
      </c>
    </row>
    <row r="38" spans="1:9" s="892" customFormat="1" ht="12.75" customHeight="1" x14ac:dyDescent="0.3">
      <c r="A38" s="922" t="s">
        <v>85</v>
      </c>
      <c r="B38" s="923" t="s">
        <v>86</v>
      </c>
      <c r="C38" s="895" t="s">
        <v>254</v>
      </c>
      <c r="D38" s="1225">
        <v>237600.61000000002</v>
      </c>
      <c r="E38" s="1226">
        <v>237600.61000000002</v>
      </c>
      <c r="F38" s="1226">
        <v>0</v>
      </c>
      <c r="G38" s="1226">
        <v>0</v>
      </c>
      <c r="H38" s="1226">
        <v>0</v>
      </c>
      <c r="I38" s="1227">
        <f t="shared" si="2"/>
        <v>0</v>
      </c>
    </row>
    <row r="39" spans="1:9" s="892" customFormat="1" ht="12.75" customHeight="1" x14ac:dyDescent="0.3">
      <c r="A39" s="922" t="s">
        <v>91</v>
      </c>
      <c r="B39" s="923" t="s">
        <v>92</v>
      </c>
      <c r="C39" s="895" t="s">
        <v>255</v>
      </c>
      <c r="D39" s="1225">
        <v>369605.09</v>
      </c>
      <c r="E39" s="1226">
        <v>369605.09</v>
      </c>
      <c r="F39" s="1226">
        <v>0</v>
      </c>
      <c r="G39" s="1226">
        <v>0</v>
      </c>
      <c r="H39" s="1226">
        <v>0</v>
      </c>
      <c r="I39" s="1227">
        <f t="shared" si="2"/>
        <v>0</v>
      </c>
    </row>
    <row r="40" spans="1:9" s="892" customFormat="1" ht="12.75" customHeight="1" x14ac:dyDescent="0.3">
      <c r="A40" s="922" t="s">
        <v>93</v>
      </c>
      <c r="B40" s="923" t="s">
        <v>94</v>
      </c>
      <c r="C40" s="895" t="s">
        <v>251</v>
      </c>
      <c r="D40" s="1225">
        <v>335262.72000000003</v>
      </c>
      <c r="E40" s="1226">
        <v>335262.72000000003</v>
      </c>
      <c r="F40" s="1226">
        <v>0</v>
      </c>
      <c r="G40" s="1226">
        <v>0</v>
      </c>
      <c r="H40" s="1226">
        <v>0</v>
      </c>
      <c r="I40" s="1227">
        <f t="shared" si="2"/>
        <v>0</v>
      </c>
    </row>
    <row r="41" spans="1:9" s="892" customFormat="1" ht="12.75" customHeight="1" x14ac:dyDescent="0.3">
      <c r="A41" s="922" t="s">
        <v>95</v>
      </c>
      <c r="B41" s="923" t="s">
        <v>96</v>
      </c>
      <c r="C41" s="895" t="s">
        <v>253</v>
      </c>
      <c r="D41" s="1225">
        <v>121709.75</v>
      </c>
      <c r="E41" s="1226">
        <v>121709.75</v>
      </c>
      <c r="F41" s="1226">
        <v>0</v>
      </c>
      <c r="G41" s="1226">
        <v>0</v>
      </c>
      <c r="H41" s="1226">
        <v>0</v>
      </c>
      <c r="I41" s="1227">
        <f t="shared" si="2"/>
        <v>0</v>
      </c>
    </row>
    <row r="42" spans="1:9" s="892" customFormat="1" ht="12.75" customHeight="1" x14ac:dyDescent="0.3">
      <c r="A42" s="922" t="s">
        <v>97</v>
      </c>
      <c r="B42" s="923" t="s">
        <v>98</v>
      </c>
      <c r="C42" s="895" t="s">
        <v>255</v>
      </c>
      <c r="D42" s="1225">
        <v>530759.15</v>
      </c>
      <c r="E42" s="1226">
        <v>530759.15</v>
      </c>
      <c r="F42" s="1226">
        <v>0</v>
      </c>
      <c r="G42" s="1226">
        <v>0</v>
      </c>
      <c r="H42" s="1226">
        <v>0</v>
      </c>
      <c r="I42" s="1227">
        <f t="shared" si="2"/>
        <v>0</v>
      </c>
    </row>
    <row r="43" spans="1:9" s="892" customFormat="1" ht="12.75" customHeight="1" x14ac:dyDescent="0.3">
      <c r="A43" s="922" t="s">
        <v>99</v>
      </c>
      <c r="B43" s="923" t="s">
        <v>100</v>
      </c>
      <c r="C43" s="895" t="s">
        <v>254</v>
      </c>
      <c r="D43" s="1225">
        <v>186444.08</v>
      </c>
      <c r="E43" s="1226">
        <v>186444.08</v>
      </c>
      <c r="F43" s="1226">
        <v>0</v>
      </c>
      <c r="G43" s="1226">
        <v>0</v>
      </c>
      <c r="H43" s="1226">
        <v>0</v>
      </c>
      <c r="I43" s="1227">
        <f t="shared" si="2"/>
        <v>0</v>
      </c>
    </row>
    <row r="44" spans="1:9" s="892" customFormat="1" ht="12.75" customHeight="1" x14ac:dyDescent="0.3">
      <c r="A44" s="922" t="s">
        <v>101</v>
      </c>
      <c r="B44" s="923" t="s">
        <v>102</v>
      </c>
      <c r="C44" s="895" t="s">
        <v>251</v>
      </c>
      <c r="D44" s="1225">
        <v>456012.68</v>
      </c>
      <c r="E44" s="1226">
        <v>456012.68</v>
      </c>
      <c r="F44" s="1226">
        <v>0</v>
      </c>
      <c r="G44" s="1226">
        <v>0</v>
      </c>
      <c r="H44" s="1226">
        <v>0</v>
      </c>
      <c r="I44" s="1227">
        <f t="shared" si="2"/>
        <v>0</v>
      </c>
    </row>
    <row r="45" spans="1:9" s="892" customFormat="1" ht="12.75" customHeight="1" x14ac:dyDescent="0.3">
      <c r="A45" s="922" t="s">
        <v>103</v>
      </c>
      <c r="B45" s="923" t="s">
        <v>282</v>
      </c>
      <c r="C45" s="895" t="s">
        <v>252</v>
      </c>
      <c r="D45" s="1225">
        <v>1185757.67</v>
      </c>
      <c r="E45" s="1226">
        <v>1185757.67</v>
      </c>
      <c r="F45" s="1226">
        <v>0</v>
      </c>
      <c r="G45" s="1226">
        <v>0</v>
      </c>
      <c r="H45" s="1226">
        <v>0</v>
      </c>
      <c r="I45" s="1227">
        <f t="shared" si="2"/>
        <v>0</v>
      </c>
    </row>
    <row r="46" spans="1:9" s="892" customFormat="1" ht="12.75" customHeight="1" x14ac:dyDescent="0.3">
      <c r="A46" s="922" t="s">
        <v>107</v>
      </c>
      <c r="B46" s="923" t="s">
        <v>108</v>
      </c>
      <c r="C46" s="895" t="s">
        <v>253</v>
      </c>
      <c r="D46" s="1225">
        <v>363321.28</v>
      </c>
      <c r="E46" s="1226">
        <v>363321.28</v>
      </c>
      <c r="F46" s="1226">
        <v>0</v>
      </c>
      <c r="G46" s="1226">
        <v>0</v>
      </c>
      <c r="H46" s="1226">
        <v>0</v>
      </c>
      <c r="I46" s="1227">
        <f t="shared" si="2"/>
        <v>0</v>
      </c>
    </row>
    <row r="47" spans="1:9" s="892" customFormat="1" ht="12.75" customHeight="1" x14ac:dyDescent="0.3">
      <c r="A47" s="922" t="s">
        <v>109</v>
      </c>
      <c r="B47" s="923" t="s">
        <v>110</v>
      </c>
      <c r="C47" s="895" t="s">
        <v>253</v>
      </c>
      <c r="D47" s="1225">
        <v>1910565.77</v>
      </c>
      <c r="E47" s="1226">
        <v>1910565.77</v>
      </c>
      <c r="F47" s="1226">
        <v>0</v>
      </c>
      <c r="G47" s="1226">
        <v>0</v>
      </c>
      <c r="H47" s="1226">
        <v>0</v>
      </c>
      <c r="I47" s="1227">
        <f t="shared" si="2"/>
        <v>0</v>
      </c>
    </row>
    <row r="48" spans="1:9" s="892" customFormat="1" ht="12.75" customHeight="1" x14ac:dyDescent="0.3">
      <c r="A48" s="922" t="s">
        <v>111</v>
      </c>
      <c r="B48" s="923" t="s">
        <v>275</v>
      </c>
      <c r="C48" s="895" t="s">
        <v>252</v>
      </c>
      <c r="D48" s="1225">
        <v>1943416.1700000002</v>
      </c>
      <c r="E48" s="1226">
        <v>1943416.1700000002</v>
      </c>
      <c r="F48" s="1226">
        <v>0</v>
      </c>
      <c r="G48" s="1226">
        <v>0</v>
      </c>
      <c r="H48" s="1226">
        <v>0</v>
      </c>
      <c r="I48" s="1227">
        <f t="shared" si="2"/>
        <v>0</v>
      </c>
    </row>
    <row r="49" spans="1:9" s="892" customFormat="1" ht="12.75" customHeight="1" x14ac:dyDescent="0.3">
      <c r="A49" s="922" t="s">
        <v>113</v>
      </c>
      <c r="B49" s="923" t="s">
        <v>114</v>
      </c>
      <c r="C49" s="895" t="s">
        <v>252</v>
      </c>
      <c r="D49" s="1225">
        <v>27963.469999999998</v>
      </c>
      <c r="E49" s="1226">
        <v>27963.469999999998</v>
      </c>
      <c r="F49" s="1226">
        <v>0</v>
      </c>
      <c r="G49" s="1226">
        <v>0</v>
      </c>
      <c r="H49" s="1226">
        <v>0</v>
      </c>
      <c r="I49" s="1227">
        <f t="shared" si="2"/>
        <v>0</v>
      </c>
    </row>
    <row r="50" spans="1:9" s="892" customFormat="1" ht="12.75" customHeight="1" x14ac:dyDescent="0.3">
      <c r="A50" s="922" t="s">
        <v>117</v>
      </c>
      <c r="B50" s="923" t="s">
        <v>118</v>
      </c>
      <c r="C50" s="895" t="s">
        <v>251</v>
      </c>
      <c r="D50" s="1225">
        <v>344614.17000000004</v>
      </c>
      <c r="E50" s="1226">
        <v>344614.17000000004</v>
      </c>
      <c r="F50" s="1226">
        <v>0</v>
      </c>
      <c r="G50" s="1226">
        <v>0</v>
      </c>
      <c r="H50" s="1226">
        <v>0</v>
      </c>
      <c r="I50" s="1227">
        <f t="shared" si="2"/>
        <v>0</v>
      </c>
    </row>
    <row r="51" spans="1:9" s="892" customFormat="1" ht="12.75" customHeight="1" x14ac:dyDescent="0.3">
      <c r="A51" s="922" t="s">
        <v>119</v>
      </c>
      <c r="B51" s="923" t="s">
        <v>120</v>
      </c>
      <c r="C51" s="895" t="s">
        <v>251</v>
      </c>
      <c r="D51" s="1225">
        <v>226832.34999999998</v>
      </c>
      <c r="E51" s="1226">
        <v>226832.34999999998</v>
      </c>
      <c r="F51" s="1226">
        <v>0</v>
      </c>
      <c r="G51" s="1226">
        <v>0</v>
      </c>
      <c r="H51" s="1226">
        <v>0</v>
      </c>
      <c r="I51" s="1227">
        <f t="shared" si="2"/>
        <v>0</v>
      </c>
    </row>
    <row r="52" spans="1:9" s="892" customFormat="1" ht="12.75" customHeight="1" x14ac:dyDescent="0.3">
      <c r="A52" s="922" t="s">
        <v>121</v>
      </c>
      <c r="B52" s="923" t="s">
        <v>258</v>
      </c>
      <c r="C52" s="895" t="s">
        <v>253</v>
      </c>
      <c r="D52" s="1225">
        <v>125686.04</v>
      </c>
      <c r="E52" s="1226">
        <v>125686.04</v>
      </c>
      <c r="F52" s="1226">
        <v>0</v>
      </c>
      <c r="G52" s="1226">
        <v>0</v>
      </c>
      <c r="H52" s="1226">
        <v>0</v>
      </c>
      <c r="I52" s="1227">
        <f t="shared" si="2"/>
        <v>0</v>
      </c>
    </row>
    <row r="53" spans="1:9" s="892" customFormat="1" ht="12.75" customHeight="1" x14ac:dyDescent="0.3">
      <c r="A53" s="922" t="s">
        <v>123</v>
      </c>
      <c r="B53" s="923" t="s">
        <v>124</v>
      </c>
      <c r="C53" s="895" t="s">
        <v>254</v>
      </c>
      <c r="D53" s="1225">
        <v>158394.18</v>
      </c>
      <c r="E53" s="1226">
        <v>158394.18</v>
      </c>
      <c r="F53" s="1226">
        <v>0</v>
      </c>
      <c r="G53" s="1226">
        <v>0</v>
      </c>
      <c r="H53" s="1226">
        <v>0</v>
      </c>
      <c r="I53" s="1227">
        <f t="shared" si="2"/>
        <v>0</v>
      </c>
    </row>
    <row r="54" spans="1:9" s="892" customFormat="1" ht="12.75" customHeight="1" x14ac:dyDescent="0.3">
      <c r="A54" s="922" t="s">
        <v>125</v>
      </c>
      <c r="B54" s="923" t="s">
        <v>126</v>
      </c>
      <c r="C54" s="895" t="s">
        <v>253</v>
      </c>
      <c r="D54" s="1225">
        <v>144992.70000000001</v>
      </c>
      <c r="E54" s="1226">
        <v>144992.70000000001</v>
      </c>
      <c r="F54" s="1226">
        <v>0</v>
      </c>
      <c r="G54" s="1226">
        <v>0</v>
      </c>
      <c r="H54" s="1226">
        <v>0</v>
      </c>
      <c r="I54" s="1227">
        <f t="shared" si="2"/>
        <v>0</v>
      </c>
    </row>
    <row r="55" spans="1:9" s="892" customFormat="1" ht="12.75" customHeight="1" x14ac:dyDescent="0.3">
      <c r="A55" s="922" t="s">
        <v>127</v>
      </c>
      <c r="B55" s="923" t="s">
        <v>128</v>
      </c>
      <c r="C55" s="895" t="s">
        <v>253</v>
      </c>
      <c r="D55" s="1225">
        <v>230406.32</v>
      </c>
      <c r="E55" s="1226">
        <v>230406.32</v>
      </c>
      <c r="F55" s="1226">
        <v>0</v>
      </c>
      <c r="G55" s="1226">
        <v>0</v>
      </c>
      <c r="H55" s="1226">
        <v>0</v>
      </c>
      <c r="I55" s="1227">
        <f t="shared" si="2"/>
        <v>0</v>
      </c>
    </row>
    <row r="56" spans="1:9" s="892" customFormat="1" ht="12.75" customHeight="1" x14ac:dyDescent="0.3">
      <c r="A56" s="922" t="s">
        <v>129</v>
      </c>
      <c r="B56" s="923" t="s">
        <v>130</v>
      </c>
      <c r="C56" s="895" t="s">
        <v>255</v>
      </c>
      <c r="D56" s="1225">
        <v>1548277.4</v>
      </c>
      <c r="E56" s="1226">
        <v>1548277.4</v>
      </c>
      <c r="F56" s="1226">
        <v>0</v>
      </c>
      <c r="G56" s="1226">
        <v>0</v>
      </c>
      <c r="H56" s="1226">
        <v>0</v>
      </c>
      <c r="I56" s="1227">
        <f t="shared" si="2"/>
        <v>0</v>
      </c>
    </row>
    <row r="57" spans="1:9" s="892" customFormat="1" ht="12.75" customHeight="1" x14ac:dyDescent="0.3">
      <c r="A57" s="922" t="s">
        <v>131</v>
      </c>
      <c r="B57" s="923" t="s">
        <v>132</v>
      </c>
      <c r="C57" s="895" t="s">
        <v>254</v>
      </c>
      <c r="D57" s="1225">
        <v>166240.82999999999</v>
      </c>
      <c r="E57" s="1226">
        <v>166240.82999999999</v>
      </c>
      <c r="F57" s="1226">
        <v>0</v>
      </c>
      <c r="G57" s="1226">
        <v>0</v>
      </c>
      <c r="H57" s="1226">
        <v>0</v>
      </c>
      <c r="I57" s="1227">
        <f t="shared" si="2"/>
        <v>0</v>
      </c>
    </row>
    <row r="58" spans="1:9" s="892" customFormat="1" ht="12.75" customHeight="1" x14ac:dyDescent="0.3">
      <c r="A58" s="922" t="s">
        <v>133</v>
      </c>
      <c r="B58" s="923" t="s">
        <v>134</v>
      </c>
      <c r="C58" s="895" t="s">
        <v>254</v>
      </c>
      <c r="D58" s="1225">
        <v>422389.21</v>
      </c>
      <c r="E58" s="1226">
        <v>422389.21</v>
      </c>
      <c r="F58" s="1226">
        <v>0</v>
      </c>
      <c r="G58" s="1226">
        <v>0</v>
      </c>
      <c r="H58" s="1226">
        <v>0</v>
      </c>
      <c r="I58" s="1227">
        <f t="shared" si="2"/>
        <v>0</v>
      </c>
    </row>
    <row r="59" spans="1:9" s="892" customFormat="1" ht="12.75" customHeight="1" x14ac:dyDescent="0.3">
      <c r="A59" s="922" t="s">
        <v>135</v>
      </c>
      <c r="B59" s="923" t="s">
        <v>136</v>
      </c>
      <c r="C59" s="895" t="s">
        <v>253</v>
      </c>
      <c r="D59" s="1225">
        <v>447214.89999999997</v>
      </c>
      <c r="E59" s="1226">
        <v>447214.89999999997</v>
      </c>
      <c r="F59" s="1226">
        <v>0</v>
      </c>
      <c r="G59" s="1226">
        <v>0</v>
      </c>
      <c r="H59" s="1226">
        <v>0</v>
      </c>
      <c r="I59" s="1227">
        <f t="shared" si="2"/>
        <v>0</v>
      </c>
    </row>
    <row r="60" spans="1:9" s="892" customFormat="1" ht="12.75" customHeight="1" x14ac:dyDescent="0.3">
      <c r="A60" s="922" t="s">
        <v>139</v>
      </c>
      <c r="B60" s="923" t="s">
        <v>140</v>
      </c>
      <c r="C60" s="895" t="s">
        <v>254</v>
      </c>
      <c r="D60" s="1225">
        <v>101760.3</v>
      </c>
      <c r="E60" s="1226">
        <v>101760.3</v>
      </c>
      <c r="F60" s="1226">
        <v>0</v>
      </c>
      <c r="G60" s="1226">
        <v>0</v>
      </c>
      <c r="H60" s="1226">
        <v>0</v>
      </c>
      <c r="I60" s="1227">
        <f t="shared" si="2"/>
        <v>0</v>
      </c>
    </row>
    <row r="61" spans="1:9" s="892" customFormat="1" ht="12.75" customHeight="1" x14ac:dyDescent="0.3">
      <c r="A61" s="922" t="s">
        <v>145</v>
      </c>
      <c r="B61" s="923" t="s">
        <v>146</v>
      </c>
      <c r="C61" s="895" t="s">
        <v>251</v>
      </c>
      <c r="D61" s="1225">
        <v>95585.17</v>
      </c>
      <c r="E61" s="1226">
        <v>95585.17</v>
      </c>
      <c r="F61" s="1226">
        <v>0</v>
      </c>
      <c r="G61" s="1226">
        <v>0</v>
      </c>
      <c r="H61" s="1226">
        <v>0</v>
      </c>
      <c r="I61" s="1227">
        <f t="shared" si="2"/>
        <v>0</v>
      </c>
    </row>
    <row r="62" spans="1:9" s="892" customFormat="1" ht="12.75" customHeight="1" x14ac:dyDescent="0.3">
      <c r="A62" s="922" t="s">
        <v>147</v>
      </c>
      <c r="B62" s="923" t="s">
        <v>148</v>
      </c>
      <c r="C62" s="895" t="s">
        <v>252</v>
      </c>
      <c r="D62" s="1225">
        <v>847399.69</v>
      </c>
      <c r="E62" s="1226">
        <v>847399.69</v>
      </c>
      <c r="F62" s="1226">
        <v>0</v>
      </c>
      <c r="G62" s="1226">
        <v>0</v>
      </c>
      <c r="H62" s="1226">
        <v>0</v>
      </c>
      <c r="I62" s="1227">
        <f t="shared" si="2"/>
        <v>0</v>
      </c>
    </row>
    <row r="63" spans="1:9" s="892" customFormat="1" ht="12.75" customHeight="1" x14ac:dyDescent="0.3">
      <c r="A63" s="922" t="s">
        <v>149</v>
      </c>
      <c r="B63" s="923" t="s">
        <v>150</v>
      </c>
      <c r="C63" s="895" t="s">
        <v>253</v>
      </c>
      <c r="D63" s="1225">
        <v>200467.21</v>
      </c>
      <c r="E63" s="1226">
        <v>200467.21</v>
      </c>
      <c r="F63" s="1226">
        <v>0</v>
      </c>
      <c r="G63" s="1226">
        <v>0</v>
      </c>
      <c r="H63" s="1226">
        <v>0</v>
      </c>
      <c r="I63" s="1227">
        <f t="shared" si="2"/>
        <v>0</v>
      </c>
    </row>
    <row r="64" spans="1:9" s="892" customFormat="1" ht="12.75" customHeight="1" x14ac:dyDescent="0.3">
      <c r="A64" s="922" t="s">
        <v>151</v>
      </c>
      <c r="B64" s="923" t="s">
        <v>152</v>
      </c>
      <c r="C64" s="895" t="s">
        <v>255</v>
      </c>
      <c r="D64" s="1225">
        <v>851641.26</v>
      </c>
      <c r="E64" s="1226">
        <v>851641.26</v>
      </c>
      <c r="F64" s="1226">
        <v>0</v>
      </c>
      <c r="G64" s="1226">
        <v>0</v>
      </c>
      <c r="H64" s="1226">
        <v>0</v>
      </c>
      <c r="I64" s="1227">
        <f t="shared" si="2"/>
        <v>0</v>
      </c>
    </row>
    <row r="65" spans="1:9" s="892" customFormat="1" ht="12.75" customHeight="1" x14ac:dyDescent="0.3">
      <c r="A65" s="922" t="s">
        <v>153</v>
      </c>
      <c r="B65" s="923" t="s">
        <v>154</v>
      </c>
      <c r="C65" s="895" t="s">
        <v>252</v>
      </c>
      <c r="D65" s="1225">
        <v>293942.08</v>
      </c>
      <c r="E65" s="1226">
        <v>293942.08</v>
      </c>
      <c r="F65" s="1226">
        <v>0</v>
      </c>
      <c r="G65" s="1226">
        <v>0</v>
      </c>
      <c r="H65" s="1226">
        <v>0</v>
      </c>
      <c r="I65" s="1227">
        <f t="shared" si="2"/>
        <v>0</v>
      </c>
    </row>
    <row r="66" spans="1:9" s="892" customFormat="1" ht="12.75" customHeight="1" x14ac:dyDescent="0.3">
      <c r="A66" s="922" t="s">
        <v>155</v>
      </c>
      <c r="B66" s="923" t="s">
        <v>156</v>
      </c>
      <c r="C66" s="895" t="s">
        <v>253</v>
      </c>
      <c r="D66" s="1225">
        <v>50145.760000000002</v>
      </c>
      <c r="E66" s="1226">
        <v>50145.760000000002</v>
      </c>
      <c r="F66" s="1226">
        <v>0</v>
      </c>
      <c r="G66" s="1226">
        <v>0</v>
      </c>
      <c r="H66" s="1226">
        <v>0</v>
      </c>
      <c r="I66" s="1227">
        <f t="shared" si="2"/>
        <v>0</v>
      </c>
    </row>
    <row r="67" spans="1:9" s="892" customFormat="1" ht="12.75" customHeight="1" x14ac:dyDescent="0.3">
      <c r="A67" s="922" t="s">
        <v>161</v>
      </c>
      <c r="B67" s="923" t="s">
        <v>162</v>
      </c>
      <c r="C67" s="895" t="s">
        <v>251</v>
      </c>
      <c r="D67" s="1225">
        <v>525200.54999999993</v>
      </c>
      <c r="E67" s="1226">
        <v>525200.54999999993</v>
      </c>
      <c r="F67" s="1226">
        <v>0</v>
      </c>
      <c r="G67" s="1226">
        <v>0</v>
      </c>
      <c r="H67" s="1226">
        <v>0</v>
      </c>
      <c r="I67" s="1227">
        <f t="shared" si="2"/>
        <v>0</v>
      </c>
    </row>
    <row r="68" spans="1:9" s="892" customFormat="1" ht="12.75" customHeight="1" x14ac:dyDescent="0.3">
      <c r="A68" s="922" t="s">
        <v>163</v>
      </c>
      <c r="B68" s="923" t="s">
        <v>164</v>
      </c>
      <c r="C68" s="895" t="s">
        <v>253</v>
      </c>
      <c r="D68" s="1225">
        <v>281134.83999999997</v>
      </c>
      <c r="E68" s="1226">
        <v>281134.83999999997</v>
      </c>
      <c r="F68" s="1226">
        <v>0</v>
      </c>
      <c r="G68" s="1226">
        <v>0</v>
      </c>
      <c r="H68" s="1226">
        <v>0</v>
      </c>
      <c r="I68" s="1227">
        <f t="shared" si="2"/>
        <v>0</v>
      </c>
    </row>
    <row r="69" spans="1:9" s="892" customFormat="1" ht="12.75" customHeight="1" x14ac:dyDescent="0.3">
      <c r="A69" s="922" t="s">
        <v>167</v>
      </c>
      <c r="B69" s="923" t="s">
        <v>168</v>
      </c>
      <c r="C69" s="895" t="s">
        <v>253</v>
      </c>
      <c r="D69" s="1225">
        <v>416725.3</v>
      </c>
      <c r="E69" s="1226">
        <v>416725.3</v>
      </c>
      <c r="F69" s="1226">
        <v>0</v>
      </c>
      <c r="G69" s="1226">
        <v>0</v>
      </c>
      <c r="H69" s="1226">
        <v>0</v>
      </c>
      <c r="I69" s="1227">
        <f t="shared" ref="I69:I100" si="3">G69+H69</f>
        <v>0</v>
      </c>
    </row>
    <row r="70" spans="1:9" s="892" customFormat="1" ht="12.75" customHeight="1" x14ac:dyDescent="0.3">
      <c r="A70" s="922" t="s">
        <v>169</v>
      </c>
      <c r="B70" s="923" t="s">
        <v>170</v>
      </c>
      <c r="C70" s="895" t="s">
        <v>254</v>
      </c>
      <c r="D70" s="1225">
        <v>292593.39</v>
      </c>
      <c r="E70" s="1226">
        <v>292593.39</v>
      </c>
      <c r="F70" s="1226">
        <v>0</v>
      </c>
      <c r="G70" s="1226">
        <v>0</v>
      </c>
      <c r="H70" s="1226">
        <v>0</v>
      </c>
      <c r="I70" s="1227">
        <f t="shared" si="3"/>
        <v>0</v>
      </c>
    </row>
    <row r="71" spans="1:9" s="892" customFormat="1" ht="12.75" customHeight="1" x14ac:dyDescent="0.3">
      <c r="A71" s="922" t="s">
        <v>171</v>
      </c>
      <c r="B71" s="923" t="s">
        <v>172</v>
      </c>
      <c r="C71" s="895" t="s">
        <v>254</v>
      </c>
      <c r="D71" s="1225">
        <v>418058.22000000003</v>
      </c>
      <c r="E71" s="1226">
        <v>418058.22000000003</v>
      </c>
      <c r="F71" s="1226">
        <v>0</v>
      </c>
      <c r="G71" s="1226">
        <v>0</v>
      </c>
      <c r="H71" s="1226">
        <v>0</v>
      </c>
      <c r="I71" s="1227">
        <f t="shared" si="3"/>
        <v>0</v>
      </c>
    </row>
    <row r="72" spans="1:9" s="892" customFormat="1" ht="12.75" customHeight="1" x14ac:dyDescent="0.3">
      <c r="A72" s="922" t="s">
        <v>173</v>
      </c>
      <c r="B72" s="923" t="s">
        <v>174</v>
      </c>
      <c r="C72" s="895" t="s">
        <v>255</v>
      </c>
      <c r="D72" s="1225">
        <v>435967.57</v>
      </c>
      <c r="E72" s="1226">
        <v>435967.57</v>
      </c>
      <c r="F72" s="1226">
        <v>0</v>
      </c>
      <c r="G72" s="1226">
        <v>0</v>
      </c>
      <c r="H72" s="1226">
        <v>0</v>
      </c>
      <c r="I72" s="1227">
        <f t="shared" si="3"/>
        <v>0</v>
      </c>
    </row>
    <row r="73" spans="1:9" s="892" customFormat="1" ht="12.75" customHeight="1" x14ac:dyDescent="0.3">
      <c r="A73" s="922" t="s">
        <v>177</v>
      </c>
      <c r="B73" s="923" t="s">
        <v>178</v>
      </c>
      <c r="C73" s="895" t="s">
        <v>252</v>
      </c>
      <c r="D73" s="1225">
        <v>1217075.74</v>
      </c>
      <c r="E73" s="1226">
        <v>1217075.74</v>
      </c>
      <c r="F73" s="1226">
        <v>0</v>
      </c>
      <c r="G73" s="1226">
        <v>0</v>
      </c>
      <c r="H73" s="1226">
        <v>0</v>
      </c>
      <c r="I73" s="1227">
        <f t="shared" si="3"/>
        <v>0</v>
      </c>
    </row>
    <row r="74" spans="1:9" s="892" customFormat="1" ht="12.75" customHeight="1" x14ac:dyDescent="0.3">
      <c r="A74" s="922" t="s">
        <v>181</v>
      </c>
      <c r="B74" s="923" t="s">
        <v>182</v>
      </c>
      <c r="C74" s="895" t="s">
        <v>253</v>
      </c>
      <c r="D74" s="1225">
        <v>64859.799999999996</v>
      </c>
      <c r="E74" s="1226">
        <v>64859.799999999996</v>
      </c>
      <c r="F74" s="1226">
        <v>0</v>
      </c>
      <c r="G74" s="1226">
        <v>0</v>
      </c>
      <c r="H74" s="1226">
        <v>0</v>
      </c>
      <c r="I74" s="1227">
        <f t="shared" si="3"/>
        <v>0</v>
      </c>
    </row>
    <row r="75" spans="1:9" s="892" customFormat="1" ht="12.75" customHeight="1" x14ac:dyDescent="0.3">
      <c r="A75" s="922" t="s">
        <v>183</v>
      </c>
      <c r="B75" s="923" t="s">
        <v>184</v>
      </c>
      <c r="C75" s="895" t="s">
        <v>253</v>
      </c>
      <c r="D75" s="1225">
        <v>431846.98000000004</v>
      </c>
      <c r="E75" s="1226">
        <v>431846.98000000004</v>
      </c>
      <c r="F75" s="1226">
        <v>0</v>
      </c>
      <c r="G75" s="1226">
        <v>0</v>
      </c>
      <c r="H75" s="1226">
        <v>0</v>
      </c>
      <c r="I75" s="1227">
        <f t="shared" si="3"/>
        <v>0</v>
      </c>
    </row>
    <row r="76" spans="1:9" s="892" customFormat="1" ht="12.75" customHeight="1" x14ac:dyDescent="0.3">
      <c r="A76" s="922" t="s">
        <v>185</v>
      </c>
      <c r="B76" s="923" t="s">
        <v>186</v>
      </c>
      <c r="C76" s="895" t="s">
        <v>251</v>
      </c>
      <c r="D76" s="1225">
        <v>183343.98</v>
      </c>
      <c r="E76" s="1226">
        <v>183343.98</v>
      </c>
      <c r="F76" s="1226">
        <v>0</v>
      </c>
      <c r="G76" s="1226">
        <v>0</v>
      </c>
      <c r="H76" s="1226">
        <v>0</v>
      </c>
      <c r="I76" s="1227">
        <f t="shared" si="3"/>
        <v>0</v>
      </c>
    </row>
    <row r="77" spans="1:9" s="892" customFormat="1" ht="12.75" customHeight="1" x14ac:dyDescent="0.3">
      <c r="A77" s="922" t="s">
        <v>187</v>
      </c>
      <c r="B77" s="923" t="s">
        <v>188</v>
      </c>
      <c r="C77" s="895" t="s">
        <v>254</v>
      </c>
      <c r="D77" s="1225">
        <v>489249.68</v>
      </c>
      <c r="E77" s="1226">
        <v>489249.68</v>
      </c>
      <c r="F77" s="1226">
        <v>0</v>
      </c>
      <c r="G77" s="1226">
        <v>0</v>
      </c>
      <c r="H77" s="1226">
        <v>0</v>
      </c>
      <c r="I77" s="1227">
        <f t="shared" si="3"/>
        <v>0</v>
      </c>
    </row>
    <row r="78" spans="1:9" s="892" customFormat="1" ht="12.75" customHeight="1" x14ac:dyDescent="0.3">
      <c r="A78" s="922" t="s">
        <v>189</v>
      </c>
      <c r="B78" s="923" t="s">
        <v>190</v>
      </c>
      <c r="C78" s="895" t="s">
        <v>255</v>
      </c>
      <c r="D78" s="1225">
        <v>834241.14</v>
      </c>
      <c r="E78" s="1226">
        <v>834241.14</v>
      </c>
      <c r="F78" s="1226">
        <v>0</v>
      </c>
      <c r="G78" s="1226">
        <v>0</v>
      </c>
      <c r="H78" s="1226">
        <v>0</v>
      </c>
      <c r="I78" s="1227">
        <f t="shared" si="3"/>
        <v>0</v>
      </c>
    </row>
    <row r="79" spans="1:9" s="892" customFormat="1" ht="12.75" customHeight="1" x14ac:dyDescent="0.3">
      <c r="A79" s="922" t="s">
        <v>193</v>
      </c>
      <c r="B79" s="923" t="s">
        <v>194</v>
      </c>
      <c r="C79" s="895" t="s">
        <v>254</v>
      </c>
      <c r="D79" s="1225">
        <v>31250.45</v>
      </c>
      <c r="E79" s="1226">
        <v>31250.45</v>
      </c>
      <c r="F79" s="1226">
        <v>0</v>
      </c>
      <c r="G79" s="1226">
        <v>0</v>
      </c>
      <c r="H79" s="1226">
        <v>0</v>
      </c>
      <c r="I79" s="1227">
        <f t="shared" si="3"/>
        <v>0</v>
      </c>
    </row>
    <row r="80" spans="1:9" s="892" customFormat="1" ht="12.75" customHeight="1" x14ac:dyDescent="0.3">
      <c r="A80" s="922" t="s">
        <v>197</v>
      </c>
      <c r="B80" s="923" t="s">
        <v>198</v>
      </c>
      <c r="C80" s="895" t="s">
        <v>253</v>
      </c>
      <c r="D80" s="1225">
        <v>209983.67</v>
      </c>
      <c r="E80" s="1226">
        <v>209983.67</v>
      </c>
      <c r="F80" s="1226">
        <v>0</v>
      </c>
      <c r="G80" s="1226">
        <v>0</v>
      </c>
      <c r="H80" s="1226">
        <v>0</v>
      </c>
      <c r="I80" s="1227">
        <f t="shared" si="3"/>
        <v>0</v>
      </c>
    </row>
    <row r="81" spans="1:9" s="892" customFormat="1" ht="12.75" customHeight="1" x14ac:dyDescent="0.3">
      <c r="A81" s="922" t="s">
        <v>201</v>
      </c>
      <c r="B81" s="923" t="s">
        <v>202</v>
      </c>
      <c r="C81" s="895" t="s">
        <v>252</v>
      </c>
      <c r="D81" s="1225">
        <v>545286.48</v>
      </c>
      <c r="E81" s="1226">
        <v>545286.48</v>
      </c>
      <c r="F81" s="1226">
        <v>0</v>
      </c>
      <c r="G81" s="1226">
        <v>0</v>
      </c>
      <c r="H81" s="1226">
        <v>0</v>
      </c>
      <c r="I81" s="1227">
        <f t="shared" si="3"/>
        <v>0</v>
      </c>
    </row>
    <row r="82" spans="1:9" s="892" customFormat="1" ht="12.75" customHeight="1" x14ac:dyDescent="0.3">
      <c r="A82" s="922" t="s">
        <v>203</v>
      </c>
      <c r="B82" s="923" t="s">
        <v>204</v>
      </c>
      <c r="C82" s="895" t="s">
        <v>252</v>
      </c>
      <c r="D82" s="1225">
        <v>661873.31999999995</v>
      </c>
      <c r="E82" s="1226">
        <v>661873.31999999995</v>
      </c>
      <c r="F82" s="1226">
        <v>0</v>
      </c>
      <c r="G82" s="1226">
        <v>0</v>
      </c>
      <c r="H82" s="1226">
        <v>0</v>
      </c>
      <c r="I82" s="1227">
        <f t="shared" si="3"/>
        <v>0</v>
      </c>
    </row>
    <row r="83" spans="1:9" s="892" customFormat="1" ht="12.75" customHeight="1" x14ac:dyDescent="0.3">
      <c r="A83" s="922" t="s">
        <v>205</v>
      </c>
      <c r="B83" s="923" t="s">
        <v>206</v>
      </c>
      <c r="C83" s="895" t="s">
        <v>254</v>
      </c>
      <c r="D83" s="1225">
        <v>799954.8</v>
      </c>
      <c r="E83" s="1226">
        <v>799954.8</v>
      </c>
      <c r="F83" s="1226">
        <v>0</v>
      </c>
      <c r="G83" s="1226">
        <v>0</v>
      </c>
      <c r="H83" s="1226">
        <v>0</v>
      </c>
      <c r="I83" s="1227">
        <f t="shared" si="3"/>
        <v>0</v>
      </c>
    </row>
    <row r="84" spans="1:9" s="892" customFormat="1" ht="12.75" customHeight="1" x14ac:dyDescent="0.3">
      <c r="A84" s="922" t="s">
        <v>207</v>
      </c>
      <c r="B84" s="923" t="s">
        <v>208</v>
      </c>
      <c r="C84" s="895" t="s">
        <v>255</v>
      </c>
      <c r="D84" s="1225">
        <v>1256394.3799999999</v>
      </c>
      <c r="E84" s="1226">
        <v>1256394.3799999999</v>
      </c>
      <c r="F84" s="1226">
        <v>0</v>
      </c>
      <c r="G84" s="1226">
        <v>0</v>
      </c>
      <c r="H84" s="1226">
        <v>0</v>
      </c>
      <c r="I84" s="1227">
        <f t="shared" si="3"/>
        <v>0</v>
      </c>
    </row>
    <row r="85" spans="1:9" s="892" customFormat="1" ht="12.75" customHeight="1" x14ac:dyDescent="0.3">
      <c r="A85" s="922" t="s">
        <v>209</v>
      </c>
      <c r="B85" s="923" t="s">
        <v>210</v>
      </c>
      <c r="C85" s="895" t="s">
        <v>255</v>
      </c>
      <c r="D85" s="1225">
        <v>735849.38</v>
      </c>
      <c r="E85" s="1226">
        <v>735849.38</v>
      </c>
      <c r="F85" s="1226">
        <v>0</v>
      </c>
      <c r="G85" s="1226">
        <v>0</v>
      </c>
      <c r="H85" s="1226">
        <v>0</v>
      </c>
      <c r="I85" s="1227">
        <f t="shared" si="3"/>
        <v>0</v>
      </c>
    </row>
    <row r="86" spans="1:9" s="892" customFormat="1" ht="12.75" customHeight="1" x14ac:dyDescent="0.3">
      <c r="A86" s="922" t="s">
        <v>211</v>
      </c>
      <c r="B86" s="923" t="s">
        <v>212</v>
      </c>
      <c r="C86" s="895" t="s">
        <v>254</v>
      </c>
      <c r="D86" s="1225">
        <v>419737.08999999997</v>
      </c>
      <c r="E86" s="1226">
        <v>419737.08999999997</v>
      </c>
      <c r="F86" s="1226">
        <v>0</v>
      </c>
      <c r="G86" s="1226">
        <v>0</v>
      </c>
      <c r="H86" s="1226">
        <v>0</v>
      </c>
      <c r="I86" s="1227">
        <f t="shared" si="3"/>
        <v>0</v>
      </c>
    </row>
    <row r="87" spans="1:9" s="892" customFormat="1" ht="12.75" customHeight="1" x14ac:dyDescent="0.3">
      <c r="A87" s="922" t="s">
        <v>213</v>
      </c>
      <c r="B87" s="923" t="s">
        <v>214</v>
      </c>
      <c r="C87" s="895" t="s">
        <v>255</v>
      </c>
      <c r="D87" s="1225">
        <v>1046471.07</v>
      </c>
      <c r="E87" s="1226">
        <v>1046471.07</v>
      </c>
      <c r="F87" s="1226">
        <v>0</v>
      </c>
      <c r="G87" s="1226">
        <v>0</v>
      </c>
      <c r="H87" s="1226">
        <v>0</v>
      </c>
      <c r="I87" s="1227">
        <f t="shared" si="3"/>
        <v>0</v>
      </c>
    </row>
    <row r="88" spans="1:9" s="892" customFormat="1" ht="12.75" customHeight="1" x14ac:dyDescent="0.3">
      <c r="A88" s="922" t="s">
        <v>215</v>
      </c>
      <c r="B88" s="923" t="s">
        <v>216</v>
      </c>
      <c r="C88" s="895" t="s">
        <v>251</v>
      </c>
      <c r="D88" s="1225">
        <v>340482.51</v>
      </c>
      <c r="E88" s="1226">
        <v>340482.51</v>
      </c>
      <c r="F88" s="1226">
        <v>0</v>
      </c>
      <c r="G88" s="1226">
        <v>0</v>
      </c>
      <c r="H88" s="1226">
        <v>0</v>
      </c>
      <c r="I88" s="1227">
        <f t="shared" si="3"/>
        <v>0</v>
      </c>
    </row>
    <row r="89" spans="1:9" s="892" customFormat="1" ht="12.75" customHeight="1" x14ac:dyDescent="0.3">
      <c r="A89" s="922" t="s">
        <v>217</v>
      </c>
      <c r="B89" s="923" t="s">
        <v>218</v>
      </c>
      <c r="C89" s="895" t="s">
        <v>254</v>
      </c>
      <c r="D89" s="1225">
        <v>434989.16000000003</v>
      </c>
      <c r="E89" s="1226">
        <v>434989.16000000003</v>
      </c>
      <c r="F89" s="1226">
        <v>0</v>
      </c>
      <c r="G89" s="1226">
        <v>0</v>
      </c>
      <c r="H89" s="1226">
        <v>0</v>
      </c>
      <c r="I89" s="1227">
        <f t="shared" si="3"/>
        <v>0</v>
      </c>
    </row>
    <row r="90" spans="1:9" s="892" customFormat="1" ht="12.75" customHeight="1" x14ac:dyDescent="0.3">
      <c r="A90" s="922" t="s">
        <v>219</v>
      </c>
      <c r="B90" s="923" t="s">
        <v>220</v>
      </c>
      <c r="C90" s="895" t="s">
        <v>254</v>
      </c>
      <c r="D90" s="1225">
        <v>238031.22000000003</v>
      </c>
      <c r="E90" s="1226">
        <v>238031.22000000003</v>
      </c>
      <c r="F90" s="1226">
        <v>0</v>
      </c>
      <c r="G90" s="1226">
        <v>0</v>
      </c>
      <c r="H90" s="1226">
        <v>0</v>
      </c>
      <c r="I90" s="1227">
        <f t="shared" si="3"/>
        <v>0</v>
      </c>
    </row>
    <row r="91" spans="1:9" s="892" customFormat="1" ht="12.75" customHeight="1" x14ac:dyDescent="0.3">
      <c r="A91" s="922" t="s">
        <v>223</v>
      </c>
      <c r="B91" s="923" t="s">
        <v>224</v>
      </c>
      <c r="C91" s="895" t="s">
        <v>251</v>
      </c>
      <c r="D91" s="1225">
        <v>99326.93</v>
      </c>
      <c r="E91" s="1226">
        <v>99326.93</v>
      </c>
      <c r="F91" s="1226">
        <v>0</v>
      </c>
      <c r="G91" s="1226">
        <v>0</v>
      </c>
      <c r="H91" s="1226">
        <v>0</v>
      </c>
      <c r="I91" s="1227">
        <f t="shared" si="3"/>
        <v>0</v>
      </c>
    </row>
    <row r="92" spans="1:9" s="892" customFormat="1" ht="12.75" customHeight="1" x14ac:dyDescent="0.3">
      <c r="A92" s="922" t="s">
        <v>225</v>
      </c>
      <c r="B92" s="923" t="s">
        <v>226</v>
      </c>
      <c r="C92" s="895" t="s">
        <v>251</v>
      </c>
      <c r="D92" s="1225">
        <v>237682.69999999998</v>
      </c>
      <c r="E92" s="1226">
        <v>237682.69999999998</v>
      </c>
      <c r="F92" s="1226">
        <v>0</v>
      </c>
      <c r="G92" s="1226">
        <v>0</v>
      </c>
      <c r="H92" s="1226">
        <v>0</v>
      </c>
      <c r="I92" s="1227">
        <f t="shared" si="3"/>
        <v>0</v>
      </c>
    </row>
    <row r="93" spans="1:9" s="892" customFormat="1" ht="12.75" customHeight="1" x14ac:dyDescent="0.3">
      <c r="A93" s="922" t="s">
        <v>227</v>
      </c>
      <c r="B93" s="923" t="s">
        <v>228</v>
      </c>
      <c r="C93" s="895" t="s">
        <v>255</v>
      </c>
      <c r="D93" s="1225">
        <v>1556682.78</v>
      </c>
      <c r="E93" s="1226">
        <v>1556682.78</v>
      </c>
      <c r="F93" s="1226">
        <v>0</v>
      </c>
      <c r="G93" s="1226">
        <v>0</v>
      </c>
      <c r="H93" s="1226">
        <v>0</v>
      </c>
      <c r="I93" s="1227">
        <f t="shared" si="3"/>
        <v>0</v>
      </c>
    </row>
    <row r="94" spans="1:9" s="892" customFormat="1" ht="12.75" customHeight="1" x14ac:dyDescent="0.3">
      <c r="A94" s="922" t="s">
        <v>231</v>
      </c>
      <c r="B94" s="923" t="s">
        <v>232</v>
      </c>
      <c r="C94" s="895" t="s">
        <v>254</v>
      </c>
      <c r="D94" s="1225">
        <v>287013.21999999997</v>
      </c>
      <c r="E94" s="1226">
        <v>287013.21999999997</v>
      </c>
      <c r="F94" s="1226">
        <v>0</v>
      </c>
      <c r="G94" s="1226">
        <v>0</v>
      </c>
      <c r="H94" s="1226">
        <v>0</v>
      </c>
      <c r="I94" s="1227">
        <f t="shared" si="3"/>
        <v>0</v>
      </c>
    </row>
    <row r="95" spans="1:9" s="892" customFormat="1" ht="12.75" customHeight="1" x14ac:dyDescent="0.3">
      <c r="A95" s="922" t="s">
        <v>233</v>
      </c>
      <c r="B95" s="923" t="s">
        <v>234</v>
      </c>
      <c r="C95" s="895" t="s">
        <v>255</v>
      </c>
      <c r="D95" s="1225">
        <v>908304.63</v>
      </c>
      <c r="E95" s="1226">
        <v>908304.63</v>
      </c>
      <c r="F95" s="1226">
        <v>0</v>
      </c>
      <c r="G95" s="1226">
        <v>0</v>
      </c>
      <c r="H95" s="1226">
        <v>0</v>
      </c>
      <c r="I95" s="1227">
        <f t="shared" si="3"/>
        <v>0</v>
      </c>
    </row>
    <row r="96" spans="1:9" s="892" customFormat="1" ht="12.75" customHeight="1" x14ac:dyDescent="0.3">
      <c r="A96" s="922" t="s">
        <v>235</v>
      </c>
      <c r="B96" s="923" t="s">
        <v>236</v>
      </c>
      <c r="C96" s="895" t="s">
        <v>253</v>
      </c>
      <c r="D96" s="1225">
        <v>411873.02</v>
      </c>
      <c r="E96" s="1226">
        <v>411873.02</v>
      </c>
      <c r="F96" s="1226">
        <v>0</v>
      </c>
      <c r="G96" s="1226">
        <v>0</v>
      </c>
      <c r="H96" s="1226">
        <v>0</v>
      </c>
      <c r="I96" s="1227">
        <f t="shared" si="3"/>
        <v>0</v>
      </c>
    </row>
    <row r="97" spans="1:9" s="892" customFormat="1" ht="12.75" customHeight="1" x14ac:dyDescent="0.3">
      <c r="A97" s="922" t="s">
        <v>241</v>
      </c>
      <c r="B97" s="923" t="s">
        <v>242</v>
      </c>
      <c r="C97" s="895" t="s">
        <v>255</v>
      </c>
      <c r="D97" s="1225">
        <v>1455037.55</v>
      </c>
      <c r="E97" s="1226">
        <v>1455037.55</v>
      </c>
      <c r="F97" s="1226">
        <v>0</v>
      </c>
      <c r="G97" s="1226">
        <v>0</v>
      </c>
      <c r="H97" s="1226">
        <v>0</v>
      </c>
      <c r="I97" s="1227">
        <f t="shared" si="3"/>
        <v>0</v>
      </c>
    </row>
    <row r="98" spans="1:9" s="892" customFormat="1" ht="12.75" customHeight="1" x14ac:dyDescent="0.3">
      <c r="A98" s="922" t="s">
        <v>243</v>
      </c>
      <c r="B98" s="923" t="s">
        <v>244</v>
      </c>
      <c r="C98" s="895" t="s">
        <v>255</v>
      </c>
      <c r="D98" s="1225">
        <v>583299.42999999993</v>
      </c>
      <c r="E98" s="1226">
        <v>583299.42999999993</v>
      </c>
      <c r="F98" s="1226">
        <v>0</v>
      </c>
      <c r="G98" s="1226">
        <v>0</v>
      </c>
      <c r="H98" s="1226">
        <v>0</v>
      </c>
      <c r="I98" s="1227">
        <f t="shared" si="3"/>
        <v>0</v>
      </c>
    </row>
    <row r="99" spans="1:9" s="892" customFormat="1" ht="12.75" customHeight="1" x14ac:dyDescent="0.3">
      <c r="A99" s="922" t="s">
        <v>245</v>
      </c>
      <c r="B99" s="923" t="s">
        <v>283</v>
      </c>
      <c r="C99" s="895" t="s">
        <v>251</v>
      </c>
      <c r="D99" s="1225">
        <v>147274.11000000002</v>
      </c>
      <c r="E99" s="1226">
        <v>147274.11000000002</v>
      </c>
      <c r="F99" s="1226">
        <v>0</v>
      </c>
      <c r="G99" s="1226">
        <v>0</v>
      </c>
      <c r="H99" s="1226">
        <v>0</v>
      </c>
      <c r="I99" s="1227">
        <f t="shared" si="3"/>
        <v>0</v>
      </c>
    </row>
    <row r="100" spans="1:9" s="892" customFormat="1" ht="12.75" customHeight="1" x14ac:dyDescent="0.3">
      <c r="A100" s="922" t="s">
        <v>13</v>
      </c>
      <c r="B100" s="923" t="s">
        <v>14</v>
      </c>
      <c r="C100" s="895" t="s">
        <v>254</v>
      </c>
      <c r="D100" s="1225">
        <v>256560.07</v>
      </c>
      <c r="E100" s="1226">
        <v>256560.07</v>
      </c>
      <c r="F100" s="1226">
        <v>0</v>
      </c>
      <c r="G100" s="1226">
        <v>0</v>
      </c>
      <c r="H100" s="1226">
        <v>0</v>
      </c>
      <c r="I100" s="1227">
        <f t="shared" si="3"/>
        <v>0</v>
      </c>
    </row>
    <row r="101" spans="1:9" s="892" customFormat="1" ht="12.75" customHeight="1" x14ac:dyDescent="0.3">
      <c r="A101" s="922" t="s">
        <v>33</v>
      </c>
      <c r="B101" s="923" t="s">
        <v>34</v>
      </c>
      <c r="C101" s="895" t="s">
        <v>255</v>
      </c>
      <c r="D101" s="1225">
        <v>448716.38</v>
      </c>
      <c r="E101" s="1226">
        <v>448716.38</v>
      </c>
      <c r="F101" s="1226">
        <v>0</v>
      </c>
      <c r="G101" s="1226">
        <v>0</v>
      </c>
      <c r="H101" s="1226">
        <v>0</v>
      </c>
      <c r="I101" s="1227">
        <f t="shared" ref="I101:I124" si="4">G101+H101</f>
        <v>0</v>
      </c>
    </row>
    <row r="102" spans="1:9" s="892" customFormat="1" ht="12.75" customHeight="1" x14ac:dyDescent="0.3">
      <c r="A102" s="922" t="s">
        <v>51</v>
      </c>
      <c r="B102" s="923" t="s">
        <v>52</v>
      </c>
      <c r="C102" s="895" t="s">
        <v>252</v>
      </c>
      <c r="D102" s="1225">
        <v>320403.90999999997</v>
      </c>
      <c r="E102" s="1226">
        <v>320403.90999999997</v>
      </c>
      <c r="F102" s="1226">
        <v>0</v>
      </c>
      <c r="G102" s="1226">
        <v>0</v>
      </c>
      <c r="H102" s="1226">
        <v>0</v>
      </c>
      <c r="I102" s="1227">
        <f t="shared" si="4"/>
        <v>0</v>
      </c>
    </row>
    <row r="103" spans="1:9" s="892" customFormat="1" ht="12.75" customHeight="1" x14ac:dyDescent="0.3">
      <c r="A103" s="922" t="s">
        <v>53</v>
      </c>
      <c r="B103" s="923" t="s">
        <v>54</v>
      </c>
      <c r="C103" s="895" t="s">
        <v>251</v>
      </c>
      <c r="D103" s="1225">
        <v>1050669.8899999999</v>
      </c>
      <c r="E103" s="1226">
        <v>1050669.8899999999</v>
      </c>
      <c r="F103" s="1226">
        <v>0</v>
      </c>
      <c r="G103" s="1226">
        <v>0</v>
      </c>
      <c r="H103" s="1226">
        <v>0</v>
      </c>
      <c r="I103" s="1227">
        <f t="shared" si="4"/>
        <v>0</v>
      </c>
    </row>
    <row r="104" spans="1:9" s="892" customFormat="1" ht="12.75" customHeight="1" x14ac:dyDescent="0.3">
      <c r="A104" s="922" t="s">
        <v>65</v>
      </c>
      <c r="B104" s="923" t="s">
        <v>66</v>
      </c>
      <c r="C104" s="895" t="s">
        <v>252</v>
      </c>
      <c r="D104" s="1225">
        <v>1528139.29</v>
      </c>
      <c r="E104" s="1226">
        <v>1528139.29</v>
      </c>
      <c r="F104" s="1226">
        <v>0</v>
      </c>
      <c r="G104" s="1226">
        <v>0</v>
      </c>
      <c r="H104" s="1226">
        <v>0</v>
      </c>
      <c r="I104" s="1227">
        <f t="shared" si="4"/>
        <v>0</v>
      </c>
    </row>
    <row r="105" spans="1:9" s="892" customFormat="1" ht="12.75" customHeight="1" x14ac:dyDescent="0.3">
      <c r="A105" s="922" t="s">
        <v>81</v>
      </c>
      <c r="B105" s="923" t="s">
        <v>284</v>
      </c>
      <c r="C105" s="895" t="s">
        <v>251</v>
      </c>
      <c r="D105" s="1225">
        <v>302083.20999999996</v>
      </c>
      <c r="E105" s="1226">
        <v>302083.20999999996</v>
      </c>
      <c r="F105" s="1226">
        <v>0</v>
      </c>
      <c r="G105" s="1226">
        <v>0</v>
      </c>
      <c r="H105" s="1226">
        <v>0</v>
      </c>
      <c r="I105" s="1227">
        <f t="shared" si="4"/>
        <v>0</v>
      </c>
    </row>
    <row r="106" spans="1:9" s="892" customFormat="1" ht="12.75" customHeight="1" x14ac:dyDescent="0.3">
      <c r="A106" s="922" t="s">
        <v>87</v>
      </c>
      <c r="B106" s="923" t="s">
        <v>88</v>
      </c>
      <c r="C106" s="895" t="s">
        <v>254</v>
      </c>
      <c r="D106" s="1225">
        <v>281404.03999999998</v>
      </c>
      <c r="E106" s="1226">
        <v>281404.03999999998</v>
      </c>
      <c r="F106" s="1226">
        <v>0</v>
      </c>
      <c r="G106" s="1226">
        <v>0</v>
      </c>
      <c r="H106" s="1226">
        <v>0</v>
      </c>
      <c r="I106" s="1227">
        <f t="shared" si="4"/>
        <v>0</v>
      </c>
    </row>
    <row r="107" spans="1:9" s="892" customFormat="1" ht="12.75" customHeight="1" x14ac:dyDescent="0.3">
      <c r="A107" s="922" t="s">
        <v>89</v>
      </c>
      <c r="B107" s="923" t="s">
        <v>90</v>
      </c>
      <c r="C107" s="895" t="s">
        <v>255</v>
      </c>
      <c r="D107" s="1225">
        <v>272439.44</v>
      </c>
      <c r="E107" s="1226">
        <v>272439.44</v>
      </c>
      <c r="F107" s="1226">
        <v>0</v>
      </c>
      <c r="G107" s="1226">
        <v>0</v>
      </c>
      <c r="H107" s="1226">
        <v>0</v>
      </c>
      <c r="I107" s="1227">
        <f t="shared" si="4"/>
        <v>0</v>
      </c>
    </row>
    <row r="108" spans="1:9" s="892" customFormat="1" ht="12.75" customHeight="1" x14ac:dyDescent="0.3">
      <c r="A108" s="922" t="s">
        <v>105</v>
      </c>
      <c r="B108" s="923" t="s">
        <v>106</v>
      </c>
      <c r="C108" s="895" t="s">
        <v>251</v>
      </c>
      <c r="D108" s="1225">
        <v>1203629.24</v>
      </c>
      <c r="E108" s="1226">
        <v>1203629.24</v>
      </c>
      <c r="F108" s="1226">
        <v>0</v>
      </c>
      <c r="G108" s="1226">
        <v>0</v>
      </c>
      <c r="H108" s="1226">
        <v>0</v>
      </c>
      <c r="I108" s="1227">
        <f t="shared" si="4"/>
        <v>0</v>
      </c>
    </row>
    <row r="109" spans="1:9" s="892" customFormat="1" ht="12.75" customHeight="1" x14ac:dyDescent="0.3">
      <c r="A109" s="922" t="s">
        <v>115</v>
      </c>
      <c r="B109" s="923" t="s">
        <v>116</v>
      </c>
      <c r="C109" s="895" t="s">
        <v>253</v>
      </c>
      <c r="D109" s="1225">
        <v>458063.24</v>
      </c>
      <c r="E109" s="1226">
        <v>458063.24</v>
      </c>
      <c r="F109" s="1226">
        <v>0</v>
      </c>
      <c r="G109" s="1226">
        <v>0</v>
      </c>
      <c r="H109" s="1226">
        <v>0</v>
      </c>
      <c r="I109" s="1227">
        <f t="shared" si="4"/>
        <v>0</v>
      </c>
    </row>
    <row r="110" spans="1:9" s="892" customFormat="1" ht="12.75" customHeight="1" x14ac:dyDescent="0.3">
      <c r="A110" s="922" t="s">
        <v>137</v>
      </c>
      <c r="B110" s="923" t="s">
        <v>138</v>
      </c>
      <c r="C110" s="895" t="s">
        <v>252</v>
      </c>
      <c r="D110" s="1225">
        <v>1534914.9500000002</v>
      </c>
      <c r="E110" s="1226">
        <v>1534914.9500000002</v>
      </c>
      <c r="F110" s="1226">
        <v>0</v>
      </c>
      <c r="G110" s="1226">
        <v>0</v>
      </c>
      <c r="H110" s="1226">
        <v>0</v>
      </c>
      <c r="I110" s="1227">
        <f t="shared" si="4"/>
        <v>0</v>
      </c>
    </row>
    <row r="111" spans="1:9" s="892" customFormat="1" ht="12.75" customHeight="1" x14ac:dyDescent="0.3">
      <c r="A111" s="922" t="s">
        <v>141</v>
      </c>
      <c r="B111" s="923" t="s">
        <v>142</v>
      </c>
      <c r="C111" s="895" t="s">
        <v>254</v>
      </c>
      <c r="D111" s="1225">
        <v>43447.6</v>
      </c>
      <c r="E111" s="1226">
        <v>43447.6</v>
      </c>
      <c r="F111" s="1226">
        <v>0</v>
      </c>
      <c r="G111" s="1226">
        <v>0</v>
      </c>
      <c r="H111" s="1226">
        <v>0</v>
      </c>
      <c r="I111" s="1227">
        <f t="shared" si="4"/>
        <v>0</v>
      </c>
    </row>
    <row r="112" spans="1:9" s="892" customFormat="1" ht="12.75" customHeight="1" x14ac:dyDescent="0.3">
      <c r="A112" s="922" t="s">
        <v>143</v>
      </c>
      <c r="B112" s="923" t="s">
        <v>144</v>
      </c>
      <c r="C112" s="895" t="s">
        <v>254</v>
      </c>
      <c r="D112" s="1225">
        <v>17033</v>
      </c>
      <c r="E112" s="1226">
        <v>17033</v>
      </c>
      <c r="F112" s="1226">
        <v>0</v>
      </c>
      <c r="G112" s="1226">
        <v>0</v>
      </c>
      <c r="H112" s="1226">
        <v>0</v>
      </c>
      <c r="I112" s="1227">
        <f t="shared" si="4"/>
        <v>0</v>
      </c>
    </row>
    <row r="113" spans="1:9" s="892" customFormat="1" ht="12.75" customHeight="1" x14ac:dyDescent="0.3">
      <c r="A113" s="922" t="s">
        <v>157</v>
      </c>
      <c r="B113" s="923" t="s">
        <v>158</v>
      </c>
      <c r="C113" s="895" t="s">
        <v>251</v>
      </c>
      <c r="D113" s="1225">
        <v>2031505.69</v>
      </c>
      <c r="E113" s="1226">
        <v>2031505.69</v>
      </c>
      <c r="F113" s="1226">
        <v>0</v>
      </c>
      <c r="G113" s="1226">
        <v>0</v>
      </c>
      <c r="H113" s="1226">
        <v>0</v>
      </c>
      <c r="I113" s="1227">
        <f t="shared" si="4"/>
        <v>0</v>
      </c>
    </row>
    <row r="114" spans="1:9" s="892" customFormat="1" ht="12.75" customHeight="1" x14ac:dyDescent="0.3">
      <c r="A114" s="922" t="s">
        <v>159</v>
      </c>
      <c r="B114" s="923" t="s">
        <v>160</v>
      </c>
      <c r="C114" s="895" t="s">
        <v>251</v>
      </c>
      <c r="D114" s="1225">
        <v>2208686.65</v>
      </c>
      <c r="E114" s="1226">
        <v>2208686.65</v>
      </c>
      <c r="F114" s="1226">
        <v>0</v>
      </c>
      <c r="G114" s="1226">
        <v>0</v>
      </c>
      <c r="H114" s="1226">
        <v>0</v>
      </c>
      <c r="I114" s="1227">
        <f t="shared" si="4"/>
        <v>0</v>
      </c>
    </row>
    <row r="115" spans="1:9" s="892" customFormat="1" ht="12.75" customHeight="1" x14ac:dyDescent="0.3">
      <c r="A115" s="922" t="s">
        <v>165</v>
      </c>
      <c r="B115" s="923" t="s">
        <v>166</v>
      </c>
      <c r="C115" s="895" t="s">
        <v>255</v>
      </c>
      <c r="D115" s="1225">
        <v>199692.03</v>
      </c>
      <c r="E115" s="1226">
        <v>199692.03</v>
      </c>
      <c r="F115" s="1226">
        <v>0</v>
      </c>
      <c r="G115" s="1226">
        <v>0</v>
      </c>
      <c r="H115" s="1226">
        <v>0</v>
      </c>
      <c r="I115" s="1227">
        <f t="shared" si="4"/>
        <v>0</v>
      </c>
    </row>
    <row r="116" spans="1:9" s="892" customFormat="1" ht="12.75" customHeight="1" x14ac:dyDescent="0.3">
      <c r="A116" s="922" t="s">
        <v>175</v>
      </c>
      <c r="B116" s="923" t="s">
        <v>176</v>
      </c>
      <c r="C116" s="895" t="s">
        <v>253</v>
      </c>
      <c r="D116" s="1225">
        <v>1064231.6000000001</v>
      </c>
      <c r="E116" s="1226">
        <v>1064231.6000000001</v>
      </c>
      <c r="F116" s="1226">
        <v>0</v>
      </c>
      <c r="G116" s="1226">
        <v>0</v>
      </c>
      <c r="H116" s="1226">
        <v>0</v>
      </c>
      <c r="I116" s="1227">
        <f t="shared" si="4"/>
        <v>0</v>
      </c>
    </row>
    <row r="117" spans="1:9" s="892" customFormat="1" ht="12.75" customHeight="1" x14ac:dyDescent="0.3">
      <c r="A117" s="922" t="s">
        <v>179</v>
      </c>
      <c r="B117" s="923" t="s">
        <v>180</v>
      </c>
      <c r="C117" s="895" t="s">
        <v>251</v>
      </c>
      <c r="D117" s="1225">
        <v>1150997.6600000001</v>
      </c>
      <c r="E117" s="1226">
        <v>1150997.6600000001</v>
      </c>
      <c r="F117" s="1226">
        <v>0</v>
      </c>
      <c r="G117" s="1226">
        <v>0</v>
      </c>
      <c r="H117" s="1226">
        <v>0</v>
      </c>
      <c r="I117" s="1227">
        <f t="shared" si="4"/>
        <v>0</v>
      </c>
    </row>
    <row r="118" spans="1:9" s="892" customFormat="1" ht="12.75" customHeight="1" x14ac:dyDescent="0.3">
      <c r="A118" s="922" t="s">
        <v>191</v>
      </c>
      <c r="B118" s="923" t="s">
        <v>192</v>
      </c>
      <c r="C118" s="895" t="s">
        <v>255</v>
      </c>
      <c r="D118" s="1225">
        <v>216529.64</v>
      </c>
      <c r="E118" s="1226">
        <v>216529.64</v>
      </c>
      <c r="F118" s="1226">
        <v>0</v>
      </c>
      <c r="G118" s="1226">
        <v>0</v>
      </c>
      <c r="H118" s="1226">
        <v>0</v>
      </c>
      <c r="I118" s="1227">
        <f t="shared" si="4"/>
        <v>0</v>
      </c>
    </row>
    <row r="119" spans="1:9" s="892" customFormat="1" ht="12.75" customHeight="1" x14ac:dyDescent="0.3">
      <c r="A119" s="922" t="s">
        <v>195</v>
      </c>
      <c r="B119" s="923" t="s">
        <v>285</v>
      </c>
      <c r="C119" s="895" t="s">
        <v>253</v>
      </c>
      <c r="D119" s="1225">
        <v>2543590.58</v>
      </c>
      <c r="E119" s="1226">
        <v>2543590.58</v>
      </c>
      <c r="F119" s="1226">
        <v>0</v>
      </c>
      <c r="G119" s="1226">
        <v>0</v>
      </c>
      <c r="H119" s="1226">
        <v>0</v>
      </c>
      <c r="I119" s="1227">
        <f t="shared" si="4"/>
        <v>0</v>
      </c>
    </row>
    <row r="120" spans="1:9" s="892" customFormat="1" ht="12.75" customHeight="1" x14ac:dyDescent="0.3">
      <c r="A120" s="922" t="s">
        <v>199</v>
      </c>
      <c r="B120" s="923" t="s">
        <v>286</v>
      </c>
      <c r="C120" s="895" t="s">
        <v>252</v>
      </c>
      <c r="D120" s="1225">
        <v>1782486.37</v>
      </c>
      <c r="E120" s="1226">
        <v>1782486.37</v>
      </c>
      <c r="F120" s="1226">
        <v>0</v>
      </c>
      <c r="G120" s="1226">
        <v>0</v>
      </c>
      <c r="H120" s="1226">
        <v>0</v>
      </c>
      <c r="I120" s="1227">
        <f t="shared" si="4"/>
        <v>0</v>
      </c>
    </row>
    <row r="121" spans="1:9" s="892" customFormat="1" ht="12.75" customHeight="1" x14ac:dyDescent="0.3">
      <c r="A121" s="922" t="s">
        <v>221</v>
      </c>
      <c r="B121" s="923" t="s">
        <v>222</v>
      </c>
      <c r="C121" s="895" t="s">
        <v>251</v>
      </c>
      <c r="D121" s="1225">
        <v>979603.16</v>
      </c>
      <c r="E121" s="1226">
        <v>979603.16</v>
      </c>
      <c r="F121" s="1226">
        <v>0</v>
      </c>
      <c r="G121" s="1226">
        <v>0</v>
      </c>
      <c r="H121" s="1226">
        <v>0</v>
      </c>
      <c r="I121" s="1227">
        <f t="shared" si="4"/>
        <v>0</v>
      </c>
    </row>
    <row r="122" spans="1:9" s="892" customFormat="1" ht="12.75" customHeight="1" x14ac:dyDescent="0.3">
      <c r="A122" s="922" t="s">
        <v>229</v>
      </c>
      <c r="B122" s="923" t="s">
        <v>230</v>
      </c>
      <c r="C122" s="895" t="s">
        <v>251</v>
      </c>
      <c r="D122" s="1225">
        <v>1141807.26</v>
      </c>
      <c r="E122" s="1226">
        <v>1141807.26</v>
      </c>
      <c r="F122" s="1226">
        <v>0</v>
      </c>
      <c r="G122" s="1226">
        <v>0</v>
      </c>
      <c r="H122" s="1226">
        <v>0</v>
      </c>
      <c r="I122" s="1227">
        <f t="shared" si="4"/>
        <v>0</v>
      </c>
    </row>
    <row r="123" spans="1:9" s="892" customFormat="1" ht="12.75" customHeight="1" x14ac:dyDescent="0.3">
      <c r="A123" s="922" t="s">
        <v>237</v>
      </c>
      <c r="B123" s="923" t="s">
        <v>238</v>
      </c>
      <c r="C123" s="895" t="s">
        <v>251</v>
      </c>
      <c r="D123" s="1225">
        <v>30858.93</v>
      </c>
      <c r="E123" s="1226">
        <v>30858.93</v>
      </c>
      <c r="F123" s="1226">
        <v>0</v>
      </c>
      <c r="G123" s="1226">
        <v>0</v>
      </c>
      <c r="H123" s="1226">
        <v>0</v>
      </c>
      <c r="I123" s="1227">
        <f t="shared" si="4"/>
        <v>0</v>
      </c>
    </row>
    <row r="124" spans="1:9" s="892" customFormat="1" ht="12.75" customHeight="1" x14ac:dyDescent="0.3">
      <c r="A124" s="924" t="s">
        <v>239</v>
      </c>
      <c r="B124" s="925" t="s">
        <v>240</v>
      </c>
      <c r="C124" s="905" t="s">
        <v>254</v>
      </c>
      <c r="D124" s="1228">
        <v>191285.61000000002</v>
      </c>
      <c r="E124" s="1229">
        <v>191285.61000000002</v>
      </c>
      <c r="F124" s="1229">
        <v>0</v>
      </c>
      <c r="G124" s="1229">
        <v>0</v>
      </c>
      <c r="H124" s="1229">
        <v>0</v>
      </c>
      <c r="I124" s="1230">
        <f t="shared" si="4"/>
        <v>0</v>
      </c>
    </row>
    <row r="125" spans="1:9" s="892" customFormat="1" ht="12.75" customHeight="1" x14ac:dyDescent="0.3">
      <c r="D125" s="926"/>
      <c r="E125" s="926"/>
      <c r="F125" s="926"/>
      <c r="G125" s="926"/>
      <c r="H125" s="926"/>
      <c r="I125" s="926"/>
    </row>
    <row r="126" spans="1:9" s="892" customFormat="1" ht="12.75" customHeight="1" x14ac:dyDescent="0.3">
      <c r="A126" s="892" t="s">
        <v>253</v>
      </c>
      <c r="D126" s="1231">
        <v>12400109.640000001</v>
      </c>
      <c r="E126" s="1232">
        <v>12400109.640000001</v>
      </c>
      <c r="F126" s="1232">
        <v>0</v>
      </c>
      <c r="G126" s="1232">
        <v>0</v>
      </c>
      <c r="H126" s="1232">
        <v>0</v>
      </c>
      <c r="I126" s="1233">
        <v>0</v>
      </c>
    </row>
    <row r="127" spans="1:9" s="892" customFormat="1" ht="12.75" customHeight="1" x14ac:dyDescent="0.3">
      <c r="A127" s="892" t="s">
        <v>251</v>
      </c>
      <c r="D127" s="1231">
        <v>15094524.250000002</v>
      </c>
      <c r="E127" s="1232">
        <v>15094524.250000002</v>
      </c>
      <c r="F127" s="1232">
        <v>0</v>
      </c>
      <c r="G127" s="1232">
        <v>0</v>
      </c>
      <c r="H127" s="1232">
        <v>0</v>
      </c>
      <c r="I127" s="1233">
        <v>0</v>
      </c>
    </row>
    <row r="128" spans="1:9" s="892" customFormat="1" ht="12.75" customHeight="1" x14ac:dyDescent="0.3">
      <c r="A128" s="892" t="s">
        <v>254</v>
      </c>
      <c r="D128" s="1231">
        <v>7217354.6699999999</v>
      </c>
      <c r="E128" s="1232">
        <v>7217354.6699999999</v>
      </c>
      <c r="F128" s="1232">
        <v>0</v>
      </c>
      <c r="G128" s="1232">
        <v>0</v>
      </c>
      <c r="H128" s="1232">
        <v>0</v>
      </c>
      <c r="I128" s="1233">
        <v>0</v>
      </c>
    </row>
    <row r="129" spans="1:9" s="892" customFormat="1" ht="12.75" customHeight="1" x14ac:dyDescent="0.3">
      <c r="A129" s="892" t="s">
        <v>252</v>
      </c>
      <c r="D129" s="1231">
        <v>18369216.460000001</v>
      </c>
      <c r="E129" s="1232">
        <v>18369216.460000001</v>
      </c>
      <c r="F129" s="1232">
        <v>0</v>
      </c>
      <c r="G129" s="1232">
        <v>0</v>
      </c>
      <c r="H129" s="1232">
        <v>0</v>
      </c>
      <c r="I129" s="1233">
        <v>0</v>
      </c>
    </row>
    <row r="130" spans="1:9" s="892" customFormat="1" ht="12.75" customHeight="1" x14ac:dyDescent="0.3">
      <c r="A130" s="892" t="s">
        <v>255</v>
      </c>
      <c r="D130" s="1231">
        <v>16848395.390000001</v>
      </c>
      <c r="E130" s="1232">
        <v>16848395.390000001</v>
      </c>
      <c r="F130" s="1232">
        <v>0</v>
      </c>
      <c r="G130" s="1232">
        <v>0</v>
      </c>
      <c r="H130" s="1232">
        <v>0</v>
      </c>
      <c r="I130" s="1233">
        <v>0</v>
      </c>
    </row>
    <row r="131" spans="1:9" s="892" customFormat="1" ht="12.75" customHeight="1" x14ac:dyDescent="0.3">
      <c r="A131" s="892" t="s">
        <v>8</v>
      </c>
      <c r="D131" s="1231">
        <f>SUM(D126:D130)</f>
        <v>69929600.409999996</v>
      </c>
      <c r="E131" s="1231">
        <f t="shared" ref="E131:H131" si="5">SUM(E126:E130)</f>
        <v>69929600.409999996</v>
      </c>
      <c r="F131" s="1231">
        <f t="shared" si="5"/>
        <v>0</v>
      </c>
      <c r="G131" s="1231">
        <f t="shared" si="5"/>
        <v>0</v>
      </c>
      <c r="H131" s="1231">
        <f t="shared" si="5"/>
        <v>0</v>
      </c>
      <c r="I131" s="1233">
        <f t="shared" ref="I131" si="6">G131+H131</f>
        <v>0</v>
      </c>
    </row>
    <row r="132" spans="1:9" x14ac:dyDescent="0.3">
      <c r="D132" s="504"/>
      <c r="E132" s="504"/>
      <c r="F132" s="504"/>
      <c r="G132" s="504"/>
      <c r="H132" s="504"/>
      <c r="I132" s="504"/>
    </row>
    <row r="133" spans="1:9" s="173" customFormat="1" x14ac:dyDescent="0.3">
      <c r="A133" s="584" t="s">
        <v>898</v>
      </c>
      <c r="B133" s="410"/>
      <c r="C133" s="410"/>
      <c r="D133" s="368"/>
      <c r="E133" s="368"/>
      <c r="F133" s="368"/>
      <c r="G133" s="368"/>
      <c r="H133" s="368"/>
      <c r="I133" s="368"/>
    </row>
    <row r="134" spans="1:9" s="173" customFormat="1" x14ac:dyDescent="0.3"/>
    <row r="135" spans="1:9" s="193" customFormat="1" x14ac:dyDescent="0.3">
      <c r="A135" s="193" t="s">
        <v>247</v>
      </c>
    </row>
    <row r="136" spans="1:9" x14ac:dyDescent="0.3">
      <c r="A136" s="194" t="s">
        <v>248</v>
      </c>
      <c r="B136" s="195" t="s">
        <v>249</v>
      </c>
      <c r="C136" s="195"/>
    </row>
  </sheetData>
  <autoFilter ref="A3:C124"/>
  <sortState ref="A5:I124">
    <sortCondition ref="A5:A124"/>
  </sortState>
  <hyperlinks>
    <hyperlink ref="B136" r:id="rId1"/>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8"/>
  <sheetViews>
    <sheetView zoomScale="98" zoomScaleNormal="98" workbookViewId="0">
      <pane xSplit="3" ySplit="4" topLeftCell="D120" activePane="bottomRight" state="frozen"/>
      <selection pane="topRight" activeCell="D1" sqref="D1"/>
      <selection pane="bottomLeft" activeCell="A5" sqref="A5"/>
      <selection pane="bottomRight" activeCell="J136" sqref="J136"/>
    </sheetView>
  </sheetViews>
  <sheetFormatPr defaultColWidth="9" defaultRowHeight="15.6" x14ac:dyDescent="0.3"/>
  <cols>
    <col min="1" max="1" width="13.296875" style="105" bestFit="1" customWidth="1"/>
    <col min="2" max="2" width="31.296875" style="105" customWidth="1"/>
    <col min="3" max="3" width="14.796875" style="105" customWidth="1"/>
    <col min="4" max="4" width="13.69921875" style="105" bestFit="1" customWidth="1"/>
    <col min="5" max="5" width="12.296875" style="105" bestFit="1" customWidth="1"/>
    <col min="6" max="6" width="10.796875" style="105" customWidth="1"/>
    <col min="7" max="7" width="10.09765625" style="105" bestFit="1" customWidth="1"/>
    <col min="8" max="8" width="12.296875" style="105" bestFit="1" customWidth="1"/>
    <col min="9" max="9" width="12.59765625" style="105" customWidth="1"/>
    <col min="10" max="16384" width="9" style="105"/>
  </cols>
  <sheetData>
    <row r="1" spans="1:9" x14ac:dyDescent="0.3">
      <c r="A1" s="2" t="s">
        <v>899</v>
      </c>
    </row>
    <row r="2" spans="1:9" x14ac:dyDescent="0.3">
      <c r="D2" s="794"/>
      <c r="E2" s="794"/>
      <c r="F2" s="794"/>
      <c r="G2" s="794"/>
      <c r="H2" s="794"/>
    </row>
    <row r="3" spans="1:9" ht="31.2" x14ac:dyDescent="0.3">
      <c r="A3" s="506" t="s">
        <v>4</v>
      </c>
      <c r="B3" s="507" t="s">
        <v>5</v>
      </c>
      <c r="C3" s="551" t="s">
        <v>250</v>
      </c>
      <c r="D3" s="508" t="s">
        <v>577</v>
      </c>
      <c r="E3" s="509" t="s">
        <v>578</v>
      </c>
      <c r="F3" s="509" t="s">
        <v>579</v>
      </c>
      <c r="G3" s="509" t="s">
        <v>580</v>
      </c>
      <c r="H3" s="806" t="s">
        <v>581</v>
      </c>
      <c r="I3" s="807" t="s">
        <v>608</v>
      </c>
    </row>
    <row r="4" spans="1:9" s="892" customFormat="1" ht="12.75" customHeight="1" x14ac:dyDescent="0.3">
      <c r="A4" s="887">
        <v>999</v>
      </c>
      <c r="B4" s="888" t="s">
        <v>8</v>
      </c>
      <c r="C4" s="889"/>
      <c r="D4" s="890">
        <f t="shared" ref="D4:H4" si="0">SUM(D5:D124)</f>
        <v>25596405.217763998</v>
      </c>
      <c r="E4" s="890">
        <f t="shared" si="0"/>
        <v>38729953.67223601</v>
      </c>
      <c r="F4" s="890">
        <f t="shared" si="0"/>
        <v>0</v>
      </c>
      <c r="G4" s="890">
        <f t="shared" si="0"/>
        <v>0</v>
      </c>
      <c r="H4" s="1002">
        <f t="shared" si="0"/>
        <v>64326358.890000001</v>
      </c>
      <c r="I4" s="891">
        <f t="shared" ref="I4" si="1">F4+G4</f>
        <v>0</v>
      </c>
    </row>
    <row r="5" spans="1:9" s="900" customFormat="1" ht="12.75" customHeight="1" x14ac:dyDescent="0.3">
      <c r="A5" s="893" t="s">
        <v>9</v>
      </c>
      <c r="B5" s="894" t="s">
        <v>10</v>
      </c>
      <c r="C5" s="895" t="s">
        <v>251</v>
      </c>
      <c r="D5" s="896">
        <v>107403.12071999999</v>
      </c>
      <c r="E5" s="897">
        <v>144025.67928000001</v>
      </c>
      <c r="F5" s="897">
        <v>0</v>
      </c>
      <c r="G5" s="897">
        <v>0</v>
      </c>
      <c r="H5" s="898">
        <v>251428.8</v>
      </c>
      <c r="I5" s="899">
        <f t="shared" ref="I5:I36" si="2">F5+G5</f>
        <v>0</v>
      </c>
    </row>
    <row r="6" spans="1:9" s="900" customFormat="1" ht="12.75" customHeight="1" x14ac:dyDescent="0.3">
      <c r="A6" s="893" t="s">
        <v>11</v>
      </c>
      <c r="B6" s="894" t="s">
        <v>12</v>
      </c>
      <c r="C6" s="895" t="s">
        <v>252</v>
      </c>
      <c r="D6" s="901">
        <v>171045.36195600001</v>
      </c>
      <c r="E6" s="902">
        <v>312803.07804400002</v>
      </c>
      <c r="F6" s="897">
        <v>0</v>
      </c>
      <c r="G6" s="897">
        <v>0</v>
      </c>
      <c r="H6" s="898">
        <v>483848.44000000006</v>
      </c>
      <c r="I6" s="899">
        <f t="shared" si="2"/>
        <v>0</v>
      </c>
    </row>
    <row r="7" spans="1:9" s="900" customFormat="1" ht="12.75" customHeight="1" x14ac:dyDescent="0.3">
      <c r="A7" s="893" t="s">
        <v>15</v>
      </c>
      <c r="B7" s="894" t="s">
        <v>273</v>
      </c>
      <c r="C7" s="895" t="s">
        <v>252</v>
      </c>
      <c r="D7" s="903">
        <v>60814.12689</v>
      </c>
      <c r="E7" s="904">
        <v>86890.973110000006</v>
      </c>
      <c r="F7" s="897">
        <v>0</v>
      </c>
      <c r="G7" s="897">
        <v>0</v>
      </c>
      <c r="H7" s="898">
        <v>147705.1</v>
      </c>
      <c r="I7" s="899">
        <f t="shared" si="2"/>
        <v>0</v>
      </c>
    </row>
    <row r="8" spans="1:9" s="900" customFormat="1" ht="12.75" customHeight="1" x14ac:dyDescent="0.3">
      <c r="A8" s="893" t="s">
        <v>17</v>
      </c>
      <c r="B8" s="894" t="s">
        <v>18</v>
      </c>
      <c r="C8" s="895" t="s">
        <v>253</v>
      </c>
      <c r="D8" s="903">
        <v>33692.982600000003</v>
      </c>
      <c r="E8" s="904">
        <v>48548.017400000004</v>
      </c>
      <c r="F8" s="897">
        <v>0</v>
      </c>
      <c r="G8" s="897">
        <v>0</v>
      </c>
      <c r="H8" s="898">
        <v>82241</v>
      </c>
      <c r="I8" s="899">
        <f t="shared" si="2"/>
        <v>0</v>
      </c>
    </row>
    <row r="9" spans="1:9" s="900" customFormat="1" ht="12.75" customHeight="1" x14ac:dyDescent="0.3">
      <c r="A9" s="893" t="s">
        <v>19</v>
      </c>
      <c r="B9" s="894" t="s">
        <v>20</v>
      </c>
      <c r="C9" s="895" t="s">
        <v>252</v>
      </c>
      <c r="D9" s="901">
        <v>91238.966700000004</v>
      </c>
      <c r="E9" s="902">
        <v>124072.03330000001</v>
      </c>
      <c r="F9" s="897">
        <v>0</v>
      </c>
      <c r="G9" s="897">
        <v>0</v>
      </c>
      <c r="H9" s="898">
        <v>215311</v>
      </c>
      <c r="I9" s="899">
        <f t="shared" si="2"/>
        <v>0</v>
      </c>
    </row>
    <row r="10" spans="1:9" s="900" customFormat="1" ht="12.75" customHeight="1" x14ac:dyDescent="0.3">
      <c r="A10" s="893" t="s">
        <v>21</v>
      </c>
      <c r="B10" s="894" t="s">
        <v>22</v>
      </c>
      <c r="C10" s="895" t="s">
        <v>252</v>
      </c>
      <c r="D10" s="903">
        <v>52170.230766000001</v>
      </c>
      <c r="E10" s="904">
        <v>73047.109234000003</v>
      </c>
      <c r="F10" s="897">
        <v>0</v>
      </c>
      <c r="G10" s="897">
        <v>0</v>
      </c>
      <c r="H10" s="898">
        <v>125217.34</v>
      </c>
      <c r="I10" s="899">
        <f t="shared" si="2"/>
        <v>0</v>
      </c>
    </row>
    <row r="11" spans="1:9" s="900" customFormat="1" ht="12.75" customHeight="1" x14ac:dyDescent="0.3">
      <c r="A11" s="893" t="s">
        <v>23</v>
      </c>
      <c r="B11" s="894" t="s">
        <v>24</v>
      </c>
      <c r="C11" s="895" t="s">
        <v>254</v>
      </c>
      <c r="D11" s="903">
        <v>171194.52005999998</v>
      </c>
      <c r="E11" s="904">
        <v>272517.87994000001</v>
      </c>
      <c r="F11" s="897">
        <v>0</v>
      </c>
      <c r="G11" s="897">
        <v>0</v>
      </c>
      <c r="H11" s="898">
        <v>443712.4</v>
      </c>
      <c r="I11" s="899">
        <f t="shared" si="2"/>
        <v>0</v>
      </c>
    </row>
    <row r="12" spans="1:9" s="900" customFormat="1" ht="12.75" customHeight="1" x14ac:dyDescent="0.3">
      <c r="A12" s="893" t="s">
        <v>25</v>
      </c>
      <c r="B12" s="894" t="s">
        <v>444</v>
      </c>
      <c r="C12" s="895" t="s">
        <v>252</v>
      </c>
      <c r="D12" s="903">
        <v>612295.12606199994</v>
      </c>
      <c r="E12" s="904">
        <v>878637.56393800001</v>
      </c>
      <c r="F12" s="897">
        <v>0</v>
      </c>
      <c r="G12" s="897">
        <v>0</v>
      </c>
      <c r="H12" s="898">
        <v>1490932.69</v>
      </c>
      <c r="I12" s="899">
        <f t="shared" si="2"/>
        <v>0</v>
      </c>
    </row>
    <row r="13" spans="1:9" s="900" customFormat="1" ht="12.75" customHeight="1" x14ac:dyDescent="0.3">
      <c r="A13" s="893" t="s">
        <v>26</v>
      </c>
      <c r="B13" s="894" t="s">
        <v>27</v>
      </c>
      <c r="C13" s="895" t="s">
        <v>252</v>
      </c>
      <c r="D13" s="901">
        <v>8082.5499</v>
      </c>
      <c r="E13" s="902">
        <v>10718.450100000002</v>
      </c>
      <c r="F13" s="897">
        <v>0</v>
      </c>
      <c r="G13" s="897">
        <v>0</v>
      </c>
      <c r="H13" s="898">
        <v>18801</v>
      </c>
      <c r="I13" s="899">
        <f t="shared" si="2"/>
        <v>0</v>
      </c>
    </row>
    <row r="14" spans="1:9" s="900" customFormat="1" ht="12.75" customHeight="1" x14ac:dyDescent="0.3">
      <c r="A14" s="893" t="s">
        <v>28</v>
      </c>
      <c r="B14" s="894" t="s">
        <v>568</v>
      </c>
      <c r="C14" s="895" t="s">
        <v>252</v>
      </c>
      <c r="D14" s="903">
        <v>194632.85291700001</v>
      </c>
      <c r="E14" s="904">
        <v>273096.97708300001</v>
      </c>
      <c r="F14" s="897">
        <v>0</v>
      </c>
      <c r="G14" s="897">
        <v>0</v>
      </c>
      <c r="H14" s="898">
        <v>467729.83</v>
      </c>
      <c r="I14" s="899">
        <f t="shared" si="2"/>
        <v>0</v>
      </c>
    </row>
    <row r="15" spans="1:9" s="900" customFormat="1" ht="12.75" customHeight="1" x14ac:dyDescent="0.3">
      <c r="A15" s="893" t="s">
        <v>29</v>
      </c>
      <c r="B15" s="894" t="s">
        <v>30</v>
      </c>
      <c r="C15" s="895" t="s">
        <v>255</v>
      </c>
      <c r="D15" s="901">
        <v>12185.5155</v>
      </c>
      <c r="E15" s="902">
        <v>20515.484500000002</v>
      </c>
      <c r="F15" s="897">
        <v>0</v>
      </c>
      <c r="G15" s="897">
        <v>0</v>
      </c>
      <c r="H15" s="898">
        <v>32701</v>
      </c>
      <c r="I15" s="899">
        <f t="shared" si="2"/>
        <v>0</v>
      </c>
    </row>
    <row r="16" spans="1:9" s="900" customFormat="1" ht="12.75" customHeight="1" x14ac:dyDescent="0.3">
      <c r="A16" s="893" t="s">
        <v>31</v>
      </c>
      <c r="B16" s="894" t="s">
        <v>32</v>
      </c>
      <c r="C16" s="895" t="s">
        <v>252</v>
      </c>
      <c r="D16" s="901">
        <v>45361.328399999999</v>
      </c>
      <c r="E16" s="902">
        <v>60848.671600000009</v>
      </c>
      <c r="F16" s="897">
        <v>0</v>
      </c>
      <c r="G16" s="897">
        <v>0</v>
      </c>
      <c r="H16" s="898">
        <v>106210</v>
      </c>
      <c r="I16" s="899">
        <f t="shared" si="2"/>
        <v>0</v>
      </c>
    </row>
    <row r="17" spans="1:9" s="900" customFormat="1" ht="12.75" customHeight="1" x14ac:dyDescent="0.3">
      <c r="A17" s="893" t="s">
        <v>35</v>
      </c>
      <c r="B17" s="894" t="s">
        <v>36</v>
      </c>
      <c r="C17" s="895" t="s">
        <v>251</v>
      </c>
      <c r="D17" s="901">
        <v>65158.653299999991</v>
      </c>
      <c r="E17" s="902">
        <v>87218.346699999995</v>
      </c>
      <c r="F17" s="897">
        <v>0</v>
      </c>
      <c r="G17" s="897">
        <v>0</v>
      </c>
      <c r="H17" s="898">
        <v>152377</v>
      </c>
      <c r="I17" s="899">
        <f t="shared" si="2"/>
        <v>0</v>
      </c>
    </row>
    <row r="18" spans="1:9" s="900" customFormat="1" ht="12.75" customHeight="1" x14ac:dyDescent="0.3">
      <c r="A18" s="893" t="s">
        <v>37</v>
      </c>
      <c r="B18" s="894" t="s">
        <v>38</v>
      </c>
      <c r="C18" s="895" t="s">
        <v>255</v>
      </c>
      <c r="D18" s="903">
        <v>130410.12200999999</v>
      </c>
      <c r="E18" s="904">
        <v>186299.77799</v>
      </c>
      <c r="F18" s="897">
        <v>0</v>
      </c>
      <c r="G18" s="897">
        <v>0</v>
      </c>
      <c r="H18" s="898">
        <v>316709.90000000002</v>
      </c>
      <c r="I18" s="899">
        <f t="shared" si="2"/>
        <v>0</v>
      </c>
    </row>
    <row r="19" spans="1:9" s="900" customFormat="1" ht="12.75" customHeight="1" x14ac:dyDescent="0.3">
      <c r="A19" s="893" t="s">
        <v>39</v>
      </c>
      <c r="B19" s="894" t="s">
        <v>40</v>
      </c>
      <c r="C19" s="895" t="s">
        <v>253</v>
      </c>
      <c r="D19" s="903">
        <v>42516.697296000006</v>
      </c>
      <c r="E19" s="904">
        <v>56816.34270400001</v>
      </c>
      <c r="F19" s="897">
        <v>0</v>
      </c>
      <c r="G19" s="897">
        <v>0</v>
      </c>
      <c r="H19" s="898">
        <v>99333.040000000008</v>
      </c>
      <c r="I19" s="899">
        <f t="shared" si="2"/>
        <v>0</v>
      </c>
    </row>
    <row r="20" spans="1:9" s="900" customFormat="1" ht="12.75" customHeight="1" x14ac:dyDescent="0.3">
      <c r="A20" s="893" t="s">
        <v>41</v>
      </c>
      <c r="B20" s="894" t="s">
        <v>42</v>
      </c>
      <c r="C20" s="895" t="s">
        <v>252</v>
      </c>
      <c r="D20" s="903">
        <v>184473.61947900004</v>
      </c>
      <c r="E20" s="904">
        <v>293826.29052100005</v>
      </c>
      <c r="F20" s="897">
        <v>0</v>
      </c>
      <c r="G20" s="897">
        <v>0</v>
      </c>
      <c r="H20" s="898">
        <v>478299.91000000009</v>
      </c>
      <c r="I20" s="899">
        <f t="shared" si="2"/>
        <v>0</v>
      </c>
    </row>
    <row r="21" spans="1:9" s="900" customFormat="1" ht="12.75" customHeight="1" x14ac:dyDescent="0.3">
      <c r="A21" s="893" t="s">
        <v>43</v>
      </c>
      <c r="B21" s="894" t="s">
        <v>44</v>
      </c>
      <c r="C21" s="895" t="s">
        <v>253</v>
      </c>
      <c r="D21" s="903">
        <v>150004.908123</v>
      </c>
      <c r="E21" s="904">
        <v>204081.86187700002</v>
      </c>
      <c r="F21" s="897">
        <v>0</v>
      </c>
      <c r="G21" s="897">
        <v>0</v>
      </c>
      <c r="H21" s="898">
        <v>354086.77</v>
      </c>
      <c r="I21" s="899">
        <f t="shared" si="2"/>
        <v>0</v>
      </c>
    </row>
    <row r="22" spans="1:9" s="900" customFormat="1" ht="12.75" customHeight="1" x14ac:dyDescent="0.3">
      <c r="A22" s="893" t="s">
        <v>45</v>
      </c>
      <c r="B22" s="894" t="s">
        <v>46</v>
      </c>
      <c r="C22" s="895" t="s">
        <v>255</v>
      </c>
      <c r="D22" s="903">
        <v>112995.99075</v>
      </c>
      <c r="E22" s="904">
        <v>170655.50925</v>
      </c>
      <c r="F22" s="897">
        <v>0</v>
      </c>
      <c r="G22" s="897">
        <v>0</v>
      </c>
      <c r="H22" s="898">
        <v>283651.5</v>
      </c>
      <c r="I22" s="899">
        <f t="shared" si="2"/>
        <v>0</v>
      </c>
    </row>
    <row r="23" spans="1:9" s="900" customFormat="1" ht="12.75" customHeight="1" x14ac:dyDescent="0.3">
      <c r="A23" s="893" t="s">
        <v>47</v>
      </c>
      <c r="B23" s="894" t="s">
        <v>256</v>
      </c>
      <c r="C23" s="895" t="s">
        <v>253</v>
      </c>
      <c r="D23" s="901">
        <v>10236.7788</v>
      </c>
      <c r="E23" s="902">
        <v>14891.221200000002</v>
      </c>
      <c r="F23" s="897">
        <v>0</v>
      </c>
      <c r="G23" s="897">
        <v>0</v>
      </c>
      <c r="H23" s="898">
        <v>25128</v>
      </c>
      <c r="I23" s="899">
        <f t="shared" si="2"/>
        <v>0</v>
      </c>
    </row>
    <row r="24" spans="1:9" s="900" customFormat="1" ht="12.75" customHeight="1" x14ac:dyDescent="0.3">
      <c r="A24" s="893" t="s">
        <v>49</v>
      </c>
      <c r="B24" s="894" t="s">
        <v>50</v>
      </c>
      <c r="C24" s="895" t="s">
        <v>252</v>
      </c>
      <c r="D24" s="903">
        <v>63001.845000000001</v>
      </c>
      <c r="E24" s="904">
        <v>89914.155000000013</v>
      </c>
      <c r="F24" s="897">
        <v>0</v>
      </c>
      <c r="G24" s="897">
        <v>0</v>
      </c>
      <c r="H24" s="898">
        <v>152916</v>
      </c>
      <c r="I24" s="899">
        <f t="shared" si="2"/>
        <v>0</v>
      </c>
    </row>
    <row r="25" spans="1:9" s="900" customFormat="1" ht="12.75" customHeight="1" x14ac:dyDescent="0.3">
      <c r="A25" s="893" t="s">
        <v>55</v>
      </c>
      <c r="B25" s="894" t="s">
        <v>271</v>
      </c>
      <c r="C25" s="895" t="s">
        <v>253</v>
      </c>
      <c r="D25" s="903">
        <v>735982.02047700004</v>
      </c>
      <c r="E25" s="904">
        <v>1051242.2095230001</v>
      </c>
      <c r="F25" s="897">
        <v>0</v>
      </c>
      <c r="G25" s="897">
        <v>0</v>
      </c>
      <c r="H25" s="898">
        <v>1787224.2300000002</v>
      </c>
      <c r="I25" s="899">
        <f t="shared" si="2"/>
        <v>0</v>
      </c>
    </row>
    <row r="26" spans="1:9" s="900" customFormat="1" ht="12.75" customHeight="1" x14ac:dyDescent="0.3">
      <c r="A26" s="893" t="s">
        <v>57</v>
      </c>
      <c r="B26" s="894" t="s">
        <v>58</v>
      </c>
      <c r="C26" s="895" t="s">
        <v>254</v>
      </c>
      <c r="D26" s="901">
        <v>10788.3405</v>
      </c>
      <c r="E26" s="902">
        <v>14740.659500000002</v>
      </c>
      <c r="F26" s="897">
        <v>0</v>
      </c>
      <c r="G26" s="897">
        <v>0</v>
      </c>
      <c r="H26" s="898">
        <v>25529</v>
      </c>
      <c r="I26" s="899">
        <f t="shared" si="2"/>
        <v>0</v>
      </c>
    </row>
    <row r="27" spans="1:9" s="900" customFormat="1" ht="12.75" customHeight="1" x14ac:dyDescent="0.3">
      <c r="A27" s="893" t="s">
        <v>59</v>
      </c>
      <c r="B27" s="894" t="s">
        <v>60</v>
      </c>
      <c r="C27" s="895" t="s">
        <v>252</v>
      </c>
      <c r="D27" s="901">
        <v>17168.056499999999</v>
      </c>
      <c r="E27" s="902">
        <v>22766.943500000001</v>
      </c>
      <c r="F27" s="897">
        <v>0</v>
      </c>
      <c r="G27" s="897">
        <v>0</v>
      </c>
      <c r="H27" s="898">
        <v>39935</v>
      </c>
      <c r="I27" s="899">
        <f t="shared" si="2"/>
        <v>0</v>
      </c>
    </row>
    <row r="28" spans="1:9" s="900" customFormat="1" ht="12.75" customHeight="1" x14ac:dyDescent="0.3">
      <c r="A28" s="893" t="s">
        <v>61</v>
      </c>
      <c r="B28" s="894" t="s">
        <v>62</v>
      </c>
      <c r="C28" s="895" t="s">
        <v>254</v>
      </c>
      <c r="D28" s="903">
        <v>123698.42433300002</v>
      </c>
      <c r="E28" s="904">
        <v>182805.24566700004</v>
      </c>
      <c r="F28" s="897">
        <v>0</v>
      </c>
      <c r="G28" s="897">
        <v>0</v>
      </c>
      <c r="H28" s="898">
        <v>306503.67000000004</v>
      </c>
      <c r="I28" s="899">
        <f t="shared" si="2"/>
        <v>0</v>
      </c>
    </row>
    <row r="29" spans="1:9" s="900" customFormat="1" ht="12.75" customHeight="1" x14ac:dyDescent="0.3">
      <c r="A29" s="893" t="s">
        <v>63</v>
      </c>
      <c r="B29" s="894" t="s">
        <v>64</v>
      </c>
      <c r="C29" s="895" t="s">
        <v>253</v>
      </c>
      <c r="D29" s="903">
        <v>58588.844118000001</v>
      </c>
      <c r="E29" s="904">
        <v>81193.975882000013</v>
      </c>
      <c r="F29" s="897">
        <v>0</v>
      </c>
      <c r="G29" s="897">
        <v>0</v>
      </c>
      <c r="H29" s="898">
        <v>139782.82</v>
      </c>
      <c r="I29" s="899">
        <f t="shared" si="2"/>
        <v>0</v>
      </c>
    </row>
    <row r="30" spans="1:9" s="900" customFormat="1" ht="12.75" customHeight="1" x14ac:dyDescent="0.3">
      <c r="A30" s="893" t="s">
        <v>67</v>
      </c>
      <c r="B30" s="894" t="s">
        <v>68</v>
      </c>
      <c r="C30" s="895" t="s">
        <v>255</v>
      </c>
      <c r="D30" s="903">
        <v>51498.32286</v>
      </c>
      <c r="E30" s="904">
        <v>70621.077140000009</v>
      </c>
      <c r="F30" s="897">
        <v>0</v>
      </c>
      <c r="G30" s="897">
        <v>0</v>
      </c>
      <c r="H30" s="898">
        <v>122119.40000000001</v>
      </c>
      <c r="I30" s="899">
        <f t="shared" si="2"/>
        <v>0</v>
      </c>
    </row>
    <row r="31" spans="1:9" s="900" customFormat="1" ht="12.75" customHeight="1" x14ac:dyDescent="0.3">
      <c r="A31" s="893" t="s">
        <v>69</v>
      </c>
      <c r="B31" s="894" t="s">
        <v>70</v>
      </c>
      <c r="C31" s="895" t="s">
        <v>251</v>
      </c>
      <c r="D31" s="903">
        <v>72415.300814999995</v>
      </c>
      <c r="E31" s="904">
        <v>96031.549184999996</v>
      </c>
      <c r="F31" s="897">
        <v>0</v>
      </c>
      <c r="G31" s="897">
        <v>0</v>
      </c>
      <c r="H31" s="898">
        <v>168446.84999999998</v>
      </c>
      <c r="I31" s="899">
        <f t="shared" si="2"/>
        <v>0</v>
      </c>
    </row>
    <row r="32" spans="1:9" s="900" customFormat="1" ht="12.75" customHeight="1" x14ac:dyDescent="0.3">
      <c r="A32" s="893" t="s">
        <v>71</v>
      </c>
      <c r="B32" s="894" t="s">
        <v>72</v>
      </c>
      <c r="C32" s="895" t="s">
        <v>253</v>
      </c>
      <c r="D32" s="901">
        <v>66404.503500000006</v>
      </c>
      <c r="E32" s="902">
        <v>89328.496500000008</v>
      </c>
      <c r="F32" s="897">
        <v>0</v>
      </c>
      <c r="G32" s="897">
        <v>0</v>
      </c>
      <c r="H32" s="898">
        <v>155733</v>
      </c>
      <c r="I32" s="899">
        <f t="shared" si="2"/>
        <v>0</v>
      </c>
    </row>
    <row r="33" spans="1:9" s="900" customFormat="1" ht="12.75" customHeight="1" x14ac:dyDescent="0.3">
      <c r="A33" s="893" t="s">
        <v>73</v>
      </c>
      <c r="B33" s="894" t="s">
        <v>443</v>
      </c>
      <c r="C33" s="895" t="s">
        <v>254</v>
      </c>
      <c r="D33" s="903">
        <v>1042185.7972320002</v>
      </c>
      <c r="E33" s="904">
        <v>1975293.8827680002</v>
      </c>
      <c r="F33" s="897">
        <v>0</v>
      </c>
      <c r="G33" s="897">
        <v>0</v>
      </c>
      <c r="H33" s="898">
        <v>3017479.68</v>
      </c>
      <c r="I33" s="899">
        <f t="shared" si="2"/>
        <v>0</v>
      </c>
    </row>
    <row r="34" spans="1:9" s="900" customFormat="1" ht="12.75" customHeight="1" x14ac:dyDescent="0.3">
      <c r="A34" s="893" t="s">
        <v>75</v>
      </c>
      <c r="B34" s="894" t="s">
        <v>76</v>
      </c>
      <c r="C34" s="895" t="s">
        <v>254</v>
      </c>
      <c r="D34" s="903">
        <v>111544.47639000001</v>
      </c>
      <c r="E34" s="904">
        <v>153457.62361000001</v>
      </c>
      <c r="F34" s="897">
        <v>0</v>
      </c>
      <c r="G34" s="897">
        <v>0</v>
      </c>
      <c r="H34" s="898">
        <v>265002.10000000003</v>
      </c>
      <c r="I34" s="899">
        <f t="shared" si="2"/>
        <v>0</v>
      </c>
    </row>
    <row r="35" spans="1:9" s="900" customFormat="1" ht="12.75" customHeight="1" x14ac:dyDescent="0.3">
      <c r="A35" s="893" t="s">
        <v>77</v>
      </c>
      <c r="B35" s="894" t="s">
        <v>78</v>
      </c>
      <c r="C35" s="895" t="s">
        <v>255</v>
      </c>
      <c r="D35" s="901">
        <v>41004.175827000006</v>
      </c>
      <c r="E35" s="902">
        <v>76117.554173000011</v>
      </c>
      <c r="F35" s="897">
        <v>0</v>
      </c>
      <c r="G35" s="897">
        <v>0</v>
      </c>
      <c r="H35" s="898">
        <v>117121.73000000001</v>
      </c>
      <c r="I35" s="899">
        <f t="shared" si="2"/>
        <v>0</v>
      </c>
    </row>
    <row r="36" spans="1:9" s="900" customFormat="1" ht="12.75" customHeight="1" x14ac:dyDescent="0.3">
      <c r="A36" s="893" t="s">
        <v>79</v>
      </c>
      <c r="B36" s="894" t="s">
        <v>80</v>
      </c>
      <c r="C36" s="895" t="s">
        <v>253</v>
      </c>
      <c r="D36" s="903">
        <v>43100.914199999999</v>
      </c>
      <c r="E36" s="904">
        <v>57157.085800000008</v>
      </c>
      <c r="F36" s="897">
        <v>0</v>
      </c>
      <c r="G36" s="897">
        <v>0</v>
      </c>
      <c r="H36" s="898">
        <v>100258</v>
      </c>
      <c r="I36" s="899">
        <f t="shared" si="2"/>
        <v>0</v>
      </c>
    </row>
    <row r="37" spans="1:9" s="900" customFormat="1" ht="12.75" customHeight="1" x14ac:dyDescent="0.3">
      <c r="A37" s="893" t="s">
        <v>83</v>
      </c>
      <c r="B37" s="894" t="s">
        <v>281</v>
      </c>
      <c r="C37" s="895" t="s">
        <v>252</v>
      </c>
      <c r="D37" s="903">
        <v>177858.228</v>
      </c>
      <c r="E37" s="904">
        <v>247338.77200000003</v>
      </c>
      <c r="F37" s="897">
        <v>0</v>
      </c>
      <c r="G37" s="897">
        <v>0</v>
      </c>
      <c r="H37" s="898">
        <v>425197</v>
      </c>
      <c r="I37" s="899">
        <f t="shared" ref="I37:I68" si="3">F37+G37</f>
        <v>0</v>
      </c>
    </row>
    <row r="38" spans="1:9" s="900" customFormat="1" ht="12.75" customHeight="1" x14ac:dyDescent="0.3">
      <c r="A38" s="893" t="s">
        <v>85</v>
      </c>
      <c r="B38" s="894" t="s">
        <v>86</v>
      </c>
      <c r="C38" s="895" t="s">
        <v>254</v>
      </c>
      <c r="D38" s="901">
        <v>125382.617769</v>
      </c>
      <c r="E38" s="902">
        <v>198850.69223100002</v>
      </c>
      <c r="F38" s="897">
        <v>0</v>
      </c>
      <c r="G38" s="897">
        <v>0</v>
      </c>
      <c r="H38" s="898">
        <v>324233.31000000006</v>
      </c>
      <c r="I38" s="899">
        <f t="shared" si="3"/>
        <v>0</v>
      </c>
    </row>
    <row r="39" spans="1:9" s="900" customFormat="1" ht="12.75" customHeight="1" x14ac:dyDescent="0.3">
      <c r="A39" s="893" t="s">
        <v>91</v>
      </c>
      <c r="B39" s="894" t="s">
        <v>92</v>
      </c>
      <c r="C39" s="895" t="s">
        <v>255</v>
      </c>
      <c r="D39" s="903">
        <v>71576.587410000007</v>
      </c>
      <c r="E39" s="904">
        <v>97018.312590000016</v>
      </c>
      <c r="F39" s="897">
        <v>0</v>
      </c>
      <c r="G39" s="897">
        <v>0</v>
      </c>
      <c r="H39" s="898">
        <v>168594.90000000002</v>
      </c>
      <c r="I39" s="899">
        <f t="shared" si="3"/>
        <v>0</v>
      </c>
    </row>
    <row r="40" spans="1:9" s="900" customFormat="1" ht="12.75" customHeight="1" x14ac:dyDescent="0.3">
      <c r="A40" s="893" t="s">
        <v>93</v>
      </c>
      <c r="B40" s="894" t="s">
        <v>94</v>
      </c>
      <c r="C40" s="895" t="s">
        <v>251</v>
      </c>
      <c r="D40" s="901">
        <v>102230.925036</v>
      </c>
      <c r="E40" s="902">
        <v>149683.71496400001</v>
      </c>
      <c r="F40" s="897">
        <v>0</v>
      </c>
      <c r="G40" s="897">
        <v>0</v>
      </c>
      <c r="H40" s="898">
        <v>251914.64</v>
      </c>
      <c r="I40" s="899">
        <f t="shared" si="3"/>
        <v>0</v>
      </c>
    </row>
    <row r="41" spans="1:9" s="900" customFormat="1" ht="12.75" customHeight="1" x14ac:dyDescent="0.3">
      <c r="A41" s="893" t="s">
        <v>95</v>
      </c>
      <c r="B41" s="894" t="s">
        <v>96</v>
      </c>
      <c r="C41" s="895" t="s">
        <v>253</v>
      </c>
      <c r="D41" s="901">
        <v>17865.784200000002</v>
      </c>
      <c r="E41" s="902">
        <v>29871.215800000002</v>
      </c>
      <c r="F41" s="897">
        <v>0</v>
      </c>
      <c r="G41" s="897">
        <v>0</v>
      </c>
      <c r="H41" s="898">
        <v>47737</v>
      </c>
      <c r="I41" s="899">
        <f t="shared" si="3"/>
        <v>0</v>
      </c>
    </row>
    <row r="42" spans="1:9" s="900" customFormat="1" ht="12.75" customHeight="1" x14ac:dyDescent="0.3">
      <c r="A42" s="893" t="s">
        <v>97</v>
      </c>
      <c r="B42" s="894" t="s">
        <v>98</v>
      </c>
      <c r="C42" s="895" t="s">
        <v>255</v>
      </c>
      <c r="D42" s="901">
        <v>38195.841179999996</v>
      </c>
      <c r="E42" s="902">
        <v>51520.358820000001</v>
      </c>
      <c r="F42" s="897">
        <v>0</v>
      </c>
      <c r="G42" s="897">
        <v>0</v>
      </c>
      <c r="H42" s="898">
        <v>89716.2</v>
      </c>
      <c r="I42" s="899">
        <f t="shared" si="3"/>
        <v>0</v>
      </c>
    </row>
    <row r="43" spans="1:9" s="900" customFormat="1" ht="12.75" customHeight="1" x14ac:dyDescent="0.3">
      <c r="A43" s="893" t="s">
        <v>99</v>
      </c>
      <c r="B43" s="894" t="s">
        <v>100</v>
      </c>
      <c r="C43" s="895" t="s">
        <v>254</v>
      </c>
      <c r="D43" s="901">
        <v>52609.588565999999</v>
      </c>
      <c r="E43" s="902">
        <v>71218.751434000005</v>
      </c>
      <c r="F43" s="897">
        <v>0</v>
      </c>
      <c r="G43" s="897">
        <v>0</v>
      </c>
      <c r="H43" s="898">
        <v>123828.34</v>
      </c>
      <c r="I43" s="899">
        <f t="shared" si="3"/>
        <v>0</v>
      </c>
    </row>
    <row r="44" spans="1:9" s="900" customFormat="1" ht="12.75" customHeight="1" x14ac:dyDescent="0.3">
      <c r="A44" s="893" t="s">
        <v>101</v>
      </c>
      <c r="B44" s="894" t="s">
        <v>102</v>
      </c>
      <c r="C44" s="895" t="s">
        <v>251</v>
      </c>
      <c r="D44" s="901">
        <v>122343.29355300002</v>
      </c>
      <c r="E44" s="902">
        <v>180965.17644700003</v>
      </c>
      <c r="F44" s="897">
        <v>0</v>
      </c>
      <c r="G44" s="897">
        <v>0</v>
      </c>
      <c r="H44" s="898">
        <v>303308.47000000003</v>
      </c>
      <c r="I44" s="899">
        <f t="shared" si="3"/>
        <v>0</v>
      </c>
    </row>
    <row r="45" spans="1:9" s="900" customFormat="1" ht="12.75" customHeight="1" x14ac:dyDescent="0.3">
      <c r="A45" s="893" t="s">
        <v>103</v>
      </c>
      <c r="B45" s="894" t="s">
        <v>282</v>
      </c>
      <c r="C45" s="895" t="s">
        <v>252</v>
      </c>
      <c r="D45" s="903">
        <v>142619.049864</v>
      </c>
      <c r="E45" s="904">
        <v>195950.31013600001</v>
      </c>
      <c r="F45" s="897">
        <v>0</v>
      </c>
      <c r="G45" s="897">
        <v>0</v>
      </c>
      <c r="H45" s="898">
        <v>338569.36</v>
      </c>
      <c r="I45" s="899">
        <f t="shared" si="3"/>
        <v>0</v>
      </c>
    </row>
    <row r="46" spans="1:9" s="900" customFormat="1" ht="12.75" customHeight="1" x14ac:dyDescent="0.3">
      <c r="A46" s="893" t="s">
        <v>107</v>
      </c>
      <c r="B46" s="894" t="s">
        <v>108</v>
      </c>
      <c r="C46" s="895" t="s">
        <v>253</v>
      </c>
      <c r="D46" s="903">
        <v>122507.11124700001</v>
      </c>
      <c r="E46" s="904">
        <v>185488.41875300003</v>
      </c>
      <c r="F46" s="897">
        <v>0</v>
      </c>
      <c r="G46" s="897">
        <v>0</v>
      </c>
      <c r="H46" s="898">
        <v>307995.53000000003</v>
      </c>
      <c r="I46" s="899">
        <f t="shared" si="3"/>
        <v>0</v>
      </c>
    </row>
    <row r="47" spans="1:9" s="900" customFormat="1" ht="12.75" customHeight="1" x14ac:dyDescent="0.3">
      <c r="A47" s="893" t="s">
        <v>109</v>
      </c>
      <c r="B47" s="894" t="s">
        <v>110</v>
      </c>
      <c r="C47" s="895" t="s">
        <v>253</v>
      </c>
      <c r="D47" s="903">
        <v>942080.82657300006</v>
      </c>
      <c r="E47" s="904">
        <v>1497492.4434270002</v>
      </c>
      <c r="F47" s="897">
        <v>0</v>
      </c>
      <c r="G47" s="897">
        <v>0</v>
      </c>
      <c r="H47" s="898">
        <v>2439573.2700000005</v>
      </c>
      <c r="I47" s="899">
        <f t="shared" si="3"/>
        <v>0</v>
      </c>
    </row>
    <row r="48" spans="1:9" s="900" customFormat="1" ht="12.75" customHeight="1" x14ac:dyDescent="0.3">
      <c r="A48" s="893" t="s">
        <v>111</v>
      </c>
      <c r="B48" s="894" t="s">
        <v>275</v>
      </c>
      <c r="C48" s="895" t="s">
        <v>252</v>
      </c>
      <c r="D48" s="903">
        <v>348445.69486799999</v>
      </c>
      <c r="E48" s="904">
        <v>498908.62513199996</v>
      </c>
      <c r="F48" s="897">
        <v>0</v>
      </c>
      <c r="G48" s="897">
        <v>0</v>
      </c>
      <c r="H48" s="898">
        <v>847354.32</v>
      </c>
      <c r="I48" s="899">
        <f t="shared" si="3"/>
        <v>0</v>
      </c>
    </row>
    <row r="49" spans="1:9" s="900" customFormat="1" ht="12.75" customHeight="1" x14ac:dyDescent="0.3">
      <c r="A49" s="893" t="s">
        <v>113</v>
      </c>
      <c r="B49" s="894" t="s">
        <v>114</v>
      </c>
      <c r="C49" s="895" t="s">
        <v>252</v>
      </c>
      <c r="D49" s="901">
        <v>1171.4775</v>
      </c>
      <c r="E49" s="902">
        <v>1553.5225</v>
      </c>
      <c r="F49" s="897">
        <v>0</v>
      </c>
      <c r="G49" s="897">
        <v>0</v>
      </c>
      <c r="H49" s="898">
        <v>2725</v>
      </c>
      <c r="I49" s="899">
        <f t="shared" si="3"/>
        <v>0</v>
      </c>
    </row>
    <row r="50" spans="1:9" s="900" customFormat="1" ht="12.75" customHeight="1" x14ac:dyDescent="0.3">
      <c r="A50" s="893" t="s">
        <v>117</v>
      </c>
      <c r="B50" s="894" t="s">
        <v>118</v>
      </c>
      <c r="C50" s="895" t="s">
        <v>251</v>
      </c>
      <c r="D50" s="903">
        <v>84908.259300000005</v>
      </c>
      <c r="E50" s="904">
        <v>119336.74070000001</v>
      </c>
      <c r="F50" s="897">
        <v>0</v>
      </c>
      <c r="G50" s="897">
        <v>0</v>
      </c>
      <c r="H50" s="898">
        <v>204245</v>
      </c>
      <c r="I50" s="899">
        <f t="shared" si="3"/>
        <v>0</v>
      </c>
    </row>
    <row r="51" spans="1:9" s="900" customFormat="1" ht="12.75" customHeight="1" x14ac:dyDescent="0.3">
      <c r="A51" s="893" t="s">
        <v>119</v>
      </c>
      <c r="B51" s="894" t="s">
        <v>120</v>
      </c>
      <c r="C51" s="895" t="s">
        <v>251</v>
      </c>
      <c r="D51" s="903">
        <v>167737.92200700002</v>
      </c>
      <c r="E51" s="904">
        <v>262015.00799300004</v>
      </c>
      <c r="F51" s="897">
        <v>0</v>
      </c>
      <c r="G51" s="897">
        <v>0</v>
      </c>
      <c r="H51" s="898">
        <v>429752.93000000005</v>
      </c>
      <c r="I51" s="899">
        <f t="shared" si="3"/>
        <v>0</v>
      </c>
    </row>
    <row r="52" spans="1:9" s="900" customFormat="1" ht="12.75" customHeight="1" x14ac:dyDescent="0.3">
      <c r="A52" s="893" t="s">
        <v>121</v>
      </c>
      <c r="B52" s="894" t="s">
        <v>258</v>
      </c>
      <c r="C52" s="895" t="s">
        <v>253</v>
      </c>
      <c r="D52" s="901">
        <v>28126.2075</v>
      </c>
      <c r="E52" s="902">
        <v>37298.792500000003</v>
      </c>
      <c r="F52" s="897">
        <v>0</v>
      </c>
      <c r="G52" s="897">
        <v>0</v>
      </c>
      <c r="H52" s="898">
        <v>65425</v>
      </c>
      <c r="I52" s="899">
        <f t="shared" si="3"/>
        <v>0</v>
      </c>
    </row>
    <row r="53" spans="1:9" s="900" customFormat="1" ht="12.75" customHeight="1" x14ac:dyDescent="0.3">
      <c r="A53" s="893" t="s">
        <v>123</v>
      </c>
      <c r="B53" s="894" t="s">
        <v>124</v>
      </c>
      <c r="C53" s="895" t="s">
        <v>254</v>
      </c>
      <c r="D53" s="903">
        <v>63051.713400000001</v>
      </c>
      <c r="E53" s="904">
        <v>83614.286600000007</v>
      </c>
      <c r="F53" s="897">
        <v>0</v>
      </c>
      <c r="G53" s="897">
        <v>0</v>
      </c>
      <c r="H53" s="898">
        <v>146666</v>
      </c>
      <c r="I53" s="899">
        <f t="shared" si="3"/>
        <v>0</v>
      </c>
    </row>
    <row r="54" spans="1:9" s="900" customFormat="1" ht="12.75" customHeight="1" x14ac:dyDescent="0.3">
      <c r="A54" s="893" t="s">
        <v>125</v>
      </c>
      <c r="B54" s="894" t="s">
        <v>126</v>
      </c>
      <c r="C54" s="895" t="s">
        <v>253</v>
      </c>
      <c r="D54" s="901">
        <v>25624.6194</v>
      </c>
      <c r="E54" s="902">
        <v>38334.380600000004</v>
      </c>
      <c r="F54" s="897">
        <v>0</v>
      </c>
      <c r="G54" s="897">
        <v>0</v>
      </c>
      <c r="H54" s="898">
        <v>63959</v>
      </c>
      <c r="I54" s="899">
        <f t="shared" si="3"/>
        <v>0</v>
      </c>
    </row>
    <row r="55" spans="1:9" s="900" customFormat="1" ht="12.75" customHeight="1" x14ac:dyDescent="0.3">
      <c r="A55" s="893" t="s">
        <v>127</v>
      </c>
      <c r="B55" s="894" t="s">
        <v>128</v>
      </c>
      <c r="C55" s="895" t="s">
        <v>253</v>
      </c>
      <c r="D55" s="903">
        <v>47231.393400000001</v>
      </c>
      <c r="E55" s="904">
        <v>62634.606600000006</v>
      </c>
      <c r="F55" s="897">
        <v>0</v>
      </c>
      <c r="G55" s="897">
        <v>0</v>
      </c>
      <c r="H55" s="898">
        <v>109866</v>
      </c>
      <c r="I55" s="899">
        <f t="shared" si="3"/>
        <v>0</v>
      </c>
    </row>
    <row r="56" spans="1:9" s="900" customFormat="1" ht="12.75" customHeight="1" x14ac:dyDescent="0.3">
      <c r="A56" s="893" t="s">
        <v>129</v>
      </c>
      <c r="B56" s="894" t="s">
        <v>130</v>
      </c>
      <c r="C56" s="895" t="s">
        <v>255</v>
      </c>
      <c r="D56" s="903">
        <v>236168.31635999997</v>
      </c>
      <c r="E56" s="904">
        <v>352910.08363999997</v>
      </c>
      <c r="F56" s="897">
        <v>0</v>
      </c>
      <c r="G56" s="897">
        <v>0</v>
      </c>
      <c r="H56" s="898">
        <v>589078.39999999991</v>
      </c>
      <c r="I56" s="899">
        <f t="shared" si="3"/>
        <v>0</v>
      </c>
    </row>
    <row r="57" spans="1:9" s="900" customFormat="1" ht="12.75" customHeight="1" x14ac:dyDescent="0.3">
      <c r="A57" s="893" t="s">
        <v>131</v>
      </c>
      <c r="B57" s="894" t="s">
        <v>132</v>
      </c>
      <c r="C57" s="895" t="s">
        <v>254</v>
      </c>
      <c r="D57" s="903">
        <v>173086.33799999999</v>
      </c>
      <c r="E57" s="904">
        <v>385656.66200000001</v>
      </c>
      <c r="F57" s="897">
        <v>0</v>
      </c>
      <c r="G57" s="897">
        <v>0</v>
      </c>
      <c r="H57" s="898">
        <v>558743</v>
      </c>
      <c r="I57" s="899">
        <f t="shared" si="3"/>
        <v>0</v>
      </c>
    </row>
    <row r="58" spans="1:9" s="900" customFormat="1" ht="12.75" customHeight="1" x14ac:dyDescent="0.3">
      <c r="A58" s="893" t="s">
        <v>133</v>
      </c>
      <c r="B58" s="894" t="s">
        <v>134</v>
      </c>
      <c r="C58" s="895" t="s">
        <v>254</v>
      </c>
      <c r="D58" s="903">
        <v>80836.362573000006</v>
      </c>
      <c r="E58" s="904">
        <v>120825.90742700003</v>
      </c>
      <c r="F58" s="897">
        <v>0</v>
      </c>
      <c r="G58" s="897">
        <v>0</v>
      </c>
      <c r="H58" s="898">
        <v>201662.27000000002</v>
      </c>
      <c r="I58" s="899">
        <f t="shared" si="3"/>
        <v>0</v>
      </c>
    </row>
    <row r="59" spans="1:9" s="900" customFormat="1" ht="12.75" customHeight="1" x14ac:dyDescent="0.3">
      <c r="A59" s="893" t="s">
        <v>135</v>
      </c>
      <c r="B59" s="894" t="s">
        <v>136</v>
      </c>
      <c r="C59" s="895" t="s">
        <v>253</v>
      </c>
      <c r="D59" s="901">
        <v>70998.965171999997</v>
      </c>
      <c r="E59" s="902">
        <v>110982.314828</v>
      </c>
      <c r="F59" s="897">
        <v>0</v>
      </c>
      <c r="G59" s="897">
        <v>0</v>
      </c>
      <c r="H59" s="898">
        <v>181981.28</v>
      </c>
      <c r="I59" s="899">
        <f t="shared" si="3"/>
        <v>0</v>
      </c>
    </row>
    <row r="60" spans="1:9" s="900" customFormat="1" ht="12.75" customHeight="1" x14ac:dyDescent="0.3">
      <c r="A60" s="893" t="s">
        <v>139</v>
      </c>
      <c r="B60" s="894" t="s">
        <v>140</v>
      </c>
      <c r="C60" s="895" t="s">
        <v>254</v>
      </c>
      <c r="D60" s="903">
        <v>13429.216200000001</v>
      </c>
      <c r="E60" s="904">
        <v>19654.783800000001</v>
      </c>
      <c r="F60" s="897">
        <v>0</v>
      </c>
      <c r="G60" s="897">
        <v>0</v>
      </c>
      <c r="H60" s="898">
        <v>33084</v>
      </c>
      <c r="I60" s="899">
        <f t="shared" si="3"/>
        <v>0</v>
      </c>
    </row>
    <row r="61" spans="1:9" s="900" customFormat="1" ht="12.75" customHeight="1" x14ac:dyDescent="0.3">
      <c r="A61" s="893" t="s">
        <v>145</v>
      </c>
      <c r="B61" s="894" t="s">
        <v>146</v>
      </c>
      <c r="C61" s="895" t="s">
        <v>251</v>
      </c>
      <c r="D61" s="901">
        <v>27257.3796</v>
      </c>
      <c r="E61" s="902">
        <v>36146.6204</v>
      </c>
      <c r="F61" s="897">
        <v>0</v>
      </c>
      <c r="G61" s="897">
        <v>0</v>
      </c>
      <c r="H61" s="898">
        <v>63404</v>
      </c>
      <c r="I61" s="899">
        <f t="shared" si="3"/>
        <v>0</v>
      </c>
    </row>
    <row r="62" spans="1:9" s="900" customFormat="1" ht="12.75" customHeight="1" x14ac:dyDescent="0.3">
      <c r="A62" s="893" t="s">
        <v>147</v>
      </c>
      <c r="B62" s="894" t="s">
        <v>148</v>
      </c>
      <c r="C62" s="895" t="s">
        <v>252</v>
      </c>
      <c r="D62" s="903">
        <v>125680.8351</v>
      </c>
      <c r="E62" s="904">
        <v>171487.1649</v>
      </c>
      <c r="F62" s="897">
        <v>0</v>
      </c>
      <c r="G62" s="897">
        <v>0</v>
      </c>
      <c r="H62" s="898">
        <v>297168</v>
      </c>
      <c r="I62" s="899">
        <f t="shared" si="3"/>
        <v>0</v>
      </c>
    </row>
    <row r="63" spans="1:9" s="900" customFormat="1" ht="12.75" customHeight="1" x14ac:dyDescent="0.3">
      <c r="A63" s="893" t="s">
        <v>149</v>
      </c>
      <c r="B63" s="894" t="s">
        <v>150</v>
      </c>
      <c r="C63" s="895" t="s">
        <v>253</v>
      </c>
      <c r="D63" s="903">
        <v>62657.882010000001</v>
      </c>
      <c r="E63" s="904">
        <v>93531.017990000008</v>
      </c>
      <c r="F63" s="897">
        <v>0</v>
      </c>
      <c r="G63" s="897">
        <v>0</v>
      </c>
      <c r="H63" s="898">
        <v>156188.90000000002</v>
      </c>
      <c r="I63" s="899">
        <f t="shared" si="3"/>
        <v>0</v>
      </c>
    </row>
    <row r="64" spans="1:9" s="900" customFormat="1" ht="12.75" customHeight="1" x14ac:dyDescent="0.3">
      <c r="A64" s="893" t="s">
        <v>151</v>
      </c>
      <c r="B64" s="894" t="s">
        <v>152</v>
      </c>
      <c r="C64" s="895" t="s">
        <v>255</v>
      </c>
      <c r="D64" s="903">
        <v>327357.75858000008</v>
      </c>
      <c r="E64" s="904">
        <v>468697.24142000015</v>
      </c>
      <c r="F64" s="897">
        <v>0</v>
      </c>
      <c r="G64" s="897">
        <v>0</v>
      </c>
      <c r="H64" s="898">
        <v>796055.00000000023</v>
      </c>
      <c r="I64" s="899">
        <f t="shared" si="3"/>
        <v>0</v>
      </c>
    </row>
    <row r="65" spans="1:9" s="900" customFormat="1" ht="12.75" customHeight="1" x14ac:dyDescent="0.3">
      <c r="A65" s="893" t="s">
        <v>153</v>
      </c>
      <c r="B65" s="894" t="s">
        <v>154</v>
      </c>
      <c r="C65" s="895" t="s">
        <v>252</v>
      </c>
      <c r="D65" s="901">
        <v>34182.286181999996</v>
      </c>
      <c r="E65" s="902">
        <v>46124.893817999997</v>
      </c>
      <c r="F65" s="897">
        <v>0</v>
      </c>
      <c r="G65" s="897">
        <v>0</v>
      </c>
      <c r="H65" s="898">
        <v>80307.179999999993</v>
      </c>
      <c r="I65" s="899">
        <f t="shared" si="3"/>
        <v>0</v>
      </c>
    </row>
    <row r="66" spans="1:9" s="900" customFormat="1" ht="12.75" customHeight="1" x14ac:dyDescent="0.3">
      <c r="A66" s="893" t="s">
        <v>155</v>
      </c>
      <c r="B66" s="894" t="s">
        <v>156</v>
      </c>
      <c r="C66" s="895" t="s">
        <v>253</v>
      </c>
      <c r="D66" s="901">
        <v>29677.7166</v>
      </c>
      <c r="E66" s="902">
        <v>54489.2834</v>
      </c>
      <c r="F66" s="897">
        <v>0</v>
      </c>
      <c r="G66" s="897">
        <v>0</v>
      </c>
      <c r="H66" s="898">
        <v>84167</v>
      </c>
      <c r="I66" s="899">
        <f t="shared" si="3"/>
        <v>0</v>
      </c>
    </row>
    <row r="67" spans="1:9" s="900" customFormat="1" ht="12.75" customHeight="1" x14ac:dyDescent="0.3">
      <c r="A67" s="893" t="s">
        <v>161</v>
      </c>
      <c r="B67" s="894" t="s">
        <v>162</v>
      </c>
      <c r="C67" s="895" t="s">
        <v>251</v>
      </c>
      <c r="D67" s="901">
        <v>31523.019359999998</v>
      </c>
      <c r="E67" s="902">
        <v>44792.380640000003</v>
      </c>
      <c r="F67" s="897">
        <v>0</v>
      </c>
      <c r="G67" s="897">
        <v>0</v>
      </c>
      <c r="H67" s="898">
        <v>76315.399999999994</v>
      </c>
      <c r="I67" s="899">
        <f t="shared" si="3"/>
        <v>0</v>
      </c>
    </row>
    <row r="68" spans="1:9" s="900" customFormat="1" ht="12.75" customHeight="1" x14ac:dyDescent="0.3">
      <c r="A68" s="893" t="s">
        <v>163</v>
      </c>
      <c r="B68" s="894" t="s">
        <v>164</v>
      </c>
      <c r="C68" s="895" t="s">
        <v>253</v>
      </c>
      <c r="D68" s="903">
        <v>40381.882680000002</v>
      </c>
      <c r="E68" s="904">
        <v>53551.317320000002</v>
      </c>
      <c r="F68" s="897">
        <v>0</v>
      </c>
      <c r="G68" s="897">
        <v>0</v>
      </c>
      <c r="H68" s="898">
        <v>93933.200000000012</v>
      </c>
      <c r="I68" s="899">
        <f t="shared" si="3"/>
        <v>0</v>
      </c>
    </row>
    <row r="69" spans="1:9" s="900" customFormat="1" ht="12.75" customHeight="1" x14ac:dyDescent="0.3">
      <c r="A69" s="893" t="s">
        <v>167</v>
      </c>
      <c r="B69" s="894" t="s">
        <v>168</v>
      </c>
      <c r="C69" s="895" t="s">
        <v>253</v>
      </c>
      <c r="D69" s="901">
        <v>98373.969711000012</v>
      </c>
      <c r="E69" s="902">
        <v>136982.92028900003</v>
      </c>
      <c r="F69" s="897">
        <v>0</v>
      </c>
      <c r="G69" s="897">
        <v>0</v>
      </c>
      <c r="H69" s="898">
        <v>235356.89000000004</v>
      </c>
      <c r="I69" s="899">
        <f t="shared" ref="I69:I100" si="4">F69+G69</f>
        <v>0</v>
      </c>
    </row>
    <row r="70" spans="1:9" s="900" customFormat="1" ht="12.75" customHeight="1" x14ac:dyDescent="0.3">
      <c r="A70" s="893" t="s">
        <v>169</v>
      </c>
      <c r="B70" s="894" t="s">
        <v>170</v>
      </c>
      <c r="C70" s="895" t="s">
        <v>254</v>
      </c>
      <c r="D70" s="903">
        <v>67393.909752000007</v>
      </c>
      <c r="E70" s="904">
        <v>90977.570248000018</v>
      </c>
      <c r="F70" s="897">
        <v>0</v>
      </c>
      <c r="G70" s="897">
        <v>0</v>
      </c>
      <c r="H70" s="898">
        <v>158371.48000000004</v>
      </c>
      <c r="I70" s="899">
        <f t="shared" si="4"/>
        <v>0</v>
      </c>
    </row>
    <row r="71" spans="1:9" s="900" customFormat="1" ht="12.75" customHeight="1" x14ac:dyDescent="0.3">
      <c r="A71" s="893" t="s">
        <v>171</v>
      </c>
      <c r="B71" s="894" t="s">
        <v>172</v>
      </c>
      <c r="C71" s="895" t="s">
        <v>254</v>
      </c>
      <c r="D71" s="901">
        <v>33289.306499999999</v>
      </c>
      <c r="E71" s="902">
        <v>46427.693500000001</v>
      </c>
      <c r="F71" s="897">
        <v>0</v>
      </c>
      <c r="G71" s="897">
        <v>0</v>
      </c>
      <c r="H71" s="898">
        <v>79717</v>
      </c>
      <c r="I71" s="899">
        <f t="shared" si="4"/>
        <v>0</v>
      </c>
    </row>
    <row r="72" spans="1:9" s="900" customFormat="1" ht="12.75" customHeight="1" x14ac:dyDescent="0.3">
      <c r="A72" s="893" t="s">
        <v>173</v>
      </c>
      <c r="B72" s="894" t="s">
        <v>174</v>
      </c>
      <c r="C72" s="895" t="s">
        <v>255</v>
      </c>
      <c r="D72" s="903">
        <v>88381.50738000001</v>
      </c>
      <c r="E72" s="904">
        <v>145813.49262</v>
      </c>
      <c r="F72" s="897">
        <v>0</v>
      </c>
      <c r="G72" s="897">
        <v>0</v>
      </c>
      <c r="H72" s="898">
        <v>234195</v>
      </c>
      <c r="I72" s="899">
        <f t="shared" si="4"/>
        <v>0</v>
      </c>
    </row>
    <row r="73" spans="1:9" s="900" customFormat="1" ht="12.75" customHeight="1" x14ac:dyDescent="0.3">
      <c r="A73" s="893" t="s">
        <v>177</v>
      </c>
      <c r="B73" s="894" t="s">
        <v>178</v>
      </c>
      <c r="C73" s="895" t="s">
        <v>252</v>
      </c>
      <c r="D73" s="903">
        <v>188316.727725</v>
      </c>
      <c r="E73" s="904">
        <v>268768.022275</v>
      </c>
      <c r="F73" s="897">
        <v>0</v>
      </c>
      <c r="G73" s="897">
        <v>0</v>
      </c>
      <c r="H73" s="898">
        <v>457084.75</v>
      </c>
      <c r="I73" s="899">
        <f t="shared" si="4"/>
        <v>0</v>
      </c>
    </row>
    <row r="74" spans="1:9" s="900" customFormat="1" ht="12.75" customHeight="1" x14ac:dyDescent="0.3">
      <c r="A74" s="893" t="s">
        <v>181</v>
      </c>
      <c r="B74" s="894" t="s">
        <v>182</v>
      </c>
      <c r="C74" s="895" t="s">
        <v>253</v>
      </c>
      <c r="D74" s="901">
        <v>32810.397900000004</v>
      </c>
      <c r="E74" s="902">
        <v>43510.602100000004</v>
      </c>
      <c r="F74" s="897">
        <v>0</v>
      </c>
      <c r="G74" s="897">
        <v>0</v>
      </c>
      <c r="H74" s="898">
        <v>76321</v>
      </c>
      <c r="I74" s="899">
        <f t="shared" si="4"/>
        <v>0</v>
      </c>
    </row>
    <row r="75" spans="1:9" s="900" customFormat="1" ht="12.75" customHeight="1" x14ac:dyDescent="0.3">
      <c r="A75" s="893" t="s">
        <v>183</v>
      </c>
      <c r="B75" s="894" t="s">
        <v>184</v>
      </c>
      <c r="C75" s="895" t="s">
        <v>253</v>
      </c>
      <c r="D75" s="903">
        <v>90644.415000000008</v>
      </c>
      <c r="E75" s="904">
        <v>124695.58500000001</v>
      </c>
      <c r="F75" s="897">
        <v>0</v>
      </c>
      <c r="G75" s="897">
        <v>0</v>
      </c>
      <c r="H75" s="898">
        <v>215340</v>
      </c>
      <c r="I75" s="899">
        <f t="shared" si="4"/>
        <v>0</v>
      </c>
    </row>
    <row r="76" spans="1:9" s="900" customFormat="1" ht="12.75" customHeight="1" x14ac:dyDescent="0.3">
      <c r="A76" s="893" t="s">
        <v>185</v>
      </c>
      <c r="B76" s="894" t="s">
        <v>186</v>
      </c>
      <c r="C76" s="895" t="s">
        <v>251</v>
      </c>
      <c r="D76" s="903">
        <v>75400.590899999996</v>
      </c>
      <c r="E76" s="904">
        <v>112970.4091</v>
      </c>
      <c r="F76" s="897">
        <v>0</v>
      </c>
      <c r="G76" s="897">
        <v>0</v>
      </c>
      <c r="H76" s="898">
        <v>188371</v>
      </c>
      <c r="I76" s="899">
        <f t="shared" si="4"/>
        <v>0</v>
      </c>
    </row>
    <row r="77" spans="1:9" s="900" customFormat="1" ht="12.75" customHeight="1" x14ac:dyDescent="0.3">
      <c r="A77" s="893" t="s">
        <v>187</v>
      </c>
      <c r="B77" s="894" t="s">
        <v>188</v>
      </c>
      <c r="C77" s="895" t="s">
        <v>254</v>
      </c>
      <c r="D77" s="903">
        <v>797934.48817500006</v>
      </c>
      <c r="E77" s="904">
        <v>1444916.361825</v>
      </c>
      <c r="F77" s="897">
        <v>0</v>
      </c>
      <c r="G77" s="897">
        <v>0</v>
      </c>
      <c r="H77" s="898">
        <v>2242850.85</v>
      </c>
      <c r="I77" s="899">
        <f t="shared" si="4"/>
        <v>0</v>
      </c>
    </row>
    <row r="78" spans="1:9" s="900" customFormat="1" ht="12.75" customHeight="1" x14ac:dyDescent="0.3">
      <c r="A78" s="893" t="s">
        <v>189</v>
      </c>
      <c r="B78" s="894" t="s">
        <v>190</v>
      </c>
      <c r="C78" s="895" t="s">
        <v>255</v>
      </c>
      <c r="D78" s="903">
        <v>134534.36765999999</v>
      </c>
      <c r="E78" s="904">
        <v>185332.03234000001</v>
      </c>
      <c r="F78" s="897">
        <v>0</v>
      </c>
      <c r="G78" s="897">
        <v>0</v>
      </c>
      <c r="H78" s="898">
        <v>319866.40000000002</v>
      </c>
      <c r="I78" s="899">
        <f t="shared" si="4"/>
        <v>0</v>
      </c>
    </row>
    <row r="79" spans="1:9" s="900" customFormat="1" ht="12.75" customHeight="1" x14ac:dyDescent="0.3">
      <c r="A79" s="893" t="s">
        <v>193</v>
      </c>
      <c r="B79" s="894" t="s">
        <v>194</v>
      </c>
      <c r="C79" s="895" t="s">
        <v>254</v>
      </c>
      <c r="D79" s="901">
        <v>3302.9216999999999</v>
      </c>
      <c r="E79" s="902">
        <v>4380.0783000000001</v>
      </c>
      <c r="F79" s="897">
        <v>0</v>
      </c>
      <c r="G79" s="897">
        <v>0</v>
      </c>
      <c r="H79" s="898">
        <v>7683</v>
      </c>
      <c r="I79" s="899">
        <f t="shared" si="4"/>
        <v>0</v>
      </c>
    </row>
    <row r="80" spans="1:9" s="900" customFormat="1" ht="12.75" customHeight="1" x14ac:dyDescent="0.3">
      <c r="A80" s="893" t="s">
        <v>197</v>
      </c>
      <c r="B80" s="894" t="s">
        <v>198</v>
      </c>
      <c r="C80" s="895" t="s">
        <v>253</v>
      </c>
      <c r="D80" s="901">
        <v>21775.724699999999</v>
      </c>
      <c r="E80" s="902">
        <v>34127.275300000001</v>
      </c>
      <c r="F80" s="897">
        <v>0</v>
      </c>
      <c r="G80" s="897">
        <v>0</v>
      </c>
      <c r="H80" s="898">
        <v>55903</v>
      </c>
      <c r="I80" s="899">
        <f t="shared" si="4"/>
        <v>0</v>
      </c>
    </row>
    <row r="81" spans="1:9" s="900" customFormat="1" ht="12.75" customHeight="1" x14ac:dyDescent="0.3">
      <c r="A81" s="893" t="s">
        <v>201</v>
      </c>
      <c r="B81" s="894" t="s">
        <v>202</v>
      </c>
      <c r="C81" s="895" t="s">
        <v>252</v>
      </c>
      <c r="D81" s="903">
        <v>265229.46178199997</v>
      </c>
      <c r="E81" s="904">
        <v>375820.11821799999</v>
      </c>
      <c r="F81" s="897">
        <v>0</v>
      </c>
      <c r="G81" s="897">
        <v>0</v>
      </c>
      <c r="H81" s="898">
        <v>641049.57999999996</v>
      </c>
      <c r="I81" s="899">
        <f t="shared" si="4"/>
        <v>0</v>
      </c>
    </row>
    <row r="82" spans="1:9" s="900" customFormat="1" ht="12.75" customHeight="1" x14ac:dyDescent="0.3">
      <c r="A82" s="893" t="s">
        <v>203</v>
      </c>
      <c r="B82" s="894" t="s">
        <v>204</v>
      </c>
      <c r="C82" s="895" t="s">
        <v>252</v>
      </c>
      <c r="D82" s="901">
        <v>110894.10647400001</v>
      </c>
      <c r="E82" s="902">
        <v>157069.15352600004</v>
      </c>
      <c r="F82" s="897">
        <v>0</v>
      </c>
      <c r="G82" s="897">
        <v>0</v>
      </c>
      <c r="H82" s="898">
        <v>267963.26</v>
      </c>
      <c r="I82" s="899">
        <f t="shared" si="4"/>
        <v>0</v>
      </c>
    </row>
    <row r="83" spans="1:9" s="900" customFormat="1" ht="12.75" customHeight="1" x14ac:dyDescent="0.3">
      <c r="A83" s="893" t="s">
        <v>205</v>
      </c>
      <c r="B83" s="894" t="s">
        <v>206</v>
      </c>
      <c r="C83" s="895" t="s">
        <v>254</v>
      </c>
      <c r="D83" s="903">
        <v>253873.5759</v>
      </c>
      <c r="E83" s="904">
        <v>382093.4241</v>
      </c>
      <c r="F83" s="897">
        <v>0</v>
      </c>
      <c r="G83" s="897">
        <v>0</v>
      </c>
      <c r="H83" s="898">
        <v>635967</v>
      </c>
      <c r="I83" s="899">
        <f t="shared" si="4"/>
        <v>0</v>
      </c>
    </row>
    <row r="84" spans="1:9" s="900" customFormat="1" ht="12.75" customHeight="1" x14ac:dyDescent="0.3">
      <c r="A84" s="893" t="s">
        <v>207</v>
      </c>
      <c r="B84" s="894" t="s">
        <v>208</v>
      </c>
      <c r="C84" s="895" t="s">
        <v>255</v>
      </c>
      <c r="D84" s="903">
        <v>126298.04253000001</v>
      </c>
      <c r="E84" s="904">
        <v>184577.65747000003</v>
      </c>
      <c r="F84" s="897">
        <v>0</v>
      </c>
      <c r="G84" s="897">
        <v>0</v>
      </c>
      <c r="H84" s="898">
        <v>310875.70000000007</v>
      </c>
      <c r="I84" s="899">
        <f t="shared" si="4"/>
        <v>0</v>
      </c>
    </row>
    <row r="85" spans="1:9" s="900" customFormat="1" ht="12.75" customHeight="1" x14ac:dyDescent="0.3">
      <c r="A85" s="893" t="s">
        <v>209</v>
      </c>
      <c r="B85" s="894" t="s">
        <v>210</v>
      </c>
      <c r="C85" s="895" t="s">
        <v>255</v>
      </c>
      <c r="D85" s="903">
        <v>113115.50295000002</v>
      </c>
      <c r="E85" s="904">
        <v>176144.89705000003</v>
      </c>
      <c r="F85" s="897">
        <v>0</v>
      </c>
      <c r="G85" s="897">
        <v>0</v>
      </c>
      <c r="H85" s="898">
        <v>289260.40000000002</v>
      </c>
      <c r="I85" s="899">
        <f t="shared" si="4"/>
        <v>0</v>
      </c>
    </row>
    <row r="86" spans="1:9" s="900" customFormat="1" ht="12.75" customHeight="1" x14ac:dyDescent="0.3">
      <c r="A86" s="893" t="s">
        <v>211</v>
      </c>
      <c r="B86" s="894" t="s">
        <v>212</v>
      </c>
      <c r="C86" s="895" t="s">
        <v>254</v>
      </c>
      <c r="D86" s="901">
        <v>131002.47262200002</v>
      </c>
      <c r="E86" s="902">
        <v>214908.30737800003</v>
      </c>
      <c r="F86" s="897">
        <v>0</v>
      </c>
      <c r="G86" s="897">
        <v>0</v>
      </c>
      <c r="H86" s="898">
        <v>345910.78</v>
      </c>
      <c r="I86" s="899">
        <f t="shared" si="4"/>
        <v>0</v>
      </c>
    </row>
    <row r="87" spans="1:9" s="900" customFormat="1" ht="12.75" customHeight="1" x14ac:dyDescent="0.3">
      <c r="A87" s="893" t="s">
        <v>213</v>
      </c>
      <c r="B87" s="894" t="s">
        <v>214</v>
      </c>
      <c r="C87" s="895" t="s">
        <v>255</v>
      </c>
      <c r="D87" s="903">
        <v>202687.82043299999</v>
      </c>
      <c r="E87" s="904">
        <v>280424.849567</v>
      </c>
      <c r="F87" s="897">
        <v>0</v>
      </c>
      <c r="G87" s="897">
        <v>0</v>
      </c>
      <c r="H87" s="898">
        <v>483112.67</v>
      </c>
      <c r="I87" s="899">
        <f t="shared" si="4"/>
        <v>0</v>
      </c>
    </row>
    <row r="88" spans="1:9" s="900" customFormat="1" ht="12.75" customHeight="1" x14ac:dyDescent="0.3">
      <c r="A88" s="893" t="s">
        <v>215</v>
      </c>
      <c r="B88" s="894" t="s">
        <v>216</v>
      </c>
      <c r="C88" s="895" t="s">
        <v>251</v>
      </c>
      <c r="D88" s="903">
        <v>86533.281300000031</v>
      </c>
      <c r="E88" s="904">
        <v>120807.71870000004</v>
      </c>
      <c r="F88" s="897">
        <v>0</v>
      </c>
      <c r="G88" s="897">
        <v>0</v>
      </c>
      <c r="H88" s="898">
        <v>207341.00000000006</v>
      </c>
      <c r="I88" s="899">
        <f t="shared" si="4"/>
        <v>0</v>
      </c>
    </row>
    <row r="89" spans="1:9" s="900" customFormat="1" ht="12.75" customHeight="1" x14ac:dyDescent="0.3">
      <c r="A89" s="893" t="s">
        <v>217</v>
      </c>
      <c r="B89" s="894" t="s">
        <v>218</v>
      </c>
      <c r="C89" s="895" t="s">
        <v>254</v>
      </c>
      <c r="D89" s="903">
        <v>512996.66070000001</v>
      </c>
      <c r="E89" s="904">
        <v>774860.33930000011</v>
      </c>
      <c r="F89" s="897">
        <v>0</v>
      </c>
      <c r="G89" s="897">
        <v>0</v>
      </c>
      <c r="H89" s="898">
        <v>1287857</v>
      </c>
      <c r="I89" s="899">
        <f t="shared" si="4"/>
        <v>0</v>
      </c>
    </row>
    <row r="90" spans="1:9" s="900" customFormat="1" ht="12.75" customHeight="1" x14ac:dyDescent="0.3">
      <c r="A90" s="893" t="s">
        <v>219</v>
      </c>
      <c r="B90" s="894" t="s">
        <v>220</v>
      </c>
      <c r="C90" s="895" t="s">
        <v>254</v>
      </c>
      <c r="D90" s="903">
        <v>424479.25333200005</v>
      </c>
      <c r="E90" s="904">
        <v>729822.42666800017</v>
      </c>
      <c r="F90" s="897">
        <v>0</v>
      </c>
      <c r="G90" s="897">
        <v>0</v>
      </c>
      <c r="H90" s="898">
        <v>1154301.6800000002</v>
      </c>
      <c r="I90" s="899">
        <f t="shared" si="4"/>
        <v>0</v>
      </c>
    </row>
    <row r="91" spans="1:9" s="900" customFormat="1" ht="12.75" customHeight="1" x14ac:dyDescent="0.3">
      <c r="A91" s="893" t="s">
        <v>223</v>
      </c>
      <c r="B91" s="894" t="s">
        <v>224</v>
      </c>
      <c r="C91" s="895" t="s">
        <v>251</v>
      </c>
      <c r="D91" s="901">
        <v>17356.696619999999</v>
      </c>
      <c r="E91" s="902">
        <v>25222.10338</v>
      </c>
      <c r="F91" s="897">
        <v>0</v>
      </c>
      <c r="G91" s="897">
        <v>0</v>
      </c>
      <c r="H91" s="898">
        <v>42578.8</v>
      </c>
      <c r="I91" s="899">
        <f t="shared" si="4"/>
        <v>0</v>
      </c>
    </row>
    <row r="92" spans="1:9" s="900" customFormat="1" ht="12.75" customHeight="1" x14ac:dyDescent="0.3">
      <c r="A92" s="893" t="s">
        <v>225</v>
      </c>
      <c r="B92" s="894" t="s">
        <v>226</v>
      </c>
      <c r="C92" s="895" t="s">
        <v>251</v>
      </c>
      <c r="D92" s="903">
        <v>78900.535770000002</v>
      </c>
      <c r="E92" s="904">
        <v>115427.76423</v>
      </c>
      <c r="F92" s="897">
        <v>0</v>
      </c>
      <c r="G92" s="897">
        <v>0</v>
      </c>
      <c r="H92" s="898">
        <v>194328.3</v>
      </c>
      <c r="I92" s="899">
        <f t="shared" si="4"/>
        <v>0</v>
      </c>
    </row>
    <row r="93" spans="1:9" s="900" customFormat="1" ht="12.75" customHeight="1" x14ac:dyDescent="0.3">
      <c r="A93" s="893" t="s">
        <v>227</v>
      </c>
      <c r="B93" s="894" t="s">
        <v>228</v>
      </c>
      <c r="C93" s="895" t="s">
        <v>255</v>
      </c>
      <c r="D93" s="903">
        <v>178083.53859000001</v>
      </c>
      <c r="E93" s="904">
        <v>266365.56141000008</v>
      </c>
      <c r="F93" s="897">
        <v>0</v>
      </c>
      <c r="G93" s="897">
        <v>0</v>
      </c>
      <c r="H93" s="898">
        <v>444449.10000000009</v>
      </c>
      <c r="I93" s="899">
        <f t="shared" si="4"/>
        <v>0</v>
      </c>
    </row>
    <row r="94" spans="1:9" s="900" customFormat="1" ht="12.75" customHeight="1" x14ac:dyDescent="0.3">
      <c r="A94" s="893" t="s">
        <v>231</v>
      </c>
      <c r="B94" s="894" t="s">
        <v>232</v>
      </c>
      <c r="C94" s="895" t="s">
        <v>254</v>
      </c>
      <c r="D94" s="903">
        <v>121692.74307899998</v>
      </c>
      <c r="E94" s="904">
        <v>179857.46692099998</v>
      </c>
      <c r="F94" s="897">
        <v>0</v>
      </c>
      <c r="G94" s="897">
        <v>0</v>
      </c>
      <c r="H94" s="898">
        <v>301550.20999999996</v>
      </c>
      <c r="I94" s="899">
        <f t="shared" si="4"/>
        <v>0</v>
      </c>
    </row>
    <row r="95" spans="1:9" s="900" customFormat="1" ht="12.75" customHeight="1" x14ac:dyDescent="0.3">
      <c r="A95" s="893" t="s">
        <v>233</v>
      </c>
      <c r="B95" s="894" t="s">
        <v>234</v>
      </c>
      <c r="C95" s="895" t="s">
        <v>255</v>
      </c>
      <c r="D95" s="903">
        <v>205303.04399999999</v>
      </c>
      <c r="E95" s="904">
        <v>311677.95600000001</v>
      </c>
      <c r="F95" s="897">
        <v>0</v>
      </c>
      <c r="G95" s="897">
        <v>0</v>
      </c>
      <c r="H95" s="898">
        <v>516981</v>
      </c>
      <c r="I95" s="899">
        <f t="shared" si="4"/>
        <v>0</v>
      </c>
    </row>
    <row r="96" spans="1:9" s="900" customFormat="1" ht="12.75" customHeight="1" x14ac:dyDescent="0.3">
      <c r="A96" s="893" t="s">
        <v>235</v>
      </c>
      <c r="B96" s="894" t="s">
        <v>236</v>
      </c>
      <c r="C96" s="895" t="s">
        <v>253</v>
      </c>
      <c r="D96" s="903">
        <v>96322.233270000012</v>
      </c>
      <c r="E96" s="904">
        <v>137342.06673000002</v>
      </c>
      <c r="F96" s="897">
        <v>0</v>
      </c>
      <c r="G96" s="897">
        <v>0</v>
      </c>
      <c r="H96" s="898">
        <v>233664.30000000005</v>
      </c>
      <c r="I96" s="899">
        <f t="shared" si="4"/>
        <v>0</v>
      </c>
    </row>
    <row r="97" spans="1:9" s="900" customFormat="1" ht="12.75" customHeight="1" x14ac:dyDescent="0.3">
      <c r="A97" s="893" t="s">
        <v>241</v>
      </c>
      <c r="B97" s="894" t="s">
        <v>242</v>
      </c>
      <c r="C97" s="895" t="s">
        <v>255</v>
      </c>
      <c r="D97" s="903">
        <v>325956.91653299995</v>
      </c>
      <c r="E97" s="904">
        <v>464679.75346699997</v>
      </c>
      <c r="F97" s="897">
        <v>0</v>
      </c>
      <c r="G97" s="897">
        <v>0</v>
      </c>
      <c r="H97" s="898">
        <v>790636.66999999993</v>
      </c>
      <c r="I97" s="899">
        <f t="shared" si="4"/>
        <v>0</v>
      </c>
    </row>
    <row r="98" spans="1:9" s="900" customFormat="1" ht="12.75" customHeight="1" x14ac:dyDescent="0.3">
      <c r="A98" s="893" t="s">
        <v>243</v>
      </c>
      <c r="B98" s="894" t="s">
        <v>244</v>
      </c>
      <c r="C98" s="895" t="s">
        <v>255</v>
      </c>
      <c r="D98" s="903">
        <v>111767.93841000002</v>
      </c>
      <c r="E98" s="904">
        <v>161115.96159000002</v>
      </c>
      <c r="F98" s="897">
        <v>0</v>
      </c>
      <c r="G98" s="897">
        <v>0</v>
      </c>
      <c r="H98" s="898">
        <v>272883.90000000002</v>
      </c>
      <c r="I98" s="899">
        <f t="shared" si="4"/>
        <v>0</v>
      </c>
    </row>
    <row r="99" spans="1:9" s="900" customFormat="1" ht="12.75" customHeight="1" x14ac:dyDescent="0.3">
      <c r="A99" s="893" t="s">
        <v>245</v>
      </c>
      <c r="B99" s="894" t="s">
        <v>283</v>
      </c>
      <c r="C99" s="895" t="s">
        <v>251</v>
      </c>
      <c r="D99" s="903">
        <v>121636.74000600001</v>
      </c>
      <c r="E99" s="904">
        <v>187889.19999400002</v>
      </c>
      <c r="F99" s="897">
        <v>0</v>
      </c>
      <c r="G99" s="897">
        <v>0</v>
      </c>
      <c r="H99" s="898">
        <v>309525.94000000006</v>
      </c>
      <c r="I99" s="899">
        <f t="shared" si="4"/>
        <v>0</v>
      </c>
    </row>
    <row r="100" spans="1:9" s="900" customFormat="1" ht="12.75" customHeight="1" x14ac:dyDescent="0.3">
      <c r="A100" s="893" t="s">
        <v>13</v>
      </c>
      <c r="B100" s="894" t="s">
        <v>14</v>
      </c>
      <c r="C100" s="895" t="s">
        <v>254</v>
      </c>
      <c r="D100" s="903">
        <v>336817.19220000005</v>
      </c>
      <c r="E100" s="904">
        <v>964518.12780000013</v>
      </c>
      <c r="F100" s="897">
        <v>0</v>
      </c>
      <c r="G100" s="897">
        <v>0</v>
      </c>
      <c r="H100" s="898">
        <v>1301335.3200000003</v>
      </c>
      <c r="I100" s="899">
        <f t="shared" si="4"/>
        <v>0</v>
      </c>
    </row>
    <row r="101" spans="1:9" s="900" customFormat="1" ht="12.75" customHeight="1" x14ac:dyDescent="0.3">
      <c r="A101" s="893" t="s">
        <v>33</v>
      </c>
      <c r="B101" s="894" t="s">
        <v>34</v>
      </c>
      <c r="C101" s="895" t="s">
        <v>255</v>
      </c>
      <c r="D101" s="901">
        <v>198700.816059</v>
      </c>
      <c r="E101" s="902">
        <v>320861.59394100006</v>
      </c>
      <c r="F101" s="897">
        <v>0</v>
      </c>
      <c r="G101" s="897">
        <v>0</v>
      </c>
      <c r="H101" s="898">
        <v>519562.41000000003</v>
      </c>
      <c r="I101" s="899">
        <f t="shared" ref="I101:I124" si="5">F101+G101</f>
        <v>0</v>
      </c>
    </row>
    <row r="102" spans="1:9" s="900" customFormat="1" ht="12.75" customHeight="1" x14ac:dyDescent="0.3">
      <c r="A102" s="893" t="s">
        <v>51</v>
      </c>
      <c r="B102" s="894" t="s">
        <v>52</v>
      </c>
      <c r="C102" s="895" t="s">
        <v>252</v>
      </c>
      <c r="D102" s="903">
        <v>274209.53110799997</v>
      </c>
      <c r="E102" s="904">
        <v>573196.28889199998</v>
      </c>
      <c r="F102" s="897">
        <v>0</v>
      </c>
      <c r="G102" s="897">
        <v>0</v>
      </c>
      <c r="H102" s="898">
        <v>847405.82</v>
      </c>
      <c r="I102" s="899">
        <f t="shared" si="5"/>
        <v>0</v>
      </c>
    </row>
    <row r="103" spans="1:9" s="900" customFormat="1" ht="12.75" customHeight="1" x14ac:dyDescent="0.3">
      <c r="A103" s="893" t="s">
        <v>53</v>
      </c>
      <c r="B103" s="894" t="s">
        <v>54</v>
      </c>
      <c r="C103" s="895" t="s">
        <v>251</v>
      </c>
      <c r="D103" s="903">
        <v>680039.46449999989</v>
      </c>
      <c r="E103" s="904">
        <v>967508.5355</v>
      </c>
      <c r="F103" s="897">
        <v>0</v>
      </c>
      <c r="G103" s="897">
        <v>0</v>
      </c>
      <c r="H103" s="898">
        <v>1647548</v>
      </c>
      <c r="I103" s="899">
        <f t="shared" si="5"/>
        <v>0</v>
      </c>
    </row>
    <row r="104" spans="1:9" s="900" customFormat="1" ht="12.75" customHeight="1" x14ac:dyDescent="0.3">
      <c r="A104" s="893" t="s">
        <v>65</v>
      </c>
      <c r="B104" s="894" t="s">
        <v>66</v>
      </c>
      <c r="C104" s="895" t="s">
        <v>252</v>
      </c>
      <c r="D104" s="903">
        <v>348159.36857099994</v>
      </c>
      <c r="E104" s="904">
        <v>480701.92142899998</v>
      </c>
      <c r="F104" s="897">
        <v>0</v>
      </c>
      <c r="G104" s="897">
        <v>0</v>
      </c>
      <c r="H104" s="898">
        <v>828861.28999999992</v>
      </c>
      <c r="I104" s="899">
        <f t="shared" si="5"/>
        <v>0</v>
      </c>
    </row>
    <row r="105" spans="1:9" s="900" customFormat="1" ht="12.75" customHeight="1" x14ac:dyDescent="0.3">
      <c r="A105" s="893" t="s">
        <v>81</v>
      </c>
      <c r="B105" s="894" t="s">
        <v>284</v>
      </c>
      <c r="C105" s="895" t="s">
        <v>251</v>
      </c>
      <c r="D105" s="901">
        <v>87024.936434999996</v>
      </c>
      <c r="E105" s="902">
        <v>121795.71356500001</v>
      </c>
      <c r="F105" s="897">
        <v>0</v>
      </c>
      <c r="G105" s="897">
        <v>0</v>
      </c>
      <c r="H105" s="898">
        <v>208820.65000000002</v>
      </c>
      <c r="I105" s="899">
        <f t="shared" si="5"/>
        <v>0</v>
      </c>
    </row>
    <row r="106" spans="1:9" s="900" customFormat="1" ht="12.75" customHeight="1" x14ac:dyDescent="0.3">
      <c r="A106" s="893" t="s">
        <v>87</v>
      </c>
      <c r="B106" s="894" t="s">
        <v>88</v>
      </c>
      <c r="C106" s="895" t="s">
        <v>254</v>
      </c>
      <c r="D106" s="903">
        <v>200142.05151000002</v>
      </c>
      <c r="E106" s="904">
        <v>396185.84849000006</v>
      </c>
      <c r="F106" s="897">
        <v>0</v>
      </c>
      <c r="G106" s="897">
        <v>0</v>
      </c>
      <c r="H106" s="898">
        <v>596327.90000000014</v>
      </c>
      <c r="I106" s="899">
        <f t="shared" si="5"/>
        <v>0</v>
      </c>
    </row>
    <row r="107" spans="1:9" s="900" customFormat="1" ht="12.75" customHeight="1" x14ac:dyDescent="0.3">
      <c r="A107" s="893" t="s">
        <v>89</v>
      </c>
      <c r="B107" s="894" t="s">
        <v>90</v>
      </c>
      <c r="C107" s="895" t="s">
        <v>255</v>
      </c>
      <c r="D107" s="903">
        <v>28002.224340000001</v>
      </c>
      <c r="E107" s="904">
        <v>37134.375660000005</v>
      </c>
      <c r="F107" s="897">
        <v>0</v>
      </c>
      <c r="G107" s="897">
        <v>0</v>
      </c>
      <c r="H107" s="898">
        <v>65136.600000000006</v>
      </c>
      <c r="I107" s="899">
        <f t="shared" si="5"/>
        <v>0</v>
      </c>
    </row>
    <row r="108" spans="1:9" s="900" customFormat="1" ht="12.75" customHeight="1" x14ac:dyDescent="0.3">
      <c r="A108" s="893" t="s">
        <v>105</v>
      </c>
      <c r="B108" s="894" t="s">
        <v>106</v>
      </c>
      <c r="C108" s="895" t="s">
        <v>251</v>
      </c>
      <c r="D108" s="903">
        <v>1077280.77831</v>
      </c>
      <c r="E108" s="904">
        <v>1463529.1216900002</v>
      </c>
      <c r="F108" s="897">
        <v>0</v>
      </c>
      <c r="G108" s="897">
        <v>0</v>
      </c>
      <c r="H108" s="898">
        <v>2540809.9000000004</v>
      </c>
      <c r="I108" s="899">
        <f t="shared" si="5"/>
        <v>0</v>
      </c>
    </row>
    <row r="109" spans="1:9" s="900" customFormat="1" ht="12.75" customHeight="1" x14ac:dyDescent="0.3">
      <c r="A109" s="893" t="s">
        <v>115</v>
      </c>
      <c r="B109" s="894" t="s">
        <v>116</v>
      </c>
      <c r="C109" s="895" t="s">
        <v>253</v>
      </c>
      <c r="D109" s="901">
        <v>260463.77094000005</v>
      </c>
      <c r="E109" s="902">
        <v>378035.82906000008</v>
      </c>
      <c r="F109" s="897">
        <v>0</v>
      </c>
      <c r="G109" s="897">
        <v>0</v>
      </c>
      <c r="H109" s="898">
        <v>638499.60000000009</v>
      </c>
      <c r="I109" s="899">
        <f t="shared" si="5"/>
        <v>0</v>
      </c>
    </row>
    <row r="110" spans="1:9" s="900" customFormat="1" ht="12.75" customHeight="1" x14ac:dyDescent="0.3">
      <c r="A110" s="893" t="s">
        <v>137</v>
      </c>
      <c r="B110" s="894" t="s">
        <v>138</v>
      </c>
      <c r="C110" s="895" t="s">
        <v>252</v>
      </c>
      <c r="D110" s="903">
        <v>362895.54525600001</v>
      </c>
      <c r="E110" s="904">
        <v>533874.89474400016</v>
      </c>
      <c r="F110" s="897">
        <v>0</v>
      </c>
      <c r="G110" s="897">
        <v>0</v>
      </c>
      <c r="H110" s="898">
        <v>896770.44000000018</v>
      </c>
      <c r="I110" s="899">
        <f t="shared" si="5"/>
        <v>0</v>
      </c>
    </row>
    <row r="111" spans="1:9" s="900" customFormat="1" ht="12.75" customHeight="1" x14ac:dyDescent="0.3">
      <c r="A111" s="893" t="s">
        <v>141</v>
      </c>
      <c r="B111" s="894" t="s">
        <v>142</v>
      </c>
      <c r="C111" s="895" t="s">
        <v>254</v>
      </c>
      <c r="D111" s="901">
        <v>93787.972769999993</v>
      </c>
      <c r="E111" s="902">
        <v>147788.82723</v>
      </c>
      <c r="F111" s="897">
        <v>0</v>
      </c>
      <c r="G111" s="897">
        <v>0</v>
      </c>
      <c r="H111" s="898">
        <v>241576.8</v>
      </c>
      <c r="I111" s="899">
        <f t="shared" si="5"/>
        <v>0</v>
      </c>
    </row>
    <row r="112" spans="1:9" s="900" customFormat="1" ht="12.75" customHeight="1" x14ac:dyDescent="0.3">
      <c r="A112" s="893" t="s">
        <v>143</v>
      </c>
      <c r="B112" s="894" t="s">
        <v>144</v>
      </c>
      <c r="C112" s="895" t="s">
        <v>254</v>
      </c>
      <c r="D112" s="903">
        <v>33591.096299999997</v>
      </c>
      <c r="E112" s="904">
        <v>47874.903700000003</v>
      </c>
      <c r="F112" s="897">
        <v>0</v>
      </c>
      <c r="G112" s="897">
        <v>0</v>
      </c>
      <c r="H112" s="898">
        <v>81466</v>
      </c>
      <c r="I112" s="899">
        <f t="shared" si="5"/>
        <v>0</v>
      </c>
    </row>
    <row r="113" spans="1:9" s="900" customFormat="1" ht="12.75" customHeight="1" x14ac:dyDescent="0.3">
      <c r="A113" s="893" t="s">
        <v>157</v>
      </c>
      <c r="B113" s="894" t="s">
        <v>158</v>
      </c>
      <c r="C113" s="895" t="s">
        <v>251</v>
      </c>
      <c r="D113" s="903">
        <v>1770997.773549</v>
      </c>
      <c r="E113" s="904">
        <v>2625316.736451</v>
      </c>
      <c r="F113" s="897">
        <v>0</v>
      </c>
      <c r="G113" s="897">
        <v>0</v>
      </c>
      <c r="H113" s="898">
        <v>4396314.51</v>
      </c>
      <c r="I113" s="899">
        <f t="shared" si="5"/>
        <v>0</v>
      </c>
    </row>
    <row r="114" spans="1:9" s="900" customFormat="1" ht="12.75" customHeight="1" x14ac:dyDescent="0.3">
      <c r="A114" s="893" t="s">
        <v>159</v>
      </c>
      <c r="B114" s="894" t="s">
        <v>160</v>
      </c>
      <c r="C114" s="895" t="s">
        <v>251</v>
      </c>
      <c r="D114" s="903">
        <v>1370858.624211</v>
      </c>
      <c r="E114" s="904">
        <v>1895201.3657890004</v>
      </c>
      <c r="F114" s="897">
        <v>0</v>
      </c>
      <c r="G114" s="897">
        <v>0</v>
      </c>
      <c r="H114" s="898">
        <v>3266059.99</v>
      </c>
      <c r="I114" s="899">
        <f t="shared" si="5"/>
        <v>0</v>
      </c>
    </row>
    <row r="115" spans="1:9" s="900" customFormat="1" ht="12.75" customHeight="1" x14ac:dyDescent="0.3">
      <c r="A115" s="893" t="s">
        <v>165</v>
      </c>
      <c r="B115" s="894" t="s">
        <v>166</v>
      </c>
      <c r="C115" s="895" t="s">
        <v>255</v>
      </c>
      <c r="D115" s="903">
        <v>44508.019890000003</v>
      </c>
      <c r="E115" s="904">
        <v>68287.08011000001</v>
      </c>
      <c r="F115" s="897">
        <v>0</v>
      </c>
      <c r="G115" s="897">
        <v>0</v>
      </c>
      <c r="H115" s="898">
        <v>112795.1</v>
      </c>
      <c r="I115" s="899">
        <f t="shared" si="5"/>
        <v>0</v>
      </c>
    </row>
    <row r="116" spans="1:9" s="900" customFormat="1" ht="12.75" customHeight="1" x14ac:dyDescent="0.3">
      <c r="A116" s="893" t="s">
        <v>175</v>
      </c>
      <c r="B116" s="894" t="s">
        <v>176</v>
      </c>
      <c r="C116" s="895" t="s">
        <v>253</v>
      </c>
      <c r="D116" s="903">
        <v>359134.509219</v>
      </c>
      <c r="E116" s="904">
        <v>503408.30078100006</v>
      </c>
      <c r="F116" s="897">
        <v>0</v>
      </c>
      <c r="G116" s="897">
        <v>0</v>
      </c>
      <c r="H116" s="898">
        <v>862542.81</v>
      </c>
      <c r="I116" s="899">
        <f t="shared" si="5"/>
        <v>0</v>
      </c>
    </row>
    <row r="117" spans="1:9" s="900" customFormat="1" ht="12.75" customHeight="1" x14ac:dyDescent="0.3">
      <c r="A117" s="893" t="s">
        <v>179</v>
      </c>
      <c r="B117" s="894" t="s">
        <v>180</v>
      </c>
      <c r="C117" s="895" t="s">
        <v>251</v>
      </c>
      <c r="D117" s="901">
        <v>851534.54484600003</v>
      </c>
      <c r="E117" s="902">
        <v>1189163.9951540001</v>
      </c>
      <c r="F117" s="897">
        <v>0</v>
      </c>
      <c r="G117" s="897">
        <v>0</v>
      </c>
      <c r="H117" s="898">
        <v>2040698.54</v>
      </c>
      <c r="I117" s="899">
        <f t="shared" si="5"/>
        <v>0</v>
      </c>
    </row>
    <row r="118" spans="1:9" s="900" customFormat="1" ht="12.75" customHeight="1" x14ac:dyDescent="0.3">
      <c r="A118" s="893" t="s">
        <v>191</v>
      </c>
      <c r="B118" s="894" t="s">
        <v>192</v>
      </c>
      <c r="C118" s="895" t="s">
        <v>255</v>
      </c>
      <c r="D118" s="901">
        <v>56135.310240000006</v>
      </c>
      <c r="E118" s="902">
        <v>75171.289760000014</v>
      </c>
      <c r="F118" s="897">
        <v>0</v>
      </c>
      <c r="G118" s="897">
        <v>0</v>
      </c>
      <c r="H118" s="898">
        <v>131306.60000000003</v>
      </c>
      <c r="I118" s="899">
        <f t="shared" si="5"/>
        <v>0</v>
      </c>
    </row>
    <row r="119" spans="1:9" s="900" customFormat="1" ht="12.75" customHeight="1" x14ac:dyDescent="0.3">
      <c r="A119" s="893" t="s">
        <v>195</v>
      </c>
      <c r="B119" s="894" t="s">
        <v>285</v>
      </c>
      <c r="C119" s="895" t="s">
        <v>253</v>
      </c>
      <c r="D119" s="903">
        <v>1605228.80214</v>
      </c>
      <c r="E119" s="904">
        <v>2228095.7978600003</v>
      </c>
      <c r="F119" s="897">
        <v>0</v>
      </c>
      <c r="G119" s="897">
        <v>0</v>
      </c>
      <c r="H119" s="898">
        <v>3833324.6000000006</v>
      </c>
      <c r="I119" s="899">
        <f t="shared" si="5"/>
        <v>0</v>
      </c>
    </row>
    <row r="120" spans="1:9" s="900" customFormat="1" ht="12.75" customHeight="1" x14ac:dyDescent="0.3">
      <c r="A120" s="893" t="s">
        <v>199</v>
      </c>
      <c r="B120" s="894" t="s">
        <v>286</v>
      </c>
      <c r="C120" s="895" t="s">
        <v>252</v>
      </c>
      <c r="D120" s="903">
        <v>721839.45401100011</v>
      </c>
      <c r="E120" s="904">
        <v>1073843.4359890004</v>
      </c>
      <c r="F120" s="897">
        <v>0</v>
      </c>
      <c r="G120" s="897">
        <v>0</v>
      </c>
      <c r="H120" s="898">
        <v>1795682.8900000006</v>
      </c>
      <c r="I120" s="899">
        <f t="shared" si="5"/>
        <v>0</v>
      </c>
    </row>
    <row r="121" spans="1:9" s="900" customFormat="1" ht="12.75" customHeight="1" x14ac:dyDescent="0.3">
      <c r="A121" s="893" t="s">
        <v>221</v>
      </c>
      <c r="B121" s="894" t="s">
        <v>222</v>
      </c>
      <c r="C121" s="895" t="s">
        <v>251</v>
      </c>
      <c r="D121" s="903">
        <v>388523.68123800005</v>
      </c>
      <c r="E121" s="904">
        <v>521404.0387620001</v>
      </c>
      <c r="F121" s="897">
        <v>0</v>
      </c>
      <c r="G121" s="897">
        <v>0</v>
      </c>
      <c r="H121" s="898">
        <v>909927.7200000002</v>
      </c>
      <c r="I121" s="899">
        <f t="shared" si="5"/>
        <v>0</v>
      </c>
    </row>
    <row r="122" spans="1:9" s="900" customFormat="1" ht="12.75" customHeight="1" x14ac:dyDescent="0.3">
      <c r="A122" s="893" t="s">
        <v>229</v>
      </c>
      <c r="B122" s="894" t="s">
        <v>230</v>
      </c>
      <c r="C122" s="895" t="s">
        <v>251</v>
      </c>
      <c r="D122" s="903">
        <v>586947.24188999995</v>
      </c>
      <c r="E122" s="904">
        <v>809006.95811000001</v>
      </c>
      <c r="F122" s="897">
        <v>0</v>
      </c>
      <c r="G122" s="897">
        <v>0</v>
      </c>
      <c r="H122" s="898">
        <v>1395954.2</v>
      </c>
      <c r="I122" s="899">
        <f t="shared" si="5"/>
        <v>0</v>
      </c>
    </row>
    <row r="123" spans="1:9" s="900" customFormat="1" ht="12.75" customHeight="1" x14ac:dyDescent="0.3">
      <c r="A123" s="893" t="s">
        <v>237</v>
      </c>
      <c r="B123" s="894" t="s">
        <v>238</v>
      </c>
      <c r="C123" s="895" t="s">
        <v>251</v>
      </c>
      <c r="D123" s="901">
        <v>31522.980669</v>
      </c>
      <c r="E123" s="902">
        <v>44316.329331000001</v>
      </c>
      <c r="F123" s="897">
        <v>0</v>
      </c>
      <c r="G123" s="897">
        <v>0</v>
      </c>
      <c r="H123" s="898">
        <v>75839.31</v>
      </c>
      <c r="I123" s="899">
        <f t="shared" si="5"/>
        <v>0</v>
      </c>
    </row>
    <row r="124" spans="1:9" s="900" customFormat="1" ht="12.75" customHeight="1" x14ac:dyDescent="0.3">
      <c r="A124" s="893" t="s">
        <v>239</v>
      </c>
      <c r="B124" s="894" t="s">
        <v>240</v>
      </c>
      <c r="C124" s="905" t="s">
        <v>254</v>
      </c>
      <c r="D124" s="906">
        <v>83671.062986999998</v>
      </c>
      <c r="E124" s="907">
        <v>130598.06701300001</v>
      </c>
      <c r="F124" s="897">
        <v>0</v>
      </c>
      <c r="G124" s="897">
        <v>0</v>
      </c>
      <c r="H124" s="898">
        <v>214269.13</v>
      </c>
      <c r="I124" s="899">
        <f t="shared" si="5"/>
        <v>0</v>
      </c>
    </row>
    <row r="125" spans="1:9" s="892" customFormat="1" ht="12.75" customHeight="1" x14ac:dyDescent="0.3">
      <c r="D125" s="908"/>
      <c r="E125" s="908"/>
      <c r="F125" s="908"/>
      <c r="G125" s="908"/>
      <c r="H125" s="908"/>
    </row>
    <row r="126" spans="1:9" s="892" customFormat="1" ht="12.75" customHeight="1" x14ac:dyDescent="0.3">
      <c r="A126" s="892" t="s">
        <v>253</v>
      </c>
      <c r="D126" s="1213">
        <v>5092433.8607760007</v>
      </c>
      <c r="E126" s="1214">
        <v>7353131.3792240005</v>
      </c>
      <c r="F126" s="1214">
        <v>0</v>
      </c>
      <c r="G126" s="1214">
        <v>0</v>
      </c>
      <c r="H126" s="1215">
        <v>12445565.240000002</v>
      </c>
      <c r="I126" s="1216">
        <f t="shared" ref="I126:I130" si="6">F126+G126</f>
        <v>0</v>
      </c>
    </row>
    <row r="127" spans="1:9" s="892" customFormat="1" ht="12.75" customHeight="1" x14ac:dyDescent="0.3">
      <c r="A127" s="892" t="s">
        <v>251</v>
      </c>
      <c r="D127" s="1213">
        <v>8005535.7439350011</v>
      </c>
      <c r="E127" s="1214">
        <v>11319775.206064999</v>
      </c>
      <c r="F127" s="1214">
        <v>0</v>
      </c>
      <c r="G127" s="1214">
        <v>0</v>
      </c>
      <c r="H127" s="1215">
        <v>19325310.949999996</v>
      </c>
      <c r="I127" s="1216">
        <f t="shared" si="6"/>
        <v>0</v>
      </c>
    </row>
    <row r="128" spans="1:9" s="892" customFormat="1" ht="12.75" customHeight="1" x14ac:dyDescent="0.3">
      <c r="A128" s="892" t="s">
        <v>254</v>
      </c>
      <c r="D128" s="1213">
        <v>5061782.10255</v>
      </c>
      <c r="E128" s="1214">
        <v>9033845.8174500018</v>
      </c>
      <c r="F128" s="1214">
        <v>0</v>
      </c>
      <c r="G128" s="1214">
        <v>0</v>
      </c>
      <c r="H128" s="1215">
        <v>14095627.920000004</v>
      </c>
      <c r="I128" s="1216">
        <f t="shared" si="6"/>
        <v>0</v>
      </c>
    </row>
    <row r="129" spans="1:9" s="892" customFormat="1" ht="12.75" customHeight="1" x14ac:dyDescent="0.3">
      <c r="A129" s="892" t="s">
        <v>252</v>
      </c>
      <c r="D129" s="1213">
        <v>4601785.8310110001</v>
      </c>
      <c r="E129" s="1214">
        <v>6851259.368989002</v>
      </c>
      <c r="F129" s="1214">
        <v>0</v>
      </c>
      <c r="G129" s="1214">
        <v>0</v>
      </c>
      <c r="H129" s="1215">
        <v>11453045.199999999</v>
      </c>
      <c r="I129" s="1216">
        <f t="shared" si="6"/>
        <v>0</v>
      </c>
    </row>
    <row r="130" spans="1:9" s="892" customFormat="1" ht="12.75" customHeight="1" x14ac:dyDescent="0.3">
      <c r="A130" s="892" t="s">
        <v>255</v>
      </c>
      <c r="D130" s="1213">
        <v>2834867.6794920005</v>
      </c>
      <c r="E130" s="1214">
        <v>4171941.9005079996</v>
      </c>
      <c r="F130" s="1214">
        <v>0</v>
      </c>
      <c r="G130" s="1214">
        <v>0</v>
      </c>
      <c r="H130" s="1215">
        <v>7006809.5800000001</v>
      </c>
      <c r="I130" s="1216">
        <f t="shared" si="6"/>
        <v>0</v>
      </c>
    </row>
    <row r="131" spans="1:9" s="892" customFormat="1" ht="12.75" customHeight="1" x14ac:dyDescent="0.3">
      <c r="A131" s="892" t="s">
        <v>8</v>
      </c>
      <c r="D131" s="1217">
        <f>SUM(D126:D130)</f>
        <v>25596405.217764005</v>
      </c>
      <c r="E131" s="1218">
        <f t="shared" ref="E131:G131" si="7">SUM(E126:E130)</f>
        <v>38729953.67223601</v>
      </c>
      <c r="F131" s="1214">
        <f t="shared" si="7"/>
        <v>0</v>
      </c>
      <c r="G131" s="1214">
        <f t="shared" si="7"/>
        <v>0</v>
      </c>
      <c r="H131" s="1215">
        <f t="shared" ref="H131" si="8">SUM(D131:G131)</f>
        <v>64326358.890000015</v>
      </c>
      <c r="I131" s="1216">
        <f t="shared" ref="I131" si="9">F131+G131</f>
        <v>0</v>
      </c>
    </row>
    <row r="132" spans="1:9" x14ac:dyDescent="0.3">
      <c r="D132" s="505"/>
      <c r="E132" s="505"/>
      <c r="F132" s="505"/>
      <c r="G132" s="505"/>
      <c r="H132" s="505"/>
    </row>
    <row r="133" spans="1:9" x14ac:dyDescent="0.3">
      <c r="D133" s="505"/>
      <c r="E133" s="505"/>
      <c r="F133" s="505"/>
      <c r="G133" s="505"/>
      <c r="H133" s="505"/>
    </row>
    <row r="135" spans="1:9" s="173" customFormat="1" x14ac:dyDescent="0.3">
      <c r="A135" s="584" t="s">
        <v>898</v>
      </c>
      <c r="B135" s="410"/>
      <c r="C135" s="410"/>
    </row>
    <row r="136" spans="1:9" s="173" customFormat="1" x14ac:dyDescent="0.3"/>
    <row r="137" spans="1:9" s="193" customFormat="1" x14ac:dyDescent="0.3">
      <c r="A137" s="193" t="s">
        <v>247</v>
      </c>
    </row>
    <row r="138" spans="1:9" x14ac:dyDescent="0.3">
      <c r="A138" s="194" t="s">
        <v>248</v>
      </c>
      <c r="B138" s="195" t="s">
        <v>249</v>
      </c>
      <c r="C138" s="195"/>
    </row>
  </sheetData>
  <autoFilter ref="A3:C124"/>
  <sortState ref="A5:I124">
    <sortCondition ref="A5:A124"/>
  </sortState>
  <hyperlinks>
    <hyperlink ref="B138"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D5" activePane="bottomRight" state="frozen"/>
      <selection pane="topRight" activeCell="D1" sqref="D1"/>
      <selection pane="bottomLeft" activeCell="A5" sqref="A5"/>
      <selection pane="bottomRight" activeCell="K133" sqref="K133"/>
    </sheetView>
  </sheetViews>
  <sheetFormatPr defaultColWidth="9" defaultRowHeight="15.6" x14ac:dyDescent="0.3"/>
  <cols>
    <col min="1" max="1" width="9.19921875" style="615" bestFit="1" customWidth="1"/>
    <col min="2" max="2" width="28.09765625" style="616" customWidth="1"/>
    <col min="3" max="3" width="16.5" style="616" customWidth="1"/>
    <col min="4" max="4" width="12.59765625" style="617" bestFit="1" customWidth="1"/>
    <col min="5" max="5" width="13.5" style="617" bestFit="1" customWidth="1"/>
    <col min="6" max="6" width="12.59765625" style="617" bestFit="1" customWidth="1"/>
    <col min="7" max="7" width="13.5" style="617" bestFit="1" customWidth="1"/>
    <col min="8" max="8" width="12.59765625" style="617" customWidth="1"/>
    <col min="9" max="11" width="13.69921875" style="618" customWidth="1"/>
    <col min="12" max="16384" width="9" style="616"/>
  </cols>
  <sheetData>
    <row r="1" spans="1:11" x14ac:dyDescent="0.3">
      <c r="A1" s="620" t="s">
        <v>901</v>
      </c>
    </row>
    <row r="2" spans="1:11" x14ac:dyDescent="0.3">
      <c r="I2" s="618">
        <f>G4+E4+(D4*0.5)</f>
        <v>123951259.13499996</v>
      </c>
    </row>
    <row r="3" spans="1:11" s="614" customFormat="1" ht="14.4" x14ac:dyDescent="0.3">
      <c r="A3" s="613" t="s">
        <v>4</v>
      </c>
      <c r="B3" s="614" t="s">
        <v>5</v>
      </c>
      <c r="C3" s="614" t="s">
        <v>250</v>
      </c>
      <c r="D3" s="1280" t="s">
        <v>523</v>
      </c>
      <c r="E3" s="1281" t="s">
        <v>524</v>
      </c>
      <c r="F3" s="1281" t="s">
        <v>525</v>
      </c>
      <c r="G3" s="1281" t="s">
        <v>526</v>
      </c>
      <c r="H3" s="1281" t="s">
        <v>527</v>
      </c>
      <c r="I3" s="1282" t="s">
        <v>287</v>
      </c>
      <c r="J3" s="1282" t="s">
        <v>288</v>
      </c>
      <c r="K3" s="1283" t="s">
        <v>528</v>
      </c>
    </row>
    <row r="4" spans="1:11" s="614" customFormat="1" ht="14.4" x14ac:dyDescent="0.3">
      <c r="A4" s="621" t="s">
        <v>7</v>
      </c>
      <c r="B4" s="622" t="s">
        <v>529</v>
      </c>
      <c r="C4" s="622"/>
      <c r="D4" s="1284">
        <f t="shared" ref="D4:K4" si="0">SUM(D5:D124)</f>
        <v>50887558.029999979</v>
      </c>
      <c r="E4" s="1285">
        <f t="shared" si="0"/>
        <v>3590035.52</v>
      </c>
      <c r="F4" s="1285">
        <f t="shared" si="0"/>
        <v>0</v>
      </c>
      <c r="G4" s="1285">
        <f t="shared" si="0"/>
        <v>94917444.599999979</v>
      </c>
      <c r="H4" s="1285">
        <f t="shared" si="0"/>
        <v>149395038.15000004</v>
      </c>
      <c r="I4" s="1285">
        <f t="shared" si="0"/>
        <v>121958616.00439319</v>
      </c>
      <c r="J4" s="1285">
        <f t="shared" si="0"/>
        <v>27436422.14560682</v>
      </c>
      <c r="K4" s="1286">
        <f t="shared" si="0"/>
        <v>149395038.15000004</v>
      </c>
    </row>
    <row r="5" spans="1:11" ht="14.4" x14ac:dyDescent="0.3">
      <c r="A5" s="615" t="s">
        <v>9</v>
      </c>
      <c r="B5" s="616" t="s">
        <v>10</v>
      </c>
      <c r="C5" s="616" t="s">
        <v>251</v>
      </c>
      <c r="D5" s="1287">
        <v>20990</v>
      </c>
      <c r="E5" s="1276">
        <v>6156</v>
      </c>
      <c r="F5" s="1276">
        <v>0</v>
      </c>
      <c r="G5" s="1276">
        <v>69013.399999999994</v>
      </c>
      <c r="H5" s="1276">
        <f t="shared" ref="H5:H36" si="1">SUM(D5:G5)</f>
        <v>96159.4</v>
      </c>
      <c r="I5" s="1277">
        <v>78499.7111352379</v>
      </c>
      <c r="J5" s="1277">
        <v>17659.688864762102</v>
      </c>
      <c r="K5" s="1278">
        <f t="shared" ref="K5:K36" si="2">I5+J5</f>
        <v>96159.4</v>
      </c>
    </row>
    <row r="6" spans="1:11" ht="14.4" x14ac:dyDescent="0.3">
      <c r="A6" s="615" t="s">
        <v>11</v>
      </c>
      <c r="B6" s="616" t="s">
        <v>12</v>
      </c>
      <c r="C6" s="616" t="s">
        <v>252</v>
      </c>
      <c r="D6" s="1287">
        <v>288827.59999999998</v>
      </c>
      <c r="E6" s="1276">
        <v>3036</v>
      </c>
      <c r="F6" s="1276">
        <v>0</v>
      </c>
      <c r="G6" s="1276">
        <v>613531.80000000005</v>
      </c>
      <c r="H6" s="1276">
        <f t="shared" si="1"/>
        <v>905395.4</v>
      </c>
      <c r="I6" s="1277">
        <v>739119.39304085902</v>
      </c>
      <c r="J6" s="1277">
        <v>166276.00695914106</v>
      </c>
      <c r="K6" s="1278">
        <f t="shared" si="2"/>
        <v>905395.40000000014</v>
      </c>
    </row>
    <row r="7" spans="1:11" ht="14.4" x14ac:dyDescent="0.3">
      <c r="A7" s="615" t="s">
        <v>15</v>
      </c>
      <c r="B7" s="619" t="s">
        <v>273</v>
      </c>
      <c r="C7" s="619" t="s">
        <v>252</v>
      </c>
      <c r="D7" s="1287">
        <v>31569</v>
      </c>
      <c r="E7" s="1276">
        <v>6309</v>
      </c>
      <c r="F7" s="1276">
        <v>0</v>
      </c>
      <c r="G7" s="1276">
        <v>98696</v>
      </c>
      <c r="H7" s="1276">
        <f t="shared" si="1"/>
        <v>136574</v>
      </c>
      <c r="I7" s="1277">
        <v>111492.16351790862</v>
      </c>
      <c r="J7" s="1277">
        <v>25081.836482091392</v>
      </c>
      <c r="K7" s="1278">
        <f t="shared" si="2"/>
        <v>136574</v>
      </c>
    </row>
    <row r="8" spans="1:11" ht="14.4" x14ac:dyDescent="0.3">
      <c r="A8" s="615" t="s">
        <v>17</v>
      </c>
      <c r="B8" s="616" t="s">
        <v>18</v>
      </c>
      <c r="C8" s="616" t="s">
        <v>253</v>
      </c>
      <c r="D8" s="1287">
        <v>1311</v>
      </c>
      <c r="E8" s="1276">
        <v>0</v>
      </c>
      <c r="F8" s="1276">
        <v>0</v>
      </c>
      <c r="G8" s="1276">
        <v>41153</v>
      </c>
      <c r="H8" s="1276">
        <f t="shared" si="1"/>
        <v>42464</v>
      </c>
      <c r="I8" s="1277">
        <v>34665.479751815656</v>
      </c>
      <c r="J8" s="1277">
        <v>7798.5202481843471</v>
      </c>
      <c r="K8" s="1278">
        <f t="shared" si="2"/>
        <v>42464</v>
      </c>
    </row>
    <row r="9" spans="1:11" ht="14.4" x14ac:dyDescent="0.3">
      <c r="A9" s="615" t="s">
        <v>19</v>
      </c>
      <c r="B9" s="616" t="s">
        <v>20</v>
      </c>
      <c r="C9" s="616" t="s">
        <v>252</v>
      </c>
      <c r="D9" s="1287">
        <v>121325.6</v>
      </c>
      <c r="E9" s="1276">
        <v>5569</v>
      </c>
      <c r="F9" s="1276">
        <v>0</v>
      </c>
      <c r="G9" s="1276">
        <v>377196.5</v>
      </c>
      <c r="H9" s="1276">
        <f t="shared" si="1"/>
        <v>504091.1</v>
      </c>
      <c r="I9" s="1277">
        <v>411514.69056425395</v>
      </c>
      <c r="J9" s="1277">
        <v>92576.409435746042</v>
      </c>
      <c r="K9" s="1278">
        <f t="shared" si="2"/>
        <v>504091.1</v>
      </c>
    </row>
    <row r="10" spans="1:11" ht="14.4" x14ac:dyDescent="0.3">
      <c r="A10" s="615" t="s">
        <v>21</v>
      </c>
      <c r="B10" s="616" t="s">
        <v>22</v>
      </c>
      <c r="C10" s="616" t="s">
        <v>252</v>
      </c>
      <c r="D10" s="1287">
        <v>39963</v>
      </c>
      <c r="E10" s="1276">
        <v>0</v>
      </c>
      <c r="F10" s="1276">
        <v>0</v>
      </c>
      <c r="G10" s="1276">
        <v>63036</v>
      </c>
      <c r="H10" s="1276">
        <f t="shared" si="1"/>
        <v>102999</v>
      </c>
      <c r="I10" s="1277">
        <v>84083.217524426829</v>
      </c>
      <c r="J10" s="1277">
        <v>18915.782475573182</v>
      </c>
      <c r="K10" s="1278">
        <f t="shared" si="2"/>
        <v>102999.00000000001</v>
      </c>
    </row>
    <row r="11" spans="1:11" ht="14.4" x14ac:dyDescent="0.3">
      <c r="A11" s="615" t="s">
        <v>23</v>
      </c>
      <c r="B11" s="616" t="s">
        <v>24</v>
      </c>
      <c r="C11" s="616" t="s">
        <v>254</v>
      </c>
      <c r="D11" s="1287">
        <v>703361.59999999986</v>
      </c>
      <c r="E11" s="1276">
        <v>174392.2</v>
      </c>
      <c r="F11" s="1276">
        <v>0</v>
      </c>
      <c r="G11" s="1276">
        <v>1530621.3</v>
      </c>
      <c r="H11" s="1276">
        <f t="shared" si="1"/>
        <v>2408375.0999999996</v>
      </c>
      <c r="I11" s="1277">
        <v>1966076.635828631</v>
      </c>
      <c r="J11" s="1277">
        <v>442298.46417136863</v>
      </c>
      <c r="K11" s="1278">
        <f t="shared" si="2"/>
        <v>2408375.0999999996</v>
      </c>
    </row>
    <row r="12" spans="1:11" ht="14.4" x14ac:dyDescent="0.3">
      <c r="A12" s="615" t="s">
        <v>25</v>
      </c>
      <c r="B12" s="619" t="s">
        <v>444</v>
      </c>
      <c r="C12" s="619" t="s">
        <v>252</v>
      </c>
      <c r="D12" s="1287">
        <v>546607.19999999995</v>
      </c>
      <c r="E12" s="1276">
        <v>7475</v>
      </c>
      <c r="F12" s="1276">
        <v>0</v>
      </c>
      <c r="G12" s="1276">
        <v>547697.4</v>
      </c>
      <c r="H12" s="1276">
        <f t="shared" si="1"/>
        <v>1101779.6000000001</v>
      </c>
      <c r="I12" s="1277">
        <v>899437.6039648538</v>
      </c>
      <c r="J12" s="1277">
        <v>202341.99603514624</v>
      </c>
      <c r="K12" s="1278">
        <f t="shared" si="2"/>
        <v>1101779.6000000001</v>
      </c>
    </row>
    <row r="13" spans="1:11" ht="14.4" x14ac:dyDescent="0.3">
      <c r="A13" s="615" t="s">
        <v>26</v>
      </c>
      <c r="B13" s="616" t="s">
        <v>27</v>
      </c>
      <c r="C13" s="616" t="s">
        <v>252</v>
      </c>
      <c r="D13" s="1287">
        <v>0</v>
      </c>
      <c r="E13" s="1276">
        <v>0</v>
      </c>
      <c r="F13" s="1276">
        <v>0</v>
      </c>
      <c r="G13" s="1276">
        <v>0</v>
      </c>
      <c r="H13" s="1276">
        <f t="shared" si="1"/>
        <v>0</v>
      </c>
      <c r="I13" s="1277">
        <v>0</v>
      </c>
      <c r="J13" s="1277">
        <v>0</v>
      </c>
      <c r="K13" s="1278">
        <f t="shared" si="2"/>
        <v>0</v>
      </c>
    </row>
    <row r="14" spans="1:11" ht="14.4" x14ac:dyDescent="0.3">
      <c r="A14" s="615" t="s">
        <v>28</v>
      </c>
      <c r="B14" s="616" t="s">
        <v>568</v>
      </c>
      <c r="C14" s="616" t="s">
        <v>252</v>
      </c>
      <c r="D14" s="1287">
        <v>219264</v>
      </c>
      <c r="E14" s="1276">
        <v>0</v>
      </c>
      <c r="F14" s="1276">
        <v>0</v>
      </c>
      <c r="G14" s="1276">
        <v>279784.40000000002</v>
      </c>
      <c r="H14" s="1276">
        <f t="shared" si="1"/>
        <v>499048.4</v>
      </c>
      <c r="I14" s="1277">
        <v>407398.0832087415</v>
      </c>
      <c r="J14" s="1277">
        <v>91650.316791258505</v>
      </c>
      <c r="K14" s="1278">
        <f t="shared" si="2"/>
        <v>499048.4</v>
      </c>
    </row>
    <row r="15" spans="1:11" ht="14.4" x14ac:dyDescent="0.3">
      <c r="A15" s="615" t="s">
        <v>29</v>
      </c>
      <c r="B15" s="616" t="s">
        <v>30</v>
      </c>
      <c r="C15" s="616" t="s">
        <v>255</v>
      </c>
      <c r="D15" s="1287">
        <v>15060</v>
      </c>
      <c r="E15" s="1276">
        <v>0</v>
      </c>
      <c r="F15" s="1276">
        <v>0</v>
      </c>
      <c r="G15" s="1276">
        <v>3461</v>
      </c>
      <c r="H15" s="1276">
        <f t="shared" si="1"/>
        <v>18521</v>
      </c>
      <c r="I15" s="1277">
        <v>15119.615450343297</v>
      </c>
      <c r="J15" s="1277">
        <v>3401.3845496567042</v>
      </c>
      <c r="K15" s="1278">
        <f t="shared" si="2"/>
        <v>18521</v>
      </c>
    </row>
    <row r="16" spans="1:11" ht="14.4" x14ac:dyDescent="0.3">
      <c r="A16" s="615" t="s">
        <v>31</v>
      </c>
      <c r="B16" s="616" t="s">
        <v>32</v>
      </c>
      <c r="C16" s="616" t="s">
        <v>252</v>
      </c>
      <c r="D16" s="1287">
        <v>115366.2</v>
      </c>
      <c r="E16" s="1276">
        <v>0</v>
      </c>
      <c r="F16" s="1276">
        <v>0</v>
      </c>
      <c r="G16" s="1276">
        <v>149839.6</v>
      </c>
      <c r="H16" s="1276">
        <f t="shared" si="1"/>
        <v>265205.8</v>
      </c>
      <c r="I16" s="1277">
        <v>216500.71330925188</v>
      </c>
      <c r="J16" s="1277">
        <v>48705.086690748118</v>
      </c>
      <c r="K16" s="1278">
        <f t="shared" si="2"/>
        <v>265205.8</v>
      </c>
    </row>
    <row r="17" spans="1:11" ht="14.4" x14ac:dyDescent="0.3">
      <c r="A17" s="615" t="s">
        <v>35</v>
      </c>
      <c r="B17" s="616" t="s">
        <v>36</v>
      </c>
      <c r="C17" s="616" t="s">
        <v>251</v>
      </c>
      <c r="D17" s="1287">
        <v>14363</v>
      </c>
      <c r="E17" s="1276">
        <v>0</v>
      </c>
      <c r="F17" s="1276">
        <v>0</v>
      </c>
      <c r="G17" s="1276">
        <v>42897</v>
      </c>
      <c r="H17" s="1276">
        <f t="shared" si="1"/>
        <v>57260</v>
      </c>
      <c r="I17" s="1277">
        <v>46744.19203534675</v>
      </c>
      <c r="J17" s="1277">
        <v>10515.807964653251</v>
      </c>
      <c r="K17" s="1278">
        <f t="shared" si="2"/>
        <v>57260</v>
      </c>
    </row>
    <row r="18" spans="1:11" ht="14.4" x14ac:dyDescent="0.3">
      <c r="A18" s="615" t="s">
        <v>37</v>
      </c>
      <c r="B18" s="616" t="s">
        <v>38</v>
      </c>
      <c r="C18" s="616" t="s">
        <v>255</v>
      </c>
      <c r="D18" s="1287">
        <v>0</v>
      </c>
      <c r="E18" s="1276">
        <v>0</v>
      </c>
      <c r="F18" s="1276">
        <v>0</v>
      </c>
      <c r="G18" s="1276">
        <v>5802</v>
      </c>
      <c r="H18" s="1276">
        <f t="shared" si="1"/>
        <v>5802</v>
      </c>
      <c r="I18" s="1277">
        <v>4736.4617916360785</v>
      </c>
      <c r="J18" s="1277">
        <v>1065.538208363922</v>
      </c>
      <c r="K18" s="1278">
        <f t="shared" si="2"/>
        <v>5802</v>
      </c>
    </row>
    <row r="19" spans="1:11" ht="14.4" x14ac:dyDescent="0.3">
      <c r="A19" s="615" t="s">
        <v>39</v>
      </c>
      <c r="B19" s="616" t="s">
        <v>40</v>
      </c>
      <c r="C19" s="616" t="s">
        <v>253</v>
      </c>
      <c r="D19" s="1287">
        <v>19335.599999999999</v>
      </c>
      <c r="E19" s="1276">
        <v>0</v>
      </c>
      <c r="F19" s="1276">
        <v>0</v>
      </c>
      <c r="G19" s="1276">
        <v>11871</v>
      </c>
      <c r="H19" s="1276">
        <f t="shared" si="1"/>
        <v>31206.6</v>
      </c>
      <c r="I19" s="1277">
        <v>25475.503024279635</v>
      </c>
      <c r="J19" s="1277">
        <v>5731.0969757203657</v>
      </c>
      <c r="K19" s="1278">
        <f t="shared" si="2"/>
        <v>31206.6</v>
      </c>
    </row>
    <row r="20" spans="1:11" ht="14.4" x14ac:dyDescent="0.3">
      <c r="A20" s="615" t="s">
        <v>41</v>
      </c>
      <c r="B20" s="616" t="s">
        <v>42</v>
      </c>
      <c r="C20" s="616" t="s">
        <v>252</v>
      </c>
      <c r="D20" s="1287">
        <v>220734.40000000002</v>
      </c>
      <c r="E20" s="1276">
        <v>0</v>
      </c>
      <c r="F20" s="1276">
        <v>0</v>
      </c>
      <c r="G20" s="1276">
        <v>395047.2</v>
      </c>
      <c r="H20" s="1276">
        <f t="shared" si="1"/>
        <v>615781.60000000009</v>
      </c>
      <c r="I20" s="1277">
        <v>502693.21275293542</v>
      </c>
      <c r="J20" s="1277">
        <v>113088.38724706469</v>
      </c>
      <c r="K20" s="1278">
        <f t="shared" si="2"/>
        <v>615781.60000000009</v>
      </c>
    </row>
    <row r="21" spans="1:11" ht="14.4" x14ac:dyDescent="0.3">
      <c r="A21" s="615" t="s">
        <v>43</v>
      </c>
      <c r="B21" s="616" t="s">
        <v>44</v>
      </c>
      <c r="C21" s="616" t="s">
        <v>253</v>
      </c>
      <c r="D21" s="1287">
        <v>210314.8</v>
      </c>
      <c r="E21" s="1276">
        <v>10066</v>
      </c>
      <c r="F21" s="1276">
        <v>0</v>
      </c>
      <c r="G21" s="1276">
        <v>291849</v>
      </c>
      <c r="H21" s="1276">
        <f t="shared" si="1"/>
        <v>512229.8</v>
      </c>
      <c r="I21" s="1277">
        <v>418158.71703505516</v>
      </c>
      <c r="J21" s="1277">
        <v>94071.082964944857</v>
      </c>
      <c r="K21" s="1278">
        <f t="shared" si="2"/>
        <v>512229.80000000005</v>
      </c>
    </row>
    <row r="22" spans="1:11" ht="14.4" x14ac:dyDescent="0.3">
      <c r="A22" s="615" t="s">
        <v>45</v>
      </c>
      <c r="B22" s="616" t="s">
        <v>46</v>
      </c>
      <c r="C22" s="616" t="s">
        <v>255</v>
      </c>
      <c r="D22" s="1287">
        <v>141174</v>
      </c>
      <c r="E22" s="1276">
        <v>0</v>
      </c>
      <c r="F22" s="1276">
        <v>0</v>
      </c>
      <c r="G22" s="1276">
        <v>260366.8</v>
      </c>
      <c r="H22" s="1276">
        <f t="shared" si="1"/>
        <v>401540.8</v>
      </c>
      <c r="I22" s="1277">
        <v>327797.76921457844</v>
      </c>
      <c r="J22" s="1277">
        <v>73743.030785421564</v>
      </c>
      <c r="K22" s="1278">
        <f t="shared" si="2"/>
        <v>401540.8</v>
      </c>
    </row>
    <row r="23" spans="1:11" ht="14.4" x14ac:dyDescent="0.3">
      <c r="A23" s="615" t="s">
        <v>47</v>
      </c>
      <c r="B23" s="616" t="s">
        <v>256</v>
      </c>
      <c r="C23" s="616" t="s">
        <v>253</v>
      </c>
      <c r="D23" s="1287">
        <v>32760</v>
      </c>
      <c r="E23" s="1276">
        <v>38775</v>
      </c>
      <c r="F23" s="1276">
        <v>0</v>
      </c>
      <c r="G23" s="1276">
        <v>69953</v>
      </c>
      <c r="H23" s="1276">
        <f t="shared" si="1"/>
        <v>141488</v>
      </c>
      <c r="I23" s="1277">
        <v>115503.7066485704</v>
      </c>
      <c r="J23" s="1277">
        <v>25984.293351429606</v>
      </c>
      <c r="K23" s="1278">
        <f t="shared" si="2"/>
        <v>141488</v>
      </c>
    </row>
    <row r="24" spans="1:11" ht="14.4" x14ac:dyDescent="0.3">
      <c r="A24" s="615" t="s">
        <v>49</v>
      </c>
      <c r="B24" s="616" t="s">
        <v>50</v>
      </c>
      <c r="C24" s="616" t="s">
        <v>252</v>
      </c>
      <c r="D24" s="1287">
        <v>16661</v>
      </c>
      <c r="E24" s="1276">
        <v>0</v>
      </c>
      <c r="F24" s="1276">
        <v>0</v>
      </c>
      <c r="G24" s="1276">
        <v>29555.4</v>
      </c>
      <c r="H24" s="1276">
        <f t="shared" si="1"/>
        <v>46216.4</v>
      </c>
      <c r="I24" s="1277">
        <v>37728.7509043381</v>
      </c>
      <c r="J24" s="1277">
        <v>8487.6490956619036</v>
      </c>
      <c r="K24" s="1278">
        <f t="shared" si="2"/>
        <v>46216.4</v>
      </c>
    </row>
    <row r="25" spans="1:11" ht="14.4" x14ac:dyDescent="0.3">
      <c r="A25" s="615" t="s">
        <v>55</v>
      </c>
      <c r="B25" s="619" t="s">
        <v>271</v>
      </c>
      <c r="C25" s="619" t="s">
        <v>253</v>
      </c>
      <c r="D25" s="1287">
        <v>2235127.8000000003</v>
      </c>
      <c r="E25" s="1276">
        <v>0</v>
      </c>
      <c r="F25" s="1276">
        <v>0</v>
      </c>
      <c r="G25" s="1276">
        <v>2873828.6999999997</v>
      </c>
      <c r="H25" s="1276">
        <f t="shared" si="1"/>
        <v>5108956.5</v>
      </c>
      <c r="I25" s="1277">
        <v>4170695.8389143036</v>
      </c>
      <c r="J25" s="1277">
        <v>938260.66108569689</v>
      </c>
      <c r="K25" s="1278">
        <f t="shared" si="2"/>
        <v>5108956.5</v>
      </c>
    </row>
    <row r="26" spans="1:11" ht="14.4" x14ac:dyDescent="0.3">
      <c r="A26" s="615" t="s">
        <v>57</v>
      </c>
      <c r="B26" s="616" t="s">
        <v>58</v>
      </c>
      <c r="C26" s="616" t="s">
        <v>254</v>
      </c>
      <c r="D26" s="1287">
        <v>18583.2</v>
      </c>
      <c r="E26" s="1276">
        <v>0</v>
      </c>
      <c r="F26" s="1276">
        <v>0</v>
      </c>
      <c r="G26" s="1276">
        <v>75227.399999999994</v>
      </c>
      <c r="H26" s="1276">
        <f t="shared" si="1"/>
        <v>93810.599999999991</v>
      </c>
      <c r="I26" s="1277">
        <v>76582.268622967153</v>
      </c>
      <c r="J26" s="1277">
        <v>17228.331377032839</v>
      </c>
      <c r="K26" s="1278">
        <f t="shared" si="2"/>
        <v>93810.599999999991</v>
      </c>
    </row>
    <row r="27" spans="1:11" ht="14.4" x14ac:dyDescent="0.3">
      <c r="A27" s="615" t="s">
        <v>59</v>
      </c>
      <c r="B27" s="616" t="s">
        <v>60</v>
      </c>
      <c r="C27" s="616" t="s">
        <v>252</v>
      </c>
      <c r="D27" s="1287">
        <v>35551</v>
      </c>
      <c r="E27" s="1276">
        <v>28601</v>
      </c>
      <c r="F27" s="1276">
        <v>0</v>
      </c>
      <c r="G27" s="1276">
        <v>42327</v>
      </c>
      <c r="H27" s="1276">
        <f t="shared" si="1"/>
        <v>106479</v>
      </c>
      <c r="I27" s="1277">
        <v>86924.114979596343</v>
      </c>
      <c r="J27" s="1277">
        <v>19554.885020403661</v>
      </c>
      <c r="K27" s="1278">
        <f t="shared" si="2"/>
        <v>106479</v>
      </c>
    </row>
    <row r="28" spans="1:11" ht="14.4" x14ac:dyDescent="0.3">
      <c r="A28" s="615" t="s">
        <v>61</v>
      </c>
      <c r="B28" s="616" t="s">
        <v>62</v>
      </c>
      <c r="C28" s="616" t="s">
        <v>254</v>
      </c>
      <c r="D28" s="1287">
        <v>391731.6</v>
      </c>
      <c r="E28" s="1276">
        <v>597071</v>
      </c>
      <c r="F28" s="1276">
        <v>0</v>
      </c>
      <c r="G28" s="1276">
        <v>1079949</v>
      </c>
      <c r="H28" s="1276">
        <f t="shared" si="1"/>
        <v>2068751.6</v>
      </c>
      <c r="I28" s="1277">
        <v>1688825.0447752506</v>
      </c>
      <c r="J28" s="1277">
        <v>379926.55522474955</v>
      </c>
      <c r="K28" s="1278">
        <f t="shared" si="2"/>
        <v>2068751.6</v>
      </c>
    </row>
    <row r="29" spans="1:11" ht="14.4" x14ac:dyDescent="0.3">
      <c r="A29" s="615" t="s">
        <v>63</v>
      </c>
      <c r="B29" s="616" t="s">
        <v>64</v>
      </c>
      <c r="C29" s="616" t="s">
        <v>253</v>
      </c>
      <c r="D29" s="1287">
        <v>44136</v>
      </c>
      <c r="E29" s="1276">
        <v>0</v>
      </c>
      <c r="F29" s="1276">
        <v>0</v>
      </c>
      <c r="G29" s="1276">
        <v>52286</v>
      </c>
      <c r="H29" s="1276">
        <f t="shared" si="1"/>
        <v>96422</v>
      </c>
      <c r="I29" s="1277">
        <v>78714.084604125121</v>
      </c>
      <c r="J29" s="1277">
        <v>17707.915395874883</v>
      </c>
      <c r="K29" s="1278">
        <f t="shared" si="2"/>
        <v>96422</v>
      </c>
    </row>
    <row r="30" spans="1:11" ht="14.4" x14ac:dyDescent="0.3">
      <c r="A30" s="615" t="s">
        <v>67</v>
      </c>
      <c r="B30" s="616" t="s">
        <v>68</v>
      </c>
      <c r="C30" s="616" t="s">
        <v>255</v>
      </c>
      <c r="D30" s="1287">
        <v>6317</v>
      </c>
      <c r="E30" s="1276">
        <v>357</v>
      </c>
      <c r="F30" s="1276">
        <v>0</v>
      </c>
      <c r="G30" s="1276">
        <v>38094</v>
      </c>
      <c r="H30" s="1276">
        <f t="shared" si="1"/>
        <v>44768</v>
      </c>
      <c r="I30" s="1277">
        <v>36546.3497911003</v>
      </c>
      <c r="J30" s="1277">
        <v>8221.6502088996986</v>
      </c>
      <c r="K30" s="1278">
        <f t="shared" si="2"/>
        <v>44768</v>
      </c>
    </row>
    <row r="31" spans="1:11" ht="14.4" x14ac:dyDescent="0.3">
      <c r="A31" s="615" t="s">
        <v>69</v>
      </c>
      <c r="B31" s="616" t="s">
        <v>70</v>
      </c>
      <c r="C31" s="616" t="s">
        <v>251</v>
      </c>
      <c r="D31" s="1287">
        <v>44424.2</v>
      </c>
      <c r="E31" s="1276">
        <v>0</v>
      </c>
      <c r="F31" s="1276">
        <v>0</v>
      </c>
      <c r="G31" s="1276">
        <v>158017</v>
      </c>
      <c r="H31" s="1276">
        <f t="shared" si="1"/>
        <v>202441.2</v>
      </c>
      <c r="I31" s="1277">
        <v>165262.84192570799</v>
      </c>
      <c r="J31" s="1277">
        <v>37178.358074292039</v>
      </c>
      <c r="K31" s="1278">
        <f t="shared" si="2"/>
        <v>202441.20000000004</v>
      </c>
    </row>
    <row r="32" spans="1:11" ht="14.4" x14ac:dyDescent="0.3">
      <c r="A32" s="615" t="s">
        <v>71</v>
      </c>
      <c r="B32" s="616" t="s">
        <v>72</v>
      </c>
      <c r="C32" s="616" t="s">
        <v>253</v>
      </c>
      <c r="D32" s="1287">
        <v>175719</v>
      </c>
      <c r="E32" s="1276">
        <v>0</v>
      </c>
      <c r="F32" s="1276">
        <v>0</v>
      </c>
      <c r="G32" s="1276">
        <v>182276</v>
      </c>
      <c r="H32" s="1276">
        <f t="shared" si="1"/>
        <v>357995</v>
      </c>
      <c r="I32" s="1277">
        <v>292249.16220212996</v>
      </c>
      <c r="J32" s="1277">
        <v>65745.837797870088</v>
      </c>
      <c r="K32" s="1278">
        <f t="shared" si="2"/>
        <v>357995.00000000006</v>
      </c>
    </row>
    <row r="33" spans="1:11" ht="14.4" x14ac:dyDescent="0.3">
      <c r="A33" s="615" t="s">
        <v>73</v>
      </c>
      <c r="B33" s="616" t="s">
        <v>443</v>
      </c>
      <c r="C33" s="616" t="s">
        <v>254</v>
      </c>
      <c r="D33" s="1287">
        <v>5074135.0599999996</v>
      </c>
      <c r="E33" s="1276">
        <v>534288.19999999995</v>
      </c>
      <c r="F33" s="1276">
        <v>0</v>
      </c>
      <c r="G33" s="1276">
        <v>19905992.91</v>
      </c>
      <c r="H33" s="1276">
        <f t="shared" si="1"/>
        <v>25514416.170000002</v>
      </c>
      <c r="I33" s="1277">
        <v>20828689.645830184</v>
      </c>
      <c r="J33" s="1277">
        <v>4685726.5241698176</v>
      </c>
      <c r="K33" s="1278">
        <f t="shared" si="2"/>
        <v>25514416.170000002</v>
      </c>
    </row>
    <row r="34" spans="1:11" ht="14.4" x14ac:dyDescent="0.3">
      <c r="A34" s="615" t="s">
        <v>75</v>
      </c>
      <c r="B34" s="616" t="s">
        <v>76</v>
      </c>
      <c r="C34" s="616" t="s">
        <v>254</v>
      </c>
      <c r="D34" s="1287">
        <v>250964.6</v>
      </c>
      <c r="E34" s="1276">
        <v>3630</v>
      </c>
      <c r="F34" s="1276">
        <v>0</v>
      </c>
      <c r="G34" s="1276">
        <v>397901.4</v>
      </c>
      <c r="H34" s="1276">
        <f t="shared" si="1"/>
        <v>652496</v>
      </c>
      <c r="I34" s="1277">
        <v>532665.00744491117</v>
      </c>
      <c r="J34" s="1277">
        <v>119830.99255508886</v>
      </c>
      <c r="K34" s="1278">
        <f t="shared" si="2"/>
        <v>652496</v>
      </c>
    </row>
    <row r="35" spans="1:11" ht="14.4" x14ac:dyDescent="0.3">
      <c r="A35" s="615" t="s">
        <v>77</v>
      </c>
      <c r="B35" s="616" t="s">
        <v>78</v>
      </c>
      <c r="C35" s="616" t="s">
        <v>255</v>
      </c>
      <c r="D35" s="1287">
        <v>30431</v>
      </c>
      <c r="E35" s="1276">
        <v>0</v>
      </c>
      <c r="F35" s="1276">
        <v>0</v>
      </c>
      <c r="G35" s="1276">
        <v>51939</v>
      </c>
      <c r="H35" s="1276">
        <f t="shared" si="1"/>
        <v>82370</v>
      </c>
      <c r="I35" s="1277">
        <v>67242.73660411303</v>
      </c>
      <c r="J35" s="1277">
        <v>15127.263395886977</v>
      </c>
      <c r="K35" s="1278">
        <f t="shared" si="2"/>
        <v>82370</v>
      </c>
    </row>
    <row r="36" spans="1:11" ht="14.4" x14ac:dyDescent="0.3">
      <c r="A36" s="615" t="s">
        <v>79</v>
      </c>
      <c r="B36" s="616" t="s">
        <v>80</v>
      </c>
      <c r="C36" s="616" t="s">
        <v>253</v>
      </c>
      <c r="D36" s="1287">
        <v>62747.199999999997</v>
      </c>
      <c r="E36" s="1276">
        <v>0</v>
      </c>
      <c r="F36" s="1276">
        <v>0</v>
      </c>
      <c r="G36" s="1276">
        <v>125574.39999999999</v>
      </c>
      <c r="H36" s="1276">
        <f t="shared" si="1"/>
        <v>188321.59999999998</v>
      </c>
      <c r="I36" s="1277">
        <v>153736.30867627935</v>
      </c>
      <c r="J36" s="1277">
        <v>34585.291323720638</v>
      </c>
      <c r="K36" s="1278">
        <f t="shared" si="2"/>
        <v>188321.59999999998</v>
      </c>
    </row>
    <row r="37" spans="1:11" ht="14.4" x14ac:dyDescent="0.3">
      <c r="A37" s="615" t="s">
        <v>83</v>
      </c>
      <c r="B37" s="616" t="s">
        <v>281</v>
      </c>
      <c r="C37" s="616" t="s">
        <v>252</v>
      </c>
      <c r="D37" s="1287">
        <v>134723.20000000001</v>
      </c>
      <c r="E37" s="1276">
        <v>24761</v>
      </c>
      <c r="F37" s="1276">
        <v>0</v>
      </c>
      <c r="G37" s="1276">
        <v>335827.4</v>
      </c>
      <c r="H37" s="1276">
        <f t="shared" ref="H37:H68" si="3">SUM(D37:G37)</f>
        <v>495311.60000000003</v>
      </c>
      <c r="I37" s="1277">
        <v>404347.54711377673</v>
      </c>
      <c r="J37" s="1277">
        <v>90964.052886223304</v>
      </c>
      <c r="K37" s="1278">
        <f t="shared" ref="K37:K68" si="4">I37+J37</f>
        <v>495311.60000000003</v>
      </c>
    </row>
    <row r="38" spans="1:11" ht="14.4" x14ac:dyDescent="0.3">
      <c r="A38" s="615" t="s">
        <v>85</v>
      </c>
      <c r="B38" s="616" t="s">
        <v>86</v>
      </c>
      <c r="C38" s="616" t="s">
        <v>254</v>
      </c>
      <c r="D38" s="1287">
        <v>334507.40000000002</v>
      </c>
      <c r="E38" s="1276">
        <v>6863</v>
      </c>
      <c r="F38" s="1276">
        <v>0</v>
      </c>
      <c r="G38" s="1276">
        <v>503608.8</v>
      </c>
      <c r="H38" s="1276">
        <f t="shared" si="3"/>
        <v>844979.19999999995</v>
      </c>
      <c r="I38" s="1277">
        <v>689798.63762964832</v>
      </c>
      <c r="J38" s="1277">
        <v>155180.5623703516</v>
      </c>
      <c r="K38" s="1278">
        <f t="shared" si="4"/>
        <v>844979.19999999995</v>
      </c>
    </row>
    <row r="39" spans="1:11" ht="14.4" x14ac:dyDescent="0.3">
      <c r="A39" s="615" t="s">
        <v>91</v>
      </c>
      <c r="B39" s="616" t="s">
        <v>92</v>
      </c>
      <c r="C39" s="616" t="s">
        <v>255</v>
      </c>
      <c r="D39" s="1287">
        <v>71726.600000000006</v>
      </c>
      <c r="E39" s="1276">
        <v>20022</v>
      </c>
      <c r="F39" s="1276">
        <v>0</v>
      </c>
      <c r="G39" s="1276">
        <v>81914.8</v>
      </c>
      <c r="H39" s="1276">
        <f t="shared" si="3"/>
        <v>173663.40000000002</v>
      </c>
      <c r="I39" s="1277">
        <v>141770.08940117425</v>
      </c>
      <c r="J39" s="1277">
        <v>31893.310598825774</v>
      </c>
      <c r="K39" s="1278">
        <f t="shared" si="4"/>
        <v>173663.40000000002</v>
      </c>
    </row>
    <row r="40" spans="1:11" ht="14.4" x14ac:dyDescent="0.3">
      <c r="A40" s="615" t="s">
        <v>93</v>
      </c>
      <c r="B40" s="616" t="s">
        <v>94</v>
      </c>
      <c r="C40" s="616" t="s">
        <v>251</v>
      </c>
      <c r="D40" s="1287">
        <v>100872.6</v>
      </c>
      <c r="E40" s="1276">
        <v>16317</v>
      </c>
      <c r="F40" s="1276">
        <v>0</v>
      </c>
      <c r="G40" s="1276">
        <v>254821.2</v>
      </c>
      <c r="H40" s="1276">
        <f t="shared" si="3"/>
        <v>372010.80000000005</v>
      </c>
      <c r="I40" s="1277">
        <v>303690.95833780954</v>
      </c>
      <c r="J40" s="1277">
        <v>68319.841662190505</v>
      </c>
      <c r="K40" s="1278">
        <f t="shared" si="4"/>
        <v>372010.80000000005</v>
      </c>
    </row>
    <row r="41" spans="1:11" ht="14.4" x14ac:dyDescent="0.3">
      <c r="A41" s="615" t="s">
        <v>95</v>
      </c>
      <c r="B41" s="616" t="s">
        <v>96</v>
      </c>
      <c r="C41" s="616" t="s">
        <v>253</v>
      </c>
      <c r="D41" s="1287">
        <v>27334</v>
      </c>
      <c r="E41" s="1276">
        <v>0</v>
      </c>
      <c r="F41" s="1276">
        <v>0</v>
      </c>
      <c r="G41" s="1276">
        <v>72532.800000000003</v>
      </c>
      <c r="H41" s="1276">
        <f t="shared" si="3"/>
        <v>99866.8</v>
      </c>
      <c r="I41" s="1277">
        <v>81526.246544805574</v>
      </c>
      <c r="J41" s="1277">
        <v>18340.553455194437</v>
      </c>
      <c r="K41" s="1278">
        <f t="shared" si="4"/>
        <v>99866.800000000017</v>
      </c>
    </row>
    <row r="42" spans="1:11" ht="14.4" x14ac:dyDescent="0.3">
      <c r="A42" s="615" t="s">
        <v>97</v>
      </c>
      <c r="B42" s="616" t="s">
        <v>98</v>
      </c>
      <c r="C42" s="616" t="s">
        <v>255</v>
      </c>
      <c r="D42" s="1287">
        <v>14742</v>
      </c>
      <c r="E42" s="1276">
        <v>0</v>
      </c>
      <c r="F42" s="1276">
        <v>0</v>
      </c>
      <c r="G42" s="1276">
        <v>13482</v>
      </c>
      <c r="H42" s="1276">
        <f t="shared" si="3"/>
        <v>28224</v>
      </c>
      <c r="I42" s="1277">
        <v>23040.657981236931</v>
      </c>
      <c r="J42" s="1277">
        <v>5183.34201876307</v>
      </c>
      <c r="K42" s="1278">
        <f t="shared" si="4"/>
        <v>28224</v>
      </c>
    </row>
    <row r="43" spans="1:11" ht="14.4" x14ac:dyDescent="0.3">
      <c r="A43" s="615" t="s">
        <v>99</v>
      </c>
      <c r="B43" s="616" t="s">
        <v>100</v>
      </c>
      <c r="C43" s="616" t="s">
        <v>254</v>
      </c>
      <c r="D43" s="1287">
        <v>47290.2</v>
      </c>
      <c r="E43" s="1276">
        <v>0</v>
      </c>
      <c r="F43" s="1276">
        <v>0</v>
      </c>
      <c r="G43" s="1276">
        <v>41057</v>
      </c>
      <c r="H43" s="1276">
        <f t="shared" si="3"/>
        <v>88347.199999999997</v>
      </c>
      <c r="I43" s="1277">
        <v>72122.222888319709</v>
      </c>
      <c r="J43" s="1277">
        <v>16224.977111680297</v>
      </c>
      <c r="K43" s="1278">
        <f t="shared" si="4"/>
        <v>88347.200000000012</v>
      </c>
    </row>
    <row r="44" spans="1:11" ht="14.4" x14ac:dyDescent="0.3">
      <c r="A44" s="615" t="s">
        <v>101</v>
      </c>
      <c r="B44" s="616" t="s">
        <v>102</v>
      </c>
      <c r="C44" s="616" t="s">
        <v>251</v>
      </c>
      <c r="D44" s="1287">
        <v>132654</v>
      </c>
      <c r="E44" s="1276">
        <v>0</v>
      </c>
      <c r="F44" s="1276">
        <v>0</v>
      </c>
      <c r="G44" s="1276">
        <v>149285</v>
      </c>
      <c r="H44" s="1276">
        <f t="shared" si="3"/>
        <v>281939</v>
      </c>
      <c r="I44" s="1277">
        <v>230160.85850949402</v>
      </c>
      <c r="J44" s="1277">
        <v>51778.141490505994</v>
      </c>
      <c r="K44" s="1278">
        <f t="shared" si="4"/>
        <v>281939</v>
      </c>
    </row>
    <row r="45" spans="1:11" ht="14.4" x14ac:dyDescent="0.3">
      <c r="A45" s="615" t="s">
        <v>103</v>
      </c>
      <c r="B45" s="616" t="s">
        <v>282</v>
      </c>
      <c r="C45" s="616" t="s">
        <v>252</v>
      </c>
      <c r="D45" s="1287">
        <v>73312</v>
      </c>
      <c r="E45" s="1276">
        <v>0</v>
      </c>
      <c r="F45" s="1276">
        <v>0</v>
      </c>
      <c r="G45" s="1276">
        <v>181956</v>
      </c>
      <c r="H45" s="1276">
        <f t="shared" si="3"/>
        <v>255268</v>
      </c>
      <c r="I45" s="1277">
        <v>208387.99183511865</v>
      </c>
      <c r="J45" s="1277">
        <v>46880.00816488135</v>
      </c>
      <c r="K45" s="1278">
        <f t="shared" si="4"/>
        <v>255268</v>
      </c>
    </row>
    <row r="46" spans="1:11" ht="14.4" x14ac:dyDescent="0.3">
      <c r="A46" s="615" t="s">
        <v>107</v>
      </c>
      <c r="B46" s="616" t="s">
        <v>108</v>
      </c>
      <c r="C46" s="616" t="s">
        <v>253</v>
      </c>
      <c r="D46" s="1287">
        <v>524297.6</v>
      </c>
      <c r="E46" s="1276">
        <v>41035.199999999997</v>
      </c>
      <c r="F46" s="1276">
        <v>0</v>
      </c>
      <c r="G46" s="1276">
        <v>934007.2</v>
      </c>
      <c r="H46" s="1276">
        <f t="shared" si="3"/>
        <v>1499340</v>
      </c>
      <c r="I46" s="1277">
        <v>1223985.9742626057</v>
      </c>
      <c r="J46" s="1277">
        <v>275354.02573739446</v>
      </c>
      <c r="K46" s="1278">
        <f t="shared" si="4"/>
        <v>1499340</v>
      </c>
    </row>
    <row r="47" spans="1:11" ht="14.4" x14ac:dyDescent="0.3">
      <c r="A47" s="615" t="s">
        <v>109</v>
      </c>
      <c r="B47" s="619" t="s">
        <v>110</v>
      </c>
      <c r="C47" s="619" t="s">
        <v>253</v>
      </c>
      <c r="D47" s="1287">
        <v>4192805.1000000006</v>
      </c>
      <c r="E47" s="1276">
        <v>68662.8</v>
      </c>
      <c r="F47" s="1276">
        <v>0</v>
      </c>
      <c r="G47" s="1276">
        <v>4841352.3</v>
      </c>
      <c r="H47" s="1276">
        <f t="shared" si="3"/>
        <v>9102820.1999999993</v>
      </c>
      <c r="I47" s="1277">
        <v>7431085.8451280734</v>
      </c>
      <c r="J47" s="1277">
        <v>1671734.3548719264</v>
      </c>
      <c r="K47" s="1278">
        <f t="shared" si="4"/>
        <v>9102820.1999999993</v>
      </c>
    </row>
    <row r="48" spans="1:11" ht="14.4" x14ac:dyDescent="0.3">
      <c r="A48" s="615" t="s">
        <v>111</v>
      </c>
      <c r="B48" s="619" t="s">
        <v>275</v>
      </c>
      <c r="C48" s="619" t="s">
        <v>252</v>
      </c>
      <c r="D48" s="1287">
        <v>144322.20000000001</v>
      </c>
      <c r="E48" s="1276">
        <v>0</v>
      </c>
      <c r="F48" s="1276">
        <v>0</v>
      </c>
      <c r="G48" s="1276">
        <v>295053</v>
      </c>
      <c r="H48" s="1276">
        <f t="shared" si="3"/>
        <v>439375.2</v>
      </c>
      <c r="I48" s="1277">
        <v>358683.8757312065</v>
      </c>
      <c r="J48" s="1277">
        <v>80691.324268793483</v>
      </c>
      <c r="K48" s="1278">
        <f t="shared" si="4"/>
        <v>439375.19999999995</v>
      </c>
    </row>
    <row r="49" spans="1:11" ht="14.4" x14ac:dyDescent="0.3">
      <c r="A49" s="615" t="s">
        <v>113</v>
      </c>
      <c r="B49" s="619" t="s">
        <v>114</v>
      </c>
      <c r="C49" s="619" t="s">
        <v>252</v>
      </c>
      <c r="D49" s="1287">
        <v>0</v>
      </c>
      <c r="E49" s="1276">
        <v>0</v>
      </c>
      <c r="F49" s="1276">
        <v>0</v>
      </c>
      <c r="G49" s="1276">
        <v>7034</v>
      </c>
      <c r="H49" s="1276">
        <f t="shared" si="3"/>
        <v>7034</v>
      </c>
      <c r="I49" s="1277">
        <v>5742.2047987535634</v>
      </c>
      <c r="J49" s="1277">
        <v>1291.7952012464368</v>
      </c>
      <c r="K49" s="1278">
        <f t="shared" si="4"/>
        <v>7034</v>
      </c>
    </row>
    <row r="50" spans="1:11" ht="14.4" x14ac:dyDescent="0.3">
      <c r="A50" s="615" t="s">
        <v>117</v>
      </c>
      <c r="B50" s="616" t="s">
        <v>118</v>
      </c>
      <c r="C50" s="616" t="s">
        <v>251</v>
      </c>
      <c r="D50" s="1287">
        <v>54977</v>
      </c>
      <c r="E50" s="1276">
        <v>0</v>
      </c>
      <c r="F50" s="1276">
        <v>0</v>
      </c>
      <c r="G50" s="1276">
        <v>74463</v>
      </c>
      <c r="H50" s="1276">
        <f t="shared" si="3"/>
        <v>129440</v>
      </c>
      <c r="I50" s="1277">
        <v>105668.3237348111</v>
      </c>
      <c r="J50" s="1277">
        <v>23771.676265188908</v>
      </c>
      <c r="K50" s="1278">
        <f t="shared" si="4"/>
        <v>129440</v>
      </c>
    </row>
    <row r="51" spans="1:11" ht="14.4" x14ac:dyDescent="0.3">
      <c r="A51" s="615" t="s">
        <v>119</v>
      </c>
      <c r="B51" s="616" t="s">
        <v>120</v>
      </c>
      <c r="C51" s="616" t="s">
        <v>251</v>
      </c>
      <c r="D51" s="1287">
        <v>192090.7</v>
      </c>
      <c r="E51" s="1276">
        <v>28206.799999999999</v>
      </c>
      <c r="F51" s="1276">
        <v>0</v>
      </c>
      <c r="G51" s="1276">
        <v>471350.8</v>
      </c>
      <c r="H51" s="1276">
        <f t="shared" si="3"/>
        <v>691648.3</v>
      </c>
      <c r="I51" s="1277">
        <v>564626.98142020823</v>
      </c>
      <c r="J51" s="1277">
        <v>127021.31857979187</v>
      </c>
      <c r="K51" s="1278">
        <f t="shared" si="4"/>
        <v>691648.3</v>
      </c>
    </row>
    <row r="52" spans="1:11" ht="14.4" x14ac:dyDescent="0.3">
      <c r="A52" s="615" t="s">
        <v>121</v>
      </c>
      <c r="B52" s="616" t="s">
        <v>258</v>
      </c>
      <c r="C52" s="616" t="s">
        <v>253</v>
      </c>
      <c r="D52" s="1287">
        <v>18197.2</v>
      </c>
      <c r="E52" s="1276">
        <v>5443</v>
      </c>
      <c r="F52" s="1276">
        <v>0</v>
      </c>
      <c r="G52" s="1276">
        <v>97058.4</v>
      </c>
      <c r="H52" s="1276">
        <f t="shared" si="3"/>
        <v>120698.59999999999</v>
      </c>
      <c r="I52" s="1277">
        <v>98532.283213368893</v>
      </c>
      <c r="J52" s="1277">
        <v>22166.316786631101</v>
      </c>
      <c r="K52" s="1278">
        <f t="shared" si="4"/>
        <v>120698.59999999999</v>
      </c>
    </row>
    <row r="53" spans="1:11" ht="14.4" x14ac:dyDescent="0.3">
      <c r="A53" s="615" t="s">
        <v>123</v>
      </c>
      <c r="B53" s="616" t="s">
        <v>124</v>
      </c>
      <c r="C53" s="616" t="s">
        <v>254</v>
      </c>
      <c r="D53" s="1287">
        <v>99846</v>
      </c>
      <c r="E53" s="1276">
        <v>12294</v>
      </c>
      <c r="F53" s="1276">
        <v>0</v>
      </c>
      <c r="G53" s="1276">
        <v>394137.8</v>
      </c>
      <c r="H53" s="1276">
        <f t="shared" si="3"/>
        <v>506277.8</v>
      </c>
      <c r="I53" s="1277">
        <v>413299.80276690313</v>
      </c>
      <c r="J53" s="1277">
        <v>92977.997233096859</v>
      </c>
      <c r="K53" s="1278">
        <f t="shared" si="4"/>
        <v>506277.8</v>
      </c>
    </row>
    <row r="54" spans="1:11" ht="14.4" x14ac:dyDescent="0.3">
      <c r="A54" s="615" t="s">
        <v>125</v>
      </c>
      <c r="B54" s="616" t="s">
        <v>126</v>
      </c>
      <c r="C54" s="616" t="s">
        <v>253</v>
      </c>
      <c r="D54" s="1287">
        <v>9228</v>
      </c>
      <c r="E54" s="1276">
        <v>20320</v>
      </c>
      <c r="F54" s="1276">
        <v>0</v>
      </c>
      <c r="G54" s="1276">
        <v>129540</v>
      </c>
      <c r="H54" s="1276">
        <f t="shared" si="3"/>
        <v>159088</v>
      </c>
      <c r="I54" s="1277">
        <v>129871.4638931059</v>
      </c>
      <c r="J54" s="1277">
        <v>29216.536106894106</v>
      </c>
      <c r="K54" s="1278">
        <f t="shared" si="4"/>
        <v>159088</v>
      </c>
    </row>
    <row r="55" spans="1:11" ht="14.4" x14ac:dyDescent="0.3">
      <c r="A55" s="615" t="s">
        <v>127</v>
      </c>
      <c r="B55" s="616" t="s">
        <v>128</v>
      </c>
      <c r="C55" s="616" t="s">
        <v>253</v>
      </c>
      <c r="D55" s="1287">
        <v>1441</v>
      </c>
      <c r="E55" s="1276">
        <v>0</v>
      </c>
      <c r="F55" s="1276">
        <v>0</v>
      </c>
      <c r="G55" s="1276">
        <v>9731</v>
      </c>
      <c r="H55" s="1276">
        <f t="shared" si="3"/>
        <v>11172</v>
      </c>
      <c r="I55" s="1277">
        <v>9120.2604509062858</v>
      </c>
      <c r="J55" s="1277">
        <v>2051.7395490937151</v>
      </c>
      <c r="K55" s="1278">
        <f t="shared" si="4"/>
        <v>11172</v>
      </c>
    </row>
    <row r="56" spans="1:11" ht="14.4" x14ac:dyDescent="0.3">
      <c r="A56" s="615" t="s">
        <v>129</v>
      </c>
      <c r="B56" s="616" t="s">
        <v>130</v>
      </c>
      <c r="C56" s="616" t="s">
        <v>255</v>
      </c>
      <c r="D56" s="1287">
        <v>18147</v>
      </c>
      <c r="E56" s="1276">
        <v>0</v>
      </c>
      <c r="F56" s="1276">
        <v>0</v>
      </c>
      <c r="G56" s="1276">
        <v>2283</v>
      </c>
      <c r="H56" s="1276">
        <f t="shared" si="3"/>
        <v>20430</v>
      </c>
      <c r="I56" s="1277">
        <v>16678.027301469334</v>
      </c>
      <c r="J56" s="1277">
        <v>3751.9726985306661</v>
      </c>
      <c r="K56" s="1278">
        <f t="shared" si="4"/>
        <v>20430</v>
      </c>
    </row>
    <row r="57" spans="1:11" ht="14.4" x14ac:dyDescent="0.3">
      <c r="A57" s="615" t="s">
        <v>131</v>
      </c>
      <c r="B57" s="616" t="s">
        <v>132</v>
      </c>
      <c r="C57" s="616" t="s">
        <v>254</v>
      </c>
      <c r="D57" s="1287">
        <v>1183115.7</v>
      </c>
      <c r="E57" s="1276">
        <v>458583</v>
      </c>
      <c r="F57" s="1276">
        <v>0</v>
      </c>
      <c r="G57" s="1276">
        <v>3168060.08</v>
      </c>
      <c r="H57" s="1276">
        <f t="shared" si="3"/>
        <v>4809758.78</v>
      </c>
      <c r="I57" s="1277">
        <v>3926445.8270348432</v>
      </c>
      <c r="J57" s="1277">
        <v>883312.95296515734</v>
      </c>
      <c r="K57" s="1278">
        <f t="shared" si="4"/>
        <v>4809758.78</v>
      </c>
    </row>
    <row r="58" spans="1:11" ht="14.4" x14ac:dyDescent="0.3">
      <c r="A58" s="615" t="s">
        <v>133</v>
      </c>
      <c r="B58" s="616" t="s">
        <v>134</v>
      </c>
      <c r="C58" s="616" t="s">
        <v>254</v>
      </c>
      <c r="D58" s="1287">
        <v>55739</v>
      </c>
      <c r="E58" s="1276">
        <v>0</v>
      </c>
      <c r="F58" s="1276">
        <v>0</v>
      </c>
      <c r="G58" s="1276">
        <v>69852.399999999994</v>
      </c>
      <c r="H58" s="1276">
        <f t="shared" si="3"/>
        <v>125591.4</v>
      </c>
      <c r="I58" s="1277">
        <v>102526.51972734976</v>
      </c>
      <c r="J58" s="1277">
        <v>23064.880272650233</v>
      </c>
      <c r="K58" s="1278">
        <f t="shared" si="4"/>
        <v>125591.4</v>
      </c>
    </row>
    <row r="59" spans="1:11" ht="14.4" x14ac:dyDescent="0.3">
      <c r="A59" s="615" t="s">
        <v>135</v>
      </c>
      <c r="B59" s="616" t="s">
        <v>136</v>
      </c>
      <c r="C59" s="616" t="s">
        <v>253</v>
      </c>
      <c r="D59" s="1287">
        <v>0</v>
      </c>
      <c r="E59" s="1276">
        <v>0</v>
      </c>
      <c r="F59" s="1276">
        <v>0</v>
      </c>
      <c r="G59" s="1276">
        <v>8965</v>
      </c>
      <c r="H59" s="1276">
        <f t="shared" si="3"/>
        <v>8965</v>
      </c>
      <c r="I59" s="1277">
        <v>7318.5763464352713</v>
      </c>
      <c r="J59" s="1277">
        <v>1646.4236535647294</v>
      </c>
      <c r="K59" s="1278">
        <f t="shared" si="4"/>
        <v>8965</v>
      </c>
    </row>
    <row r="60" spans="1:11" ht="14.4" x14ac:dyDescent="0.3">
      <c r="A60" s="615" t="s">
        <v>139</v>
      </c>
      <c r="B60" s="616" t="s">
        <v>140</v>
      </c>
      <c r="C60" s="616" t="s">
        <v>254</v>
      </c>
      <c r="D60" s="1287">
        <v>44856.2</v>
      </c>
      <c r="E60" s="1276">
        <v>0</v>
      </c>
      <c r="F60" s="1276">
        <v>0</v>
      </c>
      <c r="G60" s="1276">
        <v>32759</v>
      </c>
      <c r="H60" s="1276">
        <f t="shared" si="3"/>
        <v>77615.199999999997</v>
      </c>
      <c r="I60" s="1277">
        <v>63361.156368526805</v>
      </c>
      <c r="J60" s="1277">
        <v>14254.043631473194</v>
      </c>
      <c r="K60" s="1278">
        <f t="shared" si="4"/>
        <v>77615.199999999997</v>
      </c>
    </row>
    <row r="61" spans="1:11" ht="14.4" x14ac:dyDescent="0.3">
      <c r="A61" s="615" t="s">
        <v>145</v>
      </c>
      <c r="B61" s="616" t="s">
        <v>146</v>
      </c>
      <c r="C61" s="616" t="s">
        <v>251</v>
      </c>
      <c r="D61" s="1287">
        <v>19331</v>
      </c>
      <c r="E61" s="1276">
        <v>12794</v>
      </c>
      <c r="F61" s="1276">
        <v>0</v>
      </c>
      <c r="G61" s="1276">
        <v>17592.400000000001</v>
      </c>
      <c r="H61" s="1276">
        <f t="shared" si="3"/>
        <v>49717.4</v>
      </c>
      <c r="I61" s="1277">
        <v>40586.791706219847</v>
      </c>
      <c r="J61" s="1277">
        <v>9130.608293780153</v>
      </c>
      <c r="K61" s="1278">
        <f t="shared" si="4"/>
        <v>49717.4</v>
      </c>
    </row>
    <row r="62" spans="1:11" ht="14.4" x14ac:dyDescent="0.3">
      <c r="A62" s="615" t="s">
        <v>147</v>
      </c>
      <c r="B62" s="616" t="s">
        <v>148</v>
      </c>
      <c r="C62" s="616" t="s">
        <v>252</v>
      </c>
      <c r="D62" s="1287">
        <v>20229</v>
      </c>
      <c r="E62" s="1276">
        <v>0</v>
      </c>
      <c r="F62" s="1276">
        <v>0</v>
      </c>
      <c r="G62" s="1276">
        <v>77498</v>
      </c>
      <c r="H62" s="1276">
        <f t="shared" si="3"/>
        <v>97727</v>
      </c>
      <c r="I62" s="1277">
        <v>79779.421149813686</v>
      </c>
      <c r="J62" s="1277">
        <v>17947.578850186314</v>
      </c>
      <c r="K62" s="1278">
        <f t="shared" si="4"/>
        <v>97727</v>
      </c>
    </row>
    <row r="63" spans="1:11" ht="14.4" x14ac:dyDescent="0.3">
      <c r="A63" s="615" t="s">
        <v>149</v>
      </c>
      <c r="B63" s="616" t="s">
        <v>150</v>
      </c>
      <c r="C63" s="616" t="s">
        <v>253</v>
      </c>
      <c r="D63" s="1287">
        <v>82303.8</v>
      </c>
      <c r="E63" s="1276">
        <v>4172</v>
      </c>
      <c r="F63" s="1276">
        <v>0</v>
      </c>
      <c r="G63" s="1276">
        <v>132740.20000000001</v>
      </c>
      <c r="H63" s="1276">
        <f t="shared" si="3"/>
        <v>219216</v>
      </c>
      <c r="I63" s="1277">
        <v>178956.94727943718</v>
      </c>
      <c r="J63" s="1277">
        <v>40259.052720562824</v>
      </c>
      <c r="K63" s="1278">
        <f t="shared" si="4"/>
        <v>219216</v>
      </c>
    </row>
    <row r="64" spans="1:11" ht="14.4" x14ac:dyDescent="0.3">
      <c r="A64" s="615" t="s">
        <v>151</v>
      </c>
      <c r="B64" s="616" t="s">
        <v>152</v>
      </c>
      <c r="C64" s="616" t="s">
        <v>255</v>
      </c>
      <c r="D64" s="1287">
        <v>523026.1</v>
      </c>
      <c r="E64" s="1276">
        <v>1190</v>
      </c>
      <c r="F64" s="1276">
        <v>0</v>
      </c>
      <c r="G64" s="1276">
        <v>828300.6</v>
      </c>
      <c r="H64" s="1276">
        <f t="shared" si="3"/>
        <v>1352516.7</v>
      </c>
      <c r="I64" s="1277">
        <v>1104126.7962943322</v>
      </c>
      <c r="J64" s="1277">
        <v>248389.9037056677</v>
      </c>
      <c r="K64" s="1278">
        <f t="shared" si="4"/>
        <v>1352516.7</v>
      </c>
    </row>
    <row r="65" spans="1:11" ht="14.4" x14ac:dyDescent="0.3">
      <c r="A65" s="615" t="s">
        <v>153</v>
      </c>
      <c r="B65" s="616" t="s">
        <v>154</v>
      </c>
      <c r="C65" s="616" t="s">
        <v>252</v>
      </c>
      <c r="D65" s="1287">
        <v>22613</v>
      </c>
      <c r="E65" s="1276">
        <v>0</v>
      </c>
      <c r="F65" s="1276">
        <v>0</v>
      </c>
      <c r="G65" s="1276">
        <v>18537.599999999999</v>
      </c>
      <c r="H65" s="1276">
        <f t="shared" si="3"/>
        <v>41150.6</v>
      </c>
      <c r="I65" s="1277">
        <v>33593.285867442195</v>
      </c>
      <c r="J65" s="1277">
        <v>7557.3141325578081</v>
      </c>
      <c r="K65" s="1278">
        <f t="shared" si="4"/>
        <v>41150.600000000006</v>
      </c>
    </row>
    <row r="66" spans="1:11" ht="14.4" x14ac:dyDescent="0.3">
      <c r="A66" s="615" t="s">
        <v>155</v>
      </c>
      <c r="B66" s="616" t="s">
        <v>156</v>
      </c>
      <c r="C66" s="616" t="s">
        <v>253</v>
      </c>
      <c r="D66" s="1287">
        <v>78707.399999999994</v>
      </c>
      <c r="E66" s="1276">
        <v>1169</v>
      </c>
      <c r="F66" s="1276">
        <v>0</v>
      </c>
      <c r="G66" s="1276">
        <v>118741</v>
      </c>
      <c r="H66" s="1276">
        <f t="shared" si="3"/>
        <v>198617.4</v>
      </c>
      <c r="I66" s="1277">
        <v>162141.28339436394</v>
      </c>
      <c r="J66" s="1277">
        <v>36476.11660563606</v>
      </c>
      <c r="K66" s="1278">
        <f t="shared" si="4"/>
        <v>198617.4</v>
      </c>
    </row>
    <row r="67" spans="1:11" ht="14.4" x14ac:dyDescent="0.3">
      <c r="A67" s="615" t="s">
        <v>161</v>
      </c>
      <c r="B67" s="616" t="s">
        <v>162</v>
      </c>
      <c r="C67" s="616" t="s">
        <v>251</v>
      </c>
      <c r="D67" s="1287">
        <v>17777</v>
      </c>
      <c r="E67" s="1276">
        <v>0</v>
      </c>
      <c r="F67" s="1276">
        <v>0</v>
      </c>
      <c r="G67" s="1276">
        <v>144855.5</v>
      </c>
      <c r="H67" s="1276">
        <f t="shared" si="3"/>
        <v>162632.5</v>
      </c>
      <c r="I67" s="1277">
        <v>132765.01591317725</v>
      </c>
      <c r="J67" s="1277">
        <v>29867.484086822737</v>
      </c>
      <c r="K67" s="1278">
        <f t="shared" si="4"/>
        <v>162632.5</v>
      </c>
    </row>
    <row r="68" spans="1:11" ht="14.4" x14ac:dyDescent="0.3">
      <c r="A68" s="615" t="s">
        <v>163</v>
      </c>
      <c r="B68" s="616" t="s">
        <v>164</v>
      </c>
      <c r="C68" s="616" t="s">
        <v>253</v>
      </c>
      <c r="D68" s="1287">
        <v>18833.5</v>
      </c>
      <c r="E68" s="1276">
        <v>0</v>
      </c>
      <c r="F68" s="1276">
        <v>0</v>
      </c>
      <c r="G68" s="1276">
        <v>22498</v>
      </c>
      <c r="H68" s="1276">
        <f t="shared" si="3"/>
        <v>41331.5</v>
      </c>
      <c r="I68" s="1277">
        <v>33740.963554120404</v>
      </c>
      <c r="J68" s="1277">
        <v>7590.5364458795993</v>
      </c>
      <c r="K68" s="1278">
        <f t="shared" si="4"/>
        <v>41331.5</v>
      </c>
    </row>
    <row r="69" spans="1:11" ht="14.4" x14ac:dyDescent="0.3">
      <c r="A69" s="615" t="s">
        <v>167</v>
      </c>
      <c r="B69" s="616" t="s">
        <v>168</v>
      </c>
      <c r="C69" s="616" t="s">
        <v>253</v>
      </c>
      <c r="D69" s="1287">
        <v>28177</v>
      </c>
      <c r="E69" s="1276">
        <v>0</v>
      </c>
      <c r="F69" s="1276">
        <v>0</v>
      </c>
      <c r="G69" s="1276">
        <v>12407</v>
      </c>
      <c r="H69" s="1276">
        <f t="shared" ref="H69:H100" si="5">SUM(D69:G69)</f>
        <v>40584</v>
      </c>
      <c r="I69" s="1277">
        <v>33130.74204614936</v>
      </c>
      <c r="J69" s="1277">
        <v>7453.2579538506388</v>
      </c>
      <c r="K69" s="1278">
        <f t="shared" ref="K69:K100" si="6">I69+J69</f>
        <v>40584</v>
      </c>
    </row>
    <row r="70" spans="1:11" ht="14.4" x14ac:dyDescent="0.3">
      <c r="A70" s="615" t="s">
        <v>169</v>
      </c>
      <c r="B70" s="616" t="s">
        <v>170</v>
      </c>
      <c r="C70" s="616" t="s">
        <v>254</v>
      </c>
      <c r="D70" s="1287">
        <v>149111.29999999999</v>
      </c>
      <c r="E70" s="1276">
        <v>5286</v>
      </c>
      <c r="F70" s="1276">
        <v>0</v>
      </c>
      <c r="G70" s="1276">
        <v>226692.1</v>
      </c>
      <c r="H70" s="1276">
        <f t="shared" si="5"/>
        <v>381089.4</v>
      </c>
      <c r="I70" s="1277">
        <v>311102.27202645951</v>
      </c>
      <c r="J70" s="1277">
        <v>69987.127973540497</v>
      </c>
      <c r="K70" s="1278">
        <f t="shared" si="6"/>
        <v>381089.4</v>
      </c>
    </row>
    <row r="71" spans="1:11" ht="14.4" x14ac:dyDescent="0.3">
      <c r="A71" s="615" t="s">
        <v>171</v>
      </c>
      <c r="B71" s="616" t="s">
        <v>172</v>
      </c>
      <c r="C71" s="616" t="s">
        <v>254</v>
      </c>
      <c r="D71" s="1287">
        <v>4667</v>
      </c>
      <c r="E71" s="1276">
        <v>0</v>
      </c>
      <c r="F71" s="1276">
        <v>0</v>
      </c>
      <c r="G71" s="1276">
        <v>35165</v>
      </c>
      <c r="H71" s="1276">
        <f t="shared" si="5"/>
        <v>39832</v>
      </c>
      <c r="I71" s="1277">
        <v>32516.846963882846</v>
      </c>
      <c r="J71" s="1277">
        <v>7315.1530361171554</v>
      </c>
      <c r="K71" s="1278">
        <f t="shared" si="6"/>
        <v>39832</v>
      </c>
    </row>
    <row r="72" spans="1:11" ht="14.4" x14ac:dyDescent="0.3">
      <c r="A72" s="615" t="s">
        <v>173</v>
      </c>
      <c r="B72" s="616" t="s">
        <v>174</v>
      </c>
      <c r="C72" s="616" t="s">
        <v>255</v>
      </c>
      <c r="D72" s="1287">
        <v>4680</v>
      </c>
      <c r="E72" s="1276">
        <v>0</v>
      </c>
      <c r="F72" s="1276">
        <v>0</v>
      </c>
      <c r="G72" s="1276">
        <v>0</v>
      </c>
      <c r="H72" s="1276">
        <f t="shared" si="5"/>
        <v>4680</v>
      </c>
      <c r="I72" s="1277">
        <v>3820.5172672969402</v>
      </c>
      <c r="J72" s="1277">
        <v>859.48273270306004</v>
      </c>
      <c r="K72" s="1278">
        <f t="shared" si="6"/>
        <v>4680</v>
      </c>
    </row>
    <row r="73" spans="1:11" ht="14.4" x14ac:dyDescent="0.3">
      <c r="A73" s="615" t="s">
        <v>177</v>
      </c>
      <c r="B73" s="616" t="s">
        <v>178</v>
      </c>
      <c r="C73" s="616" t="s">
        <v>252</v>
      </c>
      <c r="D73" s="1287">
        <v>130058.4</v>
      </c>
      <c r="E73" s="1276">
        <v>2593</v>
      </c>
      <c r="F73" s="1276">
        <v>0</v>
      </c>
      <c r="G73" s="1276">
        <v>170831.4</v>
      </c>
      <c r="H73" s="1276">
        <f t="shared" si="5"/>
        <v>303482.8</v>
      </c>
      <c r="I73" s="1277">
        <v>247748.13626658628</v>
      </c>
      <c r="J73" s="1277">
        <v>55734.663733413727</v>
      </c>
      <c r="K73" s="1278">
        <f t="shared" si="6"/>
        <v>303482.8</v>
      </c>
    </row>
    <row r="74" spans="1:11" ht="14.4" x14ac:dyDescent="0.3">
      <c r="A74" s="615" t="s">
        <v>181</v>
      </c>
      <c r="B74" s="616" t="s">
        <v>182</v>
      </c>
      <c r="C74" s="616" t="s">
        <v>253</v>
      </c>
      <c r="D74" s="1287">
        <v>27666</v>
      </c>
      <c r="E74" s="1276">
        <v>146</v>
      </c>
      <c r="F74" s="1276">
        <v>0</v>
      </c>
      <c r="G74" s="1276">
        <v>79252</v>
      </c>
      <c r="H74" s="1276">
        <f t="shared" si="5"/>
        <v>107064</v>
      </c>
      <c r="I74" s="1277">
        <v>87401.679638008456</v>
      </c>
      <c r="J74" s="1277">
        <v>19662.320361991544</v>
      </c>
      <c r="K74" s="1278">
        <f t="shared" si="6"/>
        <v>107064</v>
      </c>
    </row>
    <row r="75" spans="1:11" ht="14.4" x14ac:dyDescent="0.3">
      <c r="A75" s="615" t="s">
        <v>183</v>
      </c>
      <c r="B75" s="616" t="s">
        <v>184</v>
      </c>
      <c r="C75" s="616" t="s">
        <v>253</v>
      </c>
      <c r="D75" s="1287">
        <v>26126</v>
      </c>
      <c r="E75" s="1276">
        <v>0</v>
      </c>
      <c r="F75" s="1276">
        <v>0</v>
      </c>
      <c r="G75" s="1276">
        <v>43369</v>
      </c>
      <c r="H75" s="1276">
        <f t="shared" si="5"/>
        <v>69495</v>
      </c>
      <c r="I75" s="1277">
        <v>56732.232369829238</v>
      </c>
      <c r="J75" s="1277">
        <v>12762.76763017076</v>
      </c>
      <c r="K75" s="1278">
        <f t="shared" si="6"/>
        <v>69495</v>
      </c>
    </row>
    <row r="76" spans="1:11" ht="14.4" x14ac:dyDescent="0.3">
      <c r="A76" s="615" t="s">
        <v>185</v>
      </c>
      <c r="B76" s="616" t="s">
        <v>186</v>
      </c>
      <c r="C76" s="616" t="s">
        <v>251</v>
      </c>
      <c r="D76" s="1287">
        <v>86034.2</v>
      </c>
      <c r="E76" s="1276">
        <v>0</v>
      </c>
      <c r="F76" s="1276">
        <v>0</v>
      </c>
      <c r="G76" s="1276">
        <v>88215.4</v>
      </c>
      <c r="H76" s="1276">
        <f t="shared" si="5"/>
        <v>174249.59999999998</v>
      </c>
      <c r="I76" s="1277">
        <v>142248.63367939845</v>
      </c>
      <c r="J76" s="1277">
        <v>32000.966320601521</v>
      </c>
      <c r="K76" s="1278">
        <f t="shared" si="6"/>
        <v>174249.59999999998</v>
      </c>
    </row>
    <row r="77" spans="1:11" ht="14.4" x14ac:dyDescent="0.3">
      <c r="A77" s="615" t="s">
        <v>187</v>
      </c>
      <c r="B77" s="616" t="s">
        <v>188</v>
      </c>
      <c r="C77" s="616" t="s">
        <v>254</v>
      </c>
      <c r="D77" s="1287">
        <v>3157052.9299999997</v>
      </c>
      <c r="E77" s="1276">
        <v>281756.34999999998</v>
      </c>
      <c r="F77" s="1276">
        <v>0</v>
      </c>
      <c r="G77" s="1276">
        <v>5231887.38</v>
      </c>
      <c r="H77" s="1276">
        <f t="shared" si="5"/>
        <v>8670696.6600000001</v>
      </c>
      <c r="I77" s="1277">
        <v>7078321.8609025441</v>
      </c>
      <c r="J77" s="1277">
        <v>1592374.7990974563</v>
      </c>
      <c r="K77" s="1278">
        <f t="shared" si="6"/>
        <v>8670696.6600000001</v>
      </c>
    </row>
    <row r="78" spans="1:11" ht="14.4" x14ac:dyDescent="0.3">
      <c r="A78" s="615" t="s">
        <v>189</v>
      </c>
      <c r="B78" s="616" t="s">
        <v>190</v>
      </c>
      <c r="C78" s="616" t="s">
        <v>255</v>
      </c>
      <c r="D78" s="1287">
        <v>62951.199999999997</v>
      </c>
      <c r="E78" s="1276">
        <v>0</v>
      </c>
      <c r="F78" s="1276">
        <v>0</v>
      </c>
      <c r="G78" s="1276">
        <v>34996</v>
      </c>
      <c r="H78" s="1276">
        <f t="shared" si="5"/>
        <v>97947.199999999997</v>
      </c>
      <c r="I78" s="1277">
        <v>79959.181385339063</v>
      </c>
      <c r="J78" s="1277">
        <v>17988.01861466093</v>
      </c>
      <c r="K78" s="1278">
        <f t="shared" si="6"/>
        <v>97947.199999999997</v>
      </c>
    </row>
    <row r="79" spans="1:11" ht="14.4" x14ac:dyDescent="0.3">
      <c r="A79" s="615" t="s">
        <v>193</v>
      </c>
      <c r="B79" s="616" t="s">
        <v>194</v>
      </c>
      <c r="C79" s="616" t="s">
        <v>254</v>
      </c>
      <c r="D79" s="1287">
        <v>0</v>
      </c>
      <c r="E79" s="1276">
        <v>0</v>
      </c>
      <c r="F79" s="1276">
        <v>0</v>
      </c>
      <c r="G79" s="1276">
        <v>121908.2</v>
      </c>
      <c r="H79" s="1276">
        <f t="shared" si="5"/>
        <v>121908.2</v>
      </c>
      <c r="I79" s="1277">
        <v>99519.739983993335</v>
      </c>
      <c r="J79" s="1277">
        <v>22388.460016006662</v>
      </c>
      <c r="K79" s="1278">
        <f t="shared" si="6"/>
        <v>121908.2</v>
      </c>
    </row>
    <row r="80" spans="1:11" ht="14.4" x14ac:dyDescent="0.3">
      <c r="A80" s="615" t="s">
        <v>197</v>
      </c>
      <c r="B80" s="616" t="s">
        <v>198</v>
      </c>
      <c r="C80" s="616" t="s">
        <v>253</v>
      </c>
      <c r="D80" s="1287">
        <v>52430</v>
      </c>
      <c r="E80" s="1276">
        <v>0</v>
      </c>
      <c r="F80" s="1276">
        <v>0</v>
      </c>
      <c r="G80" s="1276">
        <v>54685</v>
      </c>
      <c r="H80" s="1276">
        <f t="shared" si="5"/>
        <v>107115</v>
      </c>
      <c r="I80" s="1277">
        <v>87443.313480023877</v>
      </c>
      <c r="J80" s="1277">
        <v>19671.686519976127</v>
      </c>
      <c r="K80" s="1278">
        <f t="shared" si="6"/>
        <v>107115</v>
      </c>
    </row>
    <row r="81" spans="1:11" ht="14.4" x14ac:dyDescent="0.3">
      <c r="A81" s="615" t="s">
        <v>201</v>
      </c>
      <c r="B81" s="616" t="s">
        <v>202</v>
      </c>
      <c r="C81" s="616" t="s">
        <v>252</v>
      </c>
      <c r="D81" s="1287">
        <v>770087.8</v>
      </c>
      <c r="E81" s="1276">
        <v>10048.92</v>
      </c>
      <c r="F81" s="1276">
        <v>0</v>
      </c>
      <c r="G81" s="1276">
        <v>1220199.92</v>
      </c>
      <c r="H81" s="1276">
        <f t="shared" si="5"/>
        <v>2000336.6400000001</v>
      </c>
      <c r="I81" s="1277">
        <v>1632974.5028903298</v>
      </c>
      <c r="J81" s="1277">
        <v>367362.13710967038</v>
      </c>
      <c r="K81" s="1278">
        <f t="shared" si="6"/>
        <v>2000336.6400000001</v>
      </c>
    </row>
    <row r="82" spans="1:11" ht="14.4" x14ac:dyDescent="0.3">
      <c r="A82" s="615" t="s">
        <v>203</v>
      </c>
      <c r="B82" s="619" t="s">
        <v>204</v>
      </c>
      <c r="C82" s="619" t="s">
        <v>252</v>
      </c>
      <c r="D82" s="1287">
        <v>63331.8</v>
      </c>
      <c r="E82" s="1276">
        <v>6588</v>
      </c>
      <c r="F82" s="1276">
        <v>0</v>
      </c>
      <c r="G82" s="1276">
        <v>55494.599999999991</v>
      </c>
      <c r="H82" s="1276">
        <f t="shared" si="5"/>
        <v>125414.39999999999</v>
      </c>
      <c r="I82" s="1277">
        <v>102382.02580506097</v>
      </c>
      <c r="J82" s="1277">
        <v>23032.374194939031</v>
      </c>
      <c r="K82" s="1278">
        <f t="shared" si="6"/>
        <v>125414.39999999999</v>
      </c>
    </row>
    <row r="83" spans="1:11" ht="14.4" x14ac:dyDescent="0.3">
      <c r="A83" s="615" t="s">
        <v>205</v>
      </c>
      <c r="B83" s="619" t="s">
        <v>206</v>
      </c>
      <c r="C83" s="619" t="s">
        <v>254</v>
      </c>
      <c r="D83" s="1287">
        <v>472109.8</v>
      </c>
      <c r="E83" s="1276">
        <v>31672</v>
      </c>
      <c r="F83" s="1276">
        <v>0</v>
      </c>
      <c r="G83" s="1276">
        <v>572896</v>
      </c>
      <c r="H83" s="1276">
        <f t="shared" si="5"/>
        <v>1076677.8</v>
      </c>
      <c r="I83" s="1277">
        <v>878945.7534648038</v>
      </c>
      <c r="J83" s="1277">
        <v>197732.04653519631</v>
      </c>
      <c r="K83" s="1278">
        <f t="shared" si="6"/>
        <v>1076677.8</v>
      </c>
    </row>
    <row r="84" spans="1:11" ht="14.4" x14ac:dyDescent="0.3">
      <c r="A84" s="615" t="s">
        <v>207</v>
      </c>
      <c r="B84" s="616" t="s">
        <v>208</v>
      </c>
      <c r="C84" s="616" t="s">
        <v>255</v>
      </c>
      <c r="D84" s="1287">
        <v>19933</v>
      </c>
      <c r="E84" s="1276">
        <v>0</v>
      </c>
      <c r="F84" s="1276">
        <v>0</v>
      </c>
      <c r="G84" s="1276">
        <v>58610</v>
      </c>
      <c r="H84" s="1276">
        <f t="shared" si="5"/>
        <v>78543</v>
      </c>
      <c r="I84" s="1277">
        <v>64118.565753269992</v>
      </c>
      <c r="J84" s="1277">
        <v>14424.43424673001</v>
      </c>
      <c r="K84" s="1278">
        <f t="shared" si="6"/>
        <v>78543</v>
      </c>
    </row>
    <row r="85" spans="1:11" ht="14.4" x14ac:dyDescent="0.3">
      <c r="A85" s="615" t="s">
        <v>209</v>
      </c>
      <c r="B85" s="616" t="s">
        <v>210</v>
      </c>
      <c r="C85" s="616" t="s">
        <v>255</v>
      </c>
      <c r="D85" s="1287">
        <v>625</v>
      </c>
      <c r="E85" s="1276">
        <v>0</v>
      </c>
      <c r="F85" s="1276">
        <v>0</v>
      </c>
      <c r="G85" s="1276">
        <v>0</v>
      </c>
      <c r="H85" s="1276">
        <f t="shared" si="5"/>
        <v>625</v>
      </c>
      <c r="I85" s="1277">
        <v>510.21865214969819</v>
      </c>
      <c r="J85" s="1277">
        <v>114.78134785030183</v>
      </c>
      <c r="K85" s="1278">
        <f t="shared" si="6"/>
        <v>625</v>
      </c>
    </row>
    <row r="86" spans="1:11" ht="14.4" x14ac:dyDescent="0.3">
      <c r="A86" s="615" t="s">
        <v>211</v>
      </c>
      <c r="B86" s="616" t="s">
        <v>212</v>
      </c>
      <c r="C86" s="616" t="s">
        <v>254</v>
      </c>
      <c r="D86" s="1287">
        <v>114202.6</v>
      </c>
      <c r="E86" s="1276">
        <v>0</v>
      </c>
      <c r="F86" s="1276">
        <v>0</v>
      </c>
      <c r="G86" s="1276">
        <v>175086</v>
      </c>
      <c r="H86" s="1276">
        <f t="shared" si="5"/>
        <v>289288.59999999998</v>
      </c>
      <c r="I86" s="1277">
        <v>236160.70331883707</v>
      </c>
      <c r="J86" s="1277">
        <v>53127.896681162914</v>
      </c>
      <c r="K86" s="1278">
        <f t="shared" si="6"/>
        <v>289288.59999999998</v>
      </c>
    </row>
    <row r="87" spans="1:11" ht="14.4" x14ac:dyDescent="0.3">
      <c r="A87" s="615" t="s">
        <v>213</v>
      </c>
      <c r="B87" s="616" t="s">
        <v>214</v>
      </c>
      <c r="C87" s="616" t="s">
        <v>255</v>
      </c>
      <c r="D87" s="1287">
        <v>65047.8</v>
      </c>
      <c r="E87" s="1276">
        <v>0</v>
      </c>
      <c r="F87" s="1276">
        <v>0</v>
      </c>
      <c r="G87" s="1276">
        <v>65326</v>
      </c>
      <c r="H87" s="1276">
        <f t="shared" si="5"/>
        <v>130373.8</v>
      </c>
      <c r="I87" s="1277">
        <v>106430.63121861492</v>
      </c>
      <c r="J87" s="1277">
        <v>23943.168781385088</v>
      </c>
      <c r="K87" s="1278">
        <f t="shared" si="6"/>
        <v>130373.8</v>
      </c>
    </row>
    <row r="88" spans="1:11" ht="14.4" x14ac:dyDescent="0.3">
      <c r="A88" s="615" t="s">
        <v>215</v>
      </c>
      <c r="B88" s="616" t="s">
        <v>216</v>
      </c>
      <c r="C88" s="616" t="s">
        <v>251</v>
      </c>
      <c r="D88" s="1287">
        <v>34275</v>
      </c>
      <c r="E88" s="1276">
        <v>844</v>
      </c>
      <c r="F88" s="1276">
        <v>0</v>
      </c>
      <c r="G88" s="1276">
        <v>24939</v>
      </c>
      <c r="H88" s="1276">
        <f t="shared" si="5"/>
        <v>60058</v>
      </c>
      <c r="I88" s="1277">
        <v>49028.338897290516</v>
      </c>
      <c r="J88" s="1277">
        <v>11029.661102709482</v>
      </c>
      <c r="K88" s="1278">
        <f t="shared" si="6"/>
        <v>60058</v>
      </c>
    </row>
    <row r="89" spans="1:11" ht="14.4" x14ac:dyDescent="0.3">
      <c r="A89" s="615" t="s">
        <v>217</v>
      </c>
      <c r="B89" s="616" t="s">
        <v>218</v>
      </c>
      <c r="C89" s="616" t="s">
        <v>254</v>
      </c>
      <c r="D89" s="1287">
        <v>1113053.2</v>
      </c>
      <c r="E89" s="1276">
        <v>30275.8</v>
      </c>
      <c r="F89" s="1276">
        <v>0</v>
      </c>
      <c r="G89" s="1276">
        <v>968278.4</v>
      </c>
      <c r="H89" s="1276">
        <f t="shared" si="5"/>
        <v>2111607.4</v>
      </c>
      <c r="I89" s="1277">
        <v>1723810.3703957256</v>
      </c>
      <c r="J89" s="1277">
        <v>387797.02960427426</v>
      </c>
      <c r="K89" s="1278">
        <f t="shared" si="6"/>
        <v>2111607.4</v>
      </c>
    </row>
    <row r="90" spans="1:11" ht="14.4" x14ac:dyDescent="0.3">
      <c r="A90" s="615" t="s">
        <v>219</v>
      </c>
      <c r="B90" s="616" t="s">
        <v>220</v>
      </c>
      <c r="C90" s="616" t="s">
        <v>254</v>
      </c>
      <c r="D90" s="1287">
        <v>1150940.04</v>
      </c>
      <c r="E90" s="1276">
        <v>159888.79999999999</v>
      </c>
      <c r="F90" s="1276">
        <v>0</v>
      </c>
      <c r="G90" s="1276">
        <v>1504348.44</v>
      </c>
      <c r="H90" s="1276">
        <f t="shared" si="5"/>
        <v>2815177.2800000003</v>
      </c>
      <c r="I90" s="1277">
        <v>2298169.531782486</v>
      </c>
      <c r="J90" s="1277">
        <v>517007.74821751448</v>
      </c>
      <c r="K90" s="1278">
        <f t="shared" si="6"/>
        <v>2815177.2800000003</v>
      </c>
    </row>
    <row r="91" spans="1:11" ht="14.4" x14ac:dyDescent="0.3">
      <c r="A91" s="615" t="s">
        <v>223</v>
      </c>
      <c r="B91" s="616" t="s">
        <v>224</v>
      </c>
      <c r="C91" s="616" t="s">
        <v>251</v>
      </c>
      <c r="D91" s="1287">
        <v>14909.4</v>
      </c>
      <c r="E91" s="1276">
        <v>0</v>
      </c>
      <c r="F91" s="1276">
        <v>0</v>
      </c>
      <c r="G91" s="1276">
        <v>14937</v>
      </c>
      <c r="H91" s="1276">
        <f t="shared" si="5"/>
        <v>29846.400000000001</v>
      </c>
      <c r="I91" s="1277">
        <v>24365.103967233204</v>
      </c>
      <c r="J91" s="1277">
        <v>5481.2960327667979</v>
      </c>
      <c r="K91" s="1278">
        <f t="shared" si="6"/>
        <v>29846.400000000001</v>
      </c>
    </row>
    <row r="92" spans="1:11" ht="14.4" x14ac:dyDescent="0.3">
      <c r="A92" s="615" t="s">
        <v>225</v>
      </c>
      <c r="B92" s="616" t="s">
        <v>226</v>
      </c>
      <c r="C92" s="616" t="s">
        <v>251</v>
      </c>
      <c r="D92" s="1287">
        <v>11253.2</v>
      </c>
      <c r="E92" s="1276">
        <v>0</v>
      </c>
      <c r="F92" s="1276">
        <v>0</v>
      </c>
      <c r="G92" s="1276">
        <v>19564</v>
      </c>
      <c r="H92" s="1276">
        <f t="shared" si="5"/>
        <v>30817.200000000001</v>
      </c>
      <c r="I92" s="1277">
        <v>25157.616395244288</v>
      </c>
      <c r="J92" s="1277">
        <v>5659.5836047557141</v>
      </c>
      <c r="K92" s="1278">
        <f t="shared" si="6"/>
        <v>30817.200000000001</v>
      </c>
    </row>
    <row r="93" spans="1:11" ht="14.4" x14ac:dyDescent="0.3">
      <c r="A93" s="615" t="s">
        <v>227</v>
      </c>
      <c r="B93" s="616" t="s">
        <v>228</v>
      </c>
      <c r="C93" s="616" t="s">
        <v>255</v>
      </c>
      <c r="D93" s="1287">
        <v>49307</v>
      </c>
      <c r="E93" s="1276">
        <v>4255.6000000000004</v>
      </c>
      <c r="F93" s="1276">
        <v>0</v>
      </c>
      <c r="G93" s="1276">
        <v>100019.4</v>
      </c>
      <c r="H93" s="1276">
        <f t="shared" si="5"/>
        <v>153582</v>
      </c>
      <c r="I93" s="1277">
        <v>125376.64165512791</v>
      </c>
      <c r="J93" s="1277">
        <v>28205.358344872089</v>
      </c>
      <c r="K93" s="1278">
        <f t="shared" si="6"/>
        <v>153582</v>
      </c>
    </row>
    <row r="94" spans="1:11" ht="14.4" x14ac:dyDescent="0.3">
      <c r="A94" s="615" t="s">
        <v>231</v>
      </c>
      <c r="B94" s="616" t="s">
        <v>232</v>
      </c>
      <c r="C94" s="616" t="s">
        <v>254</v>
      </c>
      <c r="D94" s="1287">
        <v>251334</v>
      </c>
      <c r="E94" s="1276">
        <v>0</v>
      </c>
      <c r="F94" s="1276">
        <v>0</v>
      </c>
      <c r="G94" s="1276">
        <v>414796</v>
      </c>
      <c r="H94" s="1276">
        <f t="shared" si="5"/>
        <v>666130</v>
      </c>
      <c r="I94" s="1277">
        <v>543795.12121036556</v>
      </c>
      <c r="J94" s="1277">
        <v>122334.87878963449</v>
      </c>
      <c r="K94" s="1278">
        <f t="shared" si="6"/>
        <v>666130</v>
      </c>
    </row>
    <row r="95" spans="1:11" ht="14.4" x14ac:dyDescent="0.3">
      <c r="A95" s="615" t="s">
        <v>233</v>
      </c>
      <c r="B95" s="616" t="s">
        <v>234</v>
      </c>
      <c r="C95" s="616" t="s">
        <v>255</v>
      </c>
      <c r="D95" s="1287">
        <v>22928.199999999997</v>
      </c>
      <c r="E95" s="1276">
        <v>0</v>
      </c>
      <c r="F95" s="1276">
        <v>0</v>
      </c>
      <c r="G95" s="1276">
        <v>83664.800000000003</v>
      </c>
      <c r="H95" s="1276">
        <f t="shared" si="5"/>
        <v>106593</v>
      </c>
      <c r="I95" s="1277">
        <v>87017.178861748442</v>
      </c>
      <c r="J95" s="1277">
        <v>19575.821138251555</v>
      </c>
      <c r="K95" s="1278">
        <f t="shared" si="6"/>
        <v>106593</v>
      </c>
    </row>
    <row r="96" spans="1:11" ht="14.4" x14ac:dyDescent="0.3">
      <c r="A96" s="615" t="s">
        <v>235</v>
      </c>
      <c r="B96" s="616" t="s">
        <v>236</v>
      </c>
      <c r="C96" s="616" t="s">
        <v>253</v>
      </c>
      <c r="D96" s="1287">
        <v>101629</v>
      </c>
      <c r="E96" s="1276">
        <v>0</v>
      </c>
      <c r="F96" s="1276">
        <v>0</v>
      </c>
      <c r="G96" s="1276">
        <v>170524</v>
      </c>
      <c r="H96" s="1276">
        <f t="shared" si="5"/>
        <v>272153</v>
      </c>
      <c r="I96" s="1277">
        <v>222172.05894159491</v>
      </c>
      <c r="J96" s="1277">
        <v>49980.941058405107</v>
      </c>
      <c r="K96" s="1278">
        <f t="shared" si="6"/>
        <v>272153</v>
      </c>
    </row>
    <row r="97" spans="1:11" ht="14.4" x14ac:dyDescent="0.3">
      <c r="A97" s="615" t="s">
        <v>241</v>
      </c>
      <c r="B97" s="616" t="s">
        <v>242</v>
      </c>
      <c r="C97" s="616" t="s">
        <v>255</v>
      </c>
      <c r="D97" s="1287">
        <v>68847</v>
      </c>
      <c r="E97" s="1276">
        <v>0</v>
      </c>
      <c r="F97" s="1276">
        <v>0</v>
      </c>
      <c r="G97" s="1276">
        <v>50425</v>
      </c>
      <c r="H97" s="1276">
        <f t="shared" si="5"/>
        <v>119272</v>
      </c>
      <c r="I97" s="1277">
        <v>97367.678526718082</v>
      </c>
      <c r="J97" s="1277">
        <v>21904.321473281918</v>
      </c>
      <c r="K97" s="1278">
        <f t="shared" si="6"/>
        <v>119272</v>
      </c>
    </row>
    <row r="98" spans="1:11" ht="14.4" x14ac:dyDescent="0.3">
      <c r="A98" s="615" t="s">
        <v>243</v>
      </c>
      <c r="B98" s="616" t="s">
        <v>244</v>
      </c>
      <c r="C98" s="616" t="s">
        <v>255</v>
      </c>
      <c r="D98" s="1287">
        <v>118748</v>
      </c>
      <c r="E98" s="1276">
        <v>0</v>
      </c>
      <c r="F98" s="1276">
        <v>0</v>
      </c>
      <c r="G98" s="1276">
        <v>102524.2</v>
      </c>
      <c r="H98" s="1276">
        <f t="shared" si="5"/>
        <v>221272.2</v>
      </c>
      <c r="I98" s="1277">
        <v>180635.52582751753</v>
      </c>
      <c r="J98" s="1277">
        <v>40636.67417248249</v>
      </c>
      <c r="K98" s="1278">
        <f t="shared" si="6"/>
        <v>221272.2</v>
      </c>
    </row>
    <row r="99" spans="1:11" ht="14.4" x14ac:dyDescent="0.3">
      <c r="A99" s="615" t="s">
        <v>245</v>
      </c>
      <c r="B99" s="616" t="s">
        <v>283</v>
      </c>
      <c r="C99" s="616" t="s">
        <v>251</v>
      </c>
      <c r="D99" s="1287">
        <v>103306.70000000001</v>
      </c>
      <c r="E99" s="1276">
        <v>23108.400000000001</v>
      </c>
      <c r="F99" s="1276">
        <v>0</v>
      </c>
      <c r="G99" s="1276">
        <v>334835.20000000001</v>
      </c>
      <c r="H99" s="1276">
        <f t="shared" si="5"/>
        <v>461250.30000000005</v>
      </c>
      <c r="I99" s="1277">
        <v>376541.61019143031</v>
      </c>
      <c r="J99" s="1277">
        <v>84708.689808569718</v>
      </c>
      <c r="K99" s="1278">
        <f t="shared" si="6"/>
        <v>461250.30000000005</v>
      </c>
    </row>
    <row r="100" spans="1:11" ht="14.4" x14ac:dyDescent="0.3">
      <c r="A100" s="615" t="s">
        <v>13</v>
      </c>
      <c r="B100" s="616" t="s">
        <v>14</v>
      </c>
      <c r="C100" s="616" t="s">
        <v>254</v>
      </c>
      <c r="D100" s="1287">
        <v>1707136.25</v>
      </c>
      <c r="E100" s="1276">
        <v>111135.25</v>
      </c>
      <c r="F100" s="1276">
        <v>0</v>
      </c>
      <c r="G100" s="1276">
        <v>3497519.05</v>
      </c>
      <c r="H100" s="1276">
        <f t="shared" si="5"/>
        <v>5315790.55</v>
      </c>
      <c r="I100" s="1277">
        <v>4339544.7832497647</v>
      </c>
      <c r="J100" s="1277">
        <v>976245.76675023558</v>
      </c>
      <c r="K100" s="1278">
        <f t="shared" si="6"/>
        <v>5315790.5500000007</v>
      </c>
    </row>
    <row r="101" spans="1:11" ht="14.4" x14ac:dyDescent="0.3">
      <c r="A101" s="615" t="s">
        <v>33</v>
      </c>
      <c r="B101" s="616" t="s">
        <v>34</v>
      </c>
      <c r="C101" s="616" t="s">
        <v>255</v>
      </c>
      <c r="D101" s="1287">
        <v>254524.79999999999</v>
      </c>
      <c r="E101" s="1276">
        <v>330</v>
      </c>
      <c r="F101" s="1276">
        <v>0</v>
      </c>
      <c r="G101" s="1276">
        <v>218357.6</v>
      </c>
      <c r="H101" s="1276">
        <f t="shared" ref="H101:H124" si="7">SUM(D101:G101)</f>
        <v>473212.4</v>
      </c>
      <c r="I101" s="1277">
        <v>386306.86865363817</v>
      </c>
      <c r="J101" s="1277">
        <v>86905.531346361866</v>
      </c>
      <c r="K101" s="1278">
        <f t="shared" ref="K101:K124" si="8">I101+J101</f>
        <v>473212.4</v>
      </c>
    </row>
    <row r="102" spans="1:11" ht="14.4" x14ac:dyDescent="0.3">
      <c r="A102" s="615" t="s">
        <v>51</v>
      </c>
      <c r="B102" s="616" t="s">
        <v>52</v>
      </c>
      <c r="C102" s="616" t="s">
        <v>252</v>
      </c>
      <c r="D102" s="1287">
        <v>443739.80000000005</v>
      </c>
      <c r="E102" s="1276">
        <v>1095</v>
      </c>
      <c r="F102" s="1276">
        <v>0</v>
      </c>
      <c r="G102" s="1276">
        <v>330166.40000000002</v>
      </c>
      <c r="H102" s="1276">
        <f t="shared" si="7"/>
        <v>775001.20000000007</v>
      </c>
      <c r="I102" s="1277">
        <v>632672.10828543792</v>
      </c>
      <c r="J102" s="1277">
        <v>142329.09171456215</v>
      </c>
      <c r="K102" s="1278">
        <f t="shared" si="8"/>
        <v>775001.20000000007</v>
      </c>
    </row>
    <row r="103" spans="1:11" ht="14.4" x14ac:dyDescent="0.3">
      <c r="A103" s="615" t="s">
        <v>53</v>
      </c>
      <c r="B103" s="616" t="s">
        <v>54</v>
      </c>
      <c r="C103" s="616" t="s">
        <v>251</v>
      </c>
      <c r="D103" s="1287">
        <v>1878481.6500000001</v>
      </c>
      <c r="E103" s="1276">
        <v>6513</v>
      </c>
      <c r="F103" s="1276">
        <v>0</v>
      </c>
      <c r="G103" s="1276">
        <v>4156652.26</v>
      </c>
      <c r="H103" s="1276">
        <f t="shared" si="7"/>
        <v>6041646.9100000001</v>
      </c>
      <c r="I103" s="1277">
        <v>4932097.5090953428</v>
      </c>
      <c r="J103" s="1277">
        <v>1109549.4009046578</v>
      </c>
      <c r="K103" s="1278">
        <f t="shared" si="8"/>
        <v>6041646.9100000001</v>
      </c>
    </row>
    <row r="104" spans="1:11" ht="14.4" x14ac:dyDescent="0.3">
      <c r="A104" s="615" t="s">
        <v>65</v>
      </c>
      <c r="B104" s="616" t="s">
        <v>66</v>
      </c>
      <c r="C104" s="616" t="s">
        <v>252</v>
      </c>
      <c r="D104" s="1287">
        <v>331243.59999999998</v>
      </c>
      <c r="E104" s="1276">
        <v>22150</v>
      </c>
      <c r="F104" s="1276">
        <v>0</v>
      </c>
      <c r="G104" s="1276">
        <v>452919.4</v>
      </c>
      <c r="H104" s="1276">
        <f t="shared" si="7"/>
        <v>806313</v>
      </c>
      <c r="I104" s="1277">
        <v>658233.49131324736</v>
      </c>
      <c r="J104" s="1277">
        <v>148079.50868675267</v>
      </c>
      <c r="K104" s="1278">
        <f t="shared" si="8"/>
        <v>806313</v>
      </c>
    </row>
    <row r="105" spans="1:11" ht="14.4" x14ac:dyDescent="0.3">
      <c r="A105" s="615" t="s">
        <v>81</v>
      </c>
      <c r="B105" s="616" t="s">
        <v>284</v>
      </c>
      <c r="C105" s="616" t="s">
        <v>251</v>
      </c>
      <c r="D105" s="1287">
        <v>70055</v>
      </c>
      <c r="E105" s="1276">
        <v>0</v>
      </c>
      <c r="F105" s="1276">
        <v>0</v>
      </c>
      <c r="G105" s="1276">
        <v>227093</v>
      </c>
      <c r="H105" s="1276">
        <f t="shared" si="7"/>
        <v>297148</v>
      </c>
      <c r="I105" s="1277">
        <v>242576.72327836562</v>
      </c>
      <c r="J105" s="1277">
        <v>54571.276721634378</v>
      </c>
      <c r="K105" s="1278">
        <f t="shared" si="8"/>
        <v>297148</v>
      </c>
    </row>
    <row r="106" spans="1:11" ht="14.4" x14ac:dyDescent="0.3">
      <c r="A106" s="615" t="s">
        <v>87</v>
      </c>
      <c r="B106" s="616" t="s">
        <v>88</v>
      </c>
      <c r="C106" s="616" t="s">
        <v>254</v>
      </c>
      <c r="D106" s="1287">
        <v>590039.19999999995</v>
      </c>
      <c r="E106" s="1276">
        <v>159947</v>
      </c>
      <c r="F106" s="1276">
        <v>0</v>
      </c>
      <c r="G106" s="1276">
        <v>517642.28</v>
      </c>
      <c r="H106" s="1276">
        <f t="shared" si="7"/>
        <v>1267628.48</v>
      </c>
      <c r="I106" s="1277">
        <v>1034828.311187473</v>
      </c>
      <c r="J106" s="1277">
        <v>232800.168812527</v>
      </c>
      <c r="K106" s="1278">
        <f t="shared" si="8"/>
        <v>1267628.48</v>
      </c>
    </row>
    <row r="107" spans="1:11" ht="14.4" x14ac:dyDescent="0.3">
      <c r="A107" s="615" t="s">
        <v>89</v>
      </c>
      <c r="B107" s="616" t="s">
        <v>90</v>
      </c>
      <c r="C107" s="616" t="s">
        <v>255</v>
      </c>
      <c r="D107" s="1287">
        <v>0</v>
      </c>
      <c r="E107" s="1276">
        <v>0</v>
      </c>
      <c r="F107" s="1276">
        <v>0</v>
      </c>
      <c r="G107" s="1276">
        <v>36594</v>
      </c>
      <c r="H107" s="1276">
        <f t="shared" si="7"/>
        <v>36594</v>
      </c>
      <c r="I107" s="1277">
        <v>29873.506170825691</v>
      </c>
      <c r="J107" s="1277">
        <v>6720.4938291743119</v>
      </c>
      <c r="K107" s="1278">
        <f t="shared" si="8"/>
        <v>36594</v>
      </c>
    </row>
    <row r="108" spans="1:11" ht="14.4" x14ac:dyDescent="0.3">
      <c r="A108" s="615" t="s">
        <v>105</v>
      </c>
      <c r="B108" s="616" t="s">
        <v>106</v>
      </c>
      <c r="C108" s="616" t="s">
        <v>251</v>
      </c>
      <c r="D108" s="1287">
        <v>1647922</v>
      </c>
      <c r="E108" s="1276">
        <v>17003</v>
      </c>
      <c r="F108" s="1276">
        <v>0</v>
      </c>
      <c r="G108" s="1276">
        <v>1600658.15</v>
      </c>
      <c r="H108" s="1276">
        <f t="shared" si="7"/>
        <v>3265583.15</v>
      </c>
      <c r="I108" s="1277">
        <v>2665858.2932412252</v>
      </c>
      <c r="J108" s="1277">
        <v>599724.85675877496</v>
      </c>
      <c r="K108" s="1278">
        <f t="shared" si="8"/>
        <v>3265583.1500000004</v>
      </c>
    </row>
    <row r="109" spans="1:11" ht="14.4" x14ac:dyDescent="0.3">
      <c r="A109" s="615" t="s">
        <v>115</v>
      </c>
      <c r="B109" s="616" t="s">
        <v>116</v>
      </c>
      <c r="C109" s="616" t="s">
        <v>253</v>
      </c>
      <c r="D109" s="1287">
        <v>431478.8</v>
      </c>
      <c r="E109" s="1276">
        <v>16883</v>
      </c>
      <c r="F109" s="1276">
        <v>0</v>
      </c>
      <c r="G109" s="1276">
        <v>390514.6</v>
      </c>
      <c r="H109" s="1276">
        <f t="shared" si="7"/>
        <v>838876.39999999991</v>
      </c>
      <c r="I109" s="1277">
        <v>684816.61780510563</v>
      </c>
      <c r="J109" s="1277">
        <v>154059.78219489427</v>
      </c>
      <c r="K109" s="1278">
        <f t="shared" si="8"/>
        <v>838876.39999999991</v>
      </c>
    </row>
    <row r="110" spans="1:11" ht="14.4" x14ac:dyDescent="0.3">
      <c r="A110" s="615" t="s">
        <v>137</v>
      </c>
      <c r="B110" s="616" t="s">
        <v>138</v>
      </c>
      <c r="C110" s="616" t="s">
        <v>252</v>
      </c>
      <c r="D110" s="1287">
        <v>442645.1</v>
      </c>
      <c r="E110" s="1276">
        <v>44817</v>
      </c>
      <c r="F110" s="1276">
        <v>0</v>
      </c>
      <c r="G110" s="1276">
        <v>913623.2</v>
      </c>
      <c r="H110" s="1276">
        <f t="shared" si="7"/>
        <v>1401085.2999999998</v>
      </c>
      <c r="I110" s="1277">
        <v>1143775.7653004087</v>
      </c>
      <c r="J110" s="1277">
        <v>257309.53469959114</v>
      </c>
      <c r="K110" s="1278">
        <f t="shared" si="8"/>
        <v>1401085.2999999998</v>
      </c>
    </row>
    <row r="111" spans="1:11" ht="14.4" x14ac:dyDescent="0.3">
      <c r="A111" s="615" t="s">
        <v>141</v>
      </c>
      <c r="B111" s="616" t="s">
        <v>142</v>
      </c>
      <c r="C111" s="616" t="s">
        <v>254</v>
      </c>
      <c r="D111" s="1287">
        <v>174816.25</v>
      </c>
      <c r="E111" s="1276">
        <v>29223.4</v>
      </c>
      <c r="F111" s="1276">
        <v>0</v>
      </c>
      <c r="G111" s="1276">
        <v>1205585.75</v>
      </c>
      <c r="H111" s="1276">
        <f t="shared" si="7"/>
        <v>1409625.4</v>
      </c>
      <c r="I111" s="1277">
        <v>1150747.4745983665</v>
      </c>
      <c r="J111" s="1277">
        <v>258877.92540163334</v>
      </c>
      <c r="K111" s="1278">
        <f t="shared" si="8"/>
        <v>1409625.4</v>
      </c>
    </row>
    <row r="112" spans="1:11" ht="14.4" x14ac:dyDescent="0.3">
      <c r="A112" s="615" t="s">
        <v>143</v>
      </c>
      <c r="B112" s="616" t="s">
        <v>144</v>
      </c>
      <c r="C112" s="616" t="s">
        <v>254</v>
      </c>
      <c r="D112" s="1287">
        <v>41912.800000000003</v>
      </c>
      <c r="E112" s="1276">
        <v>0</v>
      </c>
      <c r="F112" s="1276">
        <v>0</v>
      </c>
      <c r="G112" s="1276">
        <v>350609.2</v>
      </c>
      <c r="H112" s="1276">
        <f t="shared" si="7"/>
        <v>392522</v>
      </c>
      <c r="I112" s="1277">
        <v>320435.27324656612</v>
      </c>
      <c r="J112" s="1277">
        <v>72086.726753433875</v>
      </c>
      <c r="K112" s="1278">
        <f t="shared" si="8"/>
        <v>392522</v>
      </c>
    </row>
    <row r="113" spans="1:11" ht="14.4" x14ac:dyDescent="0.3">
      <c r="A113" s="615" t="s">
        <v>157</v>
      </c>
      <c r="B113" s="616" t="s">
        <v>158</v>
      </c>
      <c r="C113" s="616" t="s">
        <v>251</v>
      </c>
      <c r="D113" s="1287">
        <v>2851558.4000000004</v>
      </c>
      <c r="E113" s="1276">
        <v>104124.2</v>
      </c>
      <c r="F113" s="1276">
        <v>0</v>
      </c>
      <c r="G113" s="1276">
        <v>4084879.1</v>
      </c>
      <c r="H113" s="1276">
        <f t="shared" si="7"/>
        <v>7040561.7000000011</v>
      </c>
      <c r="I113" s="1277">
        <v>5747561.4415212609</v>
      </c>
      <c r="J113" s="1277">
        <v>1293000.25847874</v>
      </c>
      <c r="K113" s="1278">
        <f t="shared" si="8"/>
        <v>7040561.7000000011</v>
      </c>
    </row>
    <row r="114" spans="1:11" ht="14.4" x14ac:dyDescent="0.3">
      <c r="A114" s="615" t="s">
        <v>159</v>
      </c>
      <c r="B114" s="616" t="s">
        <v>160</v>
      </c>
      <c r="C114" s="616" t="s">
        <v>251</v>
      </c>
      <c r="D114" s="1287">
        <v>2759225.0999999996</v>
      </c>
      <c r="E114" s="1276">
        <v>0</v>
      </c>
      <c r="F114" s="1276">
        <v>0</v>
      </c>
      <c r="G114" s="1276">
        <v>4753663.3</v>
      </c>
      <c r="H114" s="1276">
        <f t="shared" si="7"/>
        <v>7512888.3999999994</v>
      </c>
      <c r="I114" s="1277">
        <v>6133145.2691185633</v>
      </c>
      <c r="J114" s="1277">
        <v>1379743.1308814359</v>
      </c>
      <c r="K114" s="1278">
        <f t="shared" si="8"/>
        <v>7512888.3999999994</v>
      </c>
    </row>
    <row r="115" spans="1:11" ht="14.4" x14ac:dyDescent="0.3">
      <c r="A115" s="615" t="s">
        <v>165</v>
      </c>
      <c r="B115" s="616" t="s">
        <v>166</v>
      </c>
      <c r="C115" s="616" t="s">
        <v>255</v>
      </c>
      <c r="D115" s="1287"/>
      <c r="E115" s="1276"/>
      <c r="F115" s="1276"/>
      <c r="G115" s="1276"/>
      <c r="H115" s="1276">
        <f t="shared" si="7"/>
        <v>0</v>
      </c>
      <c r="I115" s="1277"/>
      <c r="J115" s="1277"/>
      <c r="K115" s="1278">
        <f t="shared" si="8"/>
        <v>0</v>
      </c>
    </row>
    <row r="116" spans="1:11" ht="14.4" x14ac:dyDescent="0.3">
      <c r="A116" s="615" t="s">
        <v>175</v>
      </c>
      <c r="B116" s="616" t="s">
        <v>176</v>
      </c>
      <c r="C116" s="616" t="s">
        <v>253</v>
      </c>
      <c r="D116" s="1287">
        <v>487637.2</v>
      </c>
      <c r="E116" s="1276">
        <v>58805.2</v>
      </c>
      <c r="F116" s="1276">
        <v>0</v>
      </c>
      <c r="G116" s="1276">
        <v>747384.2</v>
      </c>
      <c r="H116" s="1276">
        <f t="shared" si="7"/>
        <v>1293826.6000000001</v>
      </c>
      <c r="I116" s="1277">
        <v>1056215.1423478827</v>
      </c>
      <c r="J116" s="1277">
        <v>237611.45765211733</v>
      </c>
      <c r="K116" s="1278">
        <f t="shared" si="8"/>
        <v>1293826.6000000001</v>
      </c>
    </row>
    <row r="117" spans="1:11" ht="14.4" x14ac:dyDescent="0.3">
      <c r="A117" s="615" t="s">
        <v>179</v>
      </c>
      <c r="B117" s="616" t="s">
        <v>180</v>
      </c>
      <c r="C117" s="616" t="s">
        <v>251</v>
      </c>
      <c r="D117" s="1287">
        <v>1584316.75</v>
      </c>
      <c r="E117" s="1276">
        <v>145445</v>
      </c>
      <c r="F117" s="1276">
        <v>0</v>
      </c>
      <c r="G117" s="1276">
        <v>1479863.85</v>
      </c>
      <c r="H117" s="1276">
        <f t="shared" si="7"/>
        <v>3209625.6000000001</v>
      </c>
      <c r="I117" s="1277">
        <v>2620177.356059466</v>
      </c>
      <c r="J117" s="1277">
        <v>589448.24394053395</v>
      </c>
      <c r="K117" s="1278">
        <f t="shared" si="8"/>
        <v>3209625.6000000001</v>
      </c>
    </row>
    <row r="118" spans="1:11" ht="14.4" x14ac:dyDescent="0.3">
      <c r="A118" s="615" t="s">
        <v>191</v>
      </c>
      <c r="B118" s="616" t="s">
        <v>192</v>
      </c>
      <c r="C118" s="616" t="s">
        <v>255</v>
      </c>
      <c r="D118" s="1287">
        <v>56170</v>
      </c>
      <c r="E118" s="1276">
        <v>0</v>
      </c>
      <c r="F118" s="1276">
        <v>0</v>
      </c>
      <c r="G118" s="1276">
        <v>69391.3</v>
      </c>
      <c r="H118" s="1276">
        <f t="shared" si="7"/>
        <v>125561.3</v>
      </c>
      <c r="I118" s="1277">
        <v>102501.94759706224</v>
      </c>
      <c r="J118" s="1277">
        <v>23059.352402937766</v>
      </c>
      <c r="K118" s="1278">
        <f t="shared" si="8"/>
        <v>125561.30000000002</v>
      </c>
    </row>
    <row r="119" spans="1:11" ht="14.4" x14ac:dyDescent="0.3">
      <c r="A119" s="615" t="s">
        <v>195</v>
      </c>
      <c r="B119" s="616" t="s">
        <v>285</v>
      </c>
      <c r="C119" s="616" t="s">
        <v>253</v>
      </c>
      <c r="D119" s="1287">
        <v>3503805.5</v>
      </c>
      <c r="E119" s="1276">
        <v>55301</v>
      </c>
      <c r="F119" s="1276">
        <v>0</v>
      </c>
      <c r="G119" s="1276">
        <v>3893536.8</v>
      </c>
      <c r="H119" s="1276">
        <f t="shared" si="7"/>
        <v>7452643.2999999998</v>
      </c>
      <c r="I119" s="1277">
        <v>6083964.1911655664</v>
      </c>
      <c r="J119" s="1277">
        <v>1368679.1088344341</v>
      </c>
      <c r="K119" s="1278">
        <f t="shared" si="8"/>
        <v>7452643.3000000007</v>
      </c>
    </row>
    <row r="120" spans="1:11" ht="14.4" x14ac:dyDescent="0.3">
      <c r="A120" s="615" t="s">
        <v>199</v>
      </c>
      <c r="B120" s="616" t="s">
        <v>286</v>
      </c>
      <c r="C120" s="616" t="s">
        <v>252</v>
      </c>
      <c r="D120" s="1287">
        <v>1723199.3</v>
      </c>
      <c r="E120" s="1276">
        <v>75643.8</v>
      </c>
      <c r="F120" s="1276">
        <v>0</v>
      </c>
      <c r="G120" s="1276">
        <v>2555664.08</v>
      </c>
      <c r="H120" s="1276">
        <f t="shared" si="7"/>
        <v>4354507.18</v>
      </c>
      <c r="I120" s="1277">
        <v>3554801.2546492531</v>
      </c>
      <c r="J120" s="1277">
        <v>799705.92535074695</v>
      </c>
      <c r="K120" s="1278">
        <f t="shared" si="8"/>
        <v>4354507.18</v>
      </c>
    </row>
    <row r="121" spans="1:11" ht="14.4" x14ac:dyDescent="0.3">
      <c r="A121" s="615" t="s">
        <v>221</v>
      </c>
      <c r="B121" s="616" t="s">
        <v>222</v>
      </c>
      <c r="C121" s="616" t="s">
        <v>251</v>
      </c>
      <c r="D121" s="1287">
        <v>437621.8</v>
      </c>
      <c r="E121" s="1276">
        <v>8666</v>
      </c>
      <c r="F121" s="1276">
        <v>0</v>
      </c>
      <c r="G121" s="1276">
        <v>851363.6</v>
      </c>
      <c r="H121" s="1276">
        <f t="shared" si="7"/>
        <v>1297651.3999999999</v>
      </c>
      <c r="I121" s="1277">
        <v>1059337.5172290702</v>
      </c>
      <c r="J121" s="1277">
        <v>238313.88277092983</v>
      </c>
      <c r="K121" s="1278">
        <f t="shared" si="8"/>
        <v>1297651.3999999999</v>
      </c>
    </row>
    <row r="122" spans="1:11" ht="14.4" x14ac:dyDescent="0.3">
      <c r="A122" s="615" t="s">
        <v>229</v>
      </c>
      <c r="B122" s="616" t="s">
        <v>230</v>
      </c>
      <c r="C122" s="616" t="s">
        <v>251</v>
      </c>
      <c r="D122" s="1287">
        <v>1647952.5999999999</v>
      </c>
      <c r="E122" s="1276">
        <v>32374</v>
      </c>
      <c r="F122" s="1276">
        <v>0</v>
      </c>
      <c r="G122" s="1276">
        <v>6666924.3499999996</v>
      </c>
      <c r="H122" s="1276">
        <f t="shared" si="7"/>
        <v>8347250.9499999993</v>
      </c>
      <c r="I122" s="1277">
        <v>6814277.0061828597</v>
      </c>
      <c r="J122" s="1277">
        <v>1532973.9438171396</v>
      </c>
      <c r="K122" s="1278">
        <f t="shared" si="8"/>
        <v>8347250.9499999993</v>
      </c>
    </row>
    <row r="123" spans="1:11" ht="14.4" x14ac:dyDescent="0.3">
      <c r="A123" s="615" t="s">
        <v>237</v>
      </c>
      <c r="B123" s="616" t="s">
        <v>238</v>
      </c>
      <c r="C123" s="616" t="s">
        <v>251</v>
      </c>
      <c r="D123" s="1287">
        <v>82643.799999999988</v>
      </c>
      <c r="E123" s="1276">
        <v>6387</v>
      </c>
      <c r="F123" s="1276">
        <v>0</v>
      </c>
      <c r="G123" s="1276">
        <v>122225.4</v>
      </c>
      <c r="H123" s="1276">
        <f t="shared" si="7"/>
        <v>211256.19999999998</v>
      </c>
      <c r="I123" s="1277">
        <v>172458.9657956273</v>
      </c>
      <c r="J123" s="1277">
        <v>38797.234204372689</v>
      </c>
      <c r="K123" s="1278">
        <f t="shared" si="8"/>
        <v>211256.19999999998</v>
      </c>
    </row>
    <row r="124" spans="1:11" ht="14.4" x14ac:dyDescent="0.3">
      <c r="A124" s="615" t="s">
        <v>239</v>
      </c>
      <c r="B124" s="616" t="s">
        <v>240</v>
      </c>
      <c r="C124" s="616" t="s">
        <v>254</v>
      </c>
      <c r="D124" s="1287">
        <v>76708.600000000006</v>
      </c>
      <c r="E124" s="1276">
        <v>171.6</v>
      </c>
      <c r="F124" s="1276">
        <v>0</v>
      </c>
      <c r="G124" s="1276">
        <v>363057.4</v>
      </c>
      <c r="H124" s="1276">
        <f t="shared" si="7"/>
        <v>439937.60000000003</v>
      </c>
      <c r="I124" s="1277">
        <v>359142.99088315695</v>
      </c>
      <c r="J124" s="1277">
        <v>80794.609116843116</v>
      </c>
      <c r="K124" s="1278">
        <f t="shared" si="8"/>
        <v>439937.60000000009</v>
      </c>
    </row>
    <row r="126" spans="1:11" ht="14.4" x14ac:dyDescent="0.3">
      <c r="A126" s="1984" t="s">
        <v>253</v>
      </c>
      <c r="D126" s="1273">
        <v>12393548.5</v>
      </c>
      <c r="E126" s="1274">
        <v>320778.2</v>
      </c>
      <c r="F126" s="1274">
        <v>0</v>
      </c>
      <c r="G126" s="1275">
        <v>15407629.599999998</v>
      </c>
      <c r="H126" s="1276">
        <f t="shared" ref="H126:H130" si="9">SUM(D126:G126)</f>
        <v>28121956.299999997</v>
      </c>
      <c r="I126" s="1277">
        <v>22957354.622717943</v>
      </c>
      <c r="J126" s="1277">
        <v>5164601.6772820586</v>
      </c>
      <c r="K126" s="1278">
        <f t="shared" ref="K126:K130" si="10">I126+J126</f>
        <v>28121956.300000001</v>
      </c>
    </row>
    <row r="127" spans="1:11" ht="14.4" x14ac:dyDescent="0.3">
      <c r="A127" s="1984" t="s">
        <v>251</v>
      </c>
      <c r="D127" s="1273">
        <v>13807035.100000001</v>
      </c>
      <c r="E127" s="1274">
        <v>407938.4</v>
      </c>
      <c r="F127" s="1274">
        <v>0</v>
      </c>
      <c r="G127" s="1275">
        <v>25808108.910000004</v>
      </c>
      <c r="H127" s="1276">
        <f t="shared" si="9"/>
        <v>40023082.410000004</v>
      </c>
      <c r="I127" s="1277">
        <v>32672837.059370391</v>
      </c>
      <c r="J127" s="1277">
        <v>7350245.35062961</v>
      </c>
      <c r="K127" s="1278">
        <f t="shared" si="10"/>
        <v>40023082.410000004</v>
      </c>
    </row>
    <row r="128" spans="1:11" ht="14.4" x14ac:dyDescent="0.3">
      <c r="A128" s="1984" t="s">
        <v>254</v>
      </c>
      <c r="D128" s="1273">
        <v>17207214.530000001</v>
      </c>
      <c r="E128" s="1274">
        <v>2596477.5999999996</v>
      </c>
      <c r="F128" s="1274">
        <v>0</v>
      </c>
      <c r="G128" s="1275">
        <v>42384638.289999992</v>
      </c>
      <c r="H128" s="1276">
        <f t="shared" si="9"/>
        <v>62188330.419999994</v>
      </c>
      <c r="I128" s="1277">
        <v>50767433.802131958</v>
      </c>
      <c r="J128" s="1277">
        <v>11420896.617868043</v>
      </c>
      <c r="K128" s="1278">
        <f t="shared" si="10"/>
        <v>62188330.420000002</v>
      </c>
    </row>
    <row r="129" spans="1:11" ht="14.4" x14ac:dyDescent="0.3">
      <c r="A129" s="1984" t="s">
        <v>252</v>
      </c>
      <c r="D129" s="1273">
        <v>5935374.2000000002</v>
      </c>
      <c r="E129" s="1274">
        <v>238686.71999999997</v>
      </c>
      <c r="F129" s="1274">
        <v>0</v>
      </c>
      <c r="G129" s="1275">
        <v>9211516.3000000026</v>
      </c>
      <c r="H129" s="1276">
        <f t="shared" si="9"/>
        <v>15385577.220000003</v>
      </c>
      <c r="I129" s="1277">
        <v>12560013.554773601</v>
      </c>
      <c r="J129" s="1277">
        <v>2825563.6652263994</v>
      </c>
      <c r="K129" s="1278">
        <f t="shared" si="10"/>
        <v>15385577.220000001</v>
      </c>
    </row>
    <row r="130" spans="1:11" ht="14.4" x14ac:dyDescent="0.3">
      <c r="A130" s="1984" t="s">
        <v>255</v>
      </c>
      <c r="D130" s="1273">
        <v>1544385.7</v>
      </c>
      <c r="E130" s="1274">
        <v>26154.6</v>
      </c>
      <c r="F130" s="1274">
        <v>0</v>
      </c>
      <c r="G130" s="1275">
        <v>2105551.5</v>
      </c>
      <c r="H130" s="1276">
        <f t="shared" si="9"/>
        <v>3676091.8</v>
      </c>
      <c r="I130" s="1277">
        <v>3000976.9653992928</v>
      </c>
      <c r="J130" s="1277">
        <v>675114.83460070728</v>
      </c>
      <c r="K130" s="1278">
        <f t="shared" si="10"/>
        <v>3676091.8</v>
      </c>
    </row>
    <row r="131" spans="1:11" ht="14.4" x14ac:dyDescent="0.3">
      <c r="A131" s="1984" t="s">
        <v>8</v>
      </c>
      <c r="D131" s="1279">
        <f>SUM(D126:D130)</f>
        <v>50887558.030000009</v>
      </c>
      <c r="E131" s="1279">
        <f t="shared" ref="E131:G131" si="11">SUM(E126:E130)</f>
        <v>3590035.52</v>
      </c>
      <c r="F131" s="1279">
        <f t="shared" si="11"/>
        <v>0</v>
      </c>
      <c r="G131" s="1279">
        <f t="shared" si="11"/>
        <v>94917444.599999994</v>
      </c>
      <c r="H131" s="1276">
        <f t="shared" ref="H131" si="12">SUM(D131:G131)</f>
        <v>149395038.15000001</v>
      </c>
      <c r="I131" s="2100">
        <f t="shared" ref="I131" si="13">SUM(I126:I130)</f>
        <v>121958616.00439319</v>
      </c>
      <c r="J131" s="2100">
        <f t="shared" ref="J131" si="14">SUM(J126:J130)</f>
        <v>27436422.14560682</v>
      </c>
      <c r="K131" s="1278">
        <f t="shared" ref="K131" si="15">I131+J131</f>
        <v>149395038.15000001</v>
      </c>
    </row>
    <row r="134" spans="1:11" x14ac:dyDescent="0.3">
      <c r="A134" s="584" t="s">
        <v>933</v>
      </c>
      <c r="B134" s="410"/>
    </row>
    <row r="135" spans="1:11" x14ac:dyDescent="0.3">
      <c r="A135" s="173"/>
      <c r="B135" s="173"/>
    </row>
    <row r="136" spans="1:11" x14ac:dyDescent="0.3">
      <c r="A136" s="193" t="s">
        <v>247</v>
      </c>
      <c r="B136" s="193"/>
    </row>
    <row r="137" spans="1:11" x14ac:dyDescent="0.3">
      <c r="A137" s="194" t="s">
        <v>248</v>
      </c>
      <c r="B137" s="195" t="s">
        <v>249</v>
      </c>
    </row>
  </sheetData>
  <autoFilter ref="A3:C124"/>
  <sortState ref="A5:K124">
    <sortCondition ref="A5:A124"/>
  </sortState>
  <hyperlinks>
    <hyperlink ref="B137"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4" activePane="bottomLeft" state="frozen"/>
      <selection pane="bottomLeft" activeCell="H122" sqref="H122"/>
    </sheetView>
  </sheetViews>
  <sheetFormatPr defaultColWidth="9" defaultRowHeight="15.6" x14ac:dyDescent="0.3"/>
  <cols>
    <col min="1" max="1" width="14.69921875" style="105" customWidth="1"/>
    <col min="2" max="2" width="33.69921875" style="105" customWidth="1"/>
    <col min="3" max="3" width="18.19921875" style="105" customWidth="1"/>
    <col min="4" max="4" width="16.09765625" style="105" customWidth="1"/>
    <col min="5" max="16384" width="9" style="105"/>
  </cols>
  <sheetData>
    <row r="1" spans="1:4" x14ac:dyDescent="0.3">
      <c r="A1" s="2" t="s">
        <v>439</v>
      </c>
    </row>
    <row r="2" spans="1:4" x14ac:dyDescent="0.3">
      <c r="A2" s="2"/>
    </row>
    <row r="3" spans="1:4" x14ac:dyDescent="0.3">
      <c r="A3" s="2" t="s">
        <v>4</v>
      </c>
      <c r="B3" s="2" t="s">
        <v>5</v>
      </c>
      <c r="C3" s="2" t="s">
        <v>250</v>
      </c>
      <c r="D3" s="2" t="s">
        <v>395</v>
      </c>
    </row>
    <row r="4" spans="1:4" x14ac:dyDescent="0.3">
      <c r="A4" s="105" t="s">
        <v>9</v>
      </c>
      <c r="B4" s="2079" t="s">
        <v>10</v>
      </c>
      <c r="C4" s="105" t="s">
        <v>251</v>
      </c>
      <c r="D4" s="105" t="s">
        <v>466</v>
      </c>
    </row>
    <row r="5" spans="1:4" x14ac:dyDescent="0.3">
      <c r="A5" s="105" t="s">
        <v>11</v>
      </c>
      <c r="B5" s="2079" t="s">
        <v>12</v>
      </c>
      <c r="C5" s="105" t="s">
        <v>252</v>
      </c>
      <c r="D5" s="105" t="s">
        <v>466</v>
      </c>
    </row>
    <row r="6" spans="1:4" x14ac:dyDescent="0.3">
      <c r="A6" s="105" t="s">
        <v>15</v>
      </c>
      <c r="B6" s="2080" t="s">
        <v>396</v>
      </c>
      <c r="C6" s="105" t="s">
        <v>252</v>
      </c>
      <c r="D6" s="105" t="s">
        <v>467</v>
      </c>
    </row>
    <row r="7" spans="1:4" x14ac:dyDescent="0.3">
      <c r="A7" s="105" t="s">
        <v>17</v>
      </c>
      <c r="B7" s="2080" t="s">
        <v>18</v>
      </c>
      <c r="C7" s="105" t="s">
        <v>253</v>
      </c>
      <c r="D7" s="105" t="s">
        <v>467</v>
      </c>
    </row>
    <row r="8" spans="1:4" x14ac:dyDescent="0.3">
      <c r="A8" s="105" t="s">
        <v>19</v>
      </c>
      <c r="B8" s="2080" t="s">
        <v>20</v>
      </c>
      <c r="C8" s="105" t="s">
        <v>252</v>
      </c>
      <c r="D8" s="105" t="s">
        <v>467</v>
      </c>
    </row>
    <row r="9" spans="1:4" x14ac:dyDescent="0.3">
      <c r="A9" s="105" t="s">
        <v>21</v>
      </c>
      <c r="B9" s="2080" t="s">
        <v>22</v>
      </c>
      <c r="C9" s="105" t="s">
        <v>252</v>
      </c>
      <c r="D9" s="105" t="s">
        <v>467</v>
      </c>
    </row>
    <row r="10" spans="1:4" x14ac:dyDescent="0.3">
      <c r="A10" s="105" t="s">
        <v>23</v>
      </c>
      <c r="B10" s="2079" t="s">
        <v>24</v>
      </c>
      <c r="C10" s="105" t="s">
        <v>254</v>
      </c>
      <c r="D10" s="105" t="s">
        <v>466</v>
      </c>
    </row>
    <row r="11" spans="1:4" x14ac:dyDescent="0.3">
      <c r="A11" s="105" t="s">
        <v>25</v>
      </c>
      <c r="B11" s="2079" t="s">
        <v>444</v>
      </c>
      <c r="C11" s="105" t="s">
        <v>252</v>
      </c>
      <c r="D11" s="105" t="s">
        <v>466</v>
      </c>
    </row>
    <row r="12" spans="1:4" x14ac:dyDescent="0.3">
      <c r="A12" s="105" t="s">
        <v>26</v>
      </c>
      <c r="B12" s="2080" t="s">
        <v>27</v>
      </c>
      <c r="C12" s="105" t="s">
        <v>252</v>
      </c>
      <c r="D12" s="105" t="s">
        <v>467</v>
      </c>
    </row>
    <row r="13" spans="1:4" x14ac:dyDescent="0.3">
      <c r="A13" s="105" t="s">
        <v>28</v>
      </c>
      <c r="B13" s="2081" t="s">
        <v>568</v>
      </c>
      <c r="C13" s="105" t="s">
        <v>252</v>
      </c>
      <c r="D13" s="105" t="s">
        <v>467</v>
      </c>
    </row>
    <row r="14" spans="1:4" x14ac:dyDescent="0.3">
      <c r="A14" s="105" t="s">
        <v>29</v>
      </c>
      <c r="B14" s="2080" t="s">
        <v>30</v>
      </c>
      <c r="C14" s="105" t="s">
        <v>255</v>
      </c>
      <c r="D14" s="105" t="s">
        <v>467</v>
      </c>
    </row>
    <row r="15" spans="1:4" x14ac:dyDescent="0.3">
      <c r="A15" s="105" t="s">
        <v>31</v>
      </c>
      <c r="B15" s="2080" t="s">
        <v>32</v>
      </c>
      <c r="C15" s="105" t="s">
        <v>252</v>
      </c>
      <c r="D15" s="105" t="s">
        <v>467</v>
      </c>
    </row>
    <row r="16" spans="1:4" x14ac:dyDescent="0.3">
      <c r="A16" s="105" t="s">
        <v>35</v>
      </c>
      <c r="B16" s="2080" t="s">
        <v>36</v>
      </c>
      <c r="C16" s="105" t="s">
        <v>251</v>
      </c>
      <c r="D16" s="105" t="s">
        <v>467</v>
      </c>
    </row>
    <row r="17" spans="1:4" x14ac:dyDescent="0.3">
      <c r="A17" s="105" t="s">
        <v>37</v>
      </c>
      <c r="B17" s="2080" t="s">
        <v>38</v>
      </c>
      <c r="C17" s="105" t="s">
        <v>255</v>
      </c>
      <c r="D17" s="105" t="s">
        <v>467</v>
      </c>
    </row>
    <row r="18" spans="1:4" x14ac:dyDescent="0.3">
      <c r="A18" s="105" t="s">
        <v>39</v>
      </c>
      <c r="B18" s="2080" t="s">
        <v>40</v>
      </c>
      <c r="C18" s="105" t="s">
        <v>253</v>
      </c>
      <c r="D18" s="105" t="s">
        <v>467</v>
      </c>
    </row>
    <row r="19" spans="1:4" x14ac:dyDescent="0.3">
      <c r="A19" s="105" t="s">
        <v>41</v>
      </c>
      <c r="B19" s="2080" t="s">
        <v>42</v>
      </c>
      <c r="C19" s="105" t="s">
        <v>252</v>
      </c>
      <c r="D19" s="105" t="s">
        <v>467</v>
      </c>
    </row>
    <row r="20" spans="1:4" x14ac:dyDescent="0.3">
      <c r="A20" s="105" t="s">
        <v>43</v>
      </c>
      <c r="B20" s="2080" t="s">
        <v>44</v>
      </c>
      <c r="C20" s="105" t="s">
        <v>253</v>
      </c>
      <c r="D20" s="105" t="s">
        <v>467</v>
      </c>
    </row>
    <row r="21" spans="1:4" x14ac:dyDescent="0.3">
      <c r="A21" s="105" t="s">
        <v>45</v>
      </c>
      <c r="B21" s="2080" t="s">
        <v>46</v>
      </c>
      <c r="C21" s="105" t="s">
        <v>255</v>
      </c>
      <c r="D21" s="105" t="s">
        <v>467</v>
      </c>
    </row>
    <row r="22" spans="1:4" x14ac:dyDescent="0.3">
      <c r="A22" s="105" t="s">
        <v>47</v>
      </c>
      <c r="B22" s="2080" t="s">
        <v>48</v>
      </c>
      <c r="C22" s="105" t="s">
        <v>253</v>
      </c>
      <c r="D22" s="105" t="s">
        <v>467</v>
      </c>
    </row>
    <row r="23" spans="1:4" x14ac:dyDescent="0.3">
      <c r="A23" s="105" t="s">
        <v>49</v>
      </c>
      <c r="B23" s="2080" t="s">
        <v>50</v>
      </c>
      <c r="C23" s="105" t="s">
        <v>252</v>
      </c>
      <c r="D23" s="105" t="s">
        <v>467</v>
      </c>
    </row>
    <row r="24" spans="1:4" x14ac:dyDescent="0.3">
      <c r="A24" s="105" t="s">
        <v>55</v>
      </c>
      <c r="B24" s="2079" t="s">
        <v>271</v>
      </c>
      <c r="C24" s="105" t="s">
        <v>253</v>
      </c>
      <c r="D24" s="105" t="s">
        <v>466</v>
      </c>
    </row>
    <row r="25" spans="1:4" x14ac:dyDescent="0.3">
      <c r="A25" s="105" t="s">
        <v>57</v>
      </c>
      <c r="B25" s="2080" t="s">
        <v>58</v>
      </c>
      <c r="C25" s="105" t="s">
        <v>254</v>
      </c>
      <c r="D25" s="105" t="s">
        <v>467</v>
      </c>
    </row>
    <row r="26" spans="1:4" x14ac:dyDescent="0.3">
      <c r="A26" s="105" t="s">
        <v>59</v>
      </c>
      <c r="B26" s="2080" t="s">
        <v>60</v>
      </c>
      <c r="C26" s="105" t="s">
        <v>252</v>
      </c>
      <c r="D26" s="105" t="s">
        <v>467</v>
      </c>
    </row>
    <row r="27" spans="1:4" x14ac:dyDescent="0.3">
      <c r="A27" s="105" t="s">
        <v>61</v>
      </c>
      <c r="B27" s="2080" t="s">
        <v>62</v>
      </c>
      <c r="C27" s="105" t="s">
        <v>254</v>
      </c>
      <c r="D27" s="105" t="s">
        <v>467</v>
      </c>
    </row>
    <row r="28" spans="1:4" x14ac:dyDescent="0.3">
      <c r="A28" s="105" t="s">
        <v>63</v>
      </c>
      <c r="B28" s="2080" t="s">
        <v>64</v>
      </c>
      <c r="C28" s="105" t="s">
        <v>253</v>
      </c>
      <c r="D28" s="105" t="s">
        <v>467</v>
      </c>
    </row>
    <row r="29" spans="1:4" x14ac:dyDescent="0.3">
      <c r="A29" s="105" t="s">
        <v>67</v>
      </c>
      <c r="B29" s="2080" t="s">
        <v>68</v>
      </c>
      <c r="C29" s="105" t="s">
        <v>255</v>
      </c>
      <c r="D29" s="105" t="s">
        <v>467</v>
      </c>
    </row>
    <row r="30" spans="1:4" x14ac:dyDescent="0.3">
      <c r="A30" s="105" t="s">
        <v>69</v>
      </c>
      <c r="B30" s="2080" t="s">
        <v>70</v>
      </c>
      <c r="C30" s="105" t="s">
        <v>251</v>
      </c>
      <c r="D30" s="105" t="s">
        <v>467</v>
      </c>
    </row>
    <row r="31" spans="1:4" x14ac:dyDescent="0.3">
      <c r="A31" s="105" t="s">
        <v>71</v>
      </c>
      <c r="B31" s="2080" t="s">
        <v>72</v>
      </c>
      <c r="C31" s="105" t="s">
        <v>253</v>
      </c>
      <c r="D31" s="105" t="s">
        <v>467</v>
      </c>
    </row>
    <row r="32" spans="1:4" x14ac:dyDescent="0.3">
      <c r="A32" s="105" t="s">
        <v>73</v>
      </c>
      <c r="B32" s="2079" t="s">
        <v>397</v>
      </c>
      <c r="C32" s="105" t="s">
        <v>254</v>
      </c>
      <c r="D32" s="105" t="s">
        <v>466</v>
      </c>
    </row>
    <row r="33" spans="1:4" x14ac:dyDescent="0.3">
      <c r="A33" s="105" t="s">
        <v>75</v>
      </c>
      <c r="B33" s="2080" t="s">
        <v>76</v>
      </c>
      <c r="C33" s="105" t="s">
        <v>254</v>
      </c>
      <c r="D33" s="105" t="s">
        <v>467</v>
      </c>
    </row>
    <row r="34" spans="1:4" x14ac:dyDescent="0.3">
      <c r="A34" s="105" t="s">
        <v>77</v>
      </c>
      <c r="B34" s="2080" t="s">
        <v>78</v>
      </c>
      <c r="C34" s="105" t="s">
        <v>255</v>
      </c>
      <c r="D34" s="105" t="s">
        <v>467</v>
      </c>
    </row>
    <row r="35" spans="1:4" x14ac:dyDescent="0.3">
      <c r="A35" s="105" t="s">
        <v>79</v>
      </c>
      <c r="B35" s="2080" t="s">
        <v>80</v>
      </c>
      <c r="C35" s="105" t="s">
        <v>253</v>
      </c>
      <c r="D35" s="105" t="s">
        <v>467</v>
      </c>
    </row>
    <row r="36" spans="1:4" x14ac:dyDescent="0.3">
      <c r="A36" s="105" t="s">
        <v>83</v>
      </c>
      <c r="B36" s="2080" t="s">
        <v>84</v>
      </c>
      <c r="C36" s="105" t="s">
        <v>252</v>
      </c>
      <c r="D36" s="105" t="s">
        <v>467</v>
      </c>
    </row>
    <row r="37" spans="1:4" x14ac:dyDescent="0.3">
      <c r="A37" s="105" t="s">
        <v>85</v>
      </c>
      <c r="B37" s="2079" t="s">
        <v>86</v>
      </c>
      <c r="C37" s="105" t="s">
        <v>254</v>
      </c>
      <c r="D37" s="105" t="s">
        <v>466</v>
      </c>
    </row>
    <row r="38" spans="1:4" x14ac:dyDescent="0.3">
      <c r="A38" s="105" t="s">
        <v>91</v>
      </c>
      <c r="B38" s="2080" t="s">
        <v>92</v>
      </c>
      <c r="C38" s="105" t="s">
        <v>255</v>
      </c>
      <c r="D38" s="105" t="s">
        <v>467</v>
      </c>
    </row>
    <row r="39" spans="1:4" x14ac:dyDescent="0.3">
      <c r="A39" s="105" t="s">
        <v>93</v>
      </c>
      <c r="B39" s="2080" t="s">
        <v>94</v>
      </c>
      <c r="C39" s="105" t="s">
        <v>251</v>
      </c>
      <c r="D39" s="105" t="s">
        <v>467</v>
      </c>
    </row>
    <row r="40" spans="1:4" x14ac:dyDescent="0.3">
      <c r="A40" s="105" t="s">
        <v>95</v>
      </c>
      <c r="B40" s="2079" t="s">
        <v>96</v>
      </c>
      <c r="C40" s="105" t="s">
        <v>253</v>
      </c>
      <c r="D40" s="105" t="s">
        <v>466</v>
      </c>
    </row>
    <row r="41" spans="1:4" x14ac:dyDescent="0.3">
      <c r="A41" s="105" t="s">
        <v>97</v>
      </c>
      <c r="B41" s="2080" t="s">
        <v>98</v>
      </c>
      <c r="C41" s="105" t="s">
        <v>255</v>
      </c>
      <c r="D41" s="105" t="s">
        <v>467</v>
      </c>
    </row>
    <row r="42" spans="1:4" x14ac:dyDescent="0.3">
      <c r="A42" s="105" t="s">
        <v>99</v>
      </c>
      <c r="B42" s="2080" t="s">
        <v>100</v>
      </c>
      <c r="C42" s="105" t="s">
        <v>254</v>
      </c>
      <c r="D42" s="105" t="s">
        <v>467</v>
      </c>
    </row>
    <row r="43" spans="1:4" x14ac:dyDescent="0.3">
      <c r="A43" s="105" t="s">
        <v>101</v>
      </c>
      <c r="B43" s="2080" t="s">
        <v>263</v>
      </c>
      <c r="C43" s="105" t="s">
        <v>251</v>
      </c>
      <c r="D43" s="105" t="s">
        <v>467</v>
      </c>
    </row>
    <row r="44" spans="1:4" x14ac:dyDescent="0.3">
      <c r="A44" s="105" t="s">
        <v>103</v>
      </c>
      <c r="B44" s="2080" t="s">
        <v>398</v>
      </c>
      <c r="C44" s="105" t="s">
        <v>252</v>
      </c>
      <c r="D44" s="105" t="s">
        <v>467</v>
      </c>
    </row>
    <row r="45" spans="1:4" x14ac:dyDescent="0.3">
      <c r="A45" s="105" t="s">
        <v>107</v>
      </c>
      <c r="B45" s="2079" t="s">
        <v>108</v>
      </c>
      <c r="C45" s="105" t="s">
        <v>253</v>
      </c>
      <c r="D45" s="105" t="s">
        <v>466</v>
      </c>
    </row>
    <row r="46" spans="1:4" x14ac:dyDescent="0.3">
      <c r="A46" s="105" t="s">
        <v>109</v>
      </c>
      <c r="B46" s="2079" t="s">
        <v>110</v>
      </c>
      <c r="C46" s="105" t="s">
        <v>253</v>
      </c>
      <c r="D46" s="105" t="s">
        <v>466</v>
      </c>
    </row>
    <row r="47" spans="1:4" x14ac:dyDescent="0.3">
      <c r="A47" s="105" t="s">
        <v>111</v>
      </c>
      <c r="B47" s="2080" t="s">
        <v>275</v>
      </c>
      <c r="C47" s="105" t="s">
        <v>252</v>
      </c>
      <c r="D47" s="105" t="s">
        <v>467</v>
      </c>
    </row>
    <row r="48" spans="1:4" x14ac:dyDescent="0.3">
      <c r="A48" s="105" t="s">
        <v>113</v>
      </c>
      <c r="B48" s="2080" t="s">
        <v>114</v>
      </c>
      <c r="C48" s="105" t="s">
        <v>252</v>
      </c>
      <c r="D48" s="105" t="s">
        <v>467</v>
      </c>
    </row>
    <row r="49" spans="1:4" x14ac:dyDescent="0.3">
      <c r="A49" s="105" t="s">
        <v>117</v>
      </c>
      <c r="B49" s="2079" t="s">
        <v>118</v>
      </c>
      <c r="C49" s="105" t="s">
        <v>251</v>
      </c>
      <c r="D49" s="105" t="s">
        <v>466</v>
      </c>
    </row>
    <row r="50" spans="1:4" x14ac:dyDescent="0.3">
      <c r="A50" s="105" t="s">
        <v>119</v>
      </c>
      <c r="B50" s="2079" t="s">
        <v>120</v>
      </c>
      <c r="C50" s="105" t="s">
        <v>251</v>
      </c>
      <c r="D50" s="105" t="s">
        <v>466</v>
      </c>
    </row>
    <row r="51" spans="1:4" x14ac:dyDescent="0.3">
      <c r="A51" s="105" t="s">
        <v>121</v>
      </c>
      <c r="B51" s="2080" t="s">
        <v>122</v>
      </c>
      <c r="C51" s="105" t="s">
        <v>253</v>
      </c>
      <c r="D51" s="105" t="s">
        <v>467</v>
      </c>
    </row>
    <row r="52" spans="1:4" x14ac:dyDescent="0.3">
      <c r="A52" s="105" t="s">
        <v>123</v>
      </c>
      <c r="B52" s="2080" t="s">
        <v>124</v>
      </c>
      <c r="C52" s="105" t="s">
        <v>254</v>
      </c>
      <c r="D52" s="105" t="s">
        <v>467</v>
      </c>
    </row>
    <row r="53" spans="1:4" x14ac:dyDescent="0.3">
      <c r="A53" s="105" t="s">
        <v>125</v>
      </c>
      <c r="B53" s="2080" t="s">
        <v>126</v>
      </c>
      <c r="C53" s="105" t="s">
        <v>253</v>
      </c>
      <c r="D53" s="105" t="s">
        <v>467</v>
      </c>
    </row>
    <row r="54" spans="1:4" x14ac:dyDescent="0.3">
      <c r="A54" s="105" t="s">
        <v>127</v>
      </c>
      <c r="B54" s="2080" t="s">
        <v>128</v>
      </c>
      <c r="C54" s="105" t="s">
        <v>253</v>
      </c>
      <c r="D54" s="105" t="s">
        <v>467</v>
      </c>
    </row>
    <row r="55" spans="1:4" x14ac:dyDescent="0.3">
      <c r="A55" s="105" t="s">
        <v>129</v>
      </c>
      <c r="B55" s="2080" t="s">
        <v>130</v>
      </c>
      <c r="C55" s="105" t="s">
        <v>255</v>
      </c>
      <c r="D55" s="105" t="s">
        <v>467</v>
      </c>
    </row>
    <row r="56" spans="1:4" x14ac:dyDescent="0.3">
      <c r="A56" s="105" t="s">
        <v>131</v>
      </c>
      <c r="B56" s="2079" t="s">
        <v>132</v>
      </c>
      <c r="C56" s="105" t="s">
        <v>254</v>
      </c>
      <c r="D56" s="105" t="s">
        <v>466</v>
      </c>
    </row>
    <row r="57" spans="1:4" x14ac:dyDescent="0.3">
      <c r="A57" s="105" t="s">
        <v>133</v>
      </c>
      <c r="B57" s="2080" t="s">
        <v>134</v>
      </c>
      <c r="C57" s="105" t="s">
        <v>254</v>
      </c>
      <c r="D57" s="105" t="s">
        <v>467</v>
      </c>
    </row>
    <row r="58" spans="1:4" x14ac:dyDescent="0.3">
      <c r="A58" s="105" t="s">
        <v>135</v>
      </c>
      <c r="B58" s="2080" t="s">
        <v>136</v>
      </c>
      <c r="C58" s="105" t="s">
        <v>253</v>
      </c>
      <c r="D58" s="105" t="s">
        <v>467</v>
      </c>
    </row>
    <row r="59" spans="1:4" x14ac:dyDescent="0.3">
      <c r="A59" s="105" t="s">
        <v>139</v>
      </c>
      <c r="B59" s="2080" t="s">
        <v>140</v>
      </c>
      <c r="C59" s="105" t="s">
        <v>254</v>
      </c>
      <c r="D59" s="105" t="s">
        <v>467</v>
      </c>
    </row>
    <row r="60" spans="1:4" x14ac:dyDescent="0.3">
      <c r="A60" s="105" t="s">
        <v>145</v>
      </c>
      <c r="B60" s="2080" t="s">
        <v>146</v>
      </c>
      <c r="C60" s="105" t="s">
        <v>251</v>
      </c>
      <c r="D60" s="105" t="s">
        <v>467</v>
      </c>
    </row>
    <row r="61" spans="1:4" x14ac:dyDescent="0.3">
      <c r="A61" s="105" t="s">
        <v>147</v>
      </c>
      <c r="B61" s="2080" t="s">
        <v>148</v>
      </c>
      <c r="C61" s="105" t="s">
        <v>252</v>
      </c>
      <c r="D61" s="105" t="s">
        <v>467</v>
      </c>
    </row>
    <row r="62" spans="1:4" x14ac:dyDescent="0.3">
      <c r="A62" s="105" t="s">
        <v>149</v>
      </c>
      <c r="B62" s="2080" t="s">
        <v>150</v>
      </c>
      <c r="C62" s="105" t="s">
        <v>253</v>
      </c>
      <c r="D62" s="105" t="s">
        <v>467</v>
      </c>
    </row>
    <row r="63" spans="1:4" x14ac:dyDescent="0.3">
      <c r="A63" s="105" t="s">
        <v>151</v>
      </c>
      <c r="B63" s="2080" t="s">
        <v>152</v>
      </c>
      <c r="C63" s="105" t="s">
        <v>255</v>
      </c>
      <c r="D63" s="105" t="s">
        <v>467</v>
      </c>
    </row>
    <row r="64" spans="1:4" x14ac:dyDescent="0.3">
      <c r="A64" s="105" t="s">
        <v>153</v>
      </c>
      <c r="B64" s="2080" t="s">
        <v>154</v>
      </c>
      <c r="C64" s="105" t="s">
        <v>252</v>
      </c>
      <c r="D64" s="105" t="s">
        <v>467</v>
      </c>
    </row>
    <row r="65" spans="1:4" x14ac:dyDescent="0.3">
      <c r="A65" s="105" t="s">
        <v>155</v>
      </c>
      <c r="B65" s="2080" t="s">
        <v>156</v>
      </c>
      <c r="C65" s="105" t="s">
        <v>253</v>
      </c>
      <c r="D65" s="105" t="s">
        <v>467</v>
      </c>
    </row>
    <row r="66" spans="1:4" x14ac:dyDescent="0.3">
      <c r="A66" s="105" t="s">
        <v>161</v>
      </c>
      <c r="B66" s="2080" t="s">
        <v>162</v>
      </c>
      <c r="C66" s="105" t="s">
        <v>251</v>
      </c>
      <c r="D66" s="105" t="s">
        <v>467</v>
      </c>
    </row>
    <row r="67" spans="1:4" x14ac:dyDescent="0.3">
      <c r="A67" s="105" t="s">
        <v>163</v>
      </c>
      <c r="B67" s="2080" t="s">
        <v>164</v>
      </c>
      <c r="C67" s="105" t="s">
        <v>253</v>
      </c>
      <c r="D67" s="105" t="s">
        <v>467</v>
      </c>
    </row>
    <row r="68" spans="1:4" x14ac:dyDescent="0.3">
      <c r="A68" s="105" t="s">
        <v>167</v>
      </c>
      <c r="B68" s="2080" t="s">
        <v>168</v>
      </c>
      <c r="C68" s="105" t="s">
        <v>253</v>
      </c>
      <c r="D68" s="105" t="s">
        <v>467</v>
      </c>
    </row>
    <row r="69" spans="1:4" x14ac:dyDescent="0.3">
      <c r="A69" s="105" t="s">
        <v>169</v>
      </c>
      <c r="B69" s="2080" t="s">
        <v>170</v>
      </c>
      <c r="C69" s="105" t="s">
        <v>254</v>
      </c>
      <c r="D69" s="105" t="s">
        <v>467</v>
      </c>
    </row>
    <row r="70" spans="1:4" x14ac:dyDescent="0.3">
      <c r="A70" s="105" t="s">
        <v>171</v>
      </c>
      <c r="B70" s="2080" t="s">
        <v>172</v>
      </c>
      <c r="C70" s="105" t="s">
        <v>254</v>
      </c>
      <c r="D70" s="105" t="s">
        <v>467</v>
      </c>
    </row>
    <row r="71" spans="1:4" x14ac:dyDescent="0.3">
      <c r="A71" s="105" t="s">
        <v>173</v>
      </c>
      <c r="B71" s="2080" t="s">
        <v>174</v>
      </c>
      <c r="C71" s="105" t="s">
        <v>255</v>
      </c>
      <c r="D71" s="105" t="s">
        <v>467</v>
      </c>
    </row>
    <row r="72" spans="1:4" x14ac:dyDescent="0.3">
      <c r="A72" s="105" t="s">
        <v>177</v>
      </c>
      <c r="B72" s="2080" t="s">
        <v>178</v>
      </c>
      <c r="C72" s="105" t="s">
        <v>252</v>
      </c>
      <c r="D72" s="105" t="s">
        <v>467</v>
      </c>
    </row>
    <row r="73" spans="1:4" x14ac:dyDescent="0.3">
      <c r="A73" s="105" t="s">
        <v>181</v>
      </c>
      <c r="B73" s="2080" t="s">
        <v>182</v>
      </c>
      <c r="C73" s="105" t="s">
        <v>253</v>
      </c>
      <c r="D73" s="105" t="s">
        <v>467</v>
      </c>
    </row>
    <row r="74" spans="1:4" x14ac:dyDescent="0.3">
      <c r="A74" s="105" t="s">
        <v>183</v>
      </c>
      <c r="B74" s="2080" t="s">
        <v>184</v>
      </c>
      <c r="C74" s="105" t="s">
        <v>253</v>
      </c>
      <c r="D74" s="105" t="s">
        <v>467</v>
      </c>
    </row>
    <row r="75" spans="1:4" x14ac:dyDescent="0.3">
      <c r="A75" s="105" t="s">
        <v>185</v>
      </c>
      <c r="B75" s="2080" t="s">
        <v>186</v>
      </c>
      <c r="C75" s="105" t="s">
        <v>251</v>
      </c>
      <c r="D75" s="105" t="s">
        <v>467</v>
      </c>
    </row>
    <row r="76" spans="1:4" x14ac:dyDescent="0.3">
      <c r="A76" s="105" t="s">
        <v>187</v>
      </c>
      <c r="B76" s="2079" t="s">
        <v>188</v>
      </c>
      <c r="C76" s="105" t="s">
        <v>254</v>
      </c>
      <c r="D76" s="105" t="s">
        <v>466</v>
      </c>
    </row>
    <row r="77" spans="1:4" x14ac:dyDescent="0.3">
      <c r="A77" s="105" t="s">
        <v>189</v>
      </c>
      <c r="B77" s="2079" t="s">
        <v>190</v>
      </c>
      <c r="C77" s="105" t="s">
        <v>255</v>
      </c>
      <c r="D77" s="105" t="s">
        <v>466</v>
      </c>
    </row>
    <row r="78" spans="1:4" x14ac:dyDescent="0.3">
      <c r="A78" s="105" t="s">
        <v>193</v>
      </c>
      <c r="B78" s="2080" t="s">
        <v>194</v>
      </c>
      <c r="C78" s="105" t="s">
        <v>254</v>
      </c>
      <c r="D78" s="105" t="s">
        <v>467</v>
      </c>
    </row>
    <row r="79" spans="1:4" x14ac:dyDescent="0.3">
      <c r="A79" s="105" t="s">
        <v>197</v>
      </c>
      <c r="B79" s="2080" t="s">
        <v>259</v>
      </c>
      <c r="C79" s="105" t="s">
        <v>253</v>
      </c>
      <c r="D79" s="105" t="s">
        <v>467</v>
      </c>
    </row>
    <row r="80" spans="1:4" x14ac:dyDescent="0.3">
      <c r="A80" s="105" t="s">
        <v>201</v>
      </c>
      <c r="B80" s="2079" t="s">
        <v>276</v>
      </c>
      <c r="C80" s="105" t="s">
        <v>252</v>
      </c>
      <c r="D80" s="105" t="s">
        <v>466</v>
      </c>
    </row>
    <row r="81" spans="1:4" x14ac:dyDescent="0.3">
      <c r="A81" s="105" t="s">
        <v>203</v>
      </c>
      <c r="B81" s="2080" t="s">
        <v>269</v>
      </c>
      <c r="C81" s="105" t="s">
        <v>252</v>
      </c>
      <c r="D81" s="105" t="s">
        <v>467</v>
      </c>
    </row>
    <row r="82" spans="1:4" x14ac:dyDescent="0.3">
      <c r="A82" s="105" t="s">
        <v>205</v>
      </c>
      <c r="B82" s="2079" t="s">
        <v>270</v>
      </c>
      <c r="C82" s="105" t="s">
        <v>254</v>
      </c>
      <c r="D82" s="105" t="s">
        <v>466</v>
      </c>
    </row>
    <row r="83" spans="1:4" x14ac:dyDescent="0.3">
      <c r="A83" s="105" t="s">
        <v>207</v>
      </c>
      <c r="B83" s="2080" t="s">
        <v>208</v>
      </c>
      <c r="C83" s="105" t="s">
        <v>255</v>
      </c>
      <c r="D83" s="105" t="s">
        <v>467</v>
      </c>
    </row>
    <row r="84" spans="1:4" x14ac:dyDescent="0.3">
      <c r="A84" s="105" t="s">
        <v>209</v>
      </c>
      <c r="B84" s="2080" t="s">
        <v>210</v>
      </c>
      <c r="C84" s="105" t="s">
        <v>255</v>
      </c>
      <c r="D84" s="105" t="s">
        <v>467</v>
      </c>
    </row>
    <row r="85" spans="1:4" x14ac:dyDescent="0.3">
      <c r="A85" s="105" t="s">
        <v>211</v>
      </c>
      <c r="B85" s="2080" t="s">
        <v>212</v>
      </c>
      <c r="C85" s="105" t="s">
        <v>254</v>
      </c>
      <c r="D85" s="105" t="s">
        <v>467</v>
      </c>
    </row>
    <row r="86" spans="1:4" x14ac:dyDescent="0.3">
      <c r="A86" s="105" t="s">
        <v>213</v>
      </c>
      <c r="B86" s="2080" t="s">
        <v>214</v>
      </c>
      <c r="C86" s="105" t="s">
        <v>255</v>
      </c>
      <c r="D86" s="105" t="s">
        <v>467</v>
      </c>
    </row>
    <row r="87" spans="1:4" x14ac:dyDescent="0.3">
      <c r="A87" s="105" t="s">
        <v>215</v>
      </c>
      <c r="B87" s="2080" t="s">
        <v>216</v>
      </c>
      <c r="C87" s="105" t="s">
        <v>251</v>
      </c>
      <c r="D87" s="105" t="s">
        <v>467</v>
      </c>
    </row>
    <row r="88" spans="1:4" x14ac:dyDescent="0.3">
      <c r="A88" s="105" t="s">
        <v>217</v>
      </c>
      <c r="B88" s="2080" t="s">
        <v>218</v>
      </c>
      <c r="C88" s="105" t="s">
        <v>254</v>
      </c>
      <c r="D88" s="105" t="s">
        <v>467</v>
      </c>
    </row>
    <row r="89" spans="1:4" x14ac:dyDescent="0.3">
      <c r="A89" s="105" t="s">
        <v>219</v>
      </c>
      <c r="B89" s="2080" t="s">
        <v>220</v>
      </c>
      <c r="C89" s="105" t="s">
        <v>254</v>
      </c>
      <c r="D89" s="105" t="s">
        <v>467</v>
      </c>
    </row>
    <row r="90" spans="1:4" x14ac:dyDescent="0.3">
      <c r="A90" s="105" t="s">
        <v>223</v>
      </c>
      <c r="B90" s="2080" t="s">
        <v>224</v>
      </c>
      <c r="C90" s="105" t="s">
        <v>251</v>
      </c>
      <c r="D90" s="105" t="s">
        <v>467</v>
      </c>
    </row>
    <row r="91" spans="1:4" x14ac:dyDescent="0.3">
      <c r="A91" s="105" t="s">
        <v>225</v>
      </c>
      <c r="B91" s="2080" t="s">
        <v>226</v>
      </c>
      <c r="C91" s="105" t="s">
        <v>251</v>
      </c>
      <c r="D91" s="105" t="s">
        <v>467</v>
      </c>
    </row>
    <row r="92" spans="1:4" x14ac:dyDescent="0.3">
      <c r="A92" s="105" t="s">
        <v>227</v>
      </c>
      <c r="B92" s="2079" t="s">
        <v>228</v>
      </c>
      <c r="C92" s="105" t="s">
        <v>255</v>
      </c>
      <c r="D92" s="105" t="s">
        <v>466</v>
      </c>
    </row>
    <row r="93" spans="1:4" x14ac:dyDescent="0.3">
      <c r="A93" s="105" t="s">
        <v>231</v>
      </c>
      <c r="B93" s="2080" t="s">
        <v>232</v>
      </c>
      <c r="C93" s="105" t="s">
        <v>254</v>
      </c>
      <c r="D93" s="105" t="s">
        <v>467</v>
      </c>
    </row>
    <row r="94" spans="1:4" x14ac:dyDescent="0.3">
      <c r="A94" s="105" t="s">
        <v>233</v>
      </c>
      <c r="B94" s="2080" t="s">
        <v>234</v>
      </c>
      <c r="C94" s="105" t="s">
        <v>255</v>
      </c>
      <c r="D94" s="105" t="s">
        <v>467</v>
      </c>
    </row>
    <row r="95" spans="1:4" x14ac:dyDescent="0.3">
      <c r="A95" s="105" t="s">
        <v>235</v>
      </c>
      <c r="B95" s="2080" t="s">
        <v>236</v>
      </c>
      <c r="C95" s="105" t="s">
        <v>253</v>
      </c>
      <c r="D95" s="105" t="s">
        <v>467</v>
      </c>
    </row>
    <row r="96" spans="1:4" x14ac:dyDescent="0.3">
      <c r="A96" s="105" t="s">
        <v>241</v>
      </c>
      <c r="B96" s="2080" t="s">
        <v>242</v>
      </c>
      <c r="C96" s="105" t="s">
        <v>255</v>
      </c>
      <c r="D96" s="105" t="s">
        <v>467</v>
      </c>
    </row>
    <row r="97" spans="1:4" x14ac:dyDescent="0.3">
      <c r="A97" s="105" t="s">
        <v>243</v>
      </c>
      <c r="B97" s="2080" t="s">
        <v>244</v>
      </c>
      <c r="C97" s="105" t="s">
        <v>255</v>
      </c>
      <c r="D97" s="105" t="s">
        <v>467</v>
      </c>
    </row>
    <row r="98" spans="1:4" x14ac:dyDescent="0.3">
      <c r="A98" s="105" t="s">
        <v>245</v>
      </c>
      <c r="B98" s="2079" t="s">
        <v>246</v>
      </c>
      <c r="C98" s="105" t="s">
        <v>251</v>
      </c>
      <c r="D98" s="105" t="s">
        <v>466</v>
      </c>
    </row>
    <row r="99" spans="1:4" x14ac:dyDescent="0.3">
      <c r="A99" s="105" t="s">
        <v>13</v>
      </c>
      <c r="B99" s="2079" t="s">
        <v>14</v>
      </c>
      <c r="C99" s="105" t="s">
        <v>254</v>
      </c>
      <c r="D99" s="105" t="s">
        <v>466</v>
      </c>
    </row>
    <row r="100" spans="1:4" x14ac:dyDescent="0.3">
      <c r="A100" s="105" t="s">
        <v>33</v>
      </c>
      <c r="B100" s="2080" t="s">
        <v>34</v>
      </c>
      <c r="C100" s="105" t="s">
        <v>255</v>
      </c>
      <c r="D100" s="105" t="s">
        <v>467</v>
      </c>
    </row>
    <row r="101" spans="1:4" x14ac:dyDescent="0.3">
      <c r="A101" s="105" t="s">
        <v>51</v>
      </c>
      <c r="B101" s="2079" t="s">
        <v>52</v>
      </c>
      <c r="C101" s="105" t="s">
        <v>252</v>
      </c>
      <c r="D101" s="105" t="s">
        <v>466</v>
      </c>
    </row>
    <row r="102" spans="1:4" x14ac:dyDescent="0.3">
      <c r="A102" s="105" t="s">
        <v>53</v>
      </c>
      <c r="B102" s="2080" t="s">
        <v>54</v>
      </c>
      <c r="C102" s="105" t="s">
        <v>251</v>
      </c>
      <c r="D102" s="105" t="s">
        <v>467</v>
      </c>
    </row>
    <row r="103" spans="1:4" x14ac:dyDescent="0.3">
      <c r="A103" s="105" t="s">
        <v>65</v>
      </c>
      <c r="B103" s="2080" t="s">
        <v>66</v>
      </c>
      <c r="C103" s="105" t="s">
        <v>252</v>
      </c>
      <c r="D103" s="105" t="s">
        <v>467</v>
      </c>
    </row>
    <row r="104" spans="1:4" x14ac:dyDescent="0.3">
      <c r="A104" s="105" t="s">
        <v>81</v>
      </c>
      <c r="B104" s="2080" t="s">
        <v>82</v>
      </c>
      <c r="C104" s="105" t="s">
        <v>251</v>
      </c>
      <c r="D104" s="105" t="s">
        <v>467</v>
      </c>
    </row>
    <row r="105" spans="1:4" x14ac:dyDescent="0.3">
      <c r="A105" s="105" t="s">
        <v>87</v>
      </c>
      <c r="B105" s="2080" t="s">
        <v>88</v>
      </c>
      <c r="C105" s="105" t="s">
        <v>254</v>
      </c>
      <c r="D105" s="105" t="s">
        <v>467</v>
      </c>
    </row>
    <row r="106" spans="1:4" x14ac:dyDescent="0.3">
      <c r="A106" s="105" t="s">
        <v>89</v>
      </c>
      <c r="B106" s="2080" t="s">
        <v>90</v>
      </c>
      <c r="C106" s="105" t="s">
        <v>255</v>
      </c>
      <c r="D106" s="105" t="s">
        <v>467</v>
      </c>
    </row>
    <row r="107" spans="1:4" x14ac:dyDescent="0.3">
      <c r="A107" s="105" t="s">
        <v>105</v>
      </c>
      <c r="B107" s="2079" t="s">
        <v>106</v>
      </c>
      <c r="C107" s="105" t="s">
        <v>251</v>
      </c>
      <c r="D107" s="105" t="s">
        <v>466</v>
      </c>
    </row>
    <row r="108" spans="1:4" x14ac:dyDescent="0.3">
      <c r="A108" s="105" t="s">
        <v>115</v>
      </c>
      <c r="B108" s="2080" t="s">
        <v>116</v>
      </c>
      <c r="C108" s="105" t="s">
        <v>253</v>
      </c>
      <c r="D108" s="105" t="s">
        <v>467</v>
      </c>
    </row>
    <row r="109" spans="1:4" x14ac:dyDescent="0.3">
      <c r="A109" s="105" t="s">
        <v>137</v>
      </c>
      <c r="B109" s="2079" t="s">
        <v>138</v>
      </c>
      <c r="C109" s="105" t="s">
        <v>252</v>
      </c>
      <c r="D109" s="105" t="s">
        <v>466</v>
      </c>
    </row>
    <row r="110" spans="1:4" x14ac:dyDescent="0.3">
      <c r="A110" s="105" t="s">
        <v>141</v>
      </c>
      <c r="B110" s="2080" t="s">
        <v>142</v>
      </c>
      <c r="C110" s="105" t="s">
        <v>254</v>
      </c>
      <c r="D110" s="105" t="s">
        <v>467</v>
      </c>
    </row>
    <row r="111" spans="1:4" x14ac:dyDescent="0.3">
      <c r="A111" s="105" t="s">
        <v>143</v>
      </c>
      <c r="B111" s="2080" t="s">
        <v>144</v>
      </c>
      <c r="C111" s="105" t="s">
        <v>254</v>
      </c>
      <c r="D111" s="105" t="s">
        <v>467</v>
      </c>
    </row>
    <row r="112" spans="1:4" x14ac:dyDescent="0.3">
      <c r="A112" s="105" t="s">
        <v>157</v>
      </c>
      <c r="B112" s="2079" t="s">
        <v>158</v>
      </c>
      <c r="C112" s="105" t="s">
        <v>251</v>
      </c>
      <c r="D112" s="105" t="s">
        <v>466</v>
      </c>
    </row>
    <row r="113" spans="1:4" x14ac:dyDescent="0.3">
      <c r="A113" s="105" t="s">
        <v>159</v>
      </c>
      <c r="B113" s="2079" t="s">
        <v>160</v>
      </c>
      <c r="C113" s="105" t="s">
        <v>251</v>
      </c>
      <c r="D113" s="105" t="s">
        <v>466</v>
      </c>
    </row>
    <row r="114" spans="1:4" x14ac:dyDescent="0.3">
      <c r="A114" s="105" t="s">
        <v>165</v>
      </c>
      <c r="B114" s="2080" t="s">
        <v>166</v>
      </c>
      <c r="C114" s="105" t="s">
        <v>255</v>
      </c>
      <c r="D114" s="105" t="s">
        <v>467</v>
      </c>
    </row>
    <row r="115" spans="1:4" x14ac:dyDescent="0.3">
      <c r="A115" s="105" t="s">
        <v>175</v>
      </c>
      <c r="B115" s="2080" t="s">
        <v>176</v>
      </c>
      <c r="C115" s="105" t="s">
        <v>253</v>
      </c>
      <c r="D115" s="105" t="s">
        <v>467</v>
      </c>
    </row>
    <row r="116" spans="1:4" x14ac:dyDescent="0.3">
      <c r="A116" s="105" t="s">
        <v>179</v>
      </c>
      <c r="B116" s="2079" t="s">
        <v>180</v>
      </c>
      <c r="C116" s="105" t="s">
        <v>251</v>
      </c>
      <c r="D116" s="105" t="s">
        <v>466</v>
      </c>
    </row>
    <row r="117" spans="1:4" x14ac:dyDescent="0.3">
      <c r="A117" s="105" t="s">
        <v>191</v>
      </c>
      <c r="B117" s="2080" t="s">
        <v>192</v>
      </c>
      <c r="C117" s="105" t="s">
        <v>255</v>
      </c>
      <c r="D117" s="105" t="s">
        <v>467</v>
      </c>
    </row>
    <row r="118" spans="1:4" x14ac:dyDescent="0.3">
      <c r="A118" s="105" t="s">
        <v>195</v>
      </c>
      <c r="B118" s="2079" t="s">
        <v>196</v>
      </c>
      <c r="C118" s="105" t="s">
        <v>253</v>
      </c>
      <c r="D118" s="105" t="s">
        <v>466</v>
      </c>
    </row>
    <row r="119" spans="1:4" x14ac:dyDescent="0.3">
      <c r="A119" s="105" t="s">
        <v>199</v>
      </c>
      <c r="B119" s="2079" t="s">
        <v>200</v>
      </c>
      <c r="C119" s="105" t="s">
        <v>252</v>
      </c>
      <c r="D119" s="105" t="s">
        <v>466</v>
      </c>
    </row>
    <row r="120" spans="1:4" x14ac:dyDescent="0.3">
      <c r="A120" s="105" t="s">
        <v>221</v>
      </c>
      <c r="B120" s="2079" t="s">
        <v>222</v>
      </c>
      <c r="C120" s="105" t="s">
        <v>251</v>
      </c>
      <c r="D120" s="105" t="s">
        <v>466</v>
      </c>
    </row>
    <row r="121" spans="1:4" x14ac:dyDescent="0.3">
      <c r="A121" s="105" t="s">
        <v>229</v>
      </c>
      <c r="B121" s="2079" t="s">
        <v>230</v>
      </c>
      <c r="C121" s="105" t="s">
        <v>251</v>
      </c>
      <c r="D121" s="105" t="s">
        <v>466</v>
      </c>
    </row>
    <row r="122" spans="1:4" x14ac:dyDescent="0.3">
      <c r="A122" s="105" t="s">
        <v>237</v>
      </c>
      <c r="B122" s="2080" t="s">
        <v>238</v>
      </c>
      <c r="C122" s="105" t="s">
        <v>251</v>
      </c>
      <c r="D122" s="105" t="s">
        <v>467</v>
      </c>
    </row>
    <row r="123" spans="1:4" x14ac:dyDescent="0.3">
      <c r="A123" s="105" t="s">
        <v>239</v>
      </c>
      <c r="B123" s="2080" t="s">
        <v>240</v>
      </c>
      <c r="C123" s="105" t="s">
        <v>254</v>
      </c>
      <c r="D123" s="105" t="s">
        <v>467</v>
      </c>
    </row>
    <row r="125" spans="1:4" x14ac:dyDescent="0.3">
      <c r="C125" s="2" t="s">
        <v>399</v>
      </c>
      <c r="D125" s="261">
        <f>COUNTIF(D4:D123,"Full")</f>
        <v>90</v>
      </c>
    </row>
    <row r="126" spans="1:4" x14ac:dyDescent="0.3">
      <c r="C126" s="2" t="s">
        <v>400</v>
      </c>
      <c r="D126" s="261">
        <f>COUNTIF(D4:D123,"Shared")</f>
        <v>30</v>
      </c>
    </row>
    <row r="128" spans="1:4" x14ac:dyDescent="0.3">
      <c r="A128" s="105" t="s">
        <v>401</v>
      </c>
    </row>
    <row r="129" spans="1:2" x14ac:dyDescent="0.3">
      <c r="A129" s="105" t="s">
        <v>852</v>
      </c>
    </row>
    <row r="131" spans="1:2" s="193" customFormat="1" x14ac:dyDescent="0.3">
      <c r="A131" s="193" t="s">
        <v>247</v>
      </c>
    </row>
    <row r="132" spans="1:2" s="193" customFormat="1" x14ac:dyDescent="0.3">
      <c r="A132" s="194" t="s">
        <v>248</v>
      </c>
      <c r="B132" s="195" t="s">
        <v>249</v>
      </c>
    </row>
  </sheetData>
  <autoFilter ref="A3:D123"/>
  <sortState ref="A4:D123">
    <sortCondition ref="A4:A123"/>
  </sortState>
  <hyperlinks>
    <hyperlink ref="B13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zoomScaleNormal="100" workbookViewId="0">
      <pane xSplit="3" ySplit="4" topLeftCell="D114" activePane="bottomRight" state="frozen"/>
      <selection pane="topRight" activeCell="D1" sqref="D1"/>
      <selection pane="bottomLeft" activeCell="A5" sqref="A5"/>
      <selection pane="bottomRight" activeCell="K128" sqref="K128"/>
    </sheetView>
  </sheetViews>
  <sheetFormatPr defaultColWidth="9" defaultRowHeight="13.8" x14ac:dyDescent="0.3"/>
  <cols>
    <col min="1" max="1" width="9" style="89"/>
    <col min="2" max="2" width="27.69921875" style="89" customWidth="1"/>
    <col min="3" max="3" width="14.19921875" style="89" customWidth="1"/>
    <col min="4" max="4" width="11.296875" style="89" customWidth="1"/>
    <col min="5" max="5" width="12.19921875" style="89" customWidth="1"/>
    <col min="6" max="10" width="11.296875" style="89" customWidth="1"/>
    <col min="11" max="16384" width="9" style="89"/>
  </cols>
  <sheetData>
    <row r="1" spans="1:10" x14ac:dyDescent="0.3">
      <c r="A1" s="3" t="s">
        <v>905</v>
      </c>
      <c r="H1" s="599"/>
    </row>
    <row r="2" spans="1:10" x14ac:dyDescent="0.3">
      <c r="D2" s="599"/>
      <c r="E2" s="599"/>
      <c r="F2" s="599"/>
      <c r="G2" s="599"/>
      <c r="H2" s="599"/>
      <c r="I2" s="599"/>
      <c r="J2" s="599"/>
    </row>
    <row r="3" spans="1:10" ht="28.8" x14ac:dyDescent="0.3">
      <c r="A3" s="918" t="s">
        <v>4</v>
      </c>
      <c r="B3" s="1234" t="s">
        <v>5</v>
      </c>
      <c r="C3" s="1234" t="s">
        <v>250</v>
      </c>
      <c r="D3" s="1235" t="s">
        <v>287</v>
      </c>
      <c r="E3" s="1236" t="s">
        <v>288</v>
      </c>
      <c r="F3" s="1236" t="s">
        <v>289</v>
      </c>
      <c r="G3" s="1763" t="s">
        <v>815</v>
      </c>
      <c r="H3" s="1236" t="s">
        <v>816</v>
      </c>
      <c r="I3" s="1238" t="s">
        <v>262</v>
      </c>
      <c r="J3" s="1237" t="s">
        <v>279</v>
      </c>
    </row>
    <row r="4" spans="1:10" ht="12.75" customHeight="1" x14ac:dyDescent="0.3">
      <c r="A4" s="1239">
        <v>999</v>
      </c>
      <c r="B4" s="1240" t="s">
        <v>8</v>
      </c>
      <c r="C4" s="1241"/>
      <c r="D4" s="1242">
        <f t="shared" ref="D4:I4" si="0">SUM(D5:D124)</f>
        <v>95650681.969999984</v>
      </c>
      <c r="E4" s="1243">
        <f t="shared" si="0"/>
        <v>107113892.43000001</v>
      </c>
      <c r="F4" s="1243">
        <f t="shared" si="0"/>
        <v>0</v>
      </c>
      <c r="G4" s="1243">
        <f t="shared" si="0"/>
        <v>358949.87</v>
      </c>
      <c r="H4" s="1243">
        <f t="shared" si="0"/>
        <v>24662.14000000001</v>
      </c>
      <c r="I4" s="1244">
        <f t="shared" si="0"/>
        <v>203148186.41000003</v>
      </c>
      <c r="J4" s="1244">
        <f>SUM(J5:J124)</f>
        <v>383612.00999999995</v>
      </c>
    </row>
    <row r="5" spans="1:10" s="91" customFormat="1" ht="12.75" customHeight="1" x14ac:dyDescent="0.3">
      <c r="A5" s="1246" t="s">
        <v>9</v>
      </c>
      <c r="B5" s="1247" t="s">
        <v>10</v>
      </c>
      <c r="C5" s="1248" t="s">
        <v>251</v>
      </c>
      <c r="D5" s="1249">
        <v>199823.61000000002</v>
      </c>
      <c r="E5" s="1250">
        <v>247918.18000000002</v>
      </c>
      <c r="F5" s="1250">
        <v>0</v>
      </c>
      <c r="G5" s="1764">
        <v>-9.9999999999999985E-3</v>
      </c>
      <c r="H5" s="1250">
        <v>0</v>
      </c>
      <c r="I5" s="1251">
        <f t="shared" ref="I5:I36" si="1">SUM(D5:H5)</f>
        <v>447741.78</v>
      </c>
      <c r="J5" s="1250">
        <f t="shared" ref="J5:J36" si="2">SUM(F5:H5)</f>
        <v>-9.9999999999999985E-3</v>
      </c>
    </row>
    <row r="6" spans="1:10" s="91" customFormat="1" ht="12.75" customHeight="1" x14ac:dyDescent="0.3">
      <c r="A6" s="915" t="s">
        <v>11</v>
      </c>
      <c r="B6" s="1252" t="s">
        <v>12</v>
      </c>
      <c r="C6" s="1253" t="s">
        <v>252</v>
      </c>
      <c r="D6" s="1254">
        <v>1630531.4</v>
      </c>
      <c r="E6" s="1255">
        <v>1688019.41</v>
      </c>
      <c r="F6" s="1255">
        <v>0</v>
      </c>
      <c r="G6" s="1765">
        <v>33212</v>
      </c>
      <c r="H6" s="1255">
        <v>0</v>
      </c>
      <c r="I6" s="1256">
        <f t="shared" si="1"/>
        <v>3351762.8099999996</v>
      </c>
      <c r="J6" s="1255">
        <f t="shared" si="2"/>
        <v>33212</v>
      </c>
    </row>
    <row r="7" spans="1:10" s="91" customFormat="1" ht="12.75" customHeight="1" x14ac:dyDescent="0.3">
      <c r="A7" s="915" t="s">
        <v>15</v>
      </c>
      <c r="B7" s="1252" t="s">
        <v>273</v>
      </c>
      <c r="C7" s="1253" t="s">
        <v>252</v>
      </c>
      <c r="D7" s="1254">
        <v>115127.22999999998</v>
      </c>
      <c r="E7" s="1255">
        <v>138579.73000000001</v>
      </c>
      <c r="F7" s="1255">
        <v>0</v>
      </c>
      <c r="G7" s="1765">
        <v>-0.1</v>
      </c>
      <c r="H7" s="1255">
        <v>0</v>
      </c>
      <c r="I7" s="1256">
        <f t="shared" si="1"/>
        <v>253706.86</v>
      </c>
      <c r="J7" s="1255">
        <f t="shared" si="2"/>
        <v>-0.1</v>
      </c>
    </row>
    <row r="8" spans="1:10" s="91" customFormat="1" ht="12.75" customHeight="1" x14ac:dyDescent="0.3">
      <c r="A8" s="915" t="s">
        <v>17</v>
      </c>
      <c r="B8" s="1252" t="s">
        <v>18</v>
      </c>
      <c r="C8" s="1253" t="s">
        <v>253</v>
      </c>
      <c r="D8" s="1254">
        <v>25514.48</v>
      </c>
      <c r="E8" s="1255">
        <v>57952.46</v>
      </c>
      <c r="F8" s="1255">
        <v>0</v>
      </c>
      <c r="G8" s="1765">
        <v>0</v>
      </c>
      <c r="H8" s="1255">
        <v>0</v>
      </c>
      <c r="I8" s="1256">
        <f t="shared" si="1"/>
        <v>83466.94</v>
      </c>
      <c r="J8" s="1255">
        <f t="shared" si="2"/>
        <v>0</v>
      </c>
    </row>
    <row r="9" spans="1:10" s="91" customFormat="1" ht="12.75" customHeight="1" x14ac:dyDescent="0.3">
      <c r="A9" s="915" t="s">
        <v>19</v>
      </c>
      <c r="B9" s="1252" t="s">
        <v>20</v>
      </c>
      <c r="C9" s="1253" t="s">
        <v>252</v>
      </c>
      <c r="D9" s="1254">
        <v>259607.59</v>
      </c>
      <c r="E9" s="1255">
        <v>262377.94999999995</v>
      </c>
      <c r="F9" s="1255">
        <v>0</v>
      </c>
      <c r="G9" s="1765">
        <v>5109.42</v>
      </c>
      <c r="H9" s="1255">
        <v>0</v>
      </c>
      <c r="I9" s="1256">
        <f t="shared" si="1"/>
        <v>527094.96</v>
      </c>
      <c r="J9" s="1255">
        <f t="shared" si="2"/>
        <v>5109.42</v>
      </c>
    </row>
    <row r="10" spans="1:10" s="91" customFormat="1" ht="12.75" customHeight="1" x14ac:dyDescent="0.3">
      <c r="A10" s="915" t="s">
        <v>21</v>
      </c>
      <c r="B10" s="1252" t="s">
        <v>22</v>
      </c>
      <c r="C10" s="1253" t="s">
        <v>252</v>
      </c>
      <c r="D10" s="1254">
        <v>234624.27000000002</v>
      </c>
      <c r="E10" s="1255">
        <v>249379.50999999995</v>
      </c>
      <c r="F10" s="1255">
        <v>0</v>
      </c>
      <c r="G10" s="1765">
        <v>405.93</v>
      </c>
      <c r="H10" s="1255">
        <v>0</v>
      </c>
      <c r="I10" s="1256">
        <f t="shared" si="1"/>
        <v>484409.70999999996</v>
      </c>
      <c r="J10" s="1255">
        <f t="shared" si="2"/>
        <v>405.93</v>
      </c>
    </row>
    <row r="11" spans="1:10" s="91" customFormat="1" ht="12.75" customHeight="1" x14ac:dyDescent="0.3">
      <c r="A11" s="915" t="s">
        <v>23</v>
      </c>
      <c r="B11" s="1252" t="s">
        <v>24</v>
      </c>
      <c r="C11" s="1253" t="s">
        <v>254</v>
      </c>
      <c r="D11" s="1254">
        <v>1178981.75</v>
      </c>
      <c r="E11" s="1255">
        <v>1171486.45</v>
      </c>
      <c r="F11" s="1255">
        <v>0</v>
      </c>
      <c r="G11" s="1765">
        <v>61.640000000000008</v>
      </c>
      <c r="H11" s="1255">
        <v>0</v>
      </c>
      <c r="I11" s="1256">
        <f t="shared" si="1"/>
        <v>2350529.8400000003</v>
      </c>
      <c r="J11" s="1255">
        <f t="shared" si="2"/>
        <v>61.640000000000008</v>
      </c>
    </row>
    <row r="12" spans="1:10" s="91" customFormat="1" ht="12.75" customHeight="1" x14ac:dyDescent="0.3">
      <c r="A12" s="915" t="s">
        <v>25</v>
      </c>
      <c r="B12" s="1252" t="s">
        <v>444</v>
      </c>
      <c r="C12" s="1253" t="s">
        <v>252</v>
      </c>
      <c r="D12" s="1254">
        <v>2931865.91</v>
      </c>
      <c r="E12" s="1255">
        <v>3033967.78</v>
      </c>
      <c r="F12" s="1255">
        <v>0</v>
      </c>
      <c r="G12" s="1765">
        <v>-0.77</v>
      </c>
      <c r="H12" s="1255">
        <v>0</v>
      </c>
      <c r="I12" s="1256">
        <f t="shared" si="1"/>
        <v>5965832.9199999999</v>
      </c>
      <c r="J12" s="1255">
        <f t="shared" si="2"/>
        <v>-0.77</v>
      </c>
    </row>
    <row r="13" spans="1:10" s="91" customFormat="1" ht="12.75" customHeight="1" x14ac:dyDescent="0.3">
      <c r="A13" s="915" t="s">
        <v>26</v>
      </c>
      <c r="B13" s="1252" t="s">
        <v>27</v>
      </c>
      <c r="C13" s="1253" t="s">
        <v>252</v>
      </c>
      <c r="D13" s="1254">
        <v>46185.13</v>
      </c>
      <c r="E13" s="1255">
        <v>37502.129999999997</v>
      </c>
      <c r="F13" s="1255">
        <v>0</v>
      </c>
      <c r="G13" s="1765">
        <v>-0.01</v>
      </c>
      <c r="H13" s="1255">
        <v>0</v>
      </c>
      <c r="I13" s="1256">
        <f t="shared" si="1"/>
        <v>83687.25</v>
      </c>
      <c r="J13" s="1255">
        <f t="shared" si="2"/>
        <v>-0.01</v>
      </c>
    </row>
    <row r="14" spans="1:10" s="91" customFormat="1" ht="12.75" customHeight="1" x14ac:dyDescent="0.3">
      <c r="A14" s="915" t="s">
        <v>28</v>
      </c>
      <c r="B14" s="1252" t="s">
        <v>568</v>
      </c>
      <c r="C14" s="1253" t="s">
        <v>252</v>
      </c>
      <c r="D14" s="1254">
        <v>1169487.58</v>
      </c>
      <c r="E14" s="1255">
        <v>1400522.98</v>
      </c>
      <c r="F14" s="1255">
        <v>0</v>
      </c>
      <c r="G14" s="1765">
        <v>-0.18</v>
      </c>
      <c r="H14" s="1255">
        <v>0</v>
      </c>
      <c r="I14" s="1256">
        <f t="shared" si="1"/>
        <v>2570010.38</v>
      </c>
      <c r="J14" s="1255">
        <f t="shared" si="2"/>
        <v>-0.18</v>
      </c>
    </row>
    <row r="15" spans="1:10" s="91" customFormat="1" ht="12.75" customHeight="1" x14ac:dyDescent="0.3">
      <c r="A15" s="915" t="s">
        <v>29</v>
      </c>
      <c r="B15" s="1252" t="s">
        <v>30</v>
      </c>
      <c r="C15" s="1253" t="s">
        <v>255</v>
      </c>
      <c r="D15" s="1254">
        <v>83981.55</v>
      </c>
      <c r="E15" s="1255">
        <v>102644.44</v>
      </c>
      <c r="F15" s="1255">
        <v>0</v>
      </c>
      <c r="G15" s="1765">
        <v>-0.05</v>
      </c>
      <c r="H15" s="1255">
        <v>0</v>
      </c>
      <c r="I15" s="1256">
        <f t="shared" si="1"/>
        <v>186625.94</v>
      </c>
      <c r="J15" s="1255">
        <f t="shared" si="2"/>
        <v>-0.05</v>
      </c>
    </row>
    <row r="16" spans="1:10" s="91" customFormat="1" ht="12.75" customHeight="1" x14ac:dyDescent="0.3">
      <c r="A16" s="915" t="s">
        <v>31</v>
      </c>
      <c r="B16" s="1252" t="s">
        <v>32</v>
      </c>
      <c r="C16" s="1253" t="s">
        <v>252</v>
      </c>
      <c r="D16" s="1254">
        <v>262966.21999999997</v>
      </c>
      <c r="E16" s="1255">
        <v>265598.42</v>
      </c>
      <c r="F16" s="1255">
        <v>0</v>
      </c>
      <c r="G16" s="1765">
        <v>-0.09</v>
      </c>
      <c r="H16" s="1255">
        <v>0</v>
      </c>
      <c r="I16" s="1256">
        <f t="shared" si="1"/>
        <v>528564.54999999993</v>
      </c>
      <c r="J16" s="1255">
        <f t="shared" si="2"/>
        <v>-0.09</v>
      </c>
    </row>
    <row r="17" spans="1:10" s="91" customFormat="1" ht="12.75" customHeight="1" x14ac:dyDescent="0.3">
      <c r="A17" s="915" t="s">
        <v>35</v>
      </c>
      <c r="B17" s="1252" t="s">
        <v>36</v>
      </c>
      <c r="C17" s="1253" t="s">
        <v>251</v>
      </c>
      <c r="D17" s="1254">
        <v>83456.539999999994</v>
      </c>
      <c r="E17" s="1255">
        <v>75977.47</v>
      </c>
      <c r="F17" s="1255">
        <v>0</v>
      </c>
      <c r="G17" s="1765">
        <v>81.99</v>
      </c>
      <c r="H17" s="1255">
        <v>0</v>
      </c>
      <c r="I17" s="1256">
        <f t="shared" si="1"/>
        <v>159516</v>
      </c>
      <c r="J17" s="1255">
        <f t="shared" si="2"/>
        <v>81.99</v>
      </c>
    </row>
    <row r="18" spans="1:10" s="91" customFormat="1" ht="12.75" customHeight="1" x14ac:dyDescent="0.3">
      <c r="A18" s="915" t="s">
        <v>37</v>
      </c>
      <c r="B18" s="1252" t="s">
        <v>38</v>
      </c>
      <c r="C18" s="1253" t="s">
        <v>255</v>
      </c>
      <c r="D18" s="1254">
        <v>1168075.4699999997</v>
      </c>
      <c r="E18" s="1255">
        <v>1253109.43</v>
      </c>
      <c r="F18" s="1255">
        <v>0</v>
      </c>
      <c r="G18" s="1765">
        <v>19952.250000000004</v>
      </c>
      <c r="H18" s="1255">
        <v>0</v>
      </c>
      <c r="I18" s="1256">
        <f t="shared" si="1"/>
        <v>2441137.1499999994</v>
      </c>
      <c r="J18" s="1255">
        <f t="shared" si="2"/>
        <v>19952.250000000004</v>
      </c>
    </row>
    <row r="19" spans="1:10" s="91" customFormat="1" ht="12.75" customHeight="1" x14ac:dyDescent="0.3">
      <c r="A19" s="915" t="s">
        <v>39</v>
      </c>
      <c r="B19" s="1252" t="s">
        <v>40</v>
      </c>
      <c r="C19" s="1253" t="s">
        <v>253</v>
      </c>
      <c r="D19" s="1254">
        <v>205376.32</v>
      </c>
      <c r="E19" s="1255">
        <v>221143.06</v>
      </c>
      <c r="F19" s="1255">
        <v>0</v>
      </c>
      <c r="G19" s="1765">
        <v>-0.04</v>
      </c>
      <c r="H19" s="1255">
        <v>0</v>
      </c>
      <c r="I19" s="1256">
        <f t="shared" si="1"/>
        <v>426519.34</v>
      </c>
      <c r="J19" s="1255">
        <f t="shared" si="2"/>
        <v>-0.04</v>
      </c>
    </row>
    <row r="20" spans="1:10" s="91" customFormat="1" ht="12.75" customHeight="1" x14ac:dyDescent="0.3">
      <c r="A20" s="915" t="s">
        <v>41</v>
      </c>
      <c r="B20" s="1252" t="s">
        <v>42</v>
      </c>
      <c r="C20" s="1253" t="s">
        <v>252</v>
      </c>
      <c r="D20" s="1254">
        <v>1067593.1799999997</v>
      </c>
      <c r="E20" s="1255">
        <v>1328138.31</v>
      </c>
      <c r="F20" s="1255">
        <v>0</v>
      </c>
      <c r="G20" s="1765">
        <v>-0.17</v>
      </c>
      <c r="H20" s="1255">
        <v>2047.81</v>
      </c>
      <c r="I20" s="1256">
        <f t="shared" si="1"/>
        <v>2397779.13</v>
      </c>
      <c r="J20" s="1255">
        <f t="shared" si="2"/>
        <v>2047.6399999999999</v>
      </c>
    </row>
    <row r="21" spans="1:10" s="91" customFormat="1" ht="12.75" customHeight="1" x14ac:dyDescent="0.3">
      <c r="A21" s="915" t="s">
        <v>43</v>
      </c>
      <c r="B21" s="1252" t="s">
        <v>44</v>
      </c>
      <c r="C21" s="1253" t="s">
        <v>253</v>
      </c>
      <c r="D21" s="1254">
        <v>288356.15999999997</v>
      </c>
      <c r="E21" s="1255">
        <v>300631.21999999997</v>
      </c>
      <c r="F21" s="1255">
        <v>0</v>
      </c>
      <c r="G21" s="1765">
        <v>39.799999999999997</v>
      </c>
      <c r="H21" s="1255">
        <v>0</v>
      </c>
      <c r="I21" s="1256">
        <f t="shared" si="1"/>
        <v>589027.17999999993</v>
      </c>
      <c r="J21" s="1255">
        <f t="shared" si="2"/>
        <v>39.799999999999997</v>
      </c>
    </row>
    <row r="22" spans="1:10" s="91" customFormat="1" ht="12.75" customHeight="1" x14ac:dyDescent="0.3">
      <c r="A22" s="915" t="s">
        <v>45</v>
      </c>
      <c r="B22" s="1252" t="s">
        <v>46</v>
      </c>
      <c r="C22" s="1253" t="s">
        <v>255</v>
      </c>
      <c r="D22" s="1254">
        <v>1004068.42</v>
      </c>
      <c r="E22" s="1255">
        <v>1036626.75</v>
      </c>
      <c r="F22" s="1255">
        <v>0</v>
      </c>
      <c r="G22" s="1765">
        <v>46.93</v>
      </c>
      <c r="H22" s="1255">
        <v>0</v>
      </c>
      <c r="I22" s="1256">
        <f t="shared" si="1"/>
        <v>2040742.0999999999</v>
      </c>
      <c r="J22" s="1255">
        <f t="shared" si="2"/>
        <v>46.93</v>
      </c>
    </row>
    <row r="23" spans="1:10" s="91" customFormat="1" ht="12.75" customHeight="1" x14ac:dyDescent="0.3">
      <c r="A23" s="915" t="s">
        <v>47</v>
      </c>
      <c r="B23" s="1252" t="s">
        <v>256</v>
      </c>
      <c r="C23" s="1253" t="s">
        <v>253</v>
      </c>
      <c r="D23" s="1254">
        <v>19574.22</v>
      </c>
      <c r="E23" s="1255">
        <v>22866.78</v>
      </c>
      <c r="F23" s="1255">
        <v>0</v>
      </c>
      <c r="G23" s="1765">
        <v>2487.91</v>
      </c>
      <c r="H23" s="1255">
        <v>0</v>
      </c>
      <c r="I23" s="1256">
        <f t="shared" si="1"/>
        <v>44928.91</v>
      </c>
      <c r="J23" s="1255">
        <f t="shared" si="2"/>
        <v>2487.91</v>
      </c>
    </row>
    <row r="24" spans="1:10" s="91" customFormat="1" ht="12.75" customHeight="1" x14ac:dyDescent="0.3">
      <c r="A24" s="915" t="s">
        <v>49</v>
      </c>
      <c r="B24" s="1252" t="s">
        <v>50</v>
      </c>
      <c r="C24" s="1253" t="s">
        <v>252</v>
      </c>
      <c r="D24" s="1254">
        <v>289177.32</v>
      </c>
      <c r="E24" s="1255">
        <v>277347.98</v>
      </c>
      <c r="F24" s="1255">
        <v>0</v>
      </c>
      <c r="G24" s="1765">
        <v>-0.11</v>
      </c>
      <c r="H24" s="1255">
        <v>0</v>
      </c>
      <c r="I24" s="1256">
        <f t="shared" si="1"/>
        <v>566525.19000000006</v>
      </c>
      <c r="J24" s="1255">
        <f t="shared" si="2"/>
        <v>-0.11</v>
      </c>
    </row>
    <row r="25" spans="1:10" s="91" customFormat="1" ht="12.75" customHeight="1" x14ac:dyDescent="0.3">
      <c r="A25" s="915" t="s">
        <v>55</v>
      </c>
      <c r="B25" s="1252" t="s">
        <v>271</v>
      </c>
      <c r="C25" s="1253" t="s">
        <v>253</v>
      </c>
      <c r="D25" s="1254">
        <v>2017313.28</v>
      </c>
      <c r="E25" s="1255">
        <v>2236124.1999999997</v>
      </c>
      <c r="F25" s="1255">
        <v>0</v>
      </c>
      <c r="G25" s="1765">
        <v>-0.41000000000000009</v>
      </c>
      <c r="H25" s="1255">
        <v>7074.28</v>
      </c>
      <c r="I25" s="1256">
        <f t="shared" si="1"/>
        <v>4260511.3499999996</v>
      </c>
      <c r="J25" s="1255">
        <f t="shared" si="2"/>
        <v>7073.87</v>
      </c>
    </row>
    <row r="26" spans="1:10" s="91" customFormat="1" ht="12.75" customHeight="1" x14ac:dyDescent="0.3">
      <c r="A26" s="915" t="s">
        <v>57</v>
      </c>
      <c r="B26" s="1252" t="s">
        <v>58</v>
      </c>
      <c r="C26" s="1253" t="s">
        <v>254</v>
      </c>
      <c r="D26" s="1254">
        <v>57812.03</v>
      </c>
      <c r="E26" s="1255">
        <v>137876.9</v>
      </c>
      <c r="F26" s="1255">
        <v>0</v>
      </c>
      <c r="G26" s="1765">
        <v>-0.01</v>
      </c>
      <c r="H26" s="1255">
        <v>0</v>
      </c>
      <c r="I26" s="1256">
        <f t="shared" si="1"/>
        <v>195688.91999999998</v>
      </c>
      <c r="J26" s="1255">
        <f t="shared" si="2"/>
        <v>-0.01</v>
      </c>
    </row>
    <row r="27" spans="1:10" s="91" customFormat="1" ht="12.75" customHeight="1" x14ac:dyDescent="0.3">
      <c r="A27" s="915" t="s">
        <v>59</v>
      </c>
      <c r="B27" s="1252" t="s">
        <v>60</v>
      </c>
      <c r="C27" s="1253" t="s">
        <v>252</v>
      </c>
      <c r="D27" s="1254">
        <v>210891.68</v>
      </c>
      <c r="E27" s="1255">
        <v>226209.13</v>
      </c>
      <c r="F27" s="1255">
        <v>0</v>
      </c>
      <c r="G27" s="1765">
        <v>-0.06</v>
      </c>
      <c r="H27" s="1255">
        <v>5152</v>
      </c>
      <c r="I27" s="1256">
        <f t="shared" si="1"/>
        <v>442252.75</v>
      </c>
      <c r="J27" s="1255">
        <f t="shared" si="2"/>
        <v>5151.9399999999996</v>
      </c>
    </row>
    <row r="28" spans="1:10" s="91" customFormat="1" ht="12.75" customHeight="1" x14ac:dyDescent="0.3">
      <c r="A28" s="915" t="s">
        <v>61</v>
      </c>
      <c r="B28" s="1252" t="s">
        <v>62</v>
      </c>
      <c r="C28" s="1253" t="s">
        <v>254</v>
      </c>
      <c r="D28" s="1254">
        <v>841251.93</v>
      </c>
      <c r="E28" s="1255">
        <v>946417.8899999999</v>
      </c>
      <c r="F28" s="1255">
        <v>0</v>
      </c>
      <c r="G28" s="1765">
        <v>-0.15</v>
      </c>
      <c r="H28" s="1255">
        <v>0</v>
      </c>
      <c r="I28" s="1256">
        <f t="shared" si="1"/>
        <v>1787669.67</v>
      </c>
      <c r="J28" s="1255">
        <f t="shared" si="2"/>
        <v>-0.15</v>
      </c>
    </row>
    <row r="29" spans="1:10" s="91" customFormat="1" ht="12.75" customHeight="1" x14ac:dyDescent="0.3">
      <c r="A29" s="915" t="s">
        <v>63</v>
      </c>
      <c r="B29" s="1252" t="s">
        <v>64</v>
      </c>
      <c r="C29" s="1253" t="s">
        <v>253</v>
      </c>
      <c r="D29" s="1254">
        <v>134940.07</v>
      </c>
      <c r="E29" s="1255">
        <v>128061.43</v>
      </c>
      <c r="F29" s="1255">
        <v>0</v>
      </c>
      <c r="G29" s="1765">
        <v>-0.02</v>
      </c>
      <c r="H29" s="1255">
        <v>0</v>
      </c>
      <c r="I29" s="1256">
        <f t="shared" si="1"/>
        <v>263001.48</v>
      </c>
      <c r="J29" s="1255">
        <f t="shared" si="2"/>
        <v>-0.02</v>
      </c>
    </row>
    <row r="30" spans="1:10" s="91" customFormat="1" ht="12.75" customHeight="1" x14ac:dyDescent="0.3">
      <c r="A30" s="915" t="s">
        <v>67</v>
      </c>
      <c r="B30" s="1252" t="s">
        <v>68</v>
      </c>
      <c r="C30" s="1253" t="s">
        <v>255</v>
      </c>
      <c r="D30" s="1254">
        <v>916889.82</v>
      </c>
      <c r="E30" s="1255">
        <v>1211917.7600000002</v>
      </c>
      <c r="F30" s="1255">
        <v>0</v>
      </c>
      <c r="G30" s="1765">
        <v>6761.06</v>
      </c>
      <c r="H30" s="1255">
        <v>0</v>
      </c>
      <c r="I30" s="1256">
        <f t="shared" si="1"/>
        <v>2135568.64</v>
      </c>
      <c r="J30" s="1255">
        <f t="shared" si="2"/>
        <v>6761.06</v>
      </c>
    </row>
    <row r="31" spans="1:10" s="91" customFormat="1" ht="12.75" customHeight="1" x14ac:dyDescent="0.3">
      <c r="A31" s="915" t="s">
        <v>69</v>
      </c>
      <c r="B31" s="1252" t="s">
        <v>70</v>
      </c>
      <c r="C31" s="1253" t="s">
        <v>251</v>
      </c>
      <c r="D31" s="1254">
        <v>238771.8</v>
      </c>
      <c r="E31" s="1255">
        <v>223950.03000000003</v>
      </c>
      <c r="F31" s="1255">
        <v>0</v>
      </c>
      <c r="G31" s="1765">
        <v>9097.92</v>
      </c>
      <c r="H31" s="1255">
        <v>0</v>
      </c>
      <c r="I31" s="1256">
        <f t="shared" si="1"/>
        <v>471819.75</v>
      </c>
      <c r="J31" s="1255">
        <f t="shared" si="2"/>
        <v>9097.92</v>
      </c>
    </row>
    <row r="32" spans="1:10" s="91" customFormat="1" ht="12.75" customHeight="1" x14ac:dyDescent="0.3">
      <c r="A32" s="915" t="s">
        <v>71</v>
      </c>
      <c r="B32" s="1252" t="s">
        <v>72</v>
      </c>
      <c r="C32" s="1253" t="s">
        <v>253</v>
      </c>
      <c r="D32" s="1254">
        <v>202932.61</v>
      </c>
      <c r="E32" s="1255">
        <v>197528.50000000003</v>
      </c>
      <c r="F32" s="1255">
        <v>0</v>
      </c>
      <c r="G32" s="1765">
        <v>40.760000000000005</v>
      </c>
      <c r="H32" s="1255">
        <v>0</v>
      </c>
      <c r="I32" s="1256">
        <f t="shared" si="1"/>
        <v>400501.87</v>
      </c>
      <c r="J32" s="1255">
        <f t="shared" si="2"/>
        <v>40.760000000000005</v>
      </c>
    </row>
    <row r="33" spans="1:10" s="91" customFormat="1" ht="12.75" customHeight="1" x14ac:dyDescent="0.3">
      <c r="A33" s="915" t="s">
        <v>73</v>
      </c>
      <c r="B33" s="1252" t="s">
        <v>277</v>
      </c>
      <c r="C33" s="1253" t="s">
        <v>254</v>
      </c>
      <c r="D33" s="1254">
        <v>4440707.5600000005</v>
      </c>
      <c r="E33" s="1255">
        <v>5060272.04</v>
      </c>
      <c r="F33" s="1255">
        <v>0</v>
      </c>
      <c r="G33" s="1765">
        <v>-0.7</v>
      </c>
      <c r="H33" s="1255">
        <v>-22083.16</v>
      </c>
      <c r="I33" s="1256">
        <f t="shared" si="1"/>
        <v>9478895.7400000021</v>
      </c>
      <c r="J33" s="1255">
        <f t="shared" si="2"/>
        <v>-22083.86</v>
      </c>
    </row>
    <row r="34" spans="1:10" s="91" customFormat="1" ht="12.75" customHeight="1" x14ac:dyDescent="0.3">
      <c r="A34" s="915" t="s">
        <v>75</v>
      </c>
      <c r="B34" s="1252" t="s">
        <v>76</v>
      </c>
      <c r="C34" s="1253" t="s">
        <v>254</v>
      </c>
      <c r="D34" s="1254">
        <v>986581.11</v>
      </c>
      <c r="E34" s="1255">
        <v>1031607.6</v>
      </c>
      <c r="F34" s="1255">
        <v>0</v>
      </c>
      <c r="G34" s="1765">
        <v>-0.23</v>
      </c>
      <c r="H34" s="1255">
        <v>0</v>
      </c>
      <c r="I34" s="1256">
        <f t="shared" si="1"/>
        <v>2018188.48</v>
      </c>
      <c r="J34" s="1255">
        <f t="shared" si="2"/>
        <v>-0.23</v>
      </c>
    </row>
    <row r="35" spans="1:10" s="91" customFormat="1" ht="12.75" customHeight="1" x14ac:dyDescent="0.3">
      <c r="A35" s="915" t="s">
        <v>77</v>
      </c>
      <c r="B35" s="1252" t="s">
        <v>78</v>
      </c>
      <c r="C35" s="1253" t="s">
        <v>255</v>
      </c>
      <c r="D35" s="1254">
        <v>372829.86000000004</v>
      </c>
      <c r="E35" s="1255">
        <v>352871.37</v>
      </c>
      <c r="F35" s="1255">
        <v>0</v>
      </c>
      <c r="G35" s="1765">
        <v>19.91</v>
      </c>
      <c r="H35" s="1255">
        <v>0</v>
      </c>
      <c r="I35" s="1256">
        <f t="shared" si="1"/>
        <v>725721.14</v>
      </c>
      <c r="J35" s="1255">
        <f t="shared" si="2"/>
        <v>19.91</v>
      </c>
    </row>
    <row r="36" spans="1:10" s="91" customFormat="1" ht="12.75" customHeight="1" x14ac:dyDescent="0.3">
      <c r="A36" s="915" t="s">
        <v>79</v>
      </c>
      <c r="B36" s="1252" t="s">
        <v>80</v>
      </c>
      <c r="C36" s="1253" t="s">
        <v>253</v>
      </c>
      <c r="D36" s="1254">
        <v>319420.61</v>
      </c>
      <c r="E36" s="1255">
        <v>341328.81</v>
      </c>
      <c r="F36" s="1255">
        <v>0</v>
      </c>
      <c r="G36" s="1765">
        <v>-0.13</v>
      </c>
      <c r="H36" s="1255">
        <v>0</v>
      </c>
      <c r="I36" s="1256">
        <f t="shared" si="1"/>
        <v>660749.28999999992</v>
      </c>
      <c r="J36" s="1255">
        <f t="shared" si="2"/>
        <v>-0.13</v>
      </c>
    </row>
    <row r="37" spans="1:10" s="91" customFormat="1" ht="12.75" customHeight="1" x14ac:dyDescent="0.3">
      <c r="A37" s="915" t="s">
        <v>83</v>
      </c>
      <c r="B37" s="1252" t="s">
        <v>281</v>
      </c>
      <c r="C37" s="1253" t="s">
        <v>252</v>
      </c>
      <c r="D37" s="1254">
        <v>1529557.59</v>
      </c>
      <c r="E37" s="1255">
        <v>1521574.87</v>
      </c>
      <c r="F37" s="1255">
        <v>0</v>
      </c>
      <c r="G37" s="1765">
        <v>-0.11000000000000001</v>
      </c>
      <c r="H37" s="1255">
        <v>0</v>
      </c>
      <c r="I37" s="1256">
        <f t="shared" ref="I37:I68" si="3">SUM(D37:H37)</f>
        <v>3051132.35</v>
      </c>
      <c r="J37" s="1255">
        <f t="shared" ref="J37:J68" si="4">SUM(F37:H37)</f>
        <v>-0.11000000000000001</v>
      </c>
    </row>
    <row r="38" spans="1:10" s="91" customFormat="1" ht="12.75" customHeight="1" x14ac:dyDescent="0.3">
      <c r="A38" s="915" t="s">
        <v>85</v>
      </c>
      <c r="B38" s="1252" t="s">
        <v>86</v>
      </c>
      <c r="C38" s="1253" t="s">
        <v>254</v>
      </c>
      <c r="D38" s="1254">
        <v>870335.25</v>
      </c>
      <c r="E38" s="1255">
        <v>808099.29999999993</v>
      </c>
      <c r="F38" s="1255">
        <v>0</v>
      </c>
      <c r="G38" s="1765">
        <v>-0.15000000000000002</v>
      </c>
      <c r="H38" s="1255">
        <v>0</v>
      </c>
      <c r="I38" s="1256">
        <f t="shared" si="3"/>
        <v>1678434.4</v>
      </c>
      <c r="J38" s="1255">
        <f t="shared" si="4"/>
        <v>-0.15000000000000002</v>
      </c>
    </row>
    <row r="39" spans="1:10" s="91" customFormat="1" ht="12.75" customHeight="1" x14ac:dyDescent="0.3">
      <c r="A39" s="915" t="s">
        <v>91</v>
      </c>
      <c r="B39" s="1252" t="s">
        <v>92</v>
      </c>
      <c r="C39" s="1253" t="s">
        <v>255</v>
      </c>
      <c r="D39" s="1254">
        <v>881563.63</v>
      </c>
      <c r="E39" s="1255">
        <v>876450.77</v>
      </c>
      <c r="F39" s="1255">
        <v>0</v>
      </c>
      <c r="G39" s="1765">
        <v>-0.08</v>
      </c>
      <c r="H39" s="1255">
        <v>0</v>
      </c>
      <c r="I39" s="1256">
        <f t="shared" si="3"/>
        <v>1758014.3199999998</v>
      </c>
      <c r="J39" s="1255">
        <f t="shared" si="4"/>
        <v>-0.08</v>
      </c>
    </row>
    <row r="40" spans="1:10" s="91" customFormat="1" ht="12.75" customHeight="1" x14ac:dyDescent="0.3">
      <c r="A40" s="915" t="s">
        <v>93</v>
      </c>
      <c r="B40" s="1252" t="s">
        <v>94</v>
      </c>
      <c r="C40" s="1253" t="s">
        <v>251</v>
      </c>
      <c r="D40" s="1254">
        <v>364365.26999999996</v>
      </c>
      <c r="E40" s="1255">
        <v>687306.64</v>
      </c>
      <c r="F40" s="1255">
        <v>0</v>
      </c>
      <c r="G40" s="1765">
        <v>-0.15000000000000002</v>
      </c>
      <c r="H40" s="1255">
        <v>0</v>
      </c>
      <c r="I40" s="1256">
        <f t="shared" si="3"/>
        <v>1051671.76</v>
      </c>
      <c r="J40" s="1255">
        <f t="shared" si="4"/>
        <v>-0.15000000000000002</v>
      </c>
    </row>
    <row r="41" spans="1:10" s="91" customFormat="1" ht="12.75" customHeight="1" x14ac:dyDescent="0.3">
      <c r="A41" s="915" t="s">
        <v>95</v>
      </c>
      <c r="B41" s="1252" t="s">
        <v>96</v>
      </c>
      <c r="C41" s="1253" t="s">
        <v>253</v>
      </c>
      <c r="D41" s="1254">
        <v>155267.49</v>
      </c>
      <c r="E41" s="1255">
        <v>168580.85</v>
      </c>
      <c r="F41" s="1255">
        <v>0</v>
      </c>
      <c r="G41" s="1765">
        <v>-6.0000000000000005E-2</v>
      </c>
      <c r="H41" s="1255">
        <v>0</v>
      </c>
      <c r="I41" s="1256">
        <f t="shared" si="3"/>
        <v>323848.27999999997</v>
      </c>
      <c r="J41" s="1255">
        <f t="shared" si="4"/>
        <v>-6.0000000000000005E-2</v>
      </c>
    </row>
    <row r="42" spans="1:10" s="91" customFormat="1" ht="12.75" customHeight="1" x14ac:dyDescent="0.3">
      <c r="A42" s="915" t="s">
        <v>97</v>
      </c>
      <c r="B42" s="1252" t="s">
        <v>98</v>
      </c>
      <c r="C42" s="1253" t="s">
        <v>255</v>
      </c>
      <c r="D42" s="1254">
        <v>412281.01</v>
      </c>
      <c r="E42" s="1255">
        <v>396885.12000000005</v>
      </c>
      <c r="F42" s="1255">
        <v>0</v>
      </c>
      <c r="G42" s="1765">
        <v>-0.1</v>
      </c>
      <c r="H42" s="1255">
        <v>0</v>
      </c>
      <c r="I42" s="1256">
        <f t="shared" si="3"/>
        <v>809166.03000000014</v>
      </c>
      <c r="J42" s="1255">
        <f t="shared" si="4"/>
        <v>-0.1</v>
      </c>
    </row>
    <row r="43" spans="1:10" s="91" customFormat="1" ht="12.75" customHeight="1" x14ac:dyDescent="0.3">
      <c r="A43" s="915" t="s">
        <v>99</v>
      </c>
      <c r="B43" s="1252" t="s">
        <v>100</v>
      </c>
      <c r="C43" s="1253" t="s">
        <v>254</v>
      </c>
      <c r="D43" s="1254">
        <v>75137.66</v>
      </c>
      <c r="E43" s="1255">
        <v>83432.160000000003</v>
      </c>
      <c r="F43" s="1255">
        <v>0</v>
      </c>
      <c r="G43" s="1765">
        <v>-0.04</v>
      </c>
      <c r="H43" s="1255">
        <v>0</v>
      </c>
      <c r="I43" s="1256">
        <f t="shared" si="3"/>
        <v>158569.78</v>
      </c>
      <c r="J43" s="1255">
        <f t="shared" si="4"/>
        <v>-0.04</v>
      </c>
    </row>
    <row r="44" spans="1:10" s="91" customFormat="1" ht="12.75" customHeight="1" x14ac:dyDescent="0.3">
      <c r="A44" s="915" t="s">
        <v>101</v>
      </c>
      <c r="B44" s="1252" t="s">
        <v>102</v>
      </c>
      <c r="C44" s="1253" t="s">
        <v>251</v>
      </c>
      <c r="D44" s="1254">
        <v>196312.98</v>
      </c>
      <c r="E44" s="1255">
        <v>207846.2</v>
      </c>
      <c r="F44" s="1255">
        <v>0</v>
      </c>
      <c r="G44" s="1765">
        <v>-0.03</v>
      </c>
      <c r="H44" s="1255">
        <v>0</v>
      </c>
      <c r="I44" s="1256">
        <f t="shared" si="3"/>
        <v>404159.15</v>
      </c>
      <c r="J44" s="1255">
        <f t="shared" si="4"/>
        <v>-0.03</v>
      </c>
    </row>
    <row r="45" spans="1:10" s="91" customFormat="1" ht="12.75" customHeight="1" x14ac:dyDescent="0.3">
      <c r="A45" s="915" t="s">
        <v>103</v>
      </c>
      <c r="B45" s="1252" t="s">
        <v>282</v>
      </c>
      <c r="C45" s="1253" t="s">
        <v>252</v>
      </c>
      <c r="D45" s="1254">
        <v>481987.38</v>
      </c>
      <c r="E45" s="1255">
        <v>468085.56</v>
      </c>
      <c r="F45" s="1255">
        <v>0</v>
      </c>
      <c r="G45" s="1765">
        <v>-0.06</v>
      </c>
      <c r="H45" s="1255">
        <v>0</v>
      </c>
      <c r="I45" s="1256">
        <f t="shared" si="3"/>
        <v>950072.87999999989</v>
      </c>
      <c r="J45" s="1255">
        <f t="shared" si="4"/>
        <v>-0.06</v>
      </c>
    </row>
    <row r="46" spans="1:10" s="91" customFormat="1" ht="12.75" customHeight="1" x14ac:dyDescent="0.3">
      <c r="A46" s="915" t="s">
        <v>107</v>
      </c>
      <c r="B46" s="1252" t="s">
        <v>108</v>
      </c>
      <c r="C46" s="1253" t="s">
        <v>253</v>
      </c>
      <c r="D46" s="1254">
        <v>522107.52</v>
      </c>
      <c r="E46" s="1255">
        <v>546092.15999999992</v>
      </c>
      <c r="F46" s="1255">
        <v>0</v>
      </c>
      <c r="G46" s="1765">
        <v>583.21</v>
      </c>
      <c r="H46" s="1255">
        <v>0</v>
      </c>
      <c r="I46" s="1256">
        <f t="shared" si="3"/>
        <v>1068782.8899999999</v>
      </c>
      <c r="J46" s="1255">
        <f t="shared" si="4"/>
        <v>583.21</v>
      </c>
    </row>
    <row r="47" spans="1:10" s="91" customFormat="1" ht="12.75" customHeight="1" x14ac:dyDescent="0.3">
      <c r="A47" s="915" t="s">
        <v>109</v>
      </c>
      <c r="B47" s="1252" t="s">
        <v>110</v>
      </c>
      <c r="C47" s="1253" t="s">
        <v>253</v>
      </c>
      <c r="D47" s="1254">
        <v>1806835.0399999998</v>
      </c>
      <c r="E47" s="1255">
        <v>1869702.99</v>
      </c>
      <c r="F47" s="1255">
        <v>0</v>
      </c>
      <c r="G47" s="1765">
        <v>57603.55</v>
      </c>
      <c r="H47" s="1255">
        <v>0</v>
      </c>
      <c r="I47" s="1256">
        <f t="shared" si="3"/>
        <v>3734141.5799999996</v>
      </c>
      <c r="J47" s="1255">
        <f t="shared" si="4"/>
        <v>57603.55</v>
      </c>
    </row>
    <row r="48" spans="1:10" s="91" customFormat="1" ht="12.75" customHeight="1" x14ac:dyDescent="0.3">
      <c r="A48" s="915" t="s">
        <v>111</v>
      </c>
      <c r="B48" s="1252" t="s">
        <v>275</v>
      </c>
      <c r="C48" s="1253" t="s">
        <v>252</v>
      </c>
      <c r="D48" s="1254">
        <v>535770.41</v>
      </c>
      <c r="E48" s="1255">
        <v>591273.6</v>
      </c>
      <c r="F48" s="1255">
        <v>0</v>
      </c>
      <c r="G48" s="1765">
        <v>-6.9999999999999993E-2</v>
      </c>
      <c r="H48" s="1255">
        <v>0</v>
      </c>
      <c r="I48" s="1256">
        <f t="shared" si="3"/>
        <v>1127043.94</v>
      </c>
      <c r="J48" s="1255">
        <f t="shared" si="4"/>
        <v>-6.9999999999999993E-2</v>
      </c>
    </row>
    <row r="49" spans="1:10" s="91" customFormat="1" ht="12.75" customHeight="1" x14ac:dyDescent="0.3">
      <c r="A49" s="915" t="s">
        <v>113</v>
      </c>
      <c r="B49" s="1252" t="s">
        <v>114</v>
      </c>
      <c r="C49" s="1253" t="s">
        <v>252</v>
      </c>
      <c r="D49" s="1254">
        <v>54764.7</v>
      </c>
      <c r="E49" s="1255">
        <v>50795.11</v>
      </c>
      <c r="F49" s="1255">
        <v>0</v>
      </c>
      <c r="G49" s="1765">
        <v>0</v>
      </c>
      <c r="H49" s="1255">
        <v>0</v>
      </c>
      <c r="I49" s="1256">
        <f t="shared" si="3"/>
        <v>105559.81</v>
      </c>
      <c r="J49" s="1255">
        <f t="shared" si="4"/>
        <v>0</v>
      </c>
    </row>
    <row r="50" spans="1:10" s="91" customFormat="1" ht="12.75" customHeight="1" x14ac:dyDescent="0.3">
      <c r="A50" s="915" t="s">
        <v>117</v>
      </c>
      <c r="B50" s="1252" t="s">
        <v>118</v>
      </c>
      <c r="C50" s="1253" t="s">
        <v>251</v>
      </c>
      <c r="D50" s="1254">
        <v>200881.16</v>
      </c>
      <c r="E50" s="1255">
        <v>256437.25</v>
      </c>
      <c r="F50" s="1255">
        <v>0</v>
      </c>
      <c r="G50" s="1765">
        <v>-0.09</v>
      </c>
      <c r="H50" s="1255">
        <v>0</v>
      </c>
      <c r="I50" s="1256">
        <f t="shared" si="3"/>
        <v>457318.32</v>
      </c>
      <c r="J50" s="1255">
        <f t="shared" si="4"/>
        <v>-0.09</v>
      </c>
    </row>
    <row r="51" spans="1:10" s="91" customFormat="1" ht="12.75" customHeight="1" x14ac:dyDescent="0.3">
      <c r="A51" s="915" t="s">
        <v>119</v>
      </c>
      <c r="B51" s="1252" t="s">
        <v>120</v>
      </c>
      <c r="C51" s="1253" t="s">
        <v>251</v>
      </c>
      <c r="D51" s="1254">
        <v>347934.42999999993</v>
      </c>
      <c r="E51" s="1255">
        <v>361460.92</v>
      </c>
      <c r="F51" s="1255">
        <v>0</v>
      </c>
      <c r="G51" s="1765">
        <v>-6.0000000000000005E-2</v>
      </c>
      <c r="H51" s="1255">
        <v>0</v>
      </c>
      <c r="I51" s="1256">
        <f t="shared" si="3"/>
        <v>709395.2899999998</v>
      </c>
      <c r="J51" s="1255">
        <f t="shared" si="4"/>
        <v>-6.0000000000000005E-2</v>
      </c>
    </row>
    <row r="52" spans="1:10" s="91" customFormat="1" ht="12.75" customHeight="1" x14ac:dyDescent="0.3">
      <c r="A52" s="915" t="s">
        <v>121</v>
      </c>
      <c r="B52" s="1252" t="s">
        <v>258</v>
      </c>
      <c r="C52" s="1253" t="s">
        <v>253</v>
      </c>
      <c r="D52" s="1254">
        <v>69599.98</v>
      </c>
      <c r="E52" s="1255">
        <v>110674.42</v>
      </c>
      <c r="F52" s="1255">
        <v>0</v>
      </c>
      <c r="G52" s="1765">
        <v>0</v>
      </c>
      <c r="H52" s="1255">
        <v>0</v>
      </c>
      <c r="I52" s="1256">
        <f t="shared" si="3"/>
        <v>180274.4</v>
      </c>
      <c r="J52" s="1255">
        <f t="shared" si="4"/>
        <v>0</v>
      </c>
    </row>
    <row r="53" spans="1:10" s="91" customFormat="1" ht="12.75" customHeight="1" x14ac:dyDescent="0.3">
      <c r="A53" s="915" t="s">
        <v>123</v>
      </c>
      <c r="B53" s="1252" t="s">
        <v>124</v>
      </c>
      <c r="C53" s="1253" t="s">
        <v>254</v>
      </c>
      <c r="D53" s="1254">
        <v>227951.7</v>
      </c>
      <c r="E53" s="1255">
        <v>262861.68</v>
      </c>
      <c r="F53" s="1255">
        <v>0</v>
      </c>
      <c r="G53" s="1765">
        <v>-0.03</v>
      </c>
      <c r="H53" s="1255">
        <v>0</v>
      </c>
      <c r="I53" s="1256">
        <f t="shared" si="3"/>
        <v>490813.35</v>
      </c>
      <c r="J53" s="1255">
        <f t="shared" si="4"/>
        <v>-0.03</v>
      </c>
    </row>
    <row r="54" spans="1:10" s="91" customFormat="1" ht="12.75" customHeight="1" x14ac:dyDescent="0.3">
      <c r="A54" s="915" t="s">
        <v>125</v>
      </c>
      <c r="B54" s="1252" t="s">
        <v>126</v>
      </c>
      <c r="C54" s="1253" t="s">
        <v>253</v>
      </c>
      <c r="D54" s="1254">
        <v>52173.670000000006</v>
      </c>
      <c r="E54" s="1255">
        <v>78134.350000000006</v>
      </c>
      <c r="F54" s="1255">
        <v>0</v>
      </c>
      <c r="G54" s="1765">
        <v>0</v>
      </c>
      <c r="H54" s="1255">
        <v>0</v>
      </c>
      <c r="I54" s="1256">
        <f t="shared" si="3"/>
        <v>130308.02000000002</v>
      </c>
      <c r="J54" s="1255">
        <f t="shared" si="4"/>
        <v>0</v>
      </c>
    </row>
    <row r="55" spans="1:10" s="91" customFormat="1" ht="12.75" customHeight="1" x14ac:dyDescent="0.3">
      <c r="A55" s="915" t="s">
        <v>127</v>
      </c>
      <c r="B55" s="1252" t="s">
        <v>128</v>
      </c>
      <c r="C55" s="1253" t="s">
        <v>253</v>
      </c>
      <c r="D55" s="1254">
        <v>56588.639999999999</v>
      </c>
      <c r="E55" s="1255">
        <v>66126.759999999995</v>
      </c>
      <c r="F55" s="1255">
        <v>0</v>
      </c>
      <c r="G55" s="1765">
        <v>4031.97</v>
      </c>
      <c r="H55" s="1255">
        <v>0</v>
      </c>
      <c r="I55" s="1256">
        <f t="shared" si="3"/>
        <v>126747.37</v>
      </c>
      <c r="J55" s="1255">
        <f t="shared" si="4"/>
        <v>4031.97</v>
      </c>
    </row>
    <row r="56" spans="1:10" s="91" customFormat="1" ht="12.75" customHeight="1" x14ac:dyDescent="0.3">
      <c r="A56" s="915" t="s">
        <v>129</v>
      </c>
      <c r="B56" s="1252" t="s">
        <v>130</v>
      </c>
      <c r="C56" s="1253" t="s">
        <v>255</v>
      </c>
      <c r="D56" s="1254">
        <v>1101402</v>
      </c>
      <c r="E56" s="1255">
        <v>1212948.8500000001</v>
      </c>
      <c r="F56" s="1255">
        <v>0</v>
      </c>
      <c r="G56" s="1765">
        <v>22878.489999999998</v>
      </c>
      <c r="H56" s="1255">
        <v>0</v>
      </c>
      <c r="I56" s="1256">
        <f t="shared" si="3"/>
        <v>2337229.3400000003</v>
      </c>
      <c r="J56" s="1255">
        <f t="shared" si="4"/>
        <v>22878.489999999998</v>
      </c>
    </row>
    <row r="57" spans="1:10" s="91" customFormat="1" ht="12.75" customHeight="1" x14ac:dyDescent="0.3">
      <c r="A57" s="915" t="s">
        <v>131</v>
      </c>
      <c r="B57" s="1252" t="s">
        <v>132</v>
      </c>
      <c r="C57" s="1253" t="s">
        <v>254</v>
      </c>
      <c r="D57" s="1254">
        <v>750079.11</v>
      </c>
      <c r="E57" s="1255">
        <v>849609.11</v>
      </c>
      <c r="F57" s="1255">
        <v>0</v>
      </c>
      <c r="G57" s="1765">
        <v>-0.19</v>
      </c>
      <c r="H57" s="1255">
        <v>0</v>
      </c>
      <c r="I57" s="1256">
        <f t="shared" si="3"/>
        <v>1599688.03</v>
      </c>
      <c r="J57" s="1255">
        <f t="shared" si="4"/>
        <v>-0.19</v>
      </c>
    </row>
    <row r="58" spans="1:10" s="91" customFormat="1" ht="12.75" customHeight="1" x14ac:dyDescent="0.3">
      <c r="A58" s="915" t="s">
        <v>133</v>
      </c>
      <c r="B58" s="1252" t="s">
        <v>134</v>
      </c>
      <c r="C58" s="1253" t="s">
        <v>254</v>
      </c>
      <c r="D58" s="1254">
        <v>766528.46</v>
      </c>
      <c r="E58" s="1255">
        <v>1284248.57</v>
      </c>
      <c r="F58" s="1255">
        <v>0</v>
      </c>
      <c r="G58" s="1765">
        <v>2248.5299999999997</v>
      </c>
      <c r="H58" s="1255">
        <v>0</v>
      </c>
      <c r="I58" s="1256">
        <f t="shared" si="3"/>
        <v>2053025.56</v>
      </c>
      <c r="J58" s="1255">
        <f t="shared" si="4"/>
        <v>2248.5299999999997</v>
      </c>
    </row>
    <row r="59" spans="1:10" s="91" customFormat="1" ht="12.75" customHeight="1" x14ac:dyDescent="0.3">
      <c r="A59" s="915" t="s">
        <v>135</v>
      </c>
      <c r="B59" s="1252" t="s">
        <v>136</v>
      </c>
      <c r="C59" s="1253" t="s">
        <v>253</v>
      </c>
      <c r="D59" s="1254">
        <v>121844.20999999999</v>
      </c>
      <c r="E59" s="1255">
        <v>115390.59</v>
      </c>
      <c r="F59" s="1255">
        <v>0</v>
      </c>
      <c r="G59" s="1765">
        <v>-0.01</v>
      </c>
      <c r="H59" s="1255">
        <v>0</v>
      </c>
      <c r="I59" s="1256">
        <f t="shared" si="3"/>
        <v>237234.78999999998</v>
      </c>
      <c r="J59" s="1255">
        <f t="shared" si="4"/>
        <v>-0.01</v>
      </c>
    </row>
    <row r="60" spans="1:10" s="91" customFormat="1" ht="12.75" customHeight="1" x14ac:dyDescent="0.3">
      <c r="A60" s="915" t="s">
        <v>139</v>
      </c>
      <c r="B60" s="1252" t="s">
        <v>140</v>
      </c>
      <c r="C60" s="1253" t="s">
        <v>254</v>
      </c>
      <c r="D60" s="1254">
        <v>460401.33</v>
      </c>
      <c r="E60" s="1255">
        <v>594490.5</v>
      </c>
      <c r="F60" s="1255">
        <v>0</v>
      </c>
      <c r="G60" s="1765">
        <v>-0.14000000000000001</v>
      </c>
      <c r="H60" s="1255">
        <v>0</v>
      </c>
      <c r="I60" s="1256">
        <f t="shared" si="3"/>
        <v>1054891.6900000002</v>
      </c>
      <c r="J60" s="1255">
        <f t="shared" si="4"/>
        <v>-0.14000000000000001</v>
      </c>
    </row>
    <row r="61" spans="1:10" s="91" customFormat="1" ht="12.75" customHeight="1" x14ac:dyDescent="0.3">
      <c r="A61" s="915" t="s">
        <v>145</v>
      </c>
      <c r="B61" s="1252" t="s">
        <v>146</v>
      </c>
      <c r="C61" s="1253" t="s">
        <v>251</v>
      </c>
      <c r="D61" s="1254">
        <v>151752.91</v>
      </c>
      <c r="E61" s="1255">
        <v>178773.31999999998</v>
      </c>
      <c r="F61" s="1255">
        <v>0</v>
      </c>
      <c r="G61" s="1765">
        <v>-0.06</v>
      </c>
      <c r="H61" s="1255">
        <v>0</v>
      </c>
      <c r="I61" s="1256">
        <f t="shared" si="3"/>
        <v>330526.17</v>
      </c>
      <c r="J61" s="1255">
        <f t="shared" si="4"/>
        <v>-0.06</v>
      </c>
    </row>
    <row r="62" spans="1:10" s="91" customFormat="1" ht="12.75" customHeight="1" x14ac:dyDescent="0.3">
      <c r="A62" s="915" t="s">
        <v>147</v>
      </c>
      <c r="B62" s="1252" t="s">
        <v>148</v>
      </c>
      <c r="C62" s="1253" t="s">
        <v>252</v>
      </c>
      <c r="D62" s="1254">
        <v>233026.63000000003</v>
      </c>
      <c r="E62" s="1255">
        <v>247085.28</v>
      </c>
      <c r="F62" s="1255">
        <v>0</v>
      </c>
      <c r="G62" s="1765">
        <v>-0.11</v>
      </c>
      <c r="H62" s="1255">
        <v>0</v>
      </c>
      <c r="I62" s="1256">
        <f t="shared" si="3"/>
        <v>480111.80000000005</v>
      </c>
      <c r="J62" s="1255">
        <f t="shared" si="4"/>
        <v>-0.11</v>
      </c>
    </row>
    <row r="63" spans="1:10" s="91" customFormat="1" ht="12.75" customHeight="1" x14ac:dyDescent="0.3">
      <c r="A63" s="915" t="s">
        <v>149</v>
      </c>
      <c r="B63" s="1252" t="s">
        <v>150</v>
      </c>
      <c r="C63" s="1253" t="s">
        <v>253</v>
      </c>
      <c r="D63" s="1254">
        <v>183921.92000000001</v>
      </c>
      <c r="E63" s="1255">
        <v>219088.81999999998</v>
      </c>
      <c r="F63" s="1255">
        <v>0</v>
      </c>
      <c r="G63" s="1765">
        <v>-0.10999999999999999</v>
      </c>
      <c r="H63" s="1255">
        <v>0</v>
      </c>
      <c r="I63" s="1256">
        <f t="shared" si="3"/>
        <v>403010.63</v>
      </c>
      <c r="J63" s="1255">
        <f t="shared" si="4"/>
        <v>-0.10999999999999999</v>
      </c>
    </row>
    <row r="64" spans="1:10" s="91" customFormat="1" ht="12.75" customHeight="1" x14ac:dyDescent="0.3">
      <c r="A64" s="915" t="s">
        <v>151</v>
      </c>
      <c r="B64" s="1252" t="s">
        <v>152</v>
      </c>
      <c r="C64" s="1253" t="s">
        <v>255</v>
      </c>
      <c r="D64" s="1254">
        <v>681397.93</v>
      </c>
      <c r="E64" s="1255">
        <v>804136.42</v>
      </c>
      <c r="F64" s="1255">
        <v>0</v>
      </c>
      <c r="G64" s="1765">
        <v>5012.29</v>
      </c>
      <c r="H64" s="1255">
        <v>0</v>
      </c>
      <c r="I64" s="1256">
        <f t="shared" si="3"/>
        <v>1490546.6400000001</v>
      </c>
      <c r="J64" s="1255">
        <f t="shared" si="4"/>
        <v>5012.29</v>
      </c>
    </row>
    <row r="65" spans="1:10" s="91" customFormat="1" ht="12.75" customHeight="1" x14ac:dyDescent="0.3">
      <c r="A65" s="915" t="s">
        <v>153</v>
      </c>
      <c r="B65" s="1252" t="s">
        <v>154</v>
      </c>
      <c r="C65" s="1253" t="s">
        <v>252</v>
      </c>
      <c r="D65" s="1254">
        <v>141360.28</v>
      </c>
      <c r="E65" s="1255">
        <v>147445.72</v>
      </c>
      <c r="F65" s="1255">
        <v>0</v>
      </c>
      <c r="G65" s="1765">
        <v>-6.9999999999999993E-2</v>
      </c>
      <c r="H65" s="1255">
        <v>0</v>
      </c>
      <c r="I65" s="1256">
        <f t="shared" si="3"/>
        <v>288805.93</v>
      </c>
      <c r="J65" s="1255">
        <f t="shared" si="4"/>
        <v>-6.9999999999999993E-2</v>
      </c>
    </row>
    <row r="66" spans="1:10" s="91" customFormat="1" ht="12.75" customHeight="1" x14ac:dyDescent="0.3">
      <c r="A66" s="915" t="s">
        <v>155</v>
      </c>
      <c r="B66" s="1252" t="s">
        <v>156</v>
      </c>
      <c r="C66" s="1253" t="s">
        <v>253</v>
      </c>
      <c r="D66" s="1254">
        <v>135481.73000000001</v>
      </c>
      <c r="E66" s="1255">
        <v>140357.63999999998</v>
      </c>
      <c r="F66" s="1255">
        <v>0</v>
      </c>
      <c r="G66" s="1765">
        <v>-0.02</v>
      </c>
      <c r="H66" s="1255">
        <v>0</v>
      </c>
      <c r="I66" s="1256">
        <f t="shared" si="3"/>
        <v>275839.34999999998</v>
      </c>
      <c r="J66" s="1255">
        <f t="shared" si="4"/>
        <v>-0.02</v>
      </c>
    </row>
    <row r="67" spans="1:10" s="91" customFormat="1" ht="12.75" customHeight="1" x14ac:dyDescent="0.3">
      <c r="A67" s="915" t="s">
        <v>161</v>
      </c>
      <c r="B67" s="1252" t="s">
        <v>162</v>
      </c>
      <c r="C67" s="1253" t="s">
        <v>251</v>
      </c>
      <c r="D67" s="1254">
        <v>9783.18</v>
      </c>
      <c r="E67" s="1255">
        <v>9425.58</v>
      </c>
      <c r="F67" s="1255">
        <v>0</v>
      </c>
      <c r="G67" s="1765">
        <v>-0.03</v>
      </c>
      <c r="H67" s="1255">
        <v>0</v>
      </c>
      <c r="I67" s="1256">
        <f t="shared" si="3"/>
        <v>19208.730000000003</v>
      </c>
      <c r="J67" s="1255">
        <f t="shared" si="4"/>
        <v>-0.03</v>
      </c>
    </row>
    <row r="68" spans="1:10" s="91" customFormat="1" ht="12.75" customHeight="1" x14ac:dyDescent="0.3">
      <c r="A68" s="915" t="s">
        <v>163</v>
      </c>
      <c r="B68" s="1252" t="s">
        <v>164</v>
      </c>
      <c r="C68" s="1253" t="s">
        <v>253</v>
      </c>
      <c r="D68" s="1254">
        <v>70337.41</v>
      </c>
      <c r="E68" s="1255">
        <v>115861.06</v>
      </c>
      <c r="F68" s="1255">
        <v>0</v>
      </c>
      <c r="G68" s="1765">
        <v>-0.02</v>
      </c>
      <c r="H68" s="1255">
        <v>0</v>
      </c>
      <c r="I68" s="1256">
        <f t="shared" si="3"/>
        <v>186198.45</v>
      </c>
      <c r="J68" s="1255">
        <f t="shared" si="4"/>
        <v>-0.02</v>
      </c>
    </row>
    <row r="69" spans="1:10" s="91" customFormat="1" ht="12.75" customHeight="1" x14ac:dyDescent="0.3">
      <c r="A69" s="915" t="s">
        <v>167</v>
      </c>
      <c r="B69" s="1252" t="s">
        <v>168</v>
      </c>
      <c r="C69" s="1253" t="s">
        <v>253</v>
      </c>
      <c r="D69" s="1254">
        <v>71780.850000000006</v>
      </c>
      <c r="E69" s="1255">
        <v>79387.12</v>
      </c>
      <c r="F69" s="1255">
        <v>0</v>
      </c>
      <c r="G69" s="1765">
        <v>-0.04</v>
      </c>
      <c r="H69" s="1255">
        <v>0</v>
      </c>
      <c r="I69" s="1256">
        <f t="shared" ref="I69:I100" si="5">SUM(D69:H69)</f>
        <v>151167.93</v>
      </c>
      <c r="J69" s="1255">
        <f t="shared" ref="J69:J100" si="6">SUM(F69:H69)</f>
        <v>-0.04</v>
      </c>
    </row>
    <row r="70" spans="1:10" s="91" customFormat="1" ht="12.75" customHeight="1" x14ac:dyDescent="0.3">
      <c r="A70" s="915" t="s">
        <v>169</v>
      </c>
      <c r="B70" s="1252" t="s">
        <v>170</v>
      </c>
      <c r="C70" s="1253" t="s">
        <v>254</v>
      </c>
      <c r="D70" s="1254">
        <v>412021.68000000005</v>
      </c>
      <c r="E70" s="1255">
        <v>531988.89</v>
      </c>
      <c r="F70" s="1255">
        <v>0</v>
      </c>
      <c r="G70" s="1765">
        <v>-0.03</v>
      </c>
      <c r="H70" s="1255">
        <v>0</v>
      </c>
      <c r="I70" s="1256">
        <f t="shared" si="5"/>
        <v>944010.54</v>
      </c>
      <c r="J70" s="1255">
        <f t="shared" si="6"/>
        <v>-0.03</v>
      </c>
    </row>
    <row r="71" spans="1:10" s="91" customFormat="1" ht="12.75" customHeight="1" x14ac:dyDescent="0.3">
      <c r="A71" s="915" t="s">
        <v>171</v>
      </c>
      <c r="B71" s="1252" t="s">
        <v>172</v>
      </c>
      <c r="C71" s="1253" t="s">
        <v>254</v>
      </c>
      <c r="D71" s="1254">
        <v>260075.31999999998</v>
      </c>
      <c r="E71" s="1255">
        <v>242415.11</v>
      </c>
      <c r="F71" s="1255">
        <v>0</v>
      </c>
      <c r="G71" s="1765">
        <v>8291.48</v>
      </c>
      <c r="H71" s="1255">
        <v>0</v>
      </c>
      <c r="I71" s="1256">
        <f t="shared" si="5"/>
        <v>510781.90999999992</v>
      </c>
      <c r="J71" s="1255">
        <f t="shared" si="6"/>
        <v>8291.48</v>
      </c>
    </row>
    <row r="72" spans="1:10" s="91" customFormat="1" ht="12.75" customHeight="1" x14ac:dyDescent="0.3">
      <c r="A72" s="915" t="s">
        <v>173</v>
      </c>
      <c r="B72" s="1252" t="s">
        <v>174</v>
      </c>
      <c r="C72" s="1253" t="s">
        <v>255</v>
      </c>
      <c r="D72" s="1254">
        <v>90278.82</v>
      </c>
      <c r="E72" s="1255">
        <v>85720.59</v>
      </c>
      <c r="F72" s="1255">
        <v>0</v>
      </c>
      <c r="G72" s="1765">
        <v>-0.04</v>
      </c>
      <c r="H72" s="1255">
        <v>0</v>
      </c>
      <c r="I72" s="1256">
        <f t="shared" si="5"/>
        <v>175999.37</v>
      </c>
      <c r="J72" s="1255">
        <f t="shared" si="6"/>
        <v>-0.04</v>
      </c>
    </row>
    <row r="73" spans="1:10" s="91" customFormat="1" ht="12.75" customHeight="1" x14ac:dyDescent="0.3">
      <c r="A73" s="915" t="s">
        <v>177</v>
      </c>
      <c r="B73" s="1252" t="s">
        <v>178</v>
      </c>
      <c r="C73" s="1253" t="s">
        <v>252</v>
      </c>
      <c r="D73" s="1254">
        <v>237784.45</v>
      </c>
      <c r="E73" s="1255">
        <v>336231.56000000006</v>
      </c>
      <c r="F73" s="1255">
        <v>0</v>
      </c>
      <c r="G73" s="1765">
        <v>7209.8</v>
      </c>
      <c r="H73" s="1255">
        <v>0</v>
      </c>
      <c r="I73" s="1256">
        <f t="shared" si="5"/>
        <v>581225.81000000006</v>
      </c>
      <c r="J73" s="1255">
        <f t="shared" si="6"/>
        <v>7209.8</v>
      </c>
    </row>
    <row r="74" spans="1:10" s="91" customFormat="1" ht="12.75" customHeight="1" x14ac:dyDescent="0.3">
      <c r="A74" s="915" t="s">
        <v>181</v>
      </c>
      <c r="B74" s="1252" t="s">
        <v>182</v>
      </c>
      <c r="C74" s="1253" t="s">
        <v>253</v>
      </c>
      <c r="D74" s="1254">
        <v>93159.49</v>
      </c>
      <c r="E74" s="1255">
        <v>89756.430000000008</v>
      </c>
      <c r="F74" s="1255">
        <v>0</v>
      </c>
      <c r="G74" s="1765">
        <v>3621</v>
      </c>
      <c r="H74" s="1255">
        <v>0</v>
      </c>
      <c r="I74" s="1256">
        <f t="shared" si="5"/>
        <v>186536.92</v>
      </c>
      <c r="J74" s="1255">
        <f t="shared" si="6"/>
        <v>3621</v>
      </c>
    </row>
    <row r="75" spans="1:10" s="91" customFormat="1" ht="12.75" customHeight="1" x14ac:dyDescent="0.3">
      <c r="A75" s="915" t="s">
        <v>183</v>
      </c>
      <c r="B75" s="1252" t="s">
        <v>184</v>
      </c>
      <c r="C75" s="1253" t="s">
        <v>253</v>
      </c>
      <c r="D75" s="1254">
        <v>327647.78999999998</v>
      </c>
      <c r="E75" s="1255">
        <v>454393.98</v>
      </c>
      <c r="F75" s="1255">
        <v>0</v>
      </c>
      <c r="G75" s="1765">
        <v>-6.9999999999999993E-2</v>
      </c>
      <c r="H75" s="1255">
        <v>0</v>
      </c>
      <c r="I75" s="1256">
        <f t="shared" si="5"/>
        <v>782041.70000000007</v>
      </c>
      <c r="J75" s="1255">
        <f t="shared" si="6"/>
        <v>-6.9999999999999993E-2</v>
      </c>
    </row>
    <row r="76" spans="1:10" s="91" customFormat="1" ht="12.75" customHeight="1" x14ac:dyDescent="0.3">
      <c r="A76" s="915" t="s">
        <v>185</v>
      </c>
      <c r="B76" s="1252" t="s">
        <v>186</v>
      </c>
      <c r="C76" s="1253" t="s">
        <v>251</v>
      </c>
      <c r="D76" s="1254">
        <v>259643.29</v>
      </c>
      <c r="E76" s="1255">
        <v>295983.76</v>
      </c>
      <c r="F76" s="1255">
        <v>0</v>
      </c>
      <c r="G76" s="1765">
        <v>-0.02</v>
      </c>
      <c r="H76" s="1255">
        <v>0</v>
      </c>
      <c r="I76" s="1256">
        <f t="shared" si="5"/>
        <v>555627.03</v>
      </c>
      <c r="J76" s="1255">
        <f t="shared" si="6"/>
        <v>-0.02</v>
      </c>
    </row>
    <row r="77" spans="1:10" s="91" customFormat="1" ht="12.75" customHeight="1" x14ac:dyDescent="0.3">
      <c r="A77" s="915" t="s">
        <v>187</v>
      </c>
      <c r="B77" s="1252" t="s">
        <v>188</v>
      </c>
      <c r="C77" s="1253" t="s">
        <v>254</v>
      </c>
      <c r="D77" s="1254">
        <v>1346106.0599999998</v>
      </c>
      <c r="E77" s="1255">
        <v>1692733.13</v>
      </c>
      <c r="F77" s="1255">
        <v>0</v>
      </c>
      <c r="G77" s="1765">
        <v>-0.21</v>
      </c>
      <c r="H77" s="1255">
        <v>66507.650000000009</v>
      </c>
      <c r="I77" s="1256">
        <f t="shared" si="5"/>
        <v>3105346.6299999994</v>
      </c>
      <c r="J77" s="1255">
        <f t="shared" si="6"/>
        <v>66507.44</v>
      </c>
    </row>
    <row r="78" spans="1:10" s="91" customFormat="1" ht="12.75" customHeight="1" x14ac:dyDescent="0.3">
      <c r="A78" s="915" t="s">
        <v>189</v>
      </c>
      <c r="B78" s="1252" t="s">
        <v>190</v>
      </c>
      <c r="C78" s="1253" t="s">
        <v>255</v>
      </c>
      <c r="D78" s="1254">
        <v>1006291.22</v>
      </c>
      <c r="E78" s="1255">
        <v>957312.1</v>
      </c>
      <c r="F78" s="1255">
        <v>0</v>
      </c>
      <c r="G78" s="1765">
        <v>4060.1499999999996</v>
      </c>
      <c r="H78" s="1255">
        <v>0</v>
      </c>
      <c r="I78" s="1256">
        <f t="shared" si="5"/>
        <v>1967663.4699999997</v>
      </c>
      <c r="J78" s="1255">
        <f t="shared" si="6"/>
        <v>4060.1499999999996</v>
      </c>
    </row>
    <row r="79" spans="1:10" s="91" customFormat="1" ht="12.75" customHeight="1" x14ac:dyDescent="0.3">
      <c r="A79" s="915" t="s">
        <v>193</v>
      </c>
      <c r="B79" s="1252" t="s">
        <v>194</v>
      </c>
      <c r="C79" s="1253" t="s">
        <v>254</v>
      </c>
      <c r="D79" s="1254">
        <v>275816.57999999996</v>
      </c>
      <c r="E79" s="1255">
        <v>269138.15000000002</v>
      </c>
      <c r="F79" s="1255">
        <v>0</v>
      </c>
      <c r="G79" s="1765">
        <v>23650.61</v>
      </c>
      <c r="H79" s="1255">
        <v>0</v>
      </c>
      <c r="I79" s="1256">
        <f t="shared" si="5"/>
        <v>568605.34</v>
      </c>
      <c r="J79" s="1255">
        <f t="shared" si="6"/>
        <v>23650.61</v>
      </c>
    </row>
    <row r="80" spans="1:10" s="91" customFormat="1" ht="12.75" customHeight="1" x14ac:dyDescent="0.3">
      <c r="A80" s="915" t="s">
        <v>197</v>
      </c>
      <c r="B80" s="1252" t="s">
        <v>198</v>
      </c>
      <c r="C80" s="1253" t="s">
        <v>253</v>
      </c>
      <c r="D80" s="1254">
        <v>22098.46</v>
      </c>
      <c r="E80" s="1255">
        <v>65909.22</v>
      </c>
      <c r="F80" s="1255">
        <v>0</v>
      </c>
      <c r="G80" s="1765">
        <v>-0.01</v>
      </c>
      <c r="H80" s="1255">
        <v>0</v>
      </c>
      <c r="I80" s="1256">
        <f t="shared" si="5"/>
        <v>88007.67</v>
      </c>
      <c r="J80" s="1255">
        <f t="shared" si="6"/>
        <v>-0.01</v>
      </c>
    </row>
    <row r="81" spans="1:10" s="91" customFormat="1" ht="12.75" customHeight="1" x14ac:dyDescent="0.3">
      <c r="A81" s="915" t="s">
        <v>201</v>
      </c>
      <c r="B81" s="1252" t="s">
        <v>202</v>
      </c>
      <c r="C81" s="1253" t="s">
        <v>252</v>
      </c>
      <c r="D81" s="1254">
        <v>1926352.7</v>
      </c>
      <c r="E81" s="1255">
        <v>2414157.7599999998</v>
      </c>
      <c r="F81" s="1255">
        <v>0</v>
      </c>
      <c r="G81" s="1765">
        <v>1793.43</v>
      </c>
      <c r="H81" s="1255">
        <v>0</v>
      </c>
      <c r="I81" s="1256">
        <f t="shared" si="5"/>
        <v>4342303.8899999997</v>
      </c>
      <c r="J81" s="1255">
        <f t="shared" si="6"/>
        <v>1793.43</v>
      </c>
    </row>
    <row r="82" spans="1:10" s="91" customFormat="1" ht="12.75" customHeight="1" x14ac:dyDescent="0.3">
      <c r="A82" s="915" t="s">
        <v>203</v>
      </c>
      <c r="B82" s="1252" t="s">
        <v>204</v>
      </c>
      <c r="C82" s="1253" t="s">
        <v>252</v>
      </c>
      <c r="D82" s="1254">
        <v>335850.27</v>
      </c>
      <c r="E82" s="1255">
        <v>336121.49999999994</v>
      </c>
      <c r="F82" s="1255">
        <v>0</v>
      </c>
      <c r="G82" s="1765">
        <v>-0.06</v>
      </c>
      <c r="H82" s="1255">
        <v>0</v>
      </c>
      <c r="I82" s="1256">
        <f t="shared" si="5"/>
        <v>671971.71</v>
      </c>
      <c r="J82" s="1255">
        <f t="shared" si="6"/>
        <v>-0.06</v>
      </c>
    </row>
    <row r="83" spans="1:10" s="91" customFormat="1" ht="12.75" customHeight="1" x14ac:dyDescent="0.3">
      <c r="A83" s="915" t="s">
        <v>205</v>
      </c>
      <c r="B83" s="1252" t="s">
        <v>206</v>
      </c>
      <c r="C83" s="1253" t="s">
        <v>254</v>
      </c>
      <c r="D83" s="1254">
        <v>3102013.19</v>
      </c>
      <c r="E83" s="1255">
        <v>3728008.86</v>
      </c>
      <c r="F83" s="1255">
        <v>0</v>
      </c>
      <c r="G83" s="1765">
        <v>-0.37</v>
      </c>
      <c r="H83" s="1255">
        <v>0</v>
      </c>
      <c r="I83" s="1256">
        <f t="shared" si="5"/>
        <v>6830021.6799999997</v>
      </c>
      <c r="J83" s="1255">
        <f t="shared" si="6"/>
        <v>-0.37</v>
      </c>
    </row>
    <row r="84" spans="1:10" s="91" customFormat="1" ht="12.75" customHeight="1" x14ac:dyDescent="0.3">
      <c r="A84" s="915" t="s">
        <v>207</v>
      </c>
      <c r="B84" s="1252" t="s">
        <v>208</v>
      </c>
      <c r="C84" s="1253" t="s">
        <v>255</v>
      </c>
      <c r="D84" s="1254">
        <v>972914.98</v>
      </c>
      <c r="E84" s="1255">
        <v>1270995.98</v>
      </c>
      <c r="F84" s="1255">
        <v>0</v>
      </c>
      <c r="G84" s="1765">
        <v>5732.4</v>
      </c>
      <c r="H84" s="1255">
        <v>0</v>
      </c>
      <c r="I84" s="1256">
        <f t="shared" si="5"/>
        <v>2249643.36</v>
      </c>
      <c r="J84" s="1255">
        <f t="shared" si="6"/>
        <v>5732.4</v>
      </c>
    </row>
    <row r="85" spans="1:10" s="91" customFormat="1" ht="12.75" customHeight="1" x14ac:dyDescent="0.3">
      <c r="A85" s="915" t="s">
        <v>209</v>
      </c>
      <c r="B85" s="1252" t="s">
        <v>210</v>
      </c>
      <c r="C85" s="1253" t="s">
        <v>255</v>
      </c>
      <c r="D85" s="1254">
        <v>464980.29000000004</v>
      </c>
      <c r="E85" s="1255">
        <v>493704.01</v>
      </c>
      <c r="F85" s="1255">
        <v>0</v>
      </c>
      <c r="G85" s="1765">
        <v>-0.12</v>
      </c>
      <c r="H85" s="1255">
        <v>0</v>
      </c>
      <c r="I85" s="1256">
        <f t="shared" si="5"/>
        <v>958684.18</v>
      </c>
      <c r="J85" s="1255">
        <f t="shared" si="6"/>
        <v>-0.12</v>
      </c>
    </row>
    <row r="86" spans="1:10" s="91" customFormat="1" ht="12.75" customHeight="1" x14ac:dyDescent="0.3">
      <c r="A86" s="915" t="s">
        <v>211</v>
      </c>
      <c r="B86" s="1252" t="s">
        <v>212</v>
      </c>
      <c r="C86" s="1253" t="s">
        <v>254</v>
      </c>
      <c r="D86" s="1254">
        <v>178987.91999999998</v>
      </c>
      <c r="E86" s="1255">
        <v>339311.11</v>
      </c>
      <c r="F86" s="1255">
        <v>0</v>
      </c>
      <c r="G86" s="1765">
        <v>4704</v>
      </c>
      <c r="H86" s="1255">
        <v>0</v>
      </c>
      <c r="I86" s="1256">
        <f t="shared" si="5"/>
        <v>523003.02999999997</v>
      </c>
      <c r="J86" s="1255">
        <f t="shared" si="6"/>
        <v>4704</v>
      </c>
    </row>
    <row r="87" spans="1:10" s="91" customFormat="1" ht="12.75" customHeight="1" x14ac:dyDescent="0.3">
      <c r="A87" s="915" t="s">
        <v>213</v>
      </c>
      <c r="B87" s="1252" t="s">
        <v>214</v>
      </c>
      <c r="C87" s="1253" t="s">
        <v>255</v>
      </c>
      <c r="D87" s="1254">
        <v>444336.02</v>
      </c>
      <c r="E87" s="1255">
        <v>422810.01</v>
      </c>
      <c r="F87" s="1255">
        <v>0</v>
      </c>
      <c r="G87" s="1765">
        <v>-0.14000000000000001</v>
      </c>
      <c r="H87" s="1255">
        <v>0</v>
      </c>
      <c r="I87" s="1256">
        <f t="shared" si="5"/>
        <v>867145.89</v>
      </c>
      <c r="J87" s="1255">
        <f t="shared" si="6"/>
        <v>-0.14000000000000001</v>
      </c>
    </row>
    <row r="88" spans="1:10" s="91" customFormat="1" ht="12.75" customHeight="1" x14ac:dyDescent="0.3">
      <c r="A88" s="915" t="s">
        <v>215</v>
      </c>
      <c r="B88" s="1252" t="s">
        <v>216</v>
      </c>
      <c r="C88" s="1253" t="s">
        <v>251</v>
      </c>
      <c r="D88" s="1254">
        <v>61807.95</v>
      </c>
      <c r="E88" s="1255">
        <v>59787.420000000006</v>
      </c>
      <c r="F88" s="1255">
        <v>0</v>
      </c>
      <c r="G88" s="1765">
        <v>0</v>
      </c>
      <c r="H88" s="1255">
        <v>0</v>
      </c>
      <c r="I88" s="1256">
        <f t="shared" si="5"/>
        <v>121595.37</v>
      </c>
      <c r="J88" s="1255">
        <f t="shared" si="6"/>
        <v>0</v>
      </c>
    </row>
    <row r="89" spans="1:10" s="91" customFormat="1" ht="12.75" customHeight="1" x14ac:dyDescent="0.3">
      <c r="A89" s="915" t="s">
        <v>217</v>
      </c>
      <c r="B89" s="1252" t="s">
        <v>218</v>
      </c>
      <c r="C89" s="1253" t="s">
        <v>254</v>
      </c>
      <c r="D89" s="1254">
        <v>1746249.74</v>
      </c>
      <c r="E89" s="1255">
        <v>2214553.7800000003</v>
      </c>
      <c r="F89" s="1255">
        <v>0</v>
      </c>
      <c r="G89" s="1765">
        <v>-0.34</v>
      </c>
      <c r="H89" s="1255">
        <v>0</v>
      </c>
      <c r="I89" s="1256">
        <f t="shared" si="5"/>
        <v>3960803.1800000006</v>
      </c>
      <c r="J89" s="1255">
        <f t="shared" si="6"/>
        <v>-0.34</v>
      </c>
    </row>
    <row r="90" spans="1:10" s="91" customFormat="1" ht="12.75" customHeight="1" x14ac:dyDescent="0.3">
      <c r="A90" s="915" t="s">
        <v>219</v>
      </c>
      <c r="B90" s="1252" t="s">
        <v>220</v>
      </c>
      <c r="C90" s="1253" t="s">
        <v>254</v>
      </c>
      <c r="D90" s="1254">
        <v>673249.29</v>
      </c>
      <c r="E90" s="1255">
        <v>850226.13</v>
      </c>
      <c r="F90" s="1255">
        <v>0</v>
      </c>
      <c r="G90" s="1765">
        <v>93.970000000000013</v>
      </c>
      <c r="H90" s="1255">
        <v>0</v>
      </c>
      <c r="I90" s="1256">
        <f t="shared" si="5"/>
        <v>1523569.39</v>
      </c>
      <c r="J90" s="1255">
        <f t="shared" si="6"/>
        <v>93.970000000000013</v>
      </c>
    </row>
    <row r="91" spans="1:10" s="91" customFormat="1" ht="12.75" customHeight="1" x14ac:dyDescent="0.3">
      <c r="A91" s="915" t="s">
        <v>223</v>
      </c>
      <c r="B91" s="1252" t="s">
        <v>224</v>
      </c>
      <c r="C91" s="1253" t="s">
        <v>251</v>
      </c>
      <c r="D91" s="1254">
        <v>73791.37</v>
      </c>
      <c r="E91" s="1255">
        <v>70918.430000000008</v>
      </c>
      <c r="F91" s="1255">
        <v>0</v>
      </c>
      <c r="G91" s="1765">
        <v>2181.48</v>
      </c>
      <c r="H91" s="1255">
        <v>294</v>
      </c>
      <c r="I91" s="1256">
        <f t="shared" si="5"/>
        <v>147185.28</v>
      </c>
      <c r="J91" s="1255">
        <f t="shared" si="6"/>
        <v>2475.48</v>
      </c>
    </row>
    <row r="92" spans="1:10" s="91" customFormat="1" ht="12.75" customHeight="1" x14ac:dyDescent="0.3">
      <c r="A92" s="915" t="s">
        <v>225</v>
      </c>
      <c r="B92" s="1252" t="s">
        <v>226</v>
      </c>
      <c r="C92" s="1253" t="s">
        <v>251</v>
      </c>
      <c r="D92" s="1254">
        <v>54786.579999999994</v>
      </c>
      <c r="E92" s="1255">
        <v>91546.38</v>
      </c>
      <c r="F92" s="1255">
        <v>0</v>
      </c>
      <c r="G92" s="1765">
        <v>2239.9299999999998</v>
      </c>
      <c r="H92" s="1255">
        <v>0</v>
      </c>
      <c r="I92" s="1256">
        <f t="shared" si="5"/>
        <v>148572.88999999998</v>
      </c>
      <c r="J92" s="1255">
        <f t="shared" si="6"/>
        <v>2239.9299999999998</v>
      </c>
    </row>
    <row r="93" spans="1:10" s="91" customFormat="1" ht="12.75" customHeight="1" x14ac:dyDescent="0.3">
      <c r="A93" s="915" t="s">
        <v>227</v>
      </c>
      <c r="B93" s="1252" t="s">
        <v>228</v>
      </c>
      <c r="C93" s="1253" t="s">
        <v>255</v>
      </c>
      <c r="D93" s="1254">
        <v>1117763.07</v>
      </c>
      <c r="E93" s="1255">
        <v>1429192.9</v>
      </c>
      <c r="F93" s="1255">
        <v>0</v>
      </c>
      <c r="G93" s="1765">
        <v>-0.37</v>
      </c>
      <c r="H93" s="1255">
        <v>0</v>
      </c>
      <c r="I93" s="1256">
        <f t="shared" si="5"/>
        <v>2546955.5999999996</v>
      </c>
      <c r="J93" s="1255">
        <f t="shared" si="6"/>
        <v>-0.37</v>
      </c>
    </row>
    <row r="94" spans="1:10" s="91" customFormat="1" ht="12.75" customHeight="1" x14ac:dyDescent="0.3">
      <c r="A94" s="915" t="s">
        <v>231</v>
      </c>
      <c r="B94" s="1252" t="s">
        <v>232</v>
      </c>
      <c r="C94" s="1253" t="s">
        <v>254</v>
      </c>
      <c r="D94" s="1254">
        <v>388061.17000000004</v>
      </c>
      <c r="E94" s="1255">
        <v>520832.89</v>
      </c>
      <c r="F94" s="1255">
        <v>0</v>
      </c>
      <c r="G94" s="1765">
        <v>-0.06</v>
      </c>
      <c r="H94" s="1255">
        <v>0</v>
      </c>
      <c r="I94" s="1256">
        <f t="shared" si="5"/>
        <v>908894</v>
      </c>
      <c r="J94" s="1255">
        <f t="shared" si="6"/>
        <v>-0.06</v>
      </c>
    </row>
    <row r="95" spans="1:10" s="91" customFormat="1" ht="12.75" customHeight="1" x14ac:dyDescent="0.3">
      <c r="A95" s="915" t="s">
        <v>233</v>
      </c>
      <c r="B95" s="1252" t="s">
        <v>234</v>
      </c>
      <c r="C95" s="1253" t="s">
        <v>255</v>
      </c>
      <c r="D95" s="1254">
        <v>743556.91</v>
      </c>
      <c r="E95" s="1255">
        <v>882756.73</v>
      </c>
      <c r="F95" s="1255">
        <v>0</v>
      </c>
      <c r="G95" s="1765">
        <v>-0.22</v>
      </c>
      <c r="H95" s="1255">
        <v>0</v>
      </c>
      <c r="I95" s="1256">
        <f t="shared" si="5"/>
        <v>1626313.4200000002</v>
      </c>
      <c r="J95" s="1255">
        <f t="shared" si="6"/>
        <v>-0.22</v>
      </c>
    </row>
    <row r="96" spans="1:10" s="91" customFormat="1" ht="12.75" customHeight="1" x14ac:dyDescent="0.3">
      <c r="A96" s="915" t="s">
        <v>235</v>
      </c>
      <c r="B96" s="1252" t="s">
        <v>236</v>
      </c>
      <c r="C96" s="1253" t="s">
        <v>253</v>
      </c>
      <c r="D96" s="1254">
        <v>85609.42</v>
      </c>
      <c r="E96" s="1255">
        <v>93319.77</v>
      </c>
      <c r="F96" s="1255">
        <v>0</v>
      </c>
      <c r="G96" s="1765">
        <v>-0.09</v>
      </c>
      <c r="H96" s="1255">
        <v>0</v>
      </c>
      <c r="I96" s="1256">
        <f t="shared" si="5"/>
        <v>178929.1</v>
      </c>
      <c r="J96" s="1255">
        <f t="shared" si="6"/>
        <v>-0.09</v>
      </c>
    </row>
    <row r="97" spans="1:10" s="91" customFormat="1" ht="12.75" customHeight="1" x14ac:dyDescent="0.3">
      <c r="A97" s="915" t="s">
        <v>241</v>
      </c>
      <c r="B97" s="1252" t="s">
        <v>242</v>
      </c>
      <c r="C97" s="1253" t="s">
        <v>255</v>
      </c>
      <c r="D97" s="1254">
        <v>1646520.3199999998</v>
      </c>
      <c r="E97" s="1255">
        <v>1921936.96</v>
      </c>
      <c r="F97" s="1255">
        <v>0</v>
      </c>
      <c r="G97" s="1765">
        <v>17.669999999999998</v>
      </c>
      <c r="H97" s="1255">
        <v>0</v>
      </c>
      <c r="I97" s="1256">
        <f t="shared" si="5"/>
        <v>3568474.9499999997</v>
      </c>
      <c r="J97" s="1255">
        <f t="shared" si="6"/>
        <v>17.669999999999998</v>
      </c>
    </row>
    <row r="98" spans="1:10" s="91" customFormat="1" ht="12.75" customHeight="1" x14ac:dyDescent="0.3">
      <c r="A98" s="915" t="s">
        <v>243</v>
      </c>
      <c r="B98" s="1252" t="s">
        <v>244</v>
      </c>
      <c r="C98" s="1253" t="s">
        <v>255</v>
      </c>
      <c r="D98" s="1254">
        <v>784879.1</v>
      </c>
      <c r="E98" s="1255">
        <v>892855.86</v>
      </c>
      <c r="F98" s="1255">
        <v>0</v>
      </c>
      <c r="G98" s="1765">
        <v>888.35</v>
      </c>
      <c r="H98" s="1255">
        <v>0</v>
      </c>
      <c r="I98" s="1256">
        <f t="shared" si="5"/>
        <v>1678623.31</v>
      </c>
      <c r="J98" s="1255">
        <f t="shared" si="6"/>
        <v>888.35</v>
      </c>
    </row>
    <row r="99" spans="1:10" s="91" customFormat="1" ht="12.75" customHeight="1" x14ac:dyDescent="0.3">
      <c r="A99" s="915" t="s">
        <v>245</v>
      </c>
      <c r="B99" s="1252" t="s">
        <v>283</v>
      </c>
      <c r="C99" s="1253" t="s">
        <v>251</v>
      </c>
      <c r="D99" s="1254">
        <v>107862.58</v>
      </c>
      <c r="E99" s="1255">
        <v>141071.64000000001</v>
      </c>
      <c r="F99" s="1255">
        <v>0</v>
      </c>
      <c r="G99" s="1765">
        <v>2239.98</v>
      </c>
      <c r="H99" s="1255">
        <v>0</v>
      </c>
      <c r="I99" s="1256">
        <f t="shared" si="5"/>
        <v>251174.20000000004</v>
      </c>
      <c r="J99" s="1255">
        <f t="shared" si="6"/>
        <v>2239.98</v>
      </c>
    </row>
    <row r="100" spans="1:10" s="91" customFormat="1" ht="12.75" customHeight="1" x14ac:dyDescent="0.3">
      <c r="A100" s="915" t="s">
        <v>13</v>
      </c>
      <c r="B100" s="1252" t="s">
        <v>14</v>
      </c>
      <c r="C100" s="1253" t="s">
        <v>254</v>
      </c>
      <c r="D100" s="1254">
        <v>2134873.7200000002</v>
      </c>
      <c r="E100" s="1255">
        <v>2156113.11</v>
      </c>
      <c r="F100" s="1255">
        <v>0</v>
      </c>
      <c r="G100" s="1765">
        <v>6023.5</v>
      </c>
      <c r="H100" s="1255">
        <v>-37231.339999999997</v>
      </c>
      <c r="I100" s="1256">
        <f t="shared" si="5"/>
        <v>4259778.99</v>
      </c>
      <c r="J100" s="1255">
        <f t="shared" si="6"/>
        <v>-31207.839999999997</v>
      </c>
    </row>
    <row r="101" spans="1:10" s="91" customFormat="1" ht="12.75" customHeight="1" x14ac:dyDescent="0.3">
      <c r="A101" s="915" t="s">
        <v>33</v>
      </c>
      <c r="B101" s="1252" t="s">
        <v>34</v>
      </c>
      <c r="C101" s="1253" t="s">
        <v>255</v>
      </c>
      <c r="D101" s="1254">
        <v>1032957.48</v>
      </c>
      <c r="E101" s="1255">
        <v>1078711.98</v>
      </c>
      <c r="F101" s="1255">
        <v>0</v>
      </c>
      <c r="G101" s="1765">
        <v>-0.22000000000000003</v>
      </c>
      <c r="H101" s="1255">
        <v>0</v>
      </c>
      <c r="I101" s="1256">
        <f t="shared" ref="I101:I124" si="7">SUM(D101:H101)</f>
        <v>2111669.2399999998</v>
      </c>
      <c r="J101" s="1255">
        <f t="shared" ref="J101:J124" si="8">SUM(F101:H101)</f>
        <v>-0.22000000000000003</v>
      </c>
    </row>
    <row r="102" spans="1:10" s="91" customFormat="1" ht="12.75" customHeight="1" x14ac:dyDescent="0.3">
      <c r="A102" s="915" t="s">
        <v>51</v>
      </c>
      <c r="B102" s="1252" t="s">
        <v>52</v>
      </c>
      <c r="C102" s="1253" t="s">
        <v>252</v>
      </c>
      <c r="D102" s="1254">
        <v>2270765.5</v>
      </c>
      <c r="E102" s="1255">
        <v>2249208.7799999998</v>
      </c>
      <c r="F102" s="1255">
        <v>0</v>
      </c>
      <c r="G102" s="1765">
        <v>6839.1599999999989</v>
      </c>
      <c r="H102" s="1255">
        <v>0</v>
      </c>
      <c r="I102" s="1256">
        <f t="shared" si="7"/>
        <v>4526813.4399999995</v>
      </c>
      <c r="J102" s="1255">
        <f t="shared" si="8"/>
        <v>6839.1599999999989</v>
      </c>
    </row>
    <row r="103" spans="1:10" s="91" customFormat="1" ht="12.75" customHeight="1" x14ac:dyDescent="0.3">
      <c r="A103" s="915" t="s">
        <v>53</v>
      </c>
      <c r="B103" s="1252" t="s">
        <v>54</v>
      </c>
      <c r="C103" s="1253" t="s">
        <v>251</v>
      </c>
      <c r="D103" s="1254">
        <v>1272851.42</v>
      </c>
      <c r="E103" s="1255">
        <v>1326636.42</v>
      </c>
      <c r="F103" s="1255">
        <v>0</v>
      </c>
      <c r="G103" s="1765">
        <v>39.489999999999995</v>
      </c>
      <c r="H103" s="1255">
        <v>0</v>
      </c>
      <c r="I103" s="1256">
        <f t="shared" si="7"/>
        <v>2599527.33</v>
      </c>
      <c r="J103" s="1255">
        <f t="shared" si="8"/>
        <v>39.489999999999995</v>
      </c>
    </row>
    <row r="104" spans="1:10" s="91" customFormat="1" ht="12.75" customHeight="1" x14ac:dyDescent="0.3">
      <c r="A104" s="915" t="s">
        <v>65</v>
      </c>
      <c r="B104" s="1252" t="s">
        <v>66</v>
      </c>
      <c r="C104" s="1253" t="s">
        <v>252</v>
      </c>
      <c r="D104" s="1254">
        <v>763859.87</v>
      </c>
      <c r="E104" s="1255">
        <v>828856.65</v>
      </c>
      <c r="F104" s="1255">
        <v>0</v>
      </c>
      <c r="G104" s="1765">
        <v>-0.17</v>
      </c>
      <c r="H104" s="1255">
        <v>0</v>
      </c>
      <c r="I104" s="1256">
        <f t="shared" si="7"/>
        <v>1592716.35</v>
      </c>
      <c r="J104" s="1255">
        <f t="shared" si="8"/>
        <v>-0.17</v>
      </c>
    </row>
    <row r="105" spans="1:10" s="91" customFormat="1" ht="12.75" customHeight="1" x14ac:dyDescent="0.3">
      <c r="A105" s="915" t="s">
        <v>81</v>
      </c>
      <c r="B105" s="1252" t="s">
        <v>284</v>
      </c>
      <c r="C105" s="1253" t="s">
        <v>251</v>
      </c>
      <c r="D105" s="1254">
        <v>126330.62999999999</v>
      </c>
      <c r="E105" s="1255">
        <v>130267.21</v>
      </c>
      <c r="F105" s="1255">
        <v>0</v>
      </c>
      <c r="G105" s="1765">
        <v>32.15</v>
      </c>
      <c r="H105" s="1255">
        <v>0</v>
      </c>
      <c r="I105" s="1256">
        <f t="shared" si="7"/>
        <v>256629.99</v>
      </c>
      <c r="J105" s="1255">
        <f t="shared" si="8"/>
        <v>32.15</v>
      </c>
    </row>
    <row r="106" spans="1:10" s="91" customFormat="1" ht="12.75" customHeight="1" x14ac:dyDescent="0.3">
      <c r="A106" s="915" t="s">
        <v>87</v>
      </c>
      <c r="B106" s="1252" t="s">
        <v>88</v>
      </c>
      <c r="C106" s="1253" t="s">
        <v>254</v>
      </c>
      <c r="D106" s="1254">
        <v>1033891.63</v>
      </c>
      <c r="E106" s="1255">
        <v>1268714.8799999999</v>
      </c>
      <c r="F106" s="1255">
        <v>0</v>
      </c>
      <c r="G106" s="1765">
        <v>1201.48</v>
      </c>
      <c r="H106" s="1255">
        <v>0</v>
      </c>
      <c r="I106" s="1256">
        <f t="shared" si="7"/>
        <v>2303807.9899999998</v>
      </c>
      <c r="J106" s="1255">
        <f t="shared" si="8"/>
        <v>1201.48</v>
      </c>
    </row>
    <row r="107" spans="1:10" s="91" customFormat="1" ht="12.75" customHeight="1" x14ac:dyDescent="0.3">
      <c r="A107" s="915" t="s">
        <v>89</v>
      </c>
      <c r="B107" s="1252" t="s">
        <v>90</v>
      </c>
      <c r="C107" s="1253" t="s">
        <v>255</v>
      </c>
      <c r="D107" s="1254">
        <v>458818.05000000005</v>
      </c>
      <c r="E107" s="1255">
        <v>429742.99</v>
      </c>
      <c r="F107" s="1255">
        <v>0</v>
      </c>
      <c r="G107" s="1765">
        <v>6276.22</v>
      </c>
      <c r="H107" s="1255">
        <v>0</v>
      </c>
      <c r="I107" s="1256">
        <f t="shared" si="7"/>
        <v>894837.26</v>
      </c>
      <c r="J107" s="1255">
        <f t="shared" si="8"/>
        <v>6276.22</v>
      </c>
    </row>
    <row r="108" spans="1:10" s="91" customFormat="1" ht="12.75" customHeight="1" x14ac:dyDescent="0.3">
      <c r="A108" s="915" t="s">
        <v>105</v>
      </c>
      <c r="B108" s="1252" t="s">
        <v>106</v>
      </c>
      <c r="C108" s="1253" t="s">
        <v>251</v>
      </c>
      <c r="D108" s="1254">
        <v>1643067.6400000001</v>
      </c>
      <c r="E108" s="1255">
        <v>1658754.0499999998</v>
      </c>
      <c r="F108" s="1255">
        <v>0</v>
      </c>
      <c r="G108" s="1765">
        <v>-0.16999999999999998</v>
      </c>
      <c r="H108" s="1255">
        <v>0</v>
      </c>
      <c r="I108" s="1256">
        <f t="shared" si="7"/>
        <v>3301821.52</v>
      </c>
      <c r="J108" s="1255">
        <f t="shared" si="8"/>
        <v>-0.16999999999999998</v>
      </c>
    </row>
    <row r="109" spans="1:10" s="91" customFormat="1" ht="12.75" customHeight="1" x14ac:dyDescent="0.3">
      <c r="A109" s="915" t="s">
        <v>115</v>
      </c>
      <c r="B109" s="1252" t="s">
        <v>116</v>
      </c>
      <c r="C109" s="1253" t="s">
        <v>253</v>
      </c>
      <c r="D109" s="1254">
        <v>547158.57999999996</v>
      </c>
      <c r="E109" s="1255">
        <v>559942.41999999993</v>
      </c>
      <c r="F109" s="1255">
        <v>0</v>
      </c>
      <c r="G109" s="1765">
        <v>141.72</v>
      </c>
      <c r="H109" s="1255">
        <v>0</v>
      </c>
      <c r="I109" s="1256">
        <f t="shared" si="7"/>
        <v>1107242.72</v>
      </c>
      <c r="J109" s="1255">
        <f t="shared" si="8"/>
        <v>141.72</v>
      </c>
    </row>
    <row r="110" spans="1:10" s="91" customFormat="1" ht="12.75" customHeight="1" x14ac:dyDescent="0.3">
      <c r="A110" s="915" t="s">
        <v>137</v>
      </c>
      <c r="B110" s="1252" t="s">
        <v>138</v>
      </c>
      <c r="C110" s="1253" t="s">
        <v>252</v>
      </c>
      <c r="D110" s="1254">
        <v>3743734.71</v>
      </c>
      <c r="E110" s="1255">
        <v>4252557.5600000005</v>
      </c>
      <c r="F110" s="1255">
        <v>0</v>
      </c>
      <c r="G110" s="1765">
        <v>-0.47</v>
      </c>
      <c r="H110" s="1255">
        <v>0</v>
      </c>
      <c r="I110" s="1256">
        <f t="shared" si="7"/>
        <v>7996291.8000000007</v>
      </c>
      <c r="J110" s="1255">
        <f t="shared" si="8"/>
        <v>-0.47</v>
      </c>
    </row>
    <row r="111" spans="1:10" s="91" customFormat="1" ht="12.75" customHeight="1" x14ac:dyDescent="0.3">
      <c r="A111" s="915" t="s">
        <v>141</v>
      </c>
      <c r="B111" s="1252" t="s">
        <v>142</v>
      </c>
      <c r="C111" s="1253" t="s">
        <v>254</v>
      </c>
      <c r="D111" s="1254">
        <v>268997.09000000003</v>
      </c>
      <c r="E111" s="1255">
        <v>267005.90000000002</v>
      </c>
      <c r="F111" s="1255">
        <v>0</v>
      </c>
      <c r="G111" s="1765">
        <v>-0.03</v>
      </c>
      <c r="H111" s="1255">
        <v>2179.8000000000002</v>
      </c>
      <c r="I111" s="1256">
        <f t="shared" si="7"/>
        <v>538182.76</v>
      </c>
      <c r="J111" s="1255">
        <f t="shared" si="8"/>
        <v>2179.77</v>
      </c>
    </row>
    <row r="112" spans="1:10" s="91" customFormat="1" ht="12.75" customHeight="1" x14ac:dyDescent="0.3">
      <c r="A112" s="915" t="s">
        <v>143</v>
      </c>
      <c r="B112" s="1252" t="s">
        <v>144</v>
      </c>
      <c r="C112" s="1253" t="s">
        <v>254</v>
      </c>
      <c r="D112" s="1254">
        <v>13065.16</v>
      </c>
      <c r="E112" s="1255">
        <v>12707.970000000001</v>
      </c>
      <c r="F112" s="1255">
        <v>0</v>
      </c>
      <c r="G112" s="1765">
        <v>0</v>
      </c>
      <c r="H112" s="1255">
        <v>0</v>
      </c>
      <c r="I112" s="1256">
        <f t="shared" si="7"/>
        <v>25773.13</v>
      </c>
      <c r="J112" s="1255">
        <f t="shared" si="8"/>
        <v>0</v>
      </c>
    </row>
    <row r="113" spans="1:10" s="91" customFormat="1" ht="12.75" customHeight="1" x14ac:dyDescent="0.3">
      <c r="A113" s="915" t="s">
        <v>157</v>
      </c>
      <c r="B113" s="1252" t="s">
        <v>158</v>
      </c>
      <c r="C113" s="1253" t="s">
        <v>251</v>
      </c>
      <c r="D113" s="1254">
        <v>2677996.67</v>
      </c>
      <c r="E113" s="1255">
        <v>2779680.75</v>
      </c>
      <c r="F113" s="1255">
        <v>0</v>
      </c>
      <c r="G113" s="1765">
        <v>-0.52</v>
      </c>
      <c r="H113" s="1255">
        <v>0</v>
      </c>
      <c r="I113" s="1256">
        <f t="shared" si="7"/>
        <v>5457676.9000000004</v>
      </c>
      <c r="J113" s="1255">
        <f t="shared" si="8"/>
        <v>-0.52</v>
      </c>
    </row>
    <row r="114" spans="1:10" s="91" customFormat="1" ht="12.75" customHeight="1" x14ac:dyDescent="0.3">
      <c r="A114" s="915" t="s">
        <v>159</v>
      </c>
      <c r="B114" s="1252" t="s">
        <v>160</v>
      </c>
      <c r="C114" s="1253" t="s">
        <v>251</v>
      </c>
      <c r="D114" s="1254">
        <v>3698080.96</v>
      </c>
      <c r="E114" s="1255">
        <v>3871897.3800000004</v>
      </c>
      <c r="F114" s="1255">
        <v>0</v>
      </c>
      <c r="G114" s="1765">
        <v>-0.5</v>
      </c>
      <c r="H114" s="1255">
        <v>0</v>
      </c>
      <c r="I114" s="1256">
        <f t="shared" si="7"/>
        <v>7569977.8399999999</v>
      </c>
      <c r="J114" s="1255">
        <f t="shared" si="8"/>
        <v>-0.5</v>
      </c>
    </row>
    <row r="115" spans="1:10" s="91" customFormat="1" ht="12.75" customHeight="1" x14ac:dyDescent="0.3">
      <c r="A115" s="915" t="s">
        <v>165</v>
      </c>
      <c r="B115" s="1252" t="s">
        <v>166</v>
      </c>
      <c r="C115" s="1253" t="s">
        <v>255</v>
      </c>
      <c r="D115" s="1254">
        <v>67135.039999999994</v>
      </c>
      <c r="E115" s="1255">
        <v>85599.94</v>
      </c>
      <c r="F115" s="1255">
        <v>0</v>
      </c>
      <c r="G115" s="1765">
        <v>-115.69</v>
      </c>
      <c r="H115" s="1255">
        <v>0</v>
      </c>
      <c r="I115" s="1256">
        <f t="shared" si="7"/>
        <v>152619.28999999998</v>
      </c>
      <c r="J115" s="1255">
        <f t="shared" si="8"/>
        <v>-115.69</v>
      </c>
    </row>
    <row r="116" spans="1:10" s="91" customFormat="1" ht="12.75" customHeight="1" x14ac:dyDescent="0.3">
      <c r="A116" s="915" t="s">
        <v>175</v>
      </c>
      <c r="B116" s="1252" t="s">
        <v>176</v>
      </c>
      <c r="C116" s="1253" t="s">
        <v>253</v>
      </c>
      <c r="D116" s="1254">
        <v>1186556.77</v>
      </c>
      <c r="E116" s="1255">
        <v>1359293.4100000001</v>
      </c>
      <c r="F116" s="1255">
        <v>0</v>
      </c>
      <c r="G116" s="1765">
        <v>-0.15000000000000002</v>
      </c>
      <c r="H116" s="1255">
        <v>0</v>
      </c>
      <c r="I116" s="1256">
        <f t="shared" si="7"/>
        <v>2545850.0300000003</v>
      </c>
      <c r="J116" s="1255">
        <f t="shared" si="8"/>
        <v>-0.15000000000000002</v>
      </c>
    </row>
    <row r="117" spans="1:10" s="91" customFormat="1" ht="12.75" customHeight="1" x14ac:dyDescent="0.3">
      <c r="A117" s="915" t="s">
        <v>179</v>
      </c>
      <c r="B117" s="1252" t="s">
        <v>180</v>
      </c>
      <c r="C117" s="1253" t="s">
        <v>251</v>
      </c>
      <c r="D117" s="1254">
        <v>1357133.2000000002</v>
      </c>
      <c r="E117" s="1255">
        <v>1618179.42</v>
      </c>
      <c r="F117" s="1255">
        <v>0</v>
      </c>
      <c r="G117" s="1765">
        <v>95.95</v>
      </c>
      <c r="H117" s="1255">
        <v>721</v>
      </c>
      <c r="I117" s="1256">
        <f t="shared" si="7"/>
        <v>2976129.5700000003</v>
      </c>
      <c r="J117" s="1255">
        <f t="shared" si="8"/>
        <v>816.95</v>
      </c>
    </row>
    <row r="118" spans="1:10" s="91" customFormat="1" ht="12.75" customHeight="1" x14ac:dyDescent="0.3">
      <c r="A118" s="915" t="s">
        <v>191</v>
      </c>
      <c r="B118" s="1252" t="s">
        <v>192</v>
      </c>
      <c r="C118" s="1253" t="s">
        <v>255</v>
      </c>
      <c r="D118" s="1254">
        <v>349928.57</v>
      </c>
      <c r="E118" s="1255">
        <v>320774.09000000003</v>
      </c>
      <c r="F118" s="1255">
        <v>0</v>
      </c>
      <c r="G118" s="1765">
        <v>732.35</v>
      </c>
      <c r="H118" s="1255">
        <v>0</v>
      </c>
      <c r="I118" s="1256">
        <f t="shared" si="7"/>
        <v>671435.01</v>
      </c>
      <c r="J118" s="1255">
        <f t="shared" si="8"/>
        <v>732.35</v>
      </c>
    </row>
    <row r="119" spans="1:10" s="91" customFormat="1" ht="12.75" customHeight="1" x14ac:dyDescent="0.3">
      <c r="A119" s="915" t="s">
        <v>195</v>
      </c>
      <c r="B119" s="1252" t="s">
        <v>285</v>
      </c>
      <c r="C119" s="1253" t="s">
        <v>253</v>
      </c>
      <c r="D119" s="1254">
        <v>5271081.9700000007</v>
      </c>
      <c r="E119" s="1255">
        <v>5736474.75</v>
      </c>
      <c r="F119" s="1255">
        <v>0</v>
      </c>
      <c r="G119" s="1765">
        <v>-0.54</v>
      </c>
      <c r="H119" s="1255">
        <v>0</v>
      </c>
      <c r="I119" s="1256">
        <f t="shared" si="7"/>
        <v>11007556.180000002</v>
      </c>
      <c r="J119" s="1255">
        <f t="shared" si="8"/>
        <v>-0.54</v>
      </c>
    </row>
    <row r="120" spans="1:10" s="91" customFormat="1" ht="12.75" customHeight="1" x14ac:dyDescent="0.3">
      <c r="A120" s="915" t="s">
        <v>199</v>
      </c>
      <c r="B120" s="1252" t="s">
        <v>286</v>
      </c>
      <c r="C120" s="1253" t="s">
        <v>252</v>
      </c>
      <c r="D120" s="1254">
        <v>5243953.41</v>
      </c>
      <c r="E120" s="1255">
        <v>5746318.0099999998</v>
      </c>
      <c r="F120" s="1255">
        <v>0</v>
      </c>
      <c r="G120" s="1765">
        <v>51239.33</v>
      </c>
      <c r="H120" s="1255">
        <v>0</v>
      </c>
      <c r="I120" s="1256">
        <f t="shared" si="7"/>
        <v>11041510.75</v>
      </c>
      <c r="J120" s="1255">
        <f t="shared" si="8"/>
        <v>51239.33</v>
      </c>
    </row>
    <row r="121" spans="1:10" s="91" customFormat="1" ht="12.75" customHeight="1" x14ac:dyDescent="0.3">
      <c r="A121" s="915" t="s">
        <v>221</v>
      </c>
      <c r="B121" s="1252" t="s">
        <v>222</v>
      </c>
      <c r="C121" s="1253" t="s">
        <v>251</v>
      </c>
      <c r="D121" s="1254">
        <v>418608.67</v>
      </c>
      <c r="E121" s="1255">
        <v>435906.96</v>
      </c>
      <c r="F121" s="1255">
        <v>0</v>
      </c>
      <c r="G121" s="1765">
        <v>-0.09</v>
      </c>
      <c r="H121" s="1255">
        <v>0.1</v>
      </c>
      <c r="I121" s="1256">
        <f t="shared" si="7"/>
        <v>854515.64</v>
      </c>
      <c r="J121" s="1255">
        <f t="shared" si="8"/>
        <v>1.0000000000000009E-2</v>
      </c>
    </row>
    <row r="122" spans="1:10" s="91" customFormat="1" ht="12.75" customHeight="1" x14ac:dyDescent="0.3">
      <c r="A122" s="915" t="s">
        <v>229</v>
      </c>
      <c r="B122" s="1252" t="s">
        <v>230</v>
      </c>
      <c r="C122" s="1253" t="s">
        <v>251</v>
      </c>
      <c r="D122" s="1254">
        <v>3360325.8200000003</v>
      </c>
      <c r="E122" s="1255">
        <v>4284525.92</v>
      </c>
      <c r="F122" s="1255">
        <v>0</v>
      </c>
      <c r="G122" s="1765">
        <v>50054.68</v>
      </c>
      <c r="H122" s="1255">
        <v>0</v>
      </c>
      <c r="I122" s="1256">
        <f t="shared" si="7"/>
        <v>7694906.4199999999</v>
      </c>
      <c r="J122" s="1255">
        <f t="shared" si="8"/>
        <v>50054.68</v>
      </c>
    </row>
    <row r="123" spans="1:10" s="91" customFormat="1" ht="12.75" customHeight="1" x14ac:dyDescent="0.3">
      <c r="A123" s="915" t="s">
        <v>237</v>
      </c>
      <c r="B123" s="1252" t="s">
        <v>238</v>
      </c>
      <c r="C123" s="1253" t="s">
        <v>251</v>
      </c>
      <c r="D123" s="1254">
        <v>85978.659999999989</v>
      </c>
      <c r="E123" s="1255">
        <v>103851.9</v>
      </c>
      <c r="F123" s="1255">
        <v>0</v>
      </c>
      <c r="G123" s="1765">
        <v>-0.01</v>
      </c>
      <c r="H123" s="1255">
        <v>0</v>
      </c>
      <c r="I123" s="1256">
        <f t="shared" si="7"/>
        <v>189830.55</v>
      </c>
      <c r="J123" s="1255">
        <f t="shared" si="8"/>
        <v>-0.01</v>
      </c>
    </row>
    <row r="124" spans="1:10" s="91" customFormat="1" ht="12.75" customHeight="1" x14ac:dyDescent="0.3">
      <c r="A124" s="1257" t="s">
        <v>239</v>
      </c>
      <c r="B124" s="1258" t="s">
        <v>240</v>
      </c>
      <c r="C124" s="1259" t="s">
        <v>254</v>
      </c>
      <c r="D124" s="1260">
        <v>657804.55000000005</v>
      </c>
      <c r="E124" s="1261">
        <v>680453.55</v>
      </c>
      <c r="F124" s="1261">
        <v>0</v>
      </c>
      <c r="G124" s="1766">
        <v>-0.19</v>
      </c>
      <c r="H124" s="1261">
        <v>0</v>
      </c>
      <c r="I124" s="1262">
        <f t="shared" si="7"/>
        <v>1338257.9100000001</v>
      </c>
      <c r="J124" s="1261">
        <f t="shared" si="8"/>
        <v>-0.19</v>
      </c>
    </row>
    <row r="125" spans="1:10" s="91" customFormat="1" ht="12.75" customHeight="1" x14ac:dyDescent="0.3">
      <c r="A125" s="1263"/>
      <c r="B125" s="1263"/>
      <c r="C125" s="1263"/>
      <c r="D125" s="1263"/>
      <c r="E125" s="1263"/>
      <c r="F125" s="1263"/>
      <c r="G125" s="1263"/>
      <c r="H125" s="1263"/>
      <c r="I125" s="1263"/>
      <c r="J125" s="1263"/>
    </row>
    <row r="126" spans="1:10" s="91" customFormat="1" ht="12.75" customHeight="1" x14ac:dyDescent="0.3">
      <c r="A126" s="1265" t="s">
        <v>253</v>
      </c>
      <c r="B126" s="1265"/>
      <c r="C126" s="1265"/>
      <c r="D126" s="1266">
        <v>13992678.690000001</v>
      </c>
      <c r="E126" s="1267">
        <v>15374123.200000003</v>
      </c>
      <c r="F126" s="1267">
        <v>0</v>
      </c>
      <c r="G126" s="1267">
        <v>68548.200000000012</v>
      </c>
      <c r="H126" s="1267">
        <v>7074.28</v>
      </c>
      <c r="I126" s="1268">
        <f t="shared" ref="I126:I130" si="9">SUM(D126:H126)</f>
        <v>29442424.370000005</v>
      </c>
      <c r="J126" s="1267">
        <f>SUM(F126:H126)</f>
        <v>75622.48000000001</v>
      </c>
    </row>
    <row r="127" spans="1:10" s="91" customFormat="1" ht="12.75" customHeight="1" x14ac:dyDescent="0.3">
      <c r="A127" s="1269" t="s">
        <v>251</v>
      </c>
      <c r="B127" s="1269"/>
      <c r="C127" s="1269"/>
      <c r="D127" s="1270">
        <v>16991347.319999997</v>
      </c>
      <c r="E127" s="1271">
        <v>19118103.229999997</v>
      </c>
      <c r="F127" s="1271">
        <v>0</v>
      </c>
      <c r="G127" s="1271">
        <v>66061.830000000045</v>
      </c>
      <c r="H127" s="1271">
        <v>1015.1</v>
      </c>
      <c r="I127" s="1272">
        <f t="shared" si="9"/>
        <v>36176527.479999997</v>
      </c>
      <c r="J127" s="1271">
        <f>SUM(F127:H127)</f>
        <v>67076.930000000051</v>
      </c>
    </row>
    <row r="128" spans="1:10" s="91" customFormat="1" ht="12.75" customHeight="1" x14ac:dyDescent="0.3">
      <c r="A128" s="1269" t="s">
        <v>254</v>
      </c>
      <c r="B128" s="1269"/>
      <c r="C128" s="1269"/>
      <c r="D128" s="1270">
        <v>23146980.989999995</v>
      </c>
      <c r="E128" s="1271">
        <v>27004605.659999996</v>
      </c>
      <c r="F128" s="1271">
        <v>0</v>
      </c>
      <c r="G128" s="1271">
        <v>46272.339999999982</v>
      </c>
      <c r="H128" s="1271">
        <v>9372.9500000000044</v>
      </c>
      <c r="I128" s="1272">
        <f t="shared" si="9"/>
        <v>50207231.939999998</v>
      </c>
      <c r="J128" s="1271">
        <f>SUM(F128:H128)</f>
        <v>55645.289999999986</v>
      </c>
    </row>
    <row r="129" spans="1:10" s="91" customFormat="1" ht="12.75" customHeight="1" x14ac:dyDescent="0.3">
      <c r="A129" s="1269" t="s">
        <v>252</v>
      </c>
      <c r="B129" s="1269"/>
      <c r="C129" s="1269"/>
      <c r="D129" s="1270">
        <v>25716825.41</v>
      </c>
      <c r="E129" s="1271">
        <v>28097355.289999999</v>
      </c>
      <c r="F129" s="1271">
        <v>0</v>
      </c>
      <c r="G129" s="1271">
        <v>105806.46000000002</v>
      </c>
      <c r="H129" s="1271">
        <v>7199.8099999999995</v>
      </c>
      <c r="I129" s="1272">
        <f t="shared" si="9"/>
        <v>53927186.970000006</v>
      </c>
      <c r="J129" s="1271">
        <f>SUM(F129:H129)</f>
        <v>113006.27000000002</v>
      </c>
    </row>
    <row r="130" spans="1:10" s="91" customFormat="1" ht="12.75" customHeight="1" x14ac:dyDescent="0.3">
      <c r="A130" s="1269" t="s">
        <v>255</v>
      </c>
      <c r="B130" s="1269"/>
      <c r="C130" s="1269"/>
      <c r="D130" s="1270">
        <v>15802849.560000001</v>
      </c>
      <c r="E130" s="1271">
        <v>17519705.049999993</v>
      </c>
      <c r="F130" s="1271">
        <v>0</v>
      </c>
      <c r="G130" s="1271">
        <v>72261.039999999979</v>
      </c>
      <c r="H130" s="1271">
        <v>0</v>
      </c>
      <c r="I130" s="1272">
        <f t="shared" si="9"/>
        <v>33394815.649999991</v>
      </c>
      <c r="J130" s="1271">
        <f>SUM(F130:H130)</f>
        <v>72261.039999999979</v>
      </c>
    </row>
    <row r="131" spans="1:10" s="91" customFormat="1" ht="12.75" customHeight="1" x14ac:dyDescent="0.3">
      <c r="A131" s="1269" t="s">
        <v>8</v>
      </c>
      <c r="B131" s="1269"/>
      <c r="C131" s="1269"/>
      <c r="D131" s="1270">
        <f t="shared" ref="D131:I131" si="10">SUM(D126:D130)</f>
        <v>95650681.969999999</v>
      </c>
      <c r="E131" s="1271">
        <f t="shared" si="10"/>
        <v>107113892.42999999</v>
      </c>
      <c r="F131" s="1271">
        <f t="shared" si="10"/>
        <v>0</v>
      </c>
      <c r="G131" s="1271">
        <f t="shared" si="10"/>
        <v>358949.87000000005</v>
      </c>
      <c r="H131" s="1271">
        <f t="shared" si="10"/>
        <v>24662.140000000007</v>
      </c>
      <c r="I131" s="1272">
        <f t="shared" si="10"/>
        <v>203148186.40999997</v>
      </c>
      <c r="J131" s="1271">
        <f>SUM(J126:J130)</f>
        <v>383612.01000000007</v>
      </c>
    </row>
    <row r="132" spans="1:10" s="91" customFormat="1" x14ac:dyDescent="0.3"/>
    <row r="133" spans="1:10" s="608" customFormat="1" x14ac:dyDescent="0.3">
      <c r="A133" s="992" t="s">
        <v>1026</v>
      </c>
      <c r="B133" s="609"/>
      <c r="C133" s="609"/>
      <c r="D133" s="610"/>
    </row>
    <row r="134" spans="1:10" s="608" customFormat="1" x14ac:dyDescent="0.3"/>
    <row r="135" spans="1:10" s="81" customFormat="1" x14ac:dyDescent="0.3">
      <c r="A135" s="81" t="s">
        <v>247</v>
      </c>
    </row>
    <row r="136" spans="1:10" x14ac:dyDescent="0.3">
      <c r="A136" s="87" t="s">
        <v>248</v>
      </c>
      <c r="B136" s="71" t="s">
        <v>249</v>
      </c>
      <c r="C136" s="71"/>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xSplit="3" ySplit="4" topLeftCell="D119" activePane="bottomRight" state="frozen"/>
      <selection pane="topRight" activeCell="D1" sqref="D1"/>
      <selection pane="bottomLeft" activeCell="A5" sqref="A5"/>
      <selection pane="bottomRight" activeCell="I135" sqref="I135"/>
    </sheetView>
  </sheetViews>
  <sheetFormatPr defaultColWidth="13.19921875" defaultRowHeight="15.6" x14ac:dyDescent="0.3"/>
  <cols>
    <col min="1" max="1" width="7.5" style="105" customWidth="1"/>
    <col min="2" max="2" width="35" style="105" customWidth="1"/>
    <col min="3" max="3" width="16.69921875" style="105" customWidth="1"/>
    <col min="4" max="5" width="13.19921875" style="105"/>
    <col min="6" max="7" width="15.69921875" style="105" customWidth="1"/>
    <col min="8" max="16384" width="13.19921875" style="105"/>
  </cols>
  <sheetData>
    <row r="1" spans="1:10" x14ac:dyDescent="0.3">
      <c r="A1" s="99" t="s">
        <v>904</v>
      </c>
    </row>
    <row r="2" spans="1:10" x14ac:dyDescent="0.3">
      <c r="B2" s="495"/>
      <c r="C2" s="550"/>
    </row>
    <row r="3" spans="1:10" s="416" customFormat="1" ht="28.8" x14ac:dyDescent="0.3">
      <c r="A3" s="1140" t="s">
        <v>4</v>
      </c>
      <c r="B3" s="1140" t="s">
        <v>5</v>
      </c>
      <c r="C3" s="1141" t="s">
        <v>250</v>
      </c>
      <c r="D3" s="1142" t="s">
        <v>287</v>
      </c>
      <c r="E3" s="1143" t="s">
        <v>288</v>
      </c>
      <c r="F3" s="1143" t="s">
        <v>289</v>
      </c>
      <c r="G3" s="1767" t="s">
        <v>815</v>
      </c>
      <c r="H3" s="1143" t="s">
        <v>816</v>
      </c>
      <c r="I3" s="1145" t="s">
        <v>262</v>
      </c>
      <c r="J3" s="1144" t="s">
        <v>820</v>
      </c>
    </row>
    <row r="4" spans="1:10" s="416" customFormat="1" x14ac:dyDescent="0.3">
      <c r="A4" s="611">
        <v>999</v>
      </c>
      <c r="B4" s="611" t="s">
        <v>8</v>
      </c>
      <c r="C4" s="612"/>
      <c r="D4" s="801">
        <f t="shared" ref="D4:I4" si="0">SUM(D5:D124)</f>
        <v>1055291.8299999998</v>
      </c>
      <c r="E4" s="801">
        <f t="shared" si="0"/>
        <v>18200718.369999997</v>
      </c>
      <c r="F4" s="801">
        <f t="shared" si="0"/>
        <v>4682551.7</v>
      </c>
      <c r="G4" s="801">
        <f t="shared" si="0"/>
        <v>943029.44</v>
      </c>
      <c r="H4" s="802">
        <f t="shared" si="0"/>
        <v>139036.37</v>
      </c>
      <c r="I4" s="1139">
        <f t="shared" si="0"/>
        <v>25020627.709999993</v>
      </c>
      <c r="J4" s="802">
        <f>SUM(J5:J124)</f>
        <v>1082065.8099999998</v>
      </c>
    </row>
    <row r="5" spans="1:10" s="503" customFormat="1" x14ac:dyDescent="0.3">
      <c r="A5" s="1146" t="s">
        <v>9</v>
      </c>
      <c r="B5" s="1146" t="s">
        <v>10</v>
      </c>
      <c r="C5" s="1147" t="s">
        <v>251</v>
      </c>
      <c r="D5" s="1148">
        <v>-2756.9</v>
      </c>
      <c r="E5" s="1148">
        <v>66116.83</v>
      </c>
      <c r="F5" s="1148">
        <v>17191.400000000001</v>
      </c>
      <c r="G5" s="1768">
        <v>0</v>
      </c>
      <c r="H5" s="1149">
        <v>0</v>
      </c>
      <c r="I5" s="1151">
        <f t="shared" ref="I5:I36" si="1">SUM(D5:H5)</f>
        <v>80551.33</v>
      </c>
      <c r="J5" s="1150">
        <f t="shared" ref="J5:J36" si="2">G5+H5</f>
        <v>0</v>
      </c>
    </row>
    <row r="6" spans="1:10" s="503" customFormat="1" x14ac:dyDescent="0.3">
      <c r="A6" s="1152" t="s">
        <v>11</v>
      </c>
      <c r="B6" s="1152" t="s">
        <v>12</v>
      </c>
      <c r="C6" s="1153" t="s">
        <v>252</v>
      </c>
      <c r="D6" s="1154">
        <v>13675</v>
      </c>
      <c r="E6" s="1154">
        <v>138657.44999999998</v>
      </c>
      <c r="F6" s="1154">
        <v>35264.659999999996</v>
      </c>
      <c r="G6" s="1769">
        <v>-0.11</v>
      </c>
      <c r="H6" s="1155">
        <v>0</v>
      </c>
      <c r="I6" s="1157">
        <f t="shared" si="1"/>
        <v>187597</v>
      </c>
      <c r="J6" s="1156">
        <f t="shared" si="2"/>
        <v>-0.11</v>
      </c>
    </row>
    <row r="7" spans="1:10" s="503" customFormat="1" x14ac:dyDescent="0.3">
      <c r="A7" s="1152" t="s">
        <v>15</v>
      </c>
      <c r="B7" s="1152" t="s">
        <v>273</v>
      </c>
      <c r="C7" s="1153" t="s">
        <v>252</v>
      </c>
      <c r="D7" s="1154">
        <v>-753.72</v>
      </c>
      <c r="E7" s="1154">
        <v>34175.03</v>
      </c>
      <c r="F7" s="1154">
        <v>8724.7999999999993</v>
      </c>
      <c r="G7" s="1769">
        <v>0</v>
      </c>
      <c r="H7" s="1155">
        <v>0</v>
      </c>
      <c r="I7" s="1157">
        <f t="shared" si="1"/>
        <v>42146.11</v>
      </c>
      <c r="J7" s="1156">
        <f t="shared" si="2"/>
        <v>0</v>
      </c>
    </row>
    <row r="8" spans="1:10" s="503" customFormat="1" x14ac:dyDescent="0.3">
      <c r="A8" s="1152" t="s">
        <v>17</v>
      </c>
      <c r="B8" s="1152" t="s">
        <v>18</v>
      </c>
      <c r="C8" s="1153" t="s">
        <v>253</v>
      </c>
      <c r="D8" s="1154">
        <v>0</v>
      </c>
      <c r="E8" s="1154">
        <v>57185.599999999999</v>
      </c>
      <c r="F8" s="1154">
        <v>14296.4</v>
      </c>
      <c r="G8" s="1769">
        <v>0</v>
      </c>
      <c r="H8" s="1155">
        <v>0</v>
      </c>
      <c r="I8" s="1157">
        <f t="shared" si="1"/>
        <v>71482</v>
      </c>
      <c r="J8" s="1156">
        <f t="shared" si="2"/>
        <v>0</v>
      </c>
    </row>
    <row r="9" spans="1:10" s="503" customFormat="1" x14ac:dyDescent="0.3">
      <c r="A9" s="1152" t="s">
        <v>19</v>
      </c>
      <c r="B9" s="1152" t="s">
        <v>20</v>
      </c>
      <c r="C9" s="1153" t="s">
        <v>252</v>
      </c>
      <c r="D9" s="1154">
        <v>0</v>
      </c>
      <c r="E9" s="1154">
        <v>49573.599999999999</v>
      </c>
      <c r="F9" s="1154">
        <v>12393.4</v>
      </c>
      <c r="G9" s="1769">
        <v>0</v>
      </c>
      <c r="H9" s="1155">
        <v>0</v>
      </c>
      <c r="I9" s="1157">
        <f t="shared" si="1"/>
        <v>61967</v>
      </c>
      <c r="J9" s="1156">
        <f t="shared" si="2"/>
        <v>0</v>
      </c>
    </row>
    <row r="10" spans="1:10" s="503" customFormat="1" x14ac:dyDescent="0.3">
      <c r="A10" s="1152" t="s">
        <v>21</v>
      </c>
      <c r="B10" s="1152" t="s">
        <v>22</v>
      </c>
      <c r="C10" s="1153" t="s">
        <v>252</v>
      </c>
      <c r="D10" s="1154">
        <v>0</v>
      </c>
      <c r="E10" s="1154">
        <v>46872.800000000003</v>
      </c>
      <c r="F10" s="1154">
        <v>11718.2</v>
      </c>
      <c r="G10" s="1769">
        <v>0</v>
      </c>
      <c r="H10" s="1155">
        <v>0</v>
      </c>
      <c r="I10" s="1157">
        <f t="shared" si="1"/>
        <v>58591</v>
      </c>
      <c r="J10" s="1156">
        <f t="shared" si="2"/>
        <v>0</v>
      </c>
    </row>
    <row r="11" spans="1:10" s="503" customFormat="1" x14ac:dyDescent="0.3">
      <c r="A11" s="1152" t="s">
        <v>23</v>
      </c>
      <c r="B11" s="1152" t="s">
        <v>24</v>
      </c>
      <c r="C11" s="1153" t="s">
        <v>254</v>
      </c>
      <c r="D11" s="1154">
        <v>4928.5300000000007</v>
      </c>
      <c r="E11" s="1154">
        <v>459500.74</v>
      </c>
      <c r="F11" s="1154">
        <v>115390.76</v>
      </c>
      <c r="G11" s="1769">
        <v>375927.63</v>
      </c>
      <c r="H11" s="1155">
        <v>0</v>
      </c>
      <c r="I11" s="1157">
        <f t="shared" si="1"/>
        <v>955747.66</v>
      </c>
      <c r="J11" s="1156">
        <f t="shared" si="2"/>
        <v>375927.63</v>
      </c>
    </row>
    <row r="12" spans="1:10" s="503" customFormat="1" x14ac:dyDescent="0.3">
      <c r="A12" s="1152" t="s">
        <v>25</v>
      </c>
      <c r="B12" s="1152" t="s">
        <v>444</v>
      </c>
      <c r="C12" s="1153" t="s">
        <v>252</v>
      </c>
      <c r="D12" s="1154">
        <v>94949.39</v>
      </c>
      <c r="E12" s="1154">
        <v>363355.01999999996</v>
      </c>
      <c r="F12" s="1154">
        <v>98595.859999999986</v>
      </c>
      <c r="G12" s="1769">
        <v>21999.519999999997</v>
      </c>
      <c r="H12" s="1155">
        <v>0</v>
      </c>
      <c r="I12" s="1157">
        <f t="shared" si="1"/>
        <v>578899.79</v>
      </c>
      <c r="J12" s="1156">
        <f t="shared" si="2"/>
        <v>21999.519999999997</v>
      </c>
    </row>
    <row r="13" spans="1:10" s="503" customFormat="1" x14ac:dyDescent="0.3">
      <c r="A13" s="1152" t="s">
        <v>26</v>
      </c>
      <c r="B13" s="1152" t="s">
        <v>27</v>
      </c>
      <c r="C13" s="1153" t="s">
        <v>252</v>
      </c>
      <c r="D13" s="1154"/>
      <c r="E13" s="1154"/>
      <c r="F13" s="1154"/>
      <c r="G13" s="1769"/>
      <c r="H13" s="1155"/>
      <c r="I13" s="1157">
        <f t="shared" si="1"/>
        <v>0</v>
      </c>
      <c r="J13" s="1156">
        <f t="shared" si="2"/>
        <v>0</v>
      </c>
    </row>
    <row r="14" spans="1:10" s="503" customFormat="1" x14ac:dyDescent="0.3">
      <c r="A14" s="1152" t="s">
        <v>28</v>
      </c>
      <c r="B14" s="1152" t="s">
        <v>568</v>
      </c>
      <c r="C14" s="1153" t="s">
        <v>252</v>
      </c>
      <c r="D14" s="1154">
        <v>-452.98</v>
      </c>
      <c r="E14" s="1154">
        <v>99675.189999999988</v>
      </c>
      <c r="F14" s="1154">
        <v>25027.599999999999</v>
      </c>
      <c r="G14" s="1769">
        <v>0</v>
      </c>
      <c r="H14" s="1155">
        <v>0</v>
      </c>
      <c r="I14" s="1157">
        <f t="shared" si="1"/>
        <v>124249.81</v>
      </c>
      <c r="J14" s="1156">
        <f t="shared" si="2"/>
        <v>0</v>
      </c>
    </row>
    <row r="15" spans="1:10" s="503" customFormat="1" x14ac:dyDescent="0.3">
      <c r="A15" s="1152" t="s">
        <v>29</v>
      </c>
      <c r="B15" s="1152" t="s">
        <v>30</v>
      </c>
      <c r="C15" s="1153" t="s">
        <v>255</v>
      </c>
      <c r="D15" s="1154">
        <v>0</v>
      </c>
      <c r="E15" s="1154">
        <v>7016.8</v>
      </c>
      <c r="F15" s="1154">
        <v>1754.2</v>
      </c>
      <c r="G15" s="1769">
        <v>0</v>
      </c>
      <c r="H15" s="1155">
        <v>0</v>
      </c>
      <c r="I15" s="1157">
        <f t="shared" si="1"/>
        <v>8771</v>
      </c>
      <c r="J15" s="1156">
        <f t="shared" si="2"/>
        <v>0</v>
      </c>
    </row>
    <row r="16" spans="1:10" s="503" customFormat="1" x14ac:dyDescent="0.3">
      <c r="A16" s="1152" t="s">
        <v>31</v>
      </c>
      <c r="B16" s="1152" t="s">
        <v>32</v>
      </c>
      <c r="C16" s="1153" t="s">
        <v>252</v>
      </c>
      <c r="D16" s="1154">
        <v>0</v>
      </c>
      <c r="E16" s="1154">
        <v>48535.199999999997</v>
      </c>
      <c r="F16" s="1154">
        <v>12133.8</v>
      </c>
      <c r="G16" s="1769">
        <v>0</v>
      </c>
      <c r="H16" s="1155">
        <v>0</v>
      </c>
      <c r="I16" s="1157">
        <f t="shared" si="1"/>
        <v>60669</v>
      </c>
      <c r="J16" s="1156">
        <f t="shared" si="2"/>
        <v>0</v>
      </c>
    </row>
    <row r="17" spans="1:10" s="503" customFormat="1" x14ac:dyDescent="0.3">
      <c r="A17" s="1152" t="s">
        <v>35</v>
      </c>
      <c r="B17" s="1152" t="s">
        <v>36</v>
      </c>
      <c r="C17" s="1153" t="s">
        <v>251</v>
      </c>
      <c r="D17" s="1154">
        <v>5343.48</v>
      </c>
      <c r="E17" s="1154">
        <v>143112.79999999999</v>
      </c>
      <c r="F17" s="1154">
        <v>35778.199999999997</v>
      </c>
      <c r="G17" s="1769">
        <v>0</v>
      </c>
      <c r="H17" s="1155">
        <v>0</v>
      </c>
      <c r="I17" s="1157">
        <f t="shared" si="1"/>
        <v>184234.47999999998</v>
      </c>
      <c r="J17" s="1156">
        <f t="shared" si="2"/>
        <v>0</v>
      </c>
    </row>
    <row r="18" spans="1:10" s="503" customFormat="1" x14ac:dyDescent="0.3">
      <c r="A18" s="1152" t="s">
        <v>37</v>
      </c>
      <c r="B18" s="1152" t="s">
        <v>38</v>
      </c>
      <c r="C18" s="1153" t="s">
        <v>255</v>
      </c>
      <c r="D18" s="1154">
        <v>0</v>
      </c>
      <c r="E18" s="1154">
        <v>121943.2</v>
      </c>
      <c r="F18" s="1154">
        <v>30485.8</v>
      </c>
      <c r="G18" s="1769">
        <v>17745</v>
      </c>
      <c r="H18" s="1155">
        <v>0</v>
      </c>
      <c r="I18" s="1157">
        <f t="shared" si="1"/>
        <v>170174</v>
      </c>
      <c r="J18" s="1156">
        <f t="shared" si="2"/>
        <v>17745</v>
      </c>
    </row>
    <row r="19" spans="1:10" s="503" customFormat="1" x14ac:dyDescent="0.3">
      <c r="A19" s="1152" t="s">
        <v>39</v>
      </c>
      <c r="B19" s="1152" t="s">
        <v>40</v>
      </c>
      <c r="C19" s="1153" t="s">
        <v>253</v>
      </c>
      <c r="D19" s="1154">
        <v>0</v>
      </c>
      <c r="E19" s="1154">
        <v>49382.400000000001</v>
      </c>
      <c r="F19" s="1154">
        <v>12345.6</v>
      </c>
      <c r="G19" s="1769">
        <v>0</v>
      </c>
      <c r="H19" s="1155">
        <v>0</v>
      </c>
      <c r="I19" s="1157">
        <f t="shared" si="1"/>
        <v>61728</v>
      </c>
      <c r="J19" s="1156">
        <f t="shared" si="2"/>
        <v>0</v>
      </c>
    </row>
    <row r="20" spans="1:10" s="503" customFormat="1" x14ac:dyDescent="0.3">
      <c r="A20" s="1152" t="s">
        <v>41</v>
      </c>
      <c r="B20" s="1152" t="s">
        <v>42</v>
      </c>
      <c r="C20" s="1153" t="s">
        <v>252</v>
      </c>
      <c r="D20" s="1154">
        <v>0</v>
      </c>
      <c r="E20" s="1154">
        <v>104605.03</v>
      </c>
      <c r="F20" s="1154">
        <v>30506.04</v>
      </c>
      <c r="G20" s="1769">
        <v>-0.01</v>
      </c>
      <c r="H20" s="1155">
        <v>0</v>
      </c>
      <c r="I20" s="1157">
        <f t="shared" si="1"/>
        <v>135111.06</v>
      </c>
      <c r="J20" s="1156">
        <f t="shared" si="2"/>
        <v>-0.01</v>
      </c>
    </row>
    <row r="21" spans="1:10" s="503" customFormat="1" x14ac:dyDescent="0.3">
      <c r="A21" s="1152" t="s">
        <v>43</v>
      </c>
      <c r="B21" s="1152" t="s">
        <v>44</v>
      </c>
      <c r="C21" s="1153" t="s">
        <v>253</v>
      </c>
      <c r="D21" s="1154">
        <v>0</v>
      </c>
      <c r="E21" s="1154">
        <v>1989.6</v>
      </c>
      <c r="F21" s="1154">
        <v>497.4</v>
      </c>
      <c r="G21" s="1769">
        <v>0</v>
      </c>
      <c r="H21" s="1155">
        <v>0</v>
      </c>
      <c r="I21" s="1157">
        <f t="shared" si="1"/>
        <v>2487</v>
      </c>
      <c r="J21" s="1156">
        <f t="shared" si="2"/>
        <v>0</v>
      </c>
    </row>
    <row r="22" spans="1:10" s="503" customFormat="1" x14ac:dyDescent="0.3">
      <c r="A22" s="1152" t="s">
        <v>45</v>
      </c>
      <c r="B22" s="1152" t="s">
        <v>46</v>
      </c>
      <c r="C22" s="1153" t="s">
        <v>255</v>
      </c>
      <c r="D22" s="1154">
        <v>-442.68</v>
      </c>
      <c r="E22" s="1154">
        <v>152811.47999999998</v>
      </c>
      <c r="F22" s="1154">
        <v>38309.199999999997</v>
      </c>
      <c r="G22" s="1769">
        <v>0</v>
      </c>
      <c r="H22" s="1155">
        <v>0</v>
      </c>
      <c r="I22" s="1157">
        <f t="shared" si="1"/>
        <v>190678</v>
      </c>
      <c r="J22" s="1156">
        <f t="shared" si="2"/>
        <v>0</v>
      </c>
    </row>
    <row r="23" spans="1:10" s="503" customFormat="1" x14ac:dyDescent="0.3">
      <c r="A23" s="1152" t="s">
        <v>47</v>
      </c>
      <c r="B23" s="1152" t="s">
        <v>256</v>
      </c>
      <c r="C23" s="1153" t="s">
        <v>253</v>
      </c>
      <c r="D23" s="1154">
        <v>0</v>
      </c>
      <c r="E23" s="1154">
        <v>16774.400000000001</v>
      </c>
      <c r="F23" s="1154">
        <v>4193.6000000000004</v>
      </c>
      <c r="G23" s="1769">
        <v>0</v>
      </c>
      <c r="H23" s="1155">
        <v>0</v>
      </c>
      <c r="I23" s="1157">
        <f t="shared" si="1"/>
        <v>20968</v>
      </c>
      <c r="J23" s="1156">
        <f t="shared" si="2"/>
        <v>0</v>
      </c>
    </row>
    <row r="24" spans="1:10" s="503" customFormat="1" x14ac:dyDescent="0.3">
      <c r="A24" s="1152" t="s">
        <v>49</v>
      </c>
      <c r="B24" s="1152" t="s">
        <v>50</v>
      </c>
      <c r="C24" s="1153" t="s">
        <v>252</v>
      </c>
      <c r="D24" s="1154">
        <v>47107.47</v>
      </c>
      <c r="E24" s="1154">
        <v>55459.199999999997</v>
      </c>
      <c r="F24" s="1154">
        <v>13864.8</v>
      </c>
      <c r="G24" s="1769">
        <v>2000</v>
      </c>
      <c r="H24" s="1155">
        <v>0</v>
      </c>
      <c r="I24" s="1157">
        <f t="shared" si="1"/>
        <v>118431.47</v>
      </c>
      <c r="J24" s="1156">
        <f t="shared" si="2"/>
        <v>2000</v>
      </c>
    </row>
    <row r="25" spans="1:10" s="503" customFormat="1" x14ac:dyDescent="0.3">
      <c r="A25" s="1152" t="s">
        <v>55</v>
      </c>
      <c r="B25" s="1152" t="s">
        <v>271</v>
      </c>
      <c r="C25" s="1153" t="s">
        <v>253</v>
      </c>
      <c r="D25" s="1154">
        <v>273.94999999999982</v>
      </c>
      <c r="E25" s="1154">
        <v>545384.5</v>
      </c>
      <c r="F25" s="1154">
        <v>147790.76999999999</v>
      </c>
      <c r="G25" s="1769">
        <v>-1201.07</v>
      </c>
      <c r="H25" s="1155">
        <v>-187</v>
      </c>
      <c r="I25" s="1157">
        <f t="shared" si="1"/>
        <v>692061.15</v>
      </c>
      <c r="J25" s="1156">
        <f t="shared" si="2"/>
        <v>-1388.07</v>
      </c>
    </row>
    <row r="26" spans="1:10" s="503" customFormat="1" x14ac:dyDescent="0.3">
      <c r="A26" s="1152" t="s">
        <v>57</v>
      </c>
      <c r="B26" s="1152" t="s">
        <v>58</v>
      </c>
      <c r="C26" s="1153" t="s">
        <v>254</v>
      </c>
      <c r="D26" s="1154">
        <v>0</v>
      </c>
      <c r="E26" s="1154">
        <v>10385.6</v>
      </c>
      <c r="F26" s="1154">
        <v>2596.4</v>
      </c>
      <c r="G26" s="1769">
        <v>0</v>
      </c>
      <c r="H26" s="1155">
        <v>0</v>
      </c>
      <c r="I26" s="1157">
        <f t="shared" si="1"/>
        <v>12982</v>
      </c>
      <c r="J26" s="1156">
        <f t="shared" si="2"/>
        <v>0</v>
      </c>
    </row>
    <row r="27" spans="1:10" s="503" customFormat="1" x14ac:dyDescent="0.3">
      <c r="A27" s="1152" t="s">
        <v>59</v>
      </c>
      <c r="B27" s="1152" t="s">
        <v>60</v>
      </c>
      <c r="C27" s="1153" t="s">
        <v>252</v>
      </c>
      <c r="D27" s="1154">
        <v>0</v>
      </c>
      <c r="E27" s="1154">
        <v>10791.2</v>
      </c>
      <c r="F27" s="1154">
        <v>2697.8</v>
      </c>
      <c r="G27" s="1769">
        <v>0</v>
      </c>
      <c r="H27" s="1155">
        <v>0</v>
      </c>
      <c r="I27" s="1157">
        <f t="shared" si="1"/>
        <v>13489</v>
      </c>
      <c r="J27" s="1156">
        <f t="shared" si="2"/>
        <v>0</v>
      </c>
    </row>
    <row r="28" spans="1:10" s="503" customFormat="1" x14ac:dyDescent="0.3">
      <c r="A28" s="1152" t="s">
        <v>61</v>
      </c>
      <c r="B28" s="1152" t="s">
        <v>62</v>
      </c>
      <c r="C28" s="1153" t="s">
        <v>254</v>
      </c>
      <c r="D28" s="1154">
        <v>21022.36</v>
      </c>
      <c r="E28" s="1154">
        <v>27939.52</v>
      </c>
      <c r="F28" s="1154">
        <v>7262.8</v>
      </c>
      <c r="G28" s="1769">
        <v>0</v>
      </c>
      <c r="H28" s="1155">
        <v>0</v>
      </c>
      <c r="I28" s="1157">
        <f t="shared" si="1"/>
        <v>56224.680000000008</v>
      </c>
      <c r="J28" s="1156">
        <f t="shared" si="2"/>
        <v>0</v>
      </c>
    </row>
    <row r="29" spans="1:10" s="503" customFormat="1" x14ac:dyDescent="0.3">
      <c r="A29" s="1152" t="s">
        <v>63</v>
      </c>
      <c r="B29" s="1152" t="s">
        <v>64</v>
      </c>
      <c r="C29" s="1153" t="s">
        <v>253</v>
      </c>
      <c r="D29" s="1154">
        <v>-161.47</v>
      </c>
      <c r="E29" s="1154">
        <v>59263.270000000004</v>
      </c>
      <c r="F29" s="1154">
        <v>14854.6</v>
      </c>
      <c r="G29" s="1769">
        <v>0</v>
      </c>
      <c r="H29" s="1155">
        <v>0</v>
      </c>
      <c r="I29" s="1157">
        <f t="shared" si="1"/>
        <v>73956.400000000009</v>
      </c>
      <c r="J29" s="1156">
        <f t="shared" si="2"/>
        <v>0</v>
      </c>
    </row>
    <row r="30" spans="1:10" s="503" customFormat="1" x14ac:dyDescent="0.3">
      <c r="A30" s="1152" t="s">
        <v>67</v>
      </c>
      <c r="B30" s="1152" t="s">
        <v>68</v>
      </c>
      <c r="C30" s="1153" t="s">
        <v>255</v>
      </c>
      <c r="D30" s="1154">
        <v>0</v>
      </c>
      <c r="E30" s="1154">
        <v>51823.199999999997</v>
      </c>
      <c r="F30" s="1154">
        <v>12955.8</v>
      </c>
      <c r="G30" s="1769">
        <v>0</v>
      </c>
      <c r="H30" s="1155">
        <v>0</v>
      </c>
      <c r="I30" s="1157">
        <f t="shared" si="1"/>
        <v>64779</v>
      </c>
      <c r="J30" s="1156">
        <f t="shared" si="2"/>
        <v>0</v>
      </c>
    </row>
    <row r="31" spans="1:10" s="503" customFormat="1" x14ac:dyDescent="0.3">
      <c r="A31" s="1152" t="s">
        <v>69</v>
      </c>
      <c r="B31" s="1152" t="s">
        <v>70</v>
      </c>
      <c r="C31" s="1153" t="s">
        <v>251</v>
      </c>
      <c r="D31" s="1154">
        <v>0</v>
      </c>
      <c r="E31" s="1154">
        <v>143308</v>
      </c>
      <c r="F31" s="1154">
        <v>35827</v>
      </c>
      <c r="G31" s="1769">
        <v>0</v>
      </c>
      <c r="H31" s="1155">
        <v>0</v>
      </c>
      <c r="I31" s="1157">
        <f t="shared" si="1"/>
        <v>179135</v>
      </c>
      <c r="J31" s="1156">
        <f t="shared" si="2"/>
        <v>0</v>
      </c>
    </row>
    <row r="32" spans="1:10" s="503" customFormat="1" x14ac:dyDescent="0.3">
      <c r="A32" s="1152" t="s">
        <v>71</v>
      </c>
      <c r="B32" s="1152" t="s">
        <v>72</v>
      </c>
      <c r="C32" s="1153" t="s">
        <v>253</v>
      </c>
      <c r="D32" s="1154">
        <v>0</v>
      </c>
      <c r="E32" s="1154">
        <v>45771.199999999997</v>
      </c>
      <c r="F32" s="1154">
        <v>11442.8</v>
      </c>
      <c r="G32" s="1769">
        <v>0</v>
      </c>
      <c r="H32" s="1155">
        <v>0</v>
      </c>
      <c r="I32" s="1157">
        <f t="shared" si="1"/>
        <v>57214</v>
      </c>
      <c r="J32" s="1156">
        <f t="shared" si="2"/>
        <v>0</v>
      </c>
    </row>
    <row r="33" spans="1:10" s="503" customFormat="1" x14ac:dyDescent="0.3">
      <c r="A33" s="1152" t="s">
        <v>73</v>
      </c>
      <c r="B33" s="1152" t="s">
        <v>443</v>
      </c>
      <c r="C33" s="1153" t="s">
        <v>254</v>
      </c>
      <c r="D33" s="1154">
        <v>131436.72</v>
      </c>
      <c r="E33" s="1154">
        <v>1108549.58</v>
      </c>
      <c r="F33" s="1154">
        <v>292349.96000000002</v>
      </c>
      <c r="G33" s="1769">
        <v>-0.11</v>
      </c>
      <c r="H33" s="1155">
        <v>12230.72</v>
      </c>
      <c r="I33" s="1157">
        <f t="shared" si="1"/>
        <v>1544566.8699999999</v>
      </c>
      <c r="J33" s="1156">
        <f t="shared" si="2"/>
        <v>12230.609999999999</v>
      </c>
    </row>
    <row r="34" spans="1:10" s="503" customFormat="1" x14ac:dyDescent="0.3">
      <c r="A34" s="1152" t="s">
        <v>75</v>
      </c>
      <c r="B34" s="1152" t="s">
        <v>76</v>
      </c>
      <c r="C34" s="1153" t="s">
        <v>254</v>
      </c>
      <c r="D34" s="1154">
        <v>0</v>
      </c>
      <c r="E34" s="1154">
        <v>85902.01</v>
      </c>
      <c r="F34" s="1154">
        <v>22776.82</v>
      </c>
      <c r="G34" s="1769">
        <v>5744.67</v>
      </c>
      <c r="H34" s="1155">
        <v>26806.25</v>
      </c>
      <c r="I34" s="1157">
        <f t="shared" si="1"/>
        <v>141229.75</v>
      </c>
      <c r="J34" s="1156">
        <f t="shared" si="2"/>
        <v>32550.92</v>
      </c>
    </row>
    <row r="35" spans="1:10" s="503" customFormat="1" x14ac:dyDescent="0.3">
      <c r="A35" s="1152" t="s">
        <v>77</v>
      </c>
      <c r="B35" s="1152" t="s">
        <v>78</v>
      </c>
      <c r="C35" s="1153" t="s">
        <v>255</v>
      </c>
      <c r="D35" s="1154">
        <v>0</v>
      </c>
      <c r="E35" s="1154">
        <v>55928.800000000003</v>
      </c>
      <c r="F35" s="1154">
        <v>13982.2</v>
      </c>
      <c r="G35" s="1769">
        <v>0</v>
      </c>
      <c r="H35" s="1155">
        <v>0</v>
      </c>
      <c r="I35" s="1157">
        <f t="shared" si="1"/>
        <v>69911</v>
      </c>
      <c r="J35" s="1156">
        <f t="shared" si="2"/>
        <v>0</v>
      </c>
    </row>
    <row r="36" spans="1:10" s="503" customFormat="1" x14ac:dyDescent="0.3">
      <c r="A36" s="1152" t="s">
        <v>79</v>
      </c>
      <c r="B36" s="1152" t="s">
        <v>80</v>
      </c>
      <c r="C36" s="1153" t="s">
        <v>253</v>
      </c>
      <c r="D36" s="1154">
        <v>0</v>
      </c>
      <c r="E36" s="1154">
        <v>11723.3</v>
      </c>
      <c r="F36" s="1154">
        <v>3445.81</v>
      </c>
      <c r="G36" s="1769">
        <v>-0.11</v>
      </c>
      <c r="H36" s="1155">
        <v>0</v>
      </c>
      <c r="I36" s="1157">
        <f t="shared" si="1"/>
        <v>15168.999999999998</v>
      </c>
      <c r="J36" s="1156">
        <f t="shared" si="2"/>
        <v>-0.11</v>
      </c>
    </row>
    <row r="37" spans="1:10" s="503" customFormat="1" x14ac:dyDescent="0.3">
      <c r="A37" s="1152" t="s">
        <v>83</v>
      </c>
      <c r="B37" s="1152" t="s">
        <v>281</v>
      </c>
      <c r="C37" s="1153" t="s">
        <v>252</v>
      </c>
      <c r="D37" s="1154">
        <v>-281.86</v>
      </c>
      <c r="E37" s="1154">
        <v>133913.18</v>
      </c>
      <c r="F37" s="1154">
        <v>33546</v>
      </c>
      <c r="G37" s="1769">
        <v>0</v>
      </c>
      <c r="H37" s="1155">
        <v>0</v>
      </c>
      <c r="I37" s="1157">
        <f t="shared" ref="I37:I68" si="3">SUM(D37:H37)</f>
        <v>167177.32</v>
      </c>
      <c r="J37" s="1156">
        <f t="shared" ref="J37:J68" si="4">G37+H37</f>
        <v>0</v>
      </c>
    </row>
    <row r="38" spans="1:10" s="503" customFormat="1" x14ac:dyDescent="0.3">
      <c r="A38" s="1152" t="s">
        <v>85</v>
      </c>
      <c r="B38" s="1152" t="s">
        <v>86</v>
      </c>
      <c r="C38" s="1153" t="s">
        <v>254</v>
      </c>
      <c r="D38" s="1154">
        <v>-1604.94</v>
      </c>
      <c r="E38" s="1154">
        <v>55338.159999999996</v>
      </c>
      <c r="F38" s="1154">
        <v>14220.03</v>
      </c>
      <c r="G38" s="1769">
        <v>3169.1</v>
      </c>
      <c r="H38" s="1155">
        <v>0</v>
      </c>
      <c r="I38" s="1157">
        <f t="shared" si="3"/>
        <v>71122.350000000006</v>
      </c>
      <c r="J38" s="1156">
        <f t="shared" si="4"/>
        <v>3169.1</v>
      </c>
    </row>
    <row r="39" spans="1:10" s="503" customFormat="1" x14ac:dyDescent="0.3">
      <c r="A39" s="1152" t="s">
        <v>91</v>
      </c>
      <c r="B39" s="1152" t="s">
        <v>92</v>
      </c>
      <c r="C39" s="1153" t="s">
        <v>255</v>
      </c>
      <c r="D39" s="1154">
        <v>-1373.94</v>
      </c>
      <c r="E39" s="1154">
        <v>12500.74</v>
      </c>
      <c r="F39" s="1154">
        <v>3455.2</v>
      </c>
      <c r="G39" s="1769">
        <v>0</v>
      </c>
      <c r="H39" s="1155">
        <v>0</v>
      </c>
      <c r="I39" s="1157">
        <f t="shared" si="3"/>
        <v>14582</v>
      </c>
      <c r="J39" s="1156">
        <f t="shared" si="4"/>
        <v>0</v>
      </c>
    </row>
    <row r="40" spans="1:10" s="503" customFormat="1" x14ac:dyDescent="0.3">
      <c r="A40" s="1152" t="s">
        <v>93</v>
      </c>
      <c r="B40" s="1152" t="s">
        <v>94</v>
      </c>
      <c r="C40" s="1153" t="s">
        <v>251</v>
      </c>
      <c r="D40" s="1154">
        <v>0</v>
      </c>
      <c r="E40" s="1154">
        <v>127081.60000000001</v>
      </c>
      <c r="F40" s="1154">
        <v>31770.400000000001</v>
      </c>
      <c r="G40" s="1769">
        <v>0</v>
      </c>
      <c r="H40" s="1155">
        <v>0</v>
      </c>
      <c r="I40" s="1157">
        <f t="shared" si="3"/>
        <v>158852</v>
      </c>
      <c r="J40" s="1156">
        <f t="shared" si="4"/>
        <v>0</v>
      </c>
    </row>
    <row r="41" spans="1:10" s="503" customFormat="1" x14ac:dyDescent="0.3">
      <c r="A41" s="1152" t="s">
        <v>95</v>
      </c>
      <c r="B41" s="1152" t="s">
        <v>96</v>
      </c>
      <c r="C41" s="1153" t="s">
        <v>253</v>
      </c>
      <c r="D41" s="1154">
        <v>0</v>
      </c>
      <c r="E41" s="1154">
        <v>18026.400000000001</v>
      </c>
      <c r="F41" s="1154">
        <v>4506.6000000000004</v>
      </c>
      <c r="G41" s="1769">
        <v>268227.05</v>
      </c>
      <c r="H41" s="1155">
        <v>0</v>
      </c>
      <c r="I41" s="1157">
        <f t="shared" si="3"/>
        <v>290760.05</v>
      </c>
      <c r="J41" s="1156">
        <f t="shared" si="4"/>
        <v>268227.05</v>
      </c>
    </row>
    <row r="42" spans="1:10" s="503" customFormat="1" x14ac:dyDescent="0.3">
      <c r="A42" s="1152" t="s">
        <v>97</v>
      </c>
      <c r="B42" s="1152" t="s">
        <v>98</v>
      </c>
      <c r="C42" s="1153" t="s">
        <v>255</v>
      </c>
      <c r="D42" s="1154">
        <v>0</v>
      </c>
      <c r="E42" s="1154">
        <v>137168</v>
      </c>
      <c r="F42" s="1154">
        <v>34292</v>
      </c>
      <c r="G42" s="1769">
        <v>0</v>
      </c>
      <c r="H42" s="1155">
        <v>0</v>
      </c>
      <c r="I42" s="1157">
        <f t="shared" si="3"/>
        <v>171460</v>
      </c>
      <c r="J42" s="1156">
        <f t="shared" si="4"/>
        <v>0</v>
      </c>
    </row>
    <row r="43" spans="1:10" s="503" customFormat="1" x14ac:dyDescent="0.3">
      <c r="A43" s="1152" t="s">
        <v>99</v>
      </c>
      <c r="B43" s="1152" t="s">
        <v>100</v>
      </c>
      <c r="C43" s="1153" t="s">
        <v>254</v>
      </c>
      <c r="D43" s="1154">
        <v>0</v>
      </c>
      <c r="E43" s="1154">
        <v>13371.2</v>
      </c>
      <c r="F43" s="1154">
        <v>3467.8</v>
      </c>
      <c r="G43" s="1769">
        <v>0</v>
      </c>
      <c r="H43" s="1155">
        <v>0</v>
      </c>
      <c r="I43" s="1157">
        <f t="shared" si="3"/>
        <v>16839</v>
      </c>
      <c r="J43" s="1156">
        <f t="shared" si="4"/>
        <v>0</v>
      </c>
    </row>
    <row r="44" spans="1:10" s="503" customFormat="1" x14ac:dyDescent="0.3">
      <c r="A44" s="1152" t="s">
        <v>101</v>
      </c>
      <c r="B44" s="1152" t="s">
        <v>102</v>
      </c>
      <c r="C44" s="1153" t="s">
        <v>251</v>
      </c>
      <c r="D44" s="1154">
        <v>0</v>
      </c>
      <c r="E44" s="1154">
        <v>41876</v>
      </c>
      <c r="F44" s="1154">
        <v>10469</v>
      </c>
      <c r="G44" s="1769">
        <v>0</v>
      </c>
      <c r="H44" s="1155">
        <v>0</v>
      </c>
      <c r="I44" s="1157">
        <f t="shared" si="3"/>
        <v>52345</v>
      </c>
      <c r="J44" s="1156">
        <f t="shared" si="4"/>
        <v>0</v>
      </c>
    </row>
    <row r="45" spans="1:10" s="503" customFormat="1" x14ac:dyDescent="0.3">
      <c r="A45" s="1152" t="s">
        <v>103</v>
      </c>
      <c r="B45" s="1152" t="s">
        <v>282</v>
      </c>
      <c r="C45" s="1153" t="s">
        <v>252</v>
      </c>
      <c r="D45" s="1154">
        <v>621.29</v>
      </c>
      <c r="E45" s="1154">
        <v>137399.32</v>
      </c>
      <c r="F45" s="1154">
        <v>34200.6</v>
      </c>
      <c r="G45" s="1769">
        <v>0</v>
      </c>
      <c r="H45" s="1155">
        <v>0</v>
      </c>
      <c r="I45" s="1157">
        <f t="shared" si="3"/>
        <v>172221.21000000002</v>
      </c>
      <c r="J45" s="1156">
        <f t="shared" si="4"/>
        <v>0</v>
      </c>
    </row>
    <row r="46" spans="1:10" s="503" customFormat="1" x14ac:dyDescent="0.3">
      <c r="A46" s="1152" t="s">
        <v>107</v>
      </c>
      <c r="B46" s="1152" t="s">
        <v>108</v>
      </c>
      <c r="C46" s="1153" t="s">
        <v>253</v>
      </c>
      <c r="D46" s="1154">
        <v>0</v>
      </c>
      <c r="E46" s="1154">
        <v>69589</v>
      </c>
      <c r="F46" s="1154">
        <v>17551</v>
      </c>
      <c r="G46" s="1769">
        <v>0</v>
      </c>
      <c r="H46" s="1155">
        <v>0</v>
      </c>
      <c r="I46" s="1157">
        <f t="shared" si="3"/>
        <v>87140</v>
      </c>
      <c r="J46" s="1156">
        <f t="shared" si="4"/>
        <v>0</v>
      </c>
    </row>
    <row r="47" spans="1:10" s="503" customFormat="1" x14ac:dyDescent="0.3">
      <c r="A47" s="1152" t="s">
        <v>109</v>
      </c>
      <c r="B47" s="1152" t="s">
        <v>110</v>
      </c>
      <c r="C47" s="1153" t="s">
        <v>253</v>
      </c>
      <c r="D47" s="1154">
        <v>230137.79</v>
      </c>
      <c r="E47" s="1154">
        <v>666222.74</v>
      </c>
      <c r="F47" s="1154">
        <v>187140.56</v>
      </c>
      <c r="G47" s="1769">
        <v>-4.9999999999999996E-2</v>
      </c>
      <c r="H47" s="1155">
        <v>0</v>
      </c>
      <c r="I47" s="1157">
        <f t="shared" si="3"/>
        <v>1083501.04</v>
      </c>
      <c r="J47" s="1156">
        <f t="shared" si="4"/>
        <v>-4.9999999999999996E-2</v>
      </c>
    </row>
    <row r="48" spans="1:10" s="503" customFormat="1" x14ac:dyDescent="0.3">
      <c r="A48" s="1152" t="s">
        <v>111</v>
      </c>
      <c r="B48" s="1152" t="s">
        <v>275</v>
      </c>
      <c r="C48" s="1153" t="s">
        <v>252</v>
      </c>
      <c r="D48" s="1154">
        <v>-122.4</v>
      </c>
      <c r="E48" s="1154">
        <v>180935.99999999997</v>
      </c>
      <c r="F48" s="1154">
        <v>45263.399999999994</v>
      </c>
      <c r="G48" s="1769">
        <v>0</v>
      </c>
      <c r="H48" s="1155">
        <v>0</v>
      </c>
      <c r="I48" s="1157">
        <f t="shared" si="3"/>
        <v>226076.99999999997</v>
      </c>
      <c r="J48" s="1156">
        <f t="shared" si="4"/>
        <v>0</v>
      </c>
    </row>
    <row r="49" spans="1:10" s="503" customFormat="1" x14ac:dyDescent="0.3">
      <c r="A49" s="1152" t="s">
        <v>113</v>
      </c>
      <c r="B49" s="1152" t="s">
        <v>114</v>
      </c>
      <c r="C49" s="1153" t="s">
        <v>252</v>
      </c>
      <c r="D49" s="1154"/>
      <c r="E49" s="1154"/>
      <c r="F49" s="1154"/>
      <c r="G49" s="1769"/>
      <c r="H49" s="1155"/>
      <c r="I49" s="1157">
        <f t="shared" si="3"/>
        <v>0</v>
      </c>
      <c r="J49" s="1156">
        <f t="shared" si="4"/>
        <v>0</v>
      </c>
    </row>
    <row r="50" spans="1:10" s="503" customFormat="1" x14ac:dyDescent="0.3">
      <c r="A50" s="1152" t="s">
        <v>117</v>
      </c>
      <c r="B50" s="1152" t="s">
        <v>118</v>
      </c>
      <c r="C50" s="1153" t="s">
        <v>251</v>
      </c>
      <c r="D50" s="1154">
        <v>-1847.53</v>
      </c>
      <c r="E50" s="1154">
        <v>48811.35</v>
      </c>
      <c r="F50" s="1154">
        <v>13515.04</v>
      </c>
      <c r="G50" s="1769">
        <v>0</v>
      </c>
      <c r="H50" s="1155">
        <v>0</v>
      </c>
      <c r="I50" s="1157">
        <f t="shared" si="3"/>
        <v>60478.86</v>
      </c>
      <c r="J50" s="1156">
        <f t="shared" si="4"/>
        <v>0</v>
      </c>
    </row>
    <row r="51" spans="1:10" s="503" customFormat="1" x14ac:dyDescent="0.3">
      <c r="A51" s="1152" t="s">
        <v>119</v>
      </c>
      <c r="B51" s="1152" t="s">
        <v>120</v>
      </c>
      <c r="C51" s="1153" t="s">
        <v>251</v>
      </c>
      <c r="D51" s="1154">
        <v>0</v>
      </c>
      <c r="E51" s="1154">
        <v>94101.599999999991</v>
      </c>
      <c r="F51" s="1154">
        <v>26162.449999999997</v>
      </c>
      <c r="G51" s="1769">
        <v>-13.05</v>
      </c>
      <c r="H51" s="1155">
        <v>0</v>
      </c>
      <c r="I51" s="1157">
        <f t="shared" si="3"/>
        <v>120250.99999999999</v>
      </c>
      <c r="J51" s="1156">
        <f t="shared" si="4"/>
        <v>-13.05</v>
      </c>
    </row>
    <row r="52" spans="1:10" s="503" customFormat="1" x14ac:dyDescent="0.3">
      <c r="A52" s="1152" t="s">
        <v>121</v>
      </c>
      <c r="B52" s="1152" t="s">
        <v>258</v>
      </c>
      <c r="C52" s="1153" t="s">
        <v>253</v>
      </c>
      <c r="D52" s="1154">
        <v>0</v>
      </c>
      <c r="E52" s="1154">
        <v>6008.8</v>
      </c>
      <c r="F52" s="1154">
        <v>1502.2</v>
      </c>
      <c r="G52" s="1769">
        <v>0</v>
      </c>
      <c r="H52" s="1155">
        <v>0</v>
      </c>
      <c r="I52" s="1157">
        <f t="shared" si="3"/>
        <v>7511</v>
      </c>
      <c r="J52" s="1156">
        <f t="shared" si="4"/>
        <v>0</v>
      </c>
    </row>
    <row r="53" spans="1:10" s="503" customFormat="1" x14ac:dyDescent="0.3">
      <c r="A53" s="1152" t="s">
        <v>123</v>
      </c>
      <c r="B53" s="1152" t="s">
        <v>124</v>
      </c>
      <c r="C53" s="1153" t="s">
        <v>254</v>
      </c>
      <c r="D53" s="1154">
        <v>0</v>
      </c>
      <c r="E53" s="1154">
        <v>4068</v>
      </c>
      <c r="F53" s="1154">
        <v>1017</v>
      </c>
      <c r="G53" s="1769">
        <v>0</v>
      </c>
      <c r="H53" s="1155">
        <v>0</v>
      </c>
      <c r="I53" s="1157">
        <f t="shared" si="3"/>
        <v>5085</v>
      </c>
      <c r="J53" s="1156">
        <f t="shared" si="4"/>
        <v>0</v>
      </c>
    </row>
    <row r="54" spans="1:10" s="503" customFormat="1" x14ac:dyDescent="0.3">
      <c r="A54" s="1152" t="s">
        <v>125</v>
      </c>
      <c r="B54" s="1152" t="s">
        <v>126</v>
      </c>
      <c r="C54" s="1153" t="s">
        <v>253</v>
      </c>
      <c r="D54" s="1154">
        <v>0</v>
      </c>
      <c r="E54" s="1154">
        <v>30175.149999999998</v>
      </c>
      <c r="F54" s="1154">
        <v>8060.9599999999991</v>
      </c>
      <c r="G54" s="1769">
        <v>-0.11</v>
      </c>
      <c r="H54" s="1155">
        <v>0</v>
      </c>
      <c r="I54" s="1157">
        <f t="shared" si="3"/>
        <v>38236</v>
      </c>
      <c r="J54" s="1156">
        <f t="shared" si="4"/>
        <v>-0.11</v>
      </c>
    </row>
    <row r="55" spans="1:10" s="503" customFormat="1" x14ac:dyDescent="0.3">
      <c r="A55" s="1152" t="s">
        <v>127</v>
      </c>
      <c r="B55" s="1152" t="s">
        <v>128</v>
      </c>
      <c r="C55" s="1153" t="s">
        <v>253</v>
      </c>
      <c r="D55" s="1154">
        <v>-97.92</v>
      </c>
      <c r="E55" s="1154">
        <v>26199.519999999997</v>
      </c>
      <c r="F55" s="1154">
        <v>6573.4</v>
      </c>
      <c r="G55" s="1769">
        <v>0</v>
      </c>
      <c r="H55" s="1155">
        <v>0</v>
      </c>
      <c r="I55" s="1157">
        <f t="shared" si="3"/>
        <v>32675</v>
      </c>
      <c r="J55" s="1156">
        <f t="shared" si="4"/>
        <v>0</v>
      </c>
    </row>
    <row r="56" spans="1:10" s="503" customFormat="1" x14ac:dyDescent="0.3">
      <c r="A56" s="1152" t="s">
        <v>129</v>
      </c>
      <c r="B56" s="1152" t="s">
        <v>130</v>
      </c>
      <c r="C56" s="1153" t="s">
        <v>255</v>
      </c>
      <c r="D56" s="1154">
        <v>-258.89999999999998</v>
      </c>
      <c r="E56" s="1154">
        <v>441476.06</v>
      </c>
      <c r="F56" s="1154">
        <v>110431.2</v>
      </c>
      <c r="G56" s="1769">
        <v>0</v>
      </c>
      <c r="H56" s="1155">
        <v>0</v>
      </c>
      <c r="I56" s="1157">
        <f t="shared" si="3"/>
        <v>551648.36</v>
      </c>
      <c r="J56" s="1156">
        <f t="shared" si="4"/>
        <v>0</v>
      </c>
    </row>
    <row r="57" spans="1:10" s="503" customFormat="1" x14ac:dyDescent="0.3">
      <c r="A57" s="1152" t="s">
        <v>131</v>
      </c>
      <c r="B57" s="1152" t="s">
        <v>132</v>
      </c>
      <c r="C57" s="1153" t="s">
        <v>254</v>
      </c>
      <c r="D57" s="1154">
        <v>6779</v>
      </c>
      <c r="E57" s="1154">
        <v>129733.38</v>
      </c>
      <c r="F57" s="1154">
        <v>32634.31</v>
      </c>
      <c r="G57" s="1769">
        <v>0</v>
      </c>
      <c r="H57" s="1155">
        <v>0</v>
      </c>
      <c r="I57" s="1157">
        <f t="shared" si="3"/>
        <v>169146.69</v>
      </c>
      <c r="J57" s="1156">
        <f t="shared" si="4"/>
        <v>0</v>
      </c>
    </row>
    <row r="58" spans="1:10" s="503" customFormat="1" x14ac:dyDescent="0.3">
      <c r="A58" s="1152" t="s">
        <v>133</v>
      </c>
      <c r="B58" s="1152" t="s">
        <v>134</v>
      </c>
      <c r="C58" s="1153" t="s">
        <v>254</v>
      </c>
      <c r="D58" s="1154">
        <v>-102.24</v>
      </c>
      <c r="E58" s="1154">
        <v>28392.170000000002</v>
      </c>
      <c r="F58" s="1154">
        <v>7122.6</v>
      </c>
      <c r="G58" s="1769">
        <v>0</v>
      </c>
      <c r="H58" s="1155">
        <v>0</v>
      </c>
      <c r="I58" s="1157">
        <f t="shared" si="3"/>
        <v>35412.53</v>
      </c>
      <c r="J58" s="1156">
        <f t="shared" si="4"/>
        <v>0</v>
      </c>
    </row>
    <row r="59" spans="1:10" s="503" customFormat="1" x14ac:dyDescent="0.3">
      <c r="A59" s="1152" t="s">
        <v>135</v>
      </c>
      <c r="B59" s="1152" t="s">
        <v>136</v>
      </c>
      <c r="C59" s="1153" t="s">
        <v>253</v>
      </c>
      <c r="D59" s="1154">
        <v>0</v>
      </c>
      <c r="E59" s="1154">
        <v>81070.399999999994</v>
      </c>
      <c r="F59" s="1154">
        <v>20267.599999999999</v>
      </c>
      <c r="G59" s="1769">
        <v>0</v>
      </c>
      <c r="H59" s="1155">
        <v>0</v>
      </c>
      <c r="I59" s="1157">
        <f t="shared" si="3"/>
        <v>101338</v>
      </c>
      <c r="J59" s="1156">
        <f t="shared" si="4"/>
        <v>0</v>
      </c>
    </row>
    <row r="60" spans="1:10" s="503" customFormat="1" x14ac:dyDescent="0.3">
      <c r="A60" s="1152" t="s">
        <v>139</v>
      </c>
      <c r="B60" s="1152" t="s">
        <v>140</v>
      </c>
      <c r="C60" s="1153" t="s">
        <v>254</v>
      </c>
      <c r="D60" s="1154">
        <v>0</v>
      </c>
      <c r="E60" s="1154">
        <v>11768</v>
      </c>
      <c r="F60" s="1154">
        <v>2942</v>
      </c>
      <c r="G60" s="1769">
        <v>1000</v>
      </c>
      <c r="H60" s="1155">
        <v>0</v>
      </c>
      <c r="I60" s="1157">
        <f t="shared" si="3"/>
        <v>15710</v>
      </c>
      <c r="J60" s="1156">
        <f t="shared" si="4"/>
        <v>1000</v>
      </c>
    </row>
    <row r="61" spans="1:10" s="503" customFormat="1" x14ac:dyDescent="0.3">
      <c r="A61" s="1152" t="s">
        <v>145</v>
      </c>
      <c r="B61" s="1152" t="s">
        <v>146</v>
      </c>
      <c r="C61" s="1153" t="s">
        <v>251</v>
      </c>
      <c r="D61" s="1154">
        <v>0</v>
      </c>
      <c r="E61" s="1154">
        <v>12017.6</v>
      </c>
      <c r="F61" s="1154">
        <v>3004.4</v>
      </c>
      <c r="G61" s="1769">
        <v>0</v>
      </c>
      <c r="H61" s="1155">
        <v>0</v>
      </c>
      <c r="I61" s="1157">
        <f t="shared" si="3"/>
        <v>15022</v>
      </c>
      <c r="J61" s="1156">
        <f t="shared" si="4"/>
        <v>0</v>
      </c>
    </row>
    <row r="62" spans="1:10" s="503" customFormat="1" x14ac:dyDescent="0.3">
      <c r="A62" s="1152" t="s">
        <v>147</v>
      </c>
      <c r="B62" s="1152" t="s">
        <v>148</v>
      </c>
      <c r="C62" s="1153" t="s">
        <v>252</v>
      </c>
      <c r="D62" s="1154">
        <v>500</v>
      </c>
      <c r="E62" s="1154">
        <v>181426.4</v>
      </c>
      <c r="F62" s="1154">
        <v>45356.6</v>
      </c>
      <c r="G62" s="1769">
        <v>0</v>
      </c>
      <c r="H62" s="1155">
        <v>0</v>
      </c>
      <c r="I62" s="1157">
        <f t="shared" si="3"/>
        <v>227283</v>
      </c>
      <c r="J62" s="1156">
        <f t="shared" si="4"/>
        <v>0</v>
      </c>
    </row>
    <row r="63" spans="1:10" s="503" customFormat="1" x14ac:dyDescent="0.3">
      <c r="A63" s="1152" t="s">
        <v>149</v>
      </c>
      <c r="B63" s="1152" t="s">
        <v>150</v>
      </c>
      <c r="C63" s="1153" t="s">
        <v>253</v>
      </c>
      <c r="D63" s="1154">
        <v>0</v>
      </c>
      <c r="E63" s="1154">
        <v>30516</v>
      </c>
      <c r="F63" s="1154">
        <v>7629</v>
      </c>
      <c r="G63" s="1769">
        <v>0</v>
      </c>
      <c r="H63" s="1155">
        <v>0</v>
      </c>
      <c r="I63" s="1157">
        <f t="shared" si="3"/>
        <v>38145</v>
      </c>
      <c r="J63" s="1156">
        <f t="shared" si="4"/>
        <v>0</v>
      </c>
    </row>
    <row r="64" spans="1:10" s="503" customFormat="1" x14ac:dyDescent="0.3">
      <c r="A64" s="1152" t="s">
        <v>151</v>
      </c>
      <c r="B64" s="1152" t="s">
        <v>152</v>
      </c>
      <c r="C64" s="1153" t="s">
        <v>255</v>
      </c>
      <c r="D64" s="1154">
        <v>-1229.1199999999999</v>
      </c>
      <c r="E64" s="1154">
        <v>164651.1</v>
      </c>
      <c r="F64" s="1154">
        <v>41458</v>
      </c>
      <c r="G64" s="1769">
        <v>0</v>
      </c>
      <c r="H64" s="1155">
        <v>0</v>
      </c>
      <c r="I64" s="1157">
        <f t="shared" si="3"/>
        <v>204879.98</v>
      </c>
      <c r="J64" s="1156">
        <f t="shared" si="4"/>
        <v>0</v>
      </c>
    </row>
    <row r="65" spans="1:10" s="503" customFormat="1" x14ac:dyDescent="0.3">
      <c r="A65" s="1152" t="s">
        <v>153</v>
      </c>
      <c r="B65" s="1152" t="s">
        <v>154</v>
      </c>
      <c r="C65" s="1153" t="s">
        <v>252</v>
      </c>
      <c r="D65" s="1154">
        <v>0</v>
      </c>
      <c r="E65" s="1154">
        <v>47241.599999999999</v>
      </c>
      <c r="F65" s="1154">
        <v>11810.4</v>
      </c>
      <c r="G65" s="1769">
        <v>0</v>
      </c>
      <c r="H65" s="1155">
        <v>0</v>
      </c>
      <c r="I65" s="1157">
        <f t="shared" si="3"/>
        <v>59052</v>
      </c>
      <c r="J65" s="1156">
        <f t="shared" si="4"/>
        <v>0</v>
      </c>
    </row>
    <row r="66" spans="1:10" s="503" customFormat="1" x14ac:dyDescent="0.3">
      <c r="A66" s="1152" t="s">
        <v>155</v>
      </c>
      <c r="B66" s="1152" t="s">
        <v>156</v>
      </c>
      <c r="C66" s="1153" t="s">
        <v>253</v>
      </c>
      <c r="D66" s="1154">
        <v>0</v>
      </c>
      <c r="E66" s="1154">
        <v>8812.7999999999993</v>
      </c>
      <c r="F66" s="1154">
        <v>2203.1999999999998</v>
      </c>
      <c r="G66" s="1769">
        <v>0</v>
      </c>
      <c r="H66" s="1155">
        <v>0</v>
      </c>
      <c r="I66" s="1157">
        <f t="shared" si="3"/>
        <v>11016</v>
      </c>
      <c r="J66" s="1156">
        <f t="shared" si="4"/>
        <v>0</v>
      </c>
    </row>
    <row r="67" spans="1:10" s="503" customFormat="1" x14ac:dyDescent="0.3">
      <c r="A67" s="1152" t="s">
        <v>161</v>
      </c>
      <c r="B67" s="1152" t="s">
        <v>162</v>
      </c>
      <c r="C67" s="1153" t="s">
        <v>251</v>
      </c>
      <c r="D67" s="1154">
        <v>0</v>
      </c>
      <c r="E67" s="1154">
        <v>55655.199999999997</v>
      </c>
      <c r="F67" s="1154">
        <v>13913.8</v>
      </c>
      <c r="G67" s="1769">
        <v>0</v>
      </c>
      <c r="H67" s="1155">
        <v>0</v>
      </c>
      <c r="I67" s="1157">
        <f t="shared" si="3"/>
        <v>69569</v>
      </c>
      <c r="J67" s="1156">
        <f t="shared" si="4"/>
        <v>0</v>
      </c>
    </row>
    <row r="68" spans="1:10" s="503" customFormat="1" x14ac:dyDescent="0.3">
      <c r="A68" s="1152" t="s">
        <v>163</v>
      </c>
      <c r="B68" s="1152" t="s">
        <v>164</v>
      </c>
      <c r="C68" s="1153" t="s">
        <v>253</v>
      </c>
      <c r="D68" s="1154">
        <v>-766.53</v>
      </c>
      <c r="E68" s="1154">
        <v>13609.93</v>
      </c>
      <c r="F68" s="1154">
        <v>3586.6</v>
      </c>
      <c r="G68" s="1769">
        <v>0</v>
      </c>
      <c r="H68" s="1155">
        <v>0</v>
      </c>
      <c r="I68" s="1157">
        <f t="shared" si="3"/>
        <v>16430</v>
      </c>
      <c r="J68" s="1156">
        <f t="shared" si="4"/>
        <v>0</v>
      </c>
    </row>
    <row r="69" spans="1:10" s="503" customFormat="1" x14ac:dyDescent="0.3">
      <c r="A69" s="1152" t="s">
        <v>167</v>
      </c>
      <c r="B69" s="1152" t="s">
        <v>168</v>
      </c>
      <c r="C69" s="1153" t="s">
        <v>253</v>
      </c>
      <c r="D69" s="1154">
        <v>-344.66</v>
      </c>
      <c r="E69" s="1154">
        <v>67076.86</v>
      </c>
      <c r="F69" s="1154">
        <v>16852</v>
      </c>
      <c r="G69" s="1769">
        <v>0</v>
      </c>
      <c r="H69" s="1155">
        <v>0</v>
      </c>
      <c r="I69" s="1157">
        <f t="shared" ref="I69:I100" si="5">SUM(D69:H69)</f>
        <v>83584.2</v>
      </c>
      <c r="J69" s="1156">
        <f t="shared" ref="J69:J100" si="6">G69+H69</f>
        <v>0</v>
      </c>
    </row>
    <row r="70" spans="1:10" s="503" customFormat="1" x14ac:dyDescent="0.3">
      <c r="A70" s="1152" t="s">
        <v>169</v>
      </c>
      <c r="B70" s="1152" t="s">
        <v>170</v>
      </c>
      <c r="C70" s="1153" t="s">
        <v>254</v>
      </c>
      <c r="D70" s="1154">
        <v>-220.32</v>
      </c>
      <c r="E70" s="1154">
        <v>53165.919999999998</v>
      </c>
      <c r="F70" s="1154">
        <v>13344.4</v>
      </c>
      <c r="G70" s="1769">
        <v>0</v>
      </c>
      <c r="H70" s="1155">
        <v>0</v>
      </c>
      <c r="I70" s="1157">
        <f t="shared" si="5"/>
        <v>66290</v>
      </c>
      <c r="J70" s="1156">
        <f t="shared" si="6"/>
        <v>0</v>
      </c>
    </row>
    <row r="71" spans="1:10" s="503" customFormat="1" x14ac:dyDescent="0.3">
      <c r="A71" s="1152" t="s">
        <v>171</v>
      </c>
      <c r="B71" s="1152" t="s">
        <v>172</v>
      </c>
      <c r="C71" s="1153" t="s">
        <v>254</v>
      </c>
      <c r="D71" s="1154">
        <v>0</v>
      </c>
      <c r="E71" s="1154">
        <v>54216.800000000003</v>
      </c>
      <c r="F71" s="1154">
        <v>13554.2</v>
      </c>
      <c r="G71" s="1769">
        <v>0</v>
      </c>
      <c r="H71" s="1155">
        <v>0</v>
      </c>
      <c r="I71" s="1157">
        <f t="shared" si="5"/>
        <v>67771</v>
      </c>
      <c r="J71" s="1156">
        <f t="shared" si="6"/>
        <v>0</v>
      </c>
    </row>
    <row r="72" spans="1:10" s="503" customFormat="1" x14ac:dyDescent="0.3">
      <c r="A72" s="1152" t="s">
        <v>173</v>
      </c>
      <c r="B72" s="1152" t="s">
        <v>174</v>
      </c>
      <c r="C72" s="1153" t="s">
        <v>255</v>
      </c>
      <c r="D72" s="1154">
        <v>0</v>
      </c>
      <c r="E72" s="1154">
        <v>50836</v>
      </c>
      <c r="F72" s="1154">
        <v>12709</v>
      </c>
      <c r="G72" s="1769">
        <v>0</v>
      </c>
      <c r="H72" s="1155">
        <v>0</v>
      </c>
      <c r="I72" s="1157">
        <f t="shared" si="5"/>
        <v>63545</v>
      </c>
      <c r="J72" s="1156">
        <f t="shared" si="6"/>
        <v>0</v>
      </c>
    </row>
    <row r="73" spans="1:10" s="503" customFormat="1" x14ac:dyDescent="0.3">
      <c r="A73" s="1152" t="s">
        <v>177</v>
      </c>
      <c r="B73" s="1152" t="s">
        <v>178</v>
      </c>
      <c r="C73" s="1153" t="s">
        <v>252</v>
      </c>
      <c r="D73" s="1154">
        <v>0</v>
      </c>
      <c r="E73" s="1154">
        <v>59935.8</v>
      </c>
      <c r="F73" s="1154">
        <v>15038.2</v>
      </c>
      <c r="G73" s="1769">
        <v>0</v>
      </c>
      <c r="H73" s="1155">
        <v>0</v>
      </c>
      <c r="I73" s="1157">
        <f t="shared" si="5"/>
        <v>74974</v>
      </c>
      <c r="J73" s="1156">
        <f t="shared" si="6"/>
        <v>0</v>
      </c>
    </row>
    <row r="74" spans="1:10" s="503" customFormat="1" x14ac:dyDescent="0.3">
      <c r="A74" s="1152" t="s">
        <v>181</v>
      </c>
      <c r="B74" s="1152" t="s">
        <v>182</v>
      </c>
      <c r="C74" s="1153" t="s">
        <v>253</v>
      </c>
      <c r="D74" s="1154">
        <v>0</v>
      </c>
      <c r="E74" s="1154">
        <v>38700.800000000003</v>
      </c>
      <c r="F74" s="1154">
        <v>9675.2000000000007</v>
      </c>
      <c r="G74" s="1769">
        <v>0</v>
      </c>
      <c r="H74" s="1155">
        <v>0</v>
      </c>
      <c r="I74" s="1157">
        <f t="shared" si="5"/>
        <v>48376</v>
      </c>
      <c r="J74" s="1156">
        <f t="shared" si="6"/>
        <v>0</v>
      </c>
    </row>
    <row r="75" spans="1:10" s="503" customFormat="1" x14ac:dyDescent="0.3">
      <c r="A75" s="1152" t="s">
        <v>183</v>
      </c>
      <c r="B75" s="1152" t="s">
        <v>184</v>
      </c>
      <c r="C75" s="1153" t="s">
        <v>253</v>
      </c>
      <c r="D75" s="1154">
        <v>0</v>
      </c>
      <c r="E75" s="1154">
        <v>78606.399999999994</v>
      </c>
      <c r="F75" s="1154">
        <v>19651.599999999999</v>
      </c>
      <c r="G75" s="1769">
        <v>0</v>
      </c>
      <c r="H75" s="1155">
        <v>0</v>
      </c>
      <c r="I75" s="1157">
        <f t="shared" si="5"/>
        <v>98258</v>
      </c>
      <c r="J75" s="1156">
        <f t="shared" si="6"/>
        <v>0</v>
      </c>
    </row>
    <row r="76" spans="1:10" s="503" customFormat="1" x14ac:dyDescent="0.3">
      <c r="A76" s="1152" t="s">
        <v>185</v>
      </c>
      <c r="B76" s="1152" t="s">
        <v>186</v>
      </c>
      <c r="C76" s="1153" t="s">
        <v>251</v>
      </c>
      <c r="D76" s="1154">
        <v>0</v>
      </c>
      <c r="E76" s="1154">
        <v>32085.599999999999</v>
      </c>
      <c r="F76" s="1154">
        <v>8021.4</v>
      </c>
      <c r="G76" s="1769">
        <v>0</v>
      </c>
      <c r="H76" s="1155">
        <v>0</v>
      </c>
      <c r="I76" s="1157">
        <f t="shared" si="5"/>
        <v>40107</v>
      </c>
      <c r="J76" s="1156">
        <f t="shared" si="6"/>
        <v>0</v>
      </c>
    </row>
    <row r="77" spans="1:10" s="503" customFormat="1" x14ac:dyDescent="0.3">
      <c r="A77" s="1152" t="s">
        <v>187</v>
      </c>
      <c r="B77" s="1152" t="s">
        <v>188</v>
      </c>
      <c r="C77" s="1153" t="s">
        <v>254</v>
      </c>
      <c r="D77" s="1154">
        <v>54823.44</v>
      </c>
      <c r="E77" s="1154">
        <v>327559.72000000003</v>
      </c>
      <c r="F77" s="1154">
        <v>83696.100000000006</v>
      </c>
      <c r="G77" s="1769">
        <v>0</v>
      </c>
      <c r="H77" s="1155">
        <v>0</v>
      </c>
      <c r="I77" s="1157">
        <f t="shared" si="5"/>
        <v>466079.26</v>
      </c>
      <c r="J77" s="1156">
        <f t="shared" si="6"/>
        <v>0</v>
      </c>
    </row>
    <row r="78" spans="1:10" s="503" customFormat="1" x14ac:dyDescent="0.3">
      <c r="A78" s="1152" t="s">
        <v>189</v>
      </c>
      <c r="B78" s="1152" t="s">
        <v>190</v>
      </c>
      <c r="C78" s="1153" t="s">
        <v>255</v>
      </c>
      <c r="D78" s="1154">
        <v>0</v>
      </c>
      <c r="E78" s="1154">
        <v>135570.4</v>
      </c>
      <c r="F78" s="1154">
        <v>33892.6</v>
      </c>
      <c r="G78" s="1769">
        <v>0</v>
      </c>
      <c r="H78" s="1155">
        <v>3000</v>
      </c>
      <c r="I78" s="1157">
        <f t="shared" si="5"/>
        <v>172463</v>
      </c>
      <c r="J78" s="1156">
        <f t="shared" si="6"/>
        <v>3000</v>
      </c>
    </row>
    <row r="79" spans="1:10" s="503" customFormat="1" x14ac:dyDescent="0.3">
      <c r="A79" s="1152" t="s">
        <v>193</v>
      </c>
      <c r="B79" s="1152" t="s">
        <v>194</v>
      </c>
      <c r="C79" s="1153" t="s">
        <v>254</v>
      </c>
      <c r="D79" s="1154">
        <v>0</v>
      </c>
      <c r="E79" s="1154">
        <v>13044.8</v>
      </c>
      <c r="F79" s="1154">
        <v>3261.2</v>
      </c>
      <c r="G79" s="1769">
        <v>0</v>
      </c>
      <c r="H79" s="1155">
        <v>0</v>
      </c>
      <c r="I79" s="1157">
        <f t="shared" si="5"/>
        <v>16306</v>
      </c>
      <c r="J79" s="1156">
        <f t="shared" si="6"/>
        <v>0</v>
      </c>
    </row>
    <row r="80" spans="1:10" s="503" customFormat="1" x14ac:dyDescent="0.3">
      <c r="A80" s="1152" t="s">
        <v>197</v>
      </c>
      <c r="B80" s="1152" t="s">
        <v>198</v>
      </c>
      <c r="C80" s="1153" t="s">
        <v>253</v>
      </c>
      <c r="D80" s="1154">
        <v>0</v>
      </c>
      <c r="E80" s="1154">
        <v>7949.6</v>
      </c>
      <c r="F80" s="1154">
        <v>1987.4</v>
      </c>
      <c r="G80" s="1769">
        <v>0</v>
      </c>
      <c r="H80" s="1155">
        <v>0</v>
      </c>
      <c r="I80" s="1157">
        <f t="shared" si="5"/>
        <v>9937</v>
      </c>
      <c r="J80" s="1156">
        <f t="shared" si="6"/>
        <v>0</v>
      </c>
    </row>
    <row r="81" spans="1:10" s="503" customFormat="1" x14ac:dyDescent="0.3">
      <c r="A81" s="1152" t="s">
        <v>201</v>
      </c>
      <c r="B81" s="1152" t="s">
        <v>202</v>
      </c>
      <c r="C81" s="1153" t="s">
        <v>252</v>
      </c>
      <c r="D81" s="1154">
        <v>-1174.45</v>
      </c>
      <c r="E81" s="1154">
        <v>187961.21</v>
      </c>
      <c r="F81" s="1154">
        <v>47272.4</v>
      </c>
      <c r="G81" s="1769">
        <v>25035.37</v>
      </c>
      <c r="H81" s="1155">
        <v>0</v>
      </c>
      <c r="I81" s="1157">
        <f t="shared" si="5"/>
        <v>259094.52999999997</v>
      </c>
      <c r="J81" s="1156">
        <f t="shared" si="6"/>
        <v>25035.37</v>
      </c>
    </row>
    <row r="82" spans="1:10" s="503" customFormat="1" x14ac:dyDescent="0.3">
      <c r="A82" s="1152" t="s">
        <v>203</v>
      </c>
      <c r="B82" s="1152" t="s">
        <v>204</v>
      </c>
      <c r="C82" s="1153" t="s">
        <v>252</v>
      </c>
      <c r="D82" s="1154">
        <v>0</v>
      </c>
      <c r="E82" s="1154">
        <v>103023.20000000001</v>
      </c>
      <c r="F82" s="1154">
        <v>25755.800000000003</v>
      </c>
      <c r="G82" s="1769">
        <v>0</v>
      </c>
      <c r="H82" s="1155">
        <v>0</v>
      </c>
      <c r="I82" s="1157">
        <f t="shared" si="5"/>
        <v>128779.00000000001</v>
      </c>
      <c r="J82" s="1156">
        <f t="shared" si="6"/>
        <v>0</v>
      </c>
    </row>
    <row r="83" spans="1:10" s="503" customFormat="1" x14ac:dyDescent="0.3">
      <c r="A83" s="1152" t="s">
        <v>205</v>
      </c>
      <c r="B83" s="1152" t="s">
        <v>206</v>
      </c>
      <c r="C83" s="1153" t="s">
        <v>254</v>
      </c>
      <c r="D83" s="1154">
        <v>89867.07</v>
      </c>
      <c r="E83" s="1154">
        <v>159050.57</v>
      </c>
      <c r="F83" s="1154">
        <v>40011.199999999997</v>
      </c>
      <c r="G83" s="1769">
        <v>140.04</v>
      </c>
      <c r="H83" s="1155">
        <v>0</v>
      </c>
      <c r="I83" s="1157">
        <f t="shared" si="5"/>
        <v>289068.88</v>
      </c>
      <c r="J83" s="1156">
        <f t="shared" si="6"/>
        <v>140.04</v>
      </c>
    </row>
    <row r="84" spans="1:10" s="503" customFormat="1" x14ac:dyDescent="0.3">
      <c r="A84" s="1152" t="s">
        <v>207</v>
      </c>
      <c r="B84" s="1152" t="s">
        <v>208</v>
      </c>
      <c r="C84" s="1153" t="s">
        <v>255</v>
      </c>
      <c r="D84" s="1154">
        <v>-10.199999999999999</v>
      </c>
      <c r="E84" s="1154">
        <v>190072.6</v>
      </c>
      <c r="F84" s="1154">
        <v>47520.6</v>
      </c>
      <c r="G84" s="1769">
        <v>0</v>
      </c>
      <c r="H84" s="1155">
        <v>0</v>
      </c>
      <c r="I84" s="1157">
        <f t="shared" si="5"/>
        <v>237583</v>
      </c>
      <c r="J84" s="1156">
        <f t="shared" si="6"/>
        <v>0</v>
      </c>
    </row>
    <row r="85" spans="1:10" s="503" customFormat="1" x14ac:dyDescent="0.3">
      <c r="A85" s="1152" t="s">
        <v>209</v>
      </c>
      <c r="B85" s="1152" t="s">
        <v>210</v>
      </c>
      <c r="C85" s="1153" t="s">
        <v>255</v>
      </c>
      <c r="D85" s="1154">
        <v>0</v>
      </c>
      <c r="E85" s="1154">
        <v>185852</v>
      </c>
      <c r="F85" s="1154">
        <v>46463</v>
      </c>
      <c r="G85" s="1769">
        <v>0</v>
      </c>
      <c r="H85" s="1155">
        <v>0</v>
      </c>
      <c r="I85" s="1157">
        <f t="shared" si="5"/>
        <v>232315</v>
      </c>
      <c r="J85" s="1156">
        <f t="shared" si="6"/>
        <v>0</v>
      </c>
    </row>
    <row r="86" spans="1:10" s="503" customFormat="1" x14ac:dyDescent="0.3">
      <c r="A86" s="1152" t="s">
        <v>211</v>
      </c>
      <c r="B86" s="1152" t="s">
        <v>212</v>
      </c>
      <c r="C86" s="1153" t="s">
        <v>254</v>
      </c>
      <c r="D86" s="1154">
        <v>1369</v>
      </c>
      <c r="E86" s="1154">
        <v>150558.39999999999</v>
      </c>
      <c r="F86" s="1154">
        <v>37639.599999999999</v>
      </c>
      <c r="G86" s="1769">
        <v>0</v>
      </c>
      <c r="H86" s="1155">
        <v>0</v>
      </c>
      <c r="I86" s="1157">
        <f t="shared" si="5"/>
        <v>189567</v>
      </c>
      <c r="J86" s="1156">
        <f t="shared" si="6"/>
        <v>0</v>
      </c>
    </row>
    <row r="87" spans="1:10" s="503" customFormat="1" x14ac:dyDescent="0.3">
      <c r="A87" s="1152" t="s">
        <v>213</v>
      </c>
      <c r="B87" s="1152" t="s">
        <v>214</v>
      </c>
      <c r="C87" s="1153" t="s">
        <v>255</v>
      </c>
      <c r="D87" s="1154">
        <v>-608.92999999999995</v>
      </c>
      <c r="E87" s="1154">
        <v>282181.34999999998</v>
      </c>
      <c r="F87" s="1154">
        <v>70691.599999999991</v>
      </c>
      <c r="G87" s="1769">
        <v>0</v>
      </c>
      <c r="H87" s="1155">
        <v>0</v>
      </c>
      <c r="I87" s="1157">
        <f t="shared" si="5"/>
        <v>352264.01999999996</v>
      </c>
      <c r="J87" s="1156">
        <f t="shared" si="6"/>
        <v>0</v>
      </c>
    </row>
    <row r="88" spans="1:10" s="503" customFormat="1" x14ac:dyDescent="0.3">
      <c r="A88" s="1152" t="s">
        <v>215</v>
      </c>
      <c r="B88" s="1152" t="s">
        <v>216</v>
      </c>
      <c r="C88" s="1153" t="s">
        <v>251</v>
      </c>
      <c r="D88" s="1154">
        <v>-628.42999999999995</v>
      </c>
      <c r="E88" s="1154">
        <v>40857.81</v>
      </c>
      <c r="F88" s="1154">
        <v>10365.4</v>
      </c>
      <c r="G88" s="1769">
        <v>0</v>
      </c>
      <c r="H88" s="1155">
        <v>0</v>
      </c>
      <c r="I88" s="1157">
        <f t="shared" si="5"/>
        <v>50594.78</v>
      </c>
      <c r="J88" s="1156">
        <f t="shared" si="6"/>
        <v>0</v>
      </c>
    </row>
    <row r="89" spans="1:10" s="503" customFormat="1" x14ac:dyDescent="0.3">
      <c r="A89" s="1152" t="s">
        <v>217</v>
      </c>
      <c r="B89" s="1152" t="s">
        <v>218</v>
      </c>
      <c r="C89" s="1153" t="s">
        <v>254</v>
      </c>
      <c r="D89" s="1154">
        <v>86311.18</v>
      </c>
      <c r="E89" s="1154">
        <v>65085.39</v>
      </c>
      <c r="F89" s="1154">
        <v>16408.2</v>
      </c>
      <c r="G89" s="1769">
        <v>106463.15000000001</v>
      </c>
      <c r="H89" s="1155">
        <v>0</v>
      </c>
      <c r="I89" s="1157">
        <f t="shared" si="5"/>
        <v>274267.92000000004</v>
      </c>
      <c r="J89" s="1156">
        <f t="shared" si="6"/>
        <v>106463.15000000001</v>
      </c>
    </row>
    <row r="90" spans="1:10" s="503" customFormat="1" x14ac:dyDescent="0.3">
      <c r="A90" s="1152" t="s">
        <v>219</v>
      </c>
      <c r="B90" s="1152" t="s">
        <v>220</v>
      </c>
      <c r="C90" s="1153" t="s">
        <v>254</v>
      </c>
      <c r="D90" s="1154">
        <v>14687.32</v>
      </c>
      <c r="E90" s="1154">
        <v>31594.940000000002</v>
      </c>
      <c r="F90" s="1154">
        <v>7984.88</v>
      </c>
      <c r="G90" s="1769">
        <v>0</v>
      </c>
      <c r="H90" s="1155">
        <v>0</v>
      </c>
      <c r="I90" s="1157">
        <f t="shared" si="5"/>
        <v>54267.14</v>
      </c>
      <c r="J90" s="1156">
        <f t="shared" si="6"/>
        <v>0</v>
      </c>
    </row>
    <row r="91" spans="1:10" s="503" customFormat="1" x14ac:dyDescent="0.3">
      <c r="A91" s="1152" t="s">
        <v>223</v>
      </c>
      <c r="B91" s="1152" t="s">
        <v>224</v>
      </c>
      <c r="C91" s="1153" t="s">
        <v>251</v>
      </c>
      <c r="D91" s="1154">
        <v>0</v>
      </c>
      <c r="E91" s="1154">
        <v>41900.800000000003</v>
      </c>
      <c r="F91" s="1154">
        <v>10475.200000000001</v>
      </c>
      <c r="G91" s="1769">
        <v>0</v>
      </c>
      <c r="H91" s="1155">
        <v>0</v>
      </c>
      <c r="I91" s="1157">
        <f t="shared" si="5"/>
        <v>52376</v>
      </c>
      <c r="J91" s="1156">
        <f t="shared" si="6"/>
        <v>0</v>
      </c>
    </row>
    <row r="92" spans="1:10" s="503" customFormat="1" x14ac:dyDescent="0.3">
      <c r="A92" s="1152" t="s">
        <v>225</v>
      </c>
      <c r="B92" s="1152" t="s">
        <v>226</v>
      </c>
      <c r="C92" s="1153" t="s">
        <v>251</v>
      </c>
      <c r="D92" s="1154">
        <v>0</v>
      </c>
      <c r="E92" s="1154">
        <v>32174.059999999998</v>
      </c>
      <c r="F92" s="1154">
        <v>8288.9599999999991</v>
      </c>
      <c r="G92" s="1769">
        <v>-0.02</v>
      </c>
      <c r="H92" s="1155">
        <v>0</v>
      </c>
      <c r="I92" s="1157">
        <f t="shared" si="5"/>
        <v>40463</v>
      </c>
      <c r="J92" s="1156">
        <f t="shared" si="6"/>
        <v>-0.02</v>
      </c>
    </row>
    <row r="93" spans="1:10" s="503" customFormat="1" x14ac:dyDescent="0.3">
      <c r="A93" s="1152" t="s">
        <v>227</v>
      </c>
      <c r="B93" s="1152" t="s">
        <v>228</v>
      </c>
      <c r="C93" s="1153" t="s">
        <v>255</v>
      </c>
      <c r="D93" s="1154">
        <v>-881.63</v>
      </c>
      <c r="E93" s="1154">
        <v>228606.16</v>
      </c>
      <c r="F93" s="1154">
        <v>57363.3</v>
      </c>
      <c r="G93" s="1769">
        <v>35473.269999999997</v>
      </c>
      <c r="H93" s="1155">
        <v>0</v>
      </c>
      <c r="I93" s="1157">
        <f t="shared" si="5"/>
        <v>320561.10000000003</v>
      </c>
      <c r="J93" s="1156">
        <f t="shared" si="6"/>
        <v>35473.269999999997</v>
      </c>
    </row>
    <row r="94" spans="1:10" s="503" customFormat="1" x14ac:dyDescent="0.3">
      <c r="A94" s="1152" t="s">
        <v>231</v>
      </c>
      <c r="B94" s="1152" t="s">
        <v>232</v>
      </c>
      <c r="C94" s="1153" t="s">
        <v>254</v>
      </c>
      <c r="D94" s="1154">
        <v>-1446.36</v>
      </c>
      <c r="E94" s="1154">
        <v>79947.960000000006</v>
      </c>
      <c r="F94" s="1154">
        <v>20334.400000000001</v>
      </c>
      <c r="G94" s="1769">
        <v>0</v>
      </c>
      <c r="H94" s="1155">
        <v>0</v>
      </c>
      <c r="I94" s="1157">
        <f t="shared" si="5"/>
        <v>98836</v>
      </c>
      <c r="J94" s="1156">
        <f t="shared" si="6"/>
        <v>0</v>
      </c>
    </row>
    <row r="95" spans="1:10" s="503" customFormat="1" x14ac:dyDescent="0.3">
      <c r="A95" s="1152" t="s">
        <v>233</v>
      </c>
      <c r="B95" s="1152" t="s">
        <v>234</v>
      </c>
      <c r="C95" s="1153" t="s">
        <v>255</v>
      </c>
      <c r="D95" s="1154">
        <v>0</v>
      </c>
      <c r="E95" s="1154">
        <v>656520.07999999996</v>
      </c>
      <c r="F95" s="1154">
        <v>164130.01999999999</v>
      </c>
      <c r="G95" s="1769">
        <v>5800</v>
      </c>
      <c r="H95" s="1155">
        <v>0</v>
      </c>
      <c r="I95" s="1157">
        <f t="shared" si="5"/>
        <v>826450.1</v>
      </c>
      <c r="J95" s="1156">
        <f t="shared" si="6"/>
        <v>5800</v>
      </c>
    </row>
    <row r="96" spans="1:10" s="503" customFormat="1" x14ac:dyDescent="0.3">
      <c r="A96" s="1152" t="s">
        <v>235</v>
      </c>
      <c r="B96" s="1152" t="s">
        <v>236</v>
      </c>
      <c r="C96" s="1153" t="s">
        <v>253</v>
      </c>
      <c r="D96" s="1154">
        <v>0</v>
      </c>
      <c r="E96" s="1154">
        <v>13776</v>
      </c>
      <c r="F96" s="1154">
        <v>3444</v>
      </c>
      <c r="G96" s="1769">
        <v>2768</v>
      </c>
      <c r="H96" s="1155">
        <v>0</v>
      </c>
      <c r="I96" s="1157">
        <f t="shared" si="5"/>
        <v>19988</v>
      </c>
      <c r="J96" s="1156">
        <f t="shared" si="6"/>
        <v>2768</v>
      </c>
    </row>
    <row r="97" spans="1:10" s="503" customFormat="1" x14ac:dyDescent="0.3">
      <c r="A97" s="1152" t="s">
        <v>241</v>
      </c>
      <c r="B97" s="1152" t="s">
        <v>242</v>
      </c>
      <c r="C97" s="1153" t="s">
        <v>255</v>
      </c>
      <c r="D97" s="1154">
        <v>-1732.33</v>
      </c>
      <c r="E97" s="1154">
        <v>144766.79</v>
      </c>
      <c r="F97" s="1154">
        <v>36607.800000000003</v>
      </c>
      <c r="G97" s="1769">
        <v>0</v>
      </c>
      <c r="H97" s="1155">
        <v>0</v>
      </c>
      <c r="I97" s="1157">
        <f t="shared" si="5"/>
        <v>179642.26</v>
      </c>
      <c r="J97" s="1156">
        <f t="shared" si="6"/>
        <v>0</v>
      </c>
    </row>
    <row r="98" spans="1:10" s="503" customFormat="1" x14ac:dyDescent="0.3">
      <c r="A98" s="1152" t="s">
        <v>243</v>
      </c>
      <c r="B98" s="1152" t="s">
        <v>244</v>
      </c>
      <c r="C98" s="1153" t="s">
        <v>255</v>
      </c>
      <c r="D98" s="1154">
        <v>-616.59</v>
      </c>
      <c r="E98" s="1154">
        <v>163701.19</v>
      </c>
      <c r="F98" s="1154">
        <v>41073.4</v>
      </c>
      <c r="G98" s="1769">
        <v>0</v>
      </c>
      <c r="H98" s="1155">
        <v>0</v>
      </c>
      <c r="I98" s="1157">
        <f t="shared" si="5"/>
        <v>204158</v>
      </c>
      <c r="J98" s="1156">
        <f t="shared" si="6"/>
        <v>0</v>
      </c>
    </row>
    <row r="99" spans="1:10" s="503" customFormat="1" x14ac:dyDescent="0.3">
      <c r="A99" s="1152" t="s">
        <v>245</v>
      </c>
      <c r="B99" s="1152" t="s">
        <v>283</v>
      </c>
      <c r="C99" s="1153" t="s">
        <v>251</v>
      </c>
      <c r="D99" s="1154">
        <v>-607.26</v>
      </c>
      <c r="E99" s="1154">
        <v>90962.31</v>
      </c>
      <c r="F99" s="1154">
        <v>24074.25</v>
      </c>
      <c r="G99" s="1769">
        <v>0.02</v>
      </c>
      <c r="H99" s="1155">
        <v>0</v>
      </c>
      <c r="I99" s="1157">
        <f t="shared" si="5"/>
        <v>114429.32</v>
      </c>
      <c r="J99" s="1156">
        <f t="shared" si="6"/>
        <v>0.02</v>
      </c>
    </row>
    <row r="100" spans="1:10" s="503" customFormat="1" x14ac:dyDescent="0.3">
      <c r="A100" s="1152" t="s">
        <v>13</v>
      </c>
      <c r="B100" s="1152" t="s">
        <v>14</v>
      </c>
      <c r="C100" s="1153" t="s">
        <v>254</v>
      </c>
      <c r="D100" s="1154">
        <v>39437.279999999999</v>
      </c>
      <c r="E100" s="1154">
        <v>89453.42</v>
      </c>
      <c r="F100" s="1154">
        <v>25179</v>
      </c>
      <c r="G100" s="1769">
        <v>0</v>
      </c>
      <c r="H100" s="1155">
        <v>0</v>
      </c>
      <c r="I100" s="1157">
        <f t="shared" si="5"/>
        <v>154069.70000000001</v>
      </c>
      <c r="J100" s="1156">
        <f t="shared" si="6"/>
        <v>0</v>
      </c>
    </row>
    <row r="101" spans="1:10" s="503" customFormat="1" x14ac:dyDescent="0.3">
      <c r="A101" s="1152" t="s">
        <v>33</v>
      </c>
      <c r="B101" s="1152" t="s">
        <v>34</v>
      </c>
      <c r="C101" s="1153" t="s">
        <v>255</v>
      </c>
      <c r="D101" s="1154">
        <v>0</v>
      </c>
      <c r="E101" s="1154">
        <v>242494.8</v>
      </c>
      <c r="F101" s="1154">
        <v>60821.2</v>
      </c>
      <c r="G101" s="1769">
        <v>0</v>
      </c>
      <c r="H101" s="1155">
        <v>0</v>
      </c>
      <c r="I101" s="1157">
        <f t="shared" ref="I101:I124" si="7">SUM(D101:H101)</f>
        <v>303316</v>
      </c>
      <c r="J101" s="1156">
        <f t="shared" ref="J101:J124" si="8">G101+H101</f>
        <v>0</v>
      </c>
    </row>
    <row r="102" spans="1:10" s="503" customFormat="1" x14ac:dyDescent="0.3">
      <c r="A102" s="1152" t="s">
        <v>51</v>
      </c>
      <c r="B102" s="1152" t="s">
        <v>52</v>
      </c>
      <c r="C102" s="1153" t="s">
        <v>252</v>
      </c>
      <c r="D102" s="1154">
        <v>16079.91</v>
      </c>
      <c r="E102" s="1154">
        <v>144126.19999999998</v>
      </c>
      <c r="F102" s="1154">
        <v>39004.869999999995</v>
      </c>
      <c r="G102" s="1769">
        <v>-310.05</v>
      </c>
      <c r="H102" s="1155">
        <v>0</v>
      </c>
      <c r="I102" s="1157">
        <f t="shared" si="7"/>
        <v>198900.93</v>
      </c>
      <c r="J102" s="1156">
        <f t="shared" si="8"/>
        <v>-310.05</v>
      </c>
    </row>
    <row r="103" spans="1:10" s="503" customFormat="1" x14ac:dyDescent="0.3">
      <c r="A103" s="1152" t="s">
        <v>53</v>
      </c>
      <c r="B103" s="1152" t="s">
        <v>54</v>
      </c>
      <c r="C103" s="1153" t="s">
        <v>251</v>
      </c>
      <c r="D103" s="1154">
        <v>-1423.53</v>
      </c>
      <c r="E103" s="1154">
        <v>408452.3</v>
      </c>
      <c r="F103" s="1154">
        <v>102455</v>
      </c>
      <c r="G103" s="1769">
        <v>0</v>
      </c>
      <c r="H103" s="1155">
        <v>0</v>
      </c>
      <c r="I103" s="1157">
        <f t="shared" si="7"/>
        <v>509483.76999999996</v>
      </c>
      <c r="J103" s="1156">
        <f t="shared" si="8"/>
        <v>0</v>
      </c>
    </row>
    <row r="104" spans="1:10" s="503" customFormat="1" x14ac:dyDescent="0.3">
      <c r="A104" s="1152" t="s">
        <v>65</v>
      </c>
      <c r="B104" s="1152" t="s">
        <v>66</v>
      </c>
      <c r="C104" s="1153" t="s">
        <v>252</v>
      </c>
      <c r="D104" s="1154">
        <v>-2857.1</v>
      </c>
      <c r="E104" s="1154">
        <v>131481.32999999999</v>
      </c>
      <c r="F104" s="1154">
        <v>33556.6</v>
      </c>
      <c r="G104" s="1769">
        <v>0</v>
      </c>
      <c r="H104" s="1155">
        <v>0</v>
      </c>
      <c r="I104" s="1157">
        <f t="shared" si="7"/>
        <v>162180.82999999999</v>
      </c>
      <c r="J104" s="1156">
        <f t="shared" si="8"/>
        <v>0</v>
      </c>
    </row>
    <row r="105" spans="1:10" s="503" customFormat="1" x14ac:dyDescent="0.3">
      <c r="A105" s="1152" t="s">
        <v>81</v>
      </c>
      <c r="B105" s="1152" t="s">
        <v>284</v>
      </c>
      <c r="C105" s="1153" t="s">
        <v>251</v>
      </c>
      <c r="D105" s="1154">
        <v>0</v>
      </c>
      <c r="E105" s="1154">
        <v>34346.400000000001</v>
      </c>
      <c r="F105" s="1154">
        <v>8586.6</v>
      </c>
      <c r="G105" s="1769">
        <v>0</v>
      </c>
      <c r="H105" s="1155">
        <v>0</v>
      </c>
      <c r="I105" s="1157">
        <f t="shared" si="7"/>
        <v>42933</v>
      </c>
      <c r="J105" s="1156">
        <f t="shared" si="8"/>
        <v>0</v>
      </c>
    </row>
    <row r="106" spans="1:10" s="503" customFormat="1" x14ac:dyDescent="0.3">
      <c r="A106" s="1152" t="s">
        <v>87</v>
      </c>
      <c r="B106" s="1152" t="s">
        <v>88</v>
      </c>
      <c r="C106" s="1153" t="s">
        <v>254</v>
      </c>
      <c r="D106" s="1154">
        <v>3736.25</v>
      </c>
      <c r="E106" s="1154">
        <v>86583.35</v>
      </c>
      <c r="F106" s="1154">
        <v>21673.4</v>
      </c>
      <c r="G106" s="1769">
        <v>0</v>
      </c>
      <c r="H106" s="1155">
        <v>0</v>
      </c>
      <c r="I106" s="1157">
        <f t="shared" si="7"/>
        <v>111993</v>
      </c>
      <c r="J106" s="1156">
        <f t="shared" si="8"/>
        <v>0</v>
      </c>
    </row>
    <row r="107" spans="1:10" s="503" customFormat="1" x14ac:dyDescent="0.3">
      <c r="A107" s="1152" t="s">
        <v>89</v>
      </c>
      <c r="B107" s="1152" t="s">
        <v>90</v>
      </c>
      <c r="C107" s="1153" t="s">
        <v>255</v>
      </c>
      <c r="D107" s="1154">
        <v>-51</v>
      </c>
      <c r="E107" s="1154">
        <v>48818.2</v>
      </c>
      <c r="F107" s="1154">
        <v>12216.8</v>
      </c>
      <c r="G107" s="1769">
        <v>0</v>
      </c>
      <c r="H107" s="1155">
        <v>0</v>
      </c>
      <c r="I107" s="1157">
        <f t="shared" si="7"/>
        <v>60984</v>
      </c>
      <c r="J107" s="1156">
        <f t="shared" si="8"/>
        <v>0</v>
      </c>
    </row>
    <row r="108" spans="1:10" s="503" customFormat="1" x14ac:dyDescent="0.3">
      <c r="A108" s="1152" t="s">
        <v>105</v>
      </c>
      <c r="B108" s="1152" t="s">
        <v>106</v>
      </c>
      <c r="C108" s="1153" t="s">
        <v>251</v>
      </c>
      <c r="D108" s="1154">
        <v>-1799.41</v>
      </c>
      <c r="E108" s="1154">
        <v>363181.53999999992</v>
      </c>
      <c r="F108" s="1154">
        <v>100076.18</v>
      </c>
      <c r="G108" s="1769">
        <v>0</v>
      </c>
      <c r="H108" s="1155">
        <v>0</v>
      </c>
      <c r="I108" s="1157">
        <f t="shared" si="7"/>
        <v>461458.30999999994</v>
      </c>
      <c r="J108" s="1156">
        <f t="shared" si="8"/>
        <v>0</v>
      </c>
    </row>
    <row r="109" spans="1:10" s="503" customFormat="1" x14ac:dyDescent="0.3">
      <c r="A109" s="1152" t="s">
        <v>115</v>
      </c>
      <c r="B109" s="1152" t="s">
        <v>116</v>
      </c>
      <c r="C109" s="1153" t="s">
        <v>253</v>
      </c>
      <c r="D109" s="1154">
        <v>0</v>
      </c>
      <c r="E109" s="1154">
        <v>58671.199999999997</v>
      </c>
      <c r="F109" s="1154">
        <v>14667.8</v>
      </c>
      <c r="G109" s="1769">
        <v>0</v>
      </c>
      <c r="H109" s="1155">
        <v>0</v>
      </c>
      <c r="I109" s="1157">
        <f t="shared" si="7"/>
        <v>73339</v>
      </c>
      <c r="J109" s="1156">
        <f t="shared" si="8"/>
        <v>0</v>
      </c>
    </row>
    <row r="110" spans="1:10" s="503" customFormat="1" x14ac:dyDescent="0.3">
      <c r="A110" s="1152" t="s">
        <v>137</v>
      </c>
      <c r="B110" s="1152" t="s">
        <v>138</v>
      </c>
      <c r="C110" s="1153" t="s">
        <v>252</v>
      </c>
      <c r="D110" s="1154">
        <v>0</v>
      </c>
      <c r="E110" s="1154">
        <v>345820.8</v>
      </c>
      <c r="F110" s="1154">
        <v>86455.2</v>
      </c>
      <c r="G110" s="1769">
        <v>0</v>
      </c>
      <c r="H110" s="1155">
        <v>0</v>
      </c>
      <c r="I110" s="1157">
        <f t="shared" si="7"/>
        <v>432276</v>
      </c>
      <c r="J110" s="1156">
        <f t="shared" si="8"/>
        <v>0</v>
      </c>
    </row>
    <row r="111" spans="1:10" s="503" customFormat="1" x14ac:dyDescent="0.3">
      <c r="A111" s="1152" t="s">
        <v>141</v>
      </c>
      <c r="B111" s="1152" t="s">
        <v>142</v>
      </c>
      <c r="C111" s="1153" t="s">
        <v>254</v>
      </c>
      <c r="D111" s="1154">
        <v>7204</v>
      </c>
      <c r="E111" s="1154">
        <v>16593.599999999999</v>
      </c>
      <c r="F111" s="1154">
        <v>4148.3999999999996</v>
      </c>
      <c r="G111" s="1769">
        <v>0</v>
      </c>
      <c r="H111" s="1155">
        <v>0</v>
      </c>
      <c r="I111" s="1157">
        <f t="shared" si="7"/>
        <v>27946</v>
      </c>
      <c r="J111" s="1156">
        <f t="shared" si="8"/>
        <v>0</v>
      </c>
    </row>
    <row r="112" spans="1:10" s="503" customFormat="1" x14ac:dyDescent="0.3">
      <c r="A112" s="1152" t="s">
        <v>143</v>
      </c>
      <c r="B112" s="1152" t="s">
        <v>144</v>
      </c>
      <c r="C112" s="1153" t="s">
        <v>254</v>
      </c>
      <c r="D112" s="1154">
        <v>0</v>
      </c>
      <c r="E112" s="1154">
        <v>5816.8</v>
      </c>
      <c r="F112" s="1154">
        <v>1454.2</v>
      </c>
      <c r="G112" s="1769">
        <v>0</v>
      </c>
      <c r="H112" s="1155">
        <v>0</v>
      </c>
      <c r="I112" s="1157">
        <f t="shared" si="7"/>
        <v>7271</v>
      </c>
      <c r="J112" s="1156">
        <f t="shared" si="8"/>
        <v>0</v>
      </c>
    </row>
    <row r="113" spans="1:10" s="503" customFormat="1" x14ac:dyDescent="0.3">
      <c r="A113" s="1152" t="s">
        <v>157</v>
      </c>
      <c r="B113" s="1152" t="s">
        <v>158</v>
      </c>
      <c r="C113" s="1153" t="s">
        <v>251</v>
      </c>
      <c r="D113" s="1154">
        <v>19274.22</v>
      </c>
      <c r="E113" s="1154">
        <v>404643.62000000005</v>
      </c>
      <c r="F113" s="1154">
        <v>106662.62</v>
      </c>
      <c r="G113" s="1769">
        <v>-0.04</v>
      </c>
      <c r="H113" s="1155">
        <v>0</v>
      </c>
      <c r="I113" s="1157">
        <f t="shared" si="7"/>
        <v>530580.42000000004</v>
      </c>
      <c r="J113" s="1156">
        <f t="shared" si="8"/>
        <v>-0.04</v>
      </c>
    </row>
    <row r="114" spans="1:10" s="503" customFormat="1" x14ac:dyDescent="0.3">
      <c r="A114" s="1152" t="s">
        <v>159</v>
      </c>
      <c r="B114" s="1152" t="s">
        <v>160</v>
      </c>
      <c r="C114" s="1153" t="s">
        <v>251</v>
      </c>
      <c r="D114" s="1154">
        <v>76227.67</v>
      </c>
      <c r="E114" s="1154">
        <v>634214.85</v>
      </c>
      <c r="F114" s="1154">
        <v>171336.15</v>
      </c>
      <c r="G114" s="1769">
        <v>0</v>
      </c>
      <c r="H114" s="1155">
        <v>0</v>
      </c>
      <c r="I114" s="1157">
        <f t="shared" si="7"/>
        <v>881778.67</v>
      </c>
      <c r="J114" s="1156">
        <f t="shared" si="8"/>
        <v>0</v>
      </c>
    </row>
    <row r="115" spans="1:10" s="503" customFormat="1" x14ac:dyDescent="0.3">
      <c r="A115" s="1152" t="s">
        <v>165</v>
      </c>
      <c r="B115" s="1152" t="s">
        <v>166</v>
      </c>
      <c r="C115" s="1153" t="s">
        <v>255</v>
      </c>
      <c r="D115" s="1154">
        <v>0</v>
      </c>
      <c r="E115" s="1154">
        <v>39110.400000000001</v>
      </c>
      <c r="F115" s="1154">
        <v>9777.6</v>
      </c>
      <c r="G115" s="1769">
        <v>0</v>
      </c>
      <c r="H115" s="1155">
        <v>0</v>
      </c>
      <c r="I115" s="1157">
        <f t="shared" si="7"/>
        <v>48888</v>
      </c>
      <c r="J115" s="1156">
        <f t="shared" si="8"/>
        <v>0</v>
      </c>
    </row>
    <row r="116" spans="1:10" s="503" customFormat="1" x14ac:dyDescent="0.3">
      <c r="A116" s="1152" t="s">
        <v>175</v>
      </c>
      <c r="B116" s="1152" t="s">
        <v>176</v>
      </c>
      <c r="C116" s="1153" t="s">
        <v>253</v>
      </c>
      <c r="D116" s="1154">
        <v>-467.02</v>
      </c>
      <c r="E116" s="1154">
        <v>458001.22</v>
      </c>
      <c r="F116" s="1154">
        <v>114612.48</v>
      </c>
      <c r="G116" s="1769">
        <v>0</v>
      </c>
      <c r="H116" s="1155">
        <v>0</v>
      </c>
      <c r="I116" s="1157">
        <f t="shared" si="7"/>
        <v>572146.67999999993</v>
      </c>
      <c r="J116" s="1156">
        <f t="shared" si="8"/>
        <v>0</v>
      </c>
    </row>
    <row r="117" spans="1:10" s="503" customFormat="1" x14ac:dyDescent="0.3">
      <c r="A117" s="1152" t="s">
        <v>179</v>
      </c>
      <c r="B117" s="1152" t="s">
        <v>180</v>
      </c>
      <c r="C117" s="1153" t="s">
        <v>251</v>
      </c>
      <c r="D117" s="1154">
        <v>22205.96</v>
      </c>
      <c r="E117" s="1154">
        <v>289017.34999999998</v>
      </c>
      <c r="F117" s="1154">
        <v>78632.649999999994</v>
      </c>
      <c r="G117" s="1769">
        <v>0</v>
      </c>
      <c r="H117" s="1155">
        <v>0</v>
      </c>
      <c r="I117" s="1157">
        <f t="shared" si="7"/>
        <v>389855.95999999996</v>
      </c>
      <c r="J117" s="1156">
        <f t="shared" si="8"/>
        <v>0</v>
      </c>
    </row>
    <row r="118" spans="1:10" s="503" customFormat="1" x14ac:dyDescent="0.3">
      <c r="A118" s="1152" t="s">
        <v>191</v>
      </c>
      <c r="B118" s="1152" t="s">
        <v>192</v>
      </c>
      <c r="C118" s="1153" t="s">
        <v>255</v>
      </c>
      <c r="D118" s="1154">
        <v>0</v>
      </c>
      <c r="E118" s="1154">
        <v>64797.599999999999</v>
      </c>
      <c r="F118" s="1154">
        <v>16199.4</v>
      </c>
      <c r="G118" s="1769">
        <v>370</v>
      </c>
      <c r="H118" s="1155">
        <v>0</v>
      </c>
      <c r="I118" s="1157">
        <f t="shared" si="7"/>
        <v>81367</v>
      </c>
      <c r="J118" s="1156">
        <f t="shared" si="8"/>
        <v>370</v>
      </c>
    </row>
    <row r="119" spans="1:10" s="503" customFormat="1" x14ac:dyDescent="0.3">
      <c r="A119" s="1152" t="s">
        <v>195</v>
      </c>
      <c r="B119" s="1152" t="s">
        <v>285</v>
      </c>
      <c r="C119" s="1153" t="s">
        <v>253</v>
      </c>
      <c r="D119" s="1154">
        <v>8550.0400000000009</v>
      </c>
      <c r="E119" s="1154">
        <v>1885951.15</v>
      </c>
      <c r="F119" s="1154">
        <v>474524.44999999995</v>
      </c>
      <c r="G119" s="1769">
        <v>27486.59</v>
      </c>
      <c r="H119" s="1155">
        <v>7364</v>
      </c>
      <c r="I119" s="1157">
        <f t="shared" si="7"/>
        <v>2403876.2299999995</v>
      </c>
      <c r="J119" s="1156">
        <f t="shared" si="8"/>
        <v>34850.589999999997</v>
      </c>
    </row>
    <row r="120" spans="1:10" s="503" customFormat="1" x14ac:dyDescent="0.3">
      <c r="A120" s="1152" t="s">
        <v>199</v>
      </c>
      <c r="B120" s="1152" t="s">
        <v>286</v>
      </c>
      <c r="C120" s="1153" t="s">
        <v>252</v>
      </c>
      <c r="D120" s="1154">
        <v>69416.790000000008</v>
      </c>
      <c r="E120" s="1154">
        <v>552420.54999999993</v>
      </c>
      <c r="F120" s="1154">
        <v>139484.32999999999</v>
      </c>
      <c r="G120" s="1769">
        <v>0</v>
      </c>
      <c r="H120" s="1155">
        <v>16705</v>
      </c>
      <c r="I120" s="1157">
        <f t="shared" si="7"/>
        <v>778026.66999999993</v>
      </c>
      <c r="J120" s="1156">
        <f t="shared" si="8"/>
        <v>16705</v>
      </c>
    </row>
    <row r="121" spans="1:10" s="503" customFormat="1" x14ac:dyDescent="0.3">
      <c r="A121" s="1152" t="s">
        <v>221</v>
      </c>
      <c r="B121" s="1152" t="s">
        <v>222</v>
      </c>
      <c r="C121" s="1153" t="s">
        <v>251</v>
      </c>
      <c r="D121" s="1154">
        <v>-1611.68</v>
      </c>
      <c r="E121" s="1154">
        <v>158595.53</v>
      </c>
      <c r="F121" s="1154">
        <v>40036</v>
      </c>
      <c r="G121" s="1769">
        <v>0</v>
      </c>
      <c r="H121" s="1155">
        <v>11500</v>
      </c>
      <c r="I121" s="1157">
        <f t="shared" si="7"/>
        <v>208519.85</v>
      </c>
      <c r="J121" s="1156">
        <f t="shared" si="8"/>
        <v>11500</v>
      </c>
    </row>
    <row r="122" spans="1:10" s="503" customFormat="1" x14ac:dyDescent="0.3">
      <c r="A122" s="1152" t="s">
        <v>229</v>
      </c>
      <c r="B122" s="1152" t="s">
        <v>230</v>
      </c>
      <c r="C122" s="1153" t="s">
        <v>251</v>
      </c>
      <c r="D122" s="1154">
        <v>18060.75</v>
      </c>
      <c r="E122" s="1154">
        <v>605323.49000000011</v>
      </c>
      <c r="F122" s="1154">
        <v>162177.83000000002</v>
      </c>
      <c r="G122" s="1769">
        <v>45204.76</v>
      </c>
      <c r="H122" s="1155">
        <v>0</v>
      </c>
      <c r="I122" s="1157">
        <f t="shared" si="7"/>
        <v>830766.83000000007</v>
      </c>
      <c r="J122" s="1156">
        <f t="shared" si="8"/>
        <v>45204.76</v>
      </c>
    </row>
    <row r="123" spans="1:10" s="503" customFormat="1" x14ac:dyDescent="0.3">
      <c r="A123" s="1158" t="s">
        <v>237</v>
      </c>
      <c r="B123" s="1158" t="s">
        <v>238</v>
      </c>
      <c r="C123" s="1153" t="s">
        <v>251</v>
      </c>
      <c r="D123" s="1154">
        <v>0</v>
      </c>
      <c r="E123" s="1154">
        <v>85335.2</v>
      </c>
      <c r="F123" s="1154">
        <v>21333.8</v>
      </c>
      <c r="G123" s="1769">
        <v>0</v>
      </c>
      <c r="H123" s="1155">
        <v>55217.4</v>
      </c>
      <c r="I123" s="1157">
        <f t="shared" si="7"/>
        <v>161886.39999999999</v>
      </c>
      <c r="J123" s="1156">
        <f t="shared" si="8"/>
        <v>55217.4</v>
      </c>
    </row>
    <row r="124" spans="1:10" s="503" customFormat="1" x14ac:dyDescent="0.3">
      <c r="A124" s="1340" t="s">
        <v>239</v>
      </c>
      <c r="B124" s="1340" t="s">
        <v>240</v>
      </c>
      <c r="C124" s="1159" t="s">
        <v>254</v>
      </c>
      <c r="D124" s="1160">
        <v>0</v>
      </c>
      <c r="E124" s="1160">
        <v>97456</v>
      </c>
      <c r="F124" s="1160">
        <v>24364</v>
      </c>
      <c r="G124" s="1770">
        <v>0</v>
      </c>
      <c r="H124" s="1161">
        <v>6400</v>
      </c>
      <c r="I124" s="1163">
        <f t="shared" si="7"/>
        <v>128220</v>
      </c>
      <c r="J124" s="1162">
        <f t="shared" si="8"/>
        <v>6400</v>
      </c>
    </row>
    <row r="126" spans="1:10" x14ac:dyDescent="0.3">
      <c r="A126" s="1164" t="s">
        <v>253</v>
      </c>
      <c r="B126" s="1164"/>
      <c r="C126" s="1164"/>
      <c r="D126" s="1288">
        <v>237124.18000000002</v>
      </c>
      <c r="E126" s="1288">
        <v>4346438.24</v>
      </c>
      <c r="F126" s="1288">
        <v>1123303.03</v>
      </c>
      <c r="G126" s="1771">
        <v>297280.3</v>
      </c>
      <c r="H126" s="1288">
        <v>7177</v>
      </c>
      <c r="I126" s="1289">
        <f t="shared" ref="I126:I130" si="9">SUM(D126:H126)</f>
        <v>6011322.75</v>
      </c>
      <c r="J126" s="1288">
        <f t="shared" ref="J126:J130" si="10">G126+H126</f>
        <v>304457.3</v>
      </c>
    </row>
    <row r="127" spans="1:10" x14ac:dyDescent="0.3">
      <c r="A127" s="1165" t="s">
        <v>251</v>
      </c>
      <c r="B127" s="1165"/>
      <c r="C127" s="1165"/>
      <c r="D127" s="1290">
        <v>130437.34000000003</v>
      </c>
      <c r="E127" s="1290">
        <v>3953171.84</v>
      </c>
      <c r="F127" s="1290">
        <v>1040153.7300000002</v>
      </c>
      <c r="G127" s="1290">
        <v>45191.67</v>
      </c>
      <c r="H127" s="1290">
        <v>66717.399999999994</v>
      </c>
      <c r="I127" s="1291">
        <f t="shared" si="9"/>
        <v>5235671.9800000004</v>
      </c>
      <c r="J127" s="1290">
        <f t="shared" si="10"/>
        <v>111909.06999999999</v>
      </c>
    </row>
    <row r="128" spans="1:10" x14ac:dyDescent="0.3">
      <c r="A128" s="1165" t="s">
        <v>254</v>
      </c>
      <c r="B128" s="1165"/>
      <c r="C128" s="1165"/>
      <c r="D128" s="1290">
        <v>458228.29000000004</v>
      </c>
      <c r="E128" s="1290">
        <v>3165076.0299999984</v>
      </c>
      <c r="F128" s="1290">
        <v>814833.65999999992</v>
      </c>
      <c r="G128" s="1290">
        <v>492444.48</v>
      </c>
      <c r="H128" s="1290">
        <v>45436.97</v>
      </c>
      <c r="I128" s="1291">
        <f t="shared" si="9"/>
        <v>4976019.4299999988</v>
      </c>
      <c r="J128" s="1290">
        <f t="shared" si="10"/>
        <v>537881.44999999995</v>
      </c>
    </row>
    <row r="129" spans="1:10" x14ac:dyDescent="0.3">
      <c r="A129" s="1165" t="s">
        <v>252</v>
      </c>
      <c r="B129" s="1165"/>
      <c r="C129" s="1165"/>
      <c r="D129" s="1290">
        <v>236707.34</v>
      </c>
      <c r="E129" s="1290">
        <v>3157385.31</v>
      </c>
      <c r="F129" s="1290">
        <v>807671.36000000022</v>
      </c>
      <c r="G129" s="1290">
        <v>48724.719999999994</v>
      </c>
      <c r="H129" s="1290">
        <v>16705</v>
      </c>
      <c r="I129" s="1291">
        <f t="shared" si="9"/>
        <v>4267193.7299999995</v>
      </c>
      <c r="J129" s="1290">
        <f t="shared" si="10"/>
        <v>65429.719999999994</v>
      </c>
    </row>
    <row r="130" spans="1:10" x14ac:dyDescent="0.3">
      <c r="A130" s="1165" t="s">
        <v>255</v>
      </c>
      <c r="B130" s="1165"/>
      <c r="C130" s="1165"/>
      <c r="D130" s="1290">
        <v>-7205.32</v>
      </c>
      <c r="E130" s="1290">
        <v>3578646.9499999997</v>
      </c>
      <c r="F130" s="1290">
        <v>896589.91999999993</v>
      </c>
      <c r="G130" s="1290">
        <v>59388.27</v>
      </c>
      <c r="H130" s="1290">
        <v>3000</v>
      </c>
      <c r="I130" s="1291">
        <f t="shared" si="9"/>
        <v>4530419.8199999994</v>
      </c>
      <c r="J130" s="1290">
        <f t="shared" si="10"/>
        <v>62388.27</v>
      </c>
    </row>
    <row r="131" spans="1:10" x14ac:dyDescent="0.3">
      <c r="A131" s="1166" t="s">
        <v>8</v>
      </c>
      <c r="B131" s="1166"/>
      <c r="C131" s="1166"/>
      <c r="D131" s="1292">
        <f>SUM(D126:D130)</f>
        <v>1055291.83</v>
      </c>
      <c r="E131" s="1292">
        <f t="shared" ref="E131:I131" si="11">SUM(E126:E130)</f>
        <v>18200718.370000001</v>
      </c>
      <c r="F131" s="1292">
        <f t="shared" si="11"/>
        <v>4682551.7</v>
      </c>
      <c r="G131" s="1292">
        <f t="shared" si="11"/>
        <v>943029.44</v>
      </c>
      <c r="H131" s="1292">
        <f t="shared" si="11"/>
        <v>139036.37</v>
      </c>
      <c r="I131" s="1293">
        <f t="shared" si="11"/>
        <v>25020627.710000001</v>
      </c>
      <c r="J131" s="1292">
        <f>SUM(J126:J130)</f>
        <v>1082065.8099999998</v>
      </c>
    </row>
    <row r="133" spans="1:10" s="173" customFormat="1" x14ac:dyDescent="0.3">
      <c r="A133" s="584" t="s">
        <v>1027</v>
      </c>
      <c r="B133" s="410"/>
      <c r="C133" s="410"/>
      <c r="D133" s="368"/>
    </row>
    <row r="134" spans="1:10" s="173" customFormat="1" x14ac:dyDescent="0.3"/>
    <row r="135" spans="1:10" s="193" customFormat="1" x14ac:dyDescent="0.3">
      <c r="A135" s="193" t="s">
        <v>247</v>
      </c>
      <c r="J135" s="932"/>
    </row>
    <row r="136" spans="1:10" x14ac:dyDescent="0.3">
      <c r="A136" s="194" t="s">
        <v>248</v>
      </c>
      <c r="B136" s="195" t="s">
        <v>249</v>
      </c>
      <c r="C136" s="195"/>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3" ySplit="5" topLeftCell="D6" activePane="bottomRight" state="frozen"/>
      <selection pane="topRight" activeCell="D1" sqref="D1"/>
      <selection pane="bottomLeft" activeCell="A6" sqref="A6"/>
      <selection pane="bottomRight" activeCell="K20" sqref="K20"/>
    </sheetView>
  </sheetViews>
  <sheetFormatPr defaultRowHeight="15.6" x14ac:dyDescent="0.3"/>
  <cols>
    <col min="1" max="1" width="9.59765625" style="41" customWidth="1"/>
    <col min="2" max="2" width="29.296875" style="64" customWidth="1"/>
    <col min="3" max="3" width="9.19921875" style="64" customWidth="1"/>
    <col min="4" max="5" width="17.296875" bestFit="1" customWidth="1"/>
    <col min="6" max="6" width="13.296875" customWidth="1"/>
    <col min="7" max="7" width="11.796875" customWidth="1"/>
    <col min="8" max="8" width="15.09765625" customWidth="1"/>
    <col min="9" max="9" width="13.796875" customWidth="1"/>
  </cols>
  <sheetData>
    <row r="1" spans="1:9" x14ac:dyDescent="0.3">
      <c r="A1" s="425" t="s">
        <v>912</v>
      </c>
      <c r="B1" s="426"/>
      <c r="C1" s="426"/>
    </row>
    <row r="4" spans="1:9" x14ac:dyDescent="0.3">
      <c r="A4" s="1343" t="s">
        <v>4</v>
      </c>
      <c r="B4" s="1344" t="s">
        <v>5</v>
      </c>
      <c r="C4" s="1344" t="s">
        <v>250</v>
      </c>
      <c r="D4" s="1350" t="s">
        <v>287</v>
      </c>
      <c r="E4" s="1351" t="s">
        <v>288</v>
      </c>
      <c r="F4" s="1351" t="s">
        <v>289</v>
      </c>
      <c r="G4" s="1351" t="s">
        <v>279</v>
      </c>
      <c r="H4" s="1351" t="s">
        <v>262</v>
      </c>
      <c r="I4" s="1352" t="s">
        <v>441</v>
      </c>
    </row>
    <row r="5" spans="1:9" x14ac:dyDescent="0.3">
      <c r="A5" s="1345" t="s">
        <v>7</v>
      </c>
      <c r="B5" s="1346" t="s">
        <v>8</v>
      </c>
      <c r="C5" s="1346"/>
      <c r="D5" s="1353">
        <f>SUM(D6:D125)</f>
        <v>7756046206.124321</v>
      </c>
      <c r="E5" s="1354">
        <f t="shared" ref="E5:I5" si="0">SUM(E6:E125)</f>
        <v>6409701417.2972021</v>
      </c>
      <c r="F5" s="1354">
        <f t="shared" si="0"/>
        <v>164294048.40000004</v>
      </c>
      <c r="G5" s="1354">
        <f t="shared" si="0"/>
        <v>0</v>
      </c>
      <c r="H5" s="1355">
        <f t="shared" si="0"/>
        <v>14330041671.821526</v>
      </c>
      <c r="I5" s="1356">
        <f t="shared" si="0"/>
        <v>164294048.40000004</v>
      </c>
    </row>
    <row r="6" spans="1:9" x14ac:dyDescent="0.3">
      <c r="A6" s="1341" t="s">
        <v>9</v>
      </c>
      <c r="B6" s="1342" t="s">
        <v>10</v>
      </c>
      <c r="C6" s="895" t="s">
        <v>251</v>
      </c>
      <c r="D6" s="1357">
        <f>'CSA LASER'!D5+'Medicaid &amp; FAMIS - LASER'!E5+'SNAP LASER'!E5+'Energy Assistance LASER'!E5+'TANF LASER'!D5+'ChildCare LASER'!I5</f>
        <v>49270644.864709705</v>
      </c>
      <c r="E6" s="1358">
        <f>'CSA LASER'!E5+'Medicaid &amp; FAMIS - LASER'!F5+'Energy Assistance LASER'!F5+'TANF LASER'!E5+'ChildCare LASER'!J5</f>
        <v>39056951.924917102</v>
      </c>
      <c r="F6" s="1358">
        <f>'CSA LASER'!F5+'Medicaid &amp; FAMIS - LASER'!G5+'Energy Assistance LASER'!G5+'TANF LASER'!F5</f>
        <v>93415.29</v>
      </c>
      <c r="G6" s="1358">
        <f>'CSA LASER'!G5+'Energy Assistance LASER'!H5+'TANF LASER'!G5</f>
        <v>0</v>
      </c>
      <c r="H6" s="1358">
        <f>SUM(D6:G6)</f>
        <v>88421012.079626814</v>
      </c>
      <c r="I6" s="1359">
        <f t="shared" ref="I6:I69" si="1">F6+G6</f>
        <v>93415.29</v>
      </c>
    </row>
    <row r="7" spans="1:9" x14ac:dyDescent="0.3">
      <c r="A7" s="1341" t="s">
        <v>11</v>
      </c>
      <c r="B7" s="1342" t="s">
        <v>12</v>
      </c>
      <c r="C7" s="895" t="s">
        <v>252</v>
      </c>
      <c r="D7" s="1357">
        <f>'CSA LASER'!D6+'Medicaid &amp; FAMIS - LASER'!E6+'SNAP LASER'!E6+'Energy Assistance LASER'!E6+'TANF LASER'!D6+'ChildCare LASER'!I6</f>
        <v>61152309.58550714</v>
      </c>
      <c r="E7" s="1358">
        <f>'CSA LASER'!E6+'Medicaid &amp; FAMIS - LASER'!F6+'Energy Assistance LASER'!F6+'TANF LASER'!E6+'ChildCare LASER'!J6</f>
        <v>55706466.486508325</v>
      </c>
      <c r="F7" s="1358">
        <f>'CSA LASER'!F6+'Medicaid &amp; FAMIS - LASER'!G6+'Energy Assistance LASER'!G6+'TANF LASER'!F6</f>
        <v>3890837.42</v>
      </c>
      <c r="G7" s="1358">
        <f>'CSA LASER'!G6+'Energy Assistance LASER'!H6+'TANF LASER'!G6</f>
        <v>0</v>
      </c>
      <c r="H7" s="1358">
        <f t="shared" ref="H7:H70" si="2">SUM(D7:G7)</f>
        <v>120749613.49201547</v>
      </c>
      <c r="I7" s="1359">
        <f t="shared" si="1"/>
        <v>3890837.42</v>
      </c>
    </row>
    <row r="8" spans="1:9" x14ac:dyDescent="0.3">
      <c r="A8" s="1341" t="s">
        <v>15</v>
      </c>
      <c r="B8" s="1342" t="s">
        <v>273</v>
      </c>
      <c r="C8" s="895" t="s">
        <v>252</v>
      </c>
      <c r="D8" s="1357">
        <f>'CSA LASER'!D7+'Medicaid &amp; FAMIS - LASER'!E7+'SNAP LASER'!E7+'Energy Assistance LASER'!E7+'TANF LASER'!D7+'ChildCare LASER'!I7</f>
        <v>31551711.018459313</v>
      </c>
      <c r="E8" s="1358">
        <f>'CSA LASER'!E7+'Medicaid &amp; FAMIS - LASER'!F7+'Energy Assistance LASER'!F7+'TANF LASER'!E7+'ChildCare LASER'!J7</f>
        <v>28207582.513792392</v>
      </c>
      <c r="F8" s="1358">
        <f>'CSA LASER'!F7+'Medicaid &amp; FAMIS - LASER'!G7+'Energy Assistance LASER'!G7+'TANF LASER'!F7</f>
        <v>838416.32000000007</v>
      </c>
      <c r="G8" s="1358">
        <f>'CSA LASER'!G7+'Energy Assistance LASER'!H7+'TANF LASER'!G7</f>
        <v>0</v>
      </c>
      <c r="H8" s="1358">
        <f t="shared" si="2"/>
        <v>60597709.852251701</v>
      </c>
      <c r="I8" s="1359">
        <f t="shared" si="1"/>
        <v>838416.32000000007</v>
      </c>
    </row>
    <row r="9" spans="1:9" x14ac:dyDescent="0.3">
      <c r="A9" s="1341" t="s">
        <v>17</v>
      </c>
      <c r="B9" s="1342" t="s">
        <v>18</v>
      </c>
      <c r="C9" s="895" t="s">
        <v>253</v>
      </c>
      <c r="D9" s="1357">
        <f>'CSA LASER'!D8+'Medicaid &amp; FAMIS - LASER'!E8+'SNAP LASER'!E8+'Energy Assistance LASER'!E8+'TANF LASER'!D8+'ChildCare LASER'!I8</f>
        <v>15305563.234043676</v>
      </c>
      <c r="E9" s="1358">
        <f>'CSA LASER'!E8+'Medicaid &amp; FAMIS - LASER'!F8+'Energy Assistance LASER'!F8+'TANF LASER'!E8+'ChildCare LASER'!J8</f>
        <v>12945037.66584439</v>
      </c>
      <c r="F9" s="1358">
        <f>'CSA LASER'!F8+'Medicaid &amp; FAMIS - LASER'!G8+'Energy Assistance LASER'!G8+'TANF LASER'!F8</f>
        <v>255379.77</v>
      </c>
      <c r="G9" s="1358">
        <f>'CSA LASER'!G8+'Energy Assistance LASER'!H8+'TANF LASER'!G8</f>
        <v>0</v>
      </c>
      <c r="H9" s="1358">
        <f t="shared" si="2"/>
        <v>28505980.669888068</v>
      </c>
      <c r="I9" s="1359">
        <f t="shared" si="1"/>
        <v>255379.77</v>
      </c>
    </row>
    <row r="10" spans="1:9" x14ac:dyDescent="0.3">
      <c r="A10" s="1341" t="s">
        <v>19</v>
      </c>
      <c r="B10" s="1342" t="s">
        <v>20</v>
      </c>
      <c r="C10" s="895" t="s">
        <v>252</v>
      </c>
      <c r="D10" s="1357">
        <f>'CSA LASER'!D9+'Medicaid &amp; FAMIS - LASER'!E9+'SNAP LASER'!E9+'Energy Assistance LASER'!E9+'TANF LASER'!D9+'ChildCare LASER'!I9</f>
        <v>39811181.521774784</v>
      </c>
      <c r="E10" s="1358">
        <f>'CSA LASER'!E9+'Medicaid &amp; FAMIS - LASER'!F9+'Energy Assistance LASER'!F9+'TANF LASER'!E9+'ChildCare LASER'!J9</f>
        <v>34271915.652910911</v>
      </c>
      <c r="F10" s="1358">
        <f>'CSA LASER'!F9+'Medicaid &amp; FAMIS - LASER'!G9+'Energy Assistance LASER'!G9+'TANF LASER'!F9</f>
        <v>656233.03</v>
      </c>
      <c r="G10" s="1358">
        <f>'CSA LASER'!G9+'Energy Assistance LASER'!H9+'TANF LASER'!G9</f>
        <v>0</v>
      </c>
      <c r="H10" s="1358">
        <f t="shared" si="2"/>
        <v>74739330.204685688</v>
      </c>
      <c r="I10" s="1359">
        <f t="shared" si="1"/>
        <v>656233.03</v>
      </c>
    </row>
    <row r="11" spans="1:9" x14ac:dyDescent="0.3">
      <c r="A11" s="1341" t="s">
        <v>21</v>
      </c>
      <c r="B11" s="1342" t="s">
        <v>22</v>
      </c>
      <c r="C11" s="895" t="s">
        <v>252</v>
      </c>
      <c r="D11" s="1357">
        <f>'CSA LASER'!D10+'Medicaid &amp; FAMIS - LASER'!E10+'SNAP LASER'!E10+'Energy Assistance LASER'!E10+'TANF LASER'!D10+'ChildCare LASER'!I10</f>
        <v>22790916.952465728</v>
      </c>
      <c r="E11" s="1358">
        <f>'CSA LASER'!E10+'Medicaid &amp; FAMIS - LASER'!F10+'Energy Assistance LASER'!F10+'TANF LASER'!E10+'ChildCare LASER'!J10</f>
        <v>19694175.067361359</v>
      </c>
      <c r="F11" s="1358">
        <f>'CSA LASER'!F10+'Medicaid &amp; FAMIS - LASER'!G10+'Energy Assistance LASER'!G10+'TANF LASER'!F10</f>
        <v>611043.09</v>
      </c>
      <c r="G11" s="1358">
        <f>'CSA LASER'!G10+'Energy Assistance LASER'!H10+'TANF LASER'!G10</f>
        <v>0</v>
      </c>
      <c r="H11" s="1358">
        <f t="shared" si="2"/>
        <v>43096135.109827086</v>
      </c>
      <c r="I11" s="1359">
        <f t="shared" si="1"/>
        <v>611043.09</v>
      </c>
    </row>
    <row r="12" spans="1:9" x14ac:dyDescent="0.3">
      <c r="A12" s="1341" t="s">
        <v>23</v>
      </c>
      <c r="B12" s="1342" t="s">
        <v>24</v>
      </c>
      <c r="C12" s="895" t="s">
        <v>254</v>
      </c>
      <c r="D12" s="1357">
        <f>'CSA LASER'!D11+'Medicaid &amp; FAMIS - LASER'!E11+'SNAP LASER'!E11+'Energy Assistance LASER'!E11+'TANF LASER'!D11+'ChildCare LASER'!I11</f>
        <v>94772767.567374036</v>
      </c>
      <c r="E12" s="1358">
        <f>'CSA LASER'!E11+'Medicaid &amp; FAMIS - LASER'!F11+'Energy Assistance LASER'!F11+'TANF LASER'!E11+'ChildCare LASER'!J11</f>
        <v>80586033.609283298</v>
      </c>
      <c r="F12" s="1358">
        <f>'CSA LASER'!F11+'Medicaid &amp; FAMIS - LASER'!G11+'Energy Assistance LASER'!G11+'TANF LASER'!F11</f>
        <v>2634279.96</v>
      </c>
      <c r="G12" s="1358">
        <f>'CSA LASER'!G11+'Energy Assistance LASER'!H11+'TANF LASER'!G11</f>
        <v>0</v>
      </c>
      <c r="H12" s="1358">
        <f t="shared" si="2"/>
        <v>177993081.13665733</v>
      </c>
      <c r="I12" s="1359">
        <f t="shared" si="1"/>
        <v>2634279.96</v>
      </c>
    </row>
    <row r="13" spans="1:9" x14ac:dyDescent="0.3">
      <c r="A13" s="1341" t="s">
        <v>25</v>
      </c>
      <c r="B13" s="1342" t="s">
        <v>274</v>
      </c>
      <c r="C13" s="895" t="s">
        <v>252</v>
      </c>
      <c r="D13" s="1357">
        <f>'CSA LASER'!D12+'Medicaid &amp; FAMIS - LASER'!E12+'SNAP LASER'!E12+'Energy Assistance LASER'!E12+'TANF LASER'!D12+'ChildCare LASER'!I12</f>
        <v>121571950.90305597</v>
      </c>
      <c r="E13" s="1358">
        <f>'CSA LASER'!E12+'Medicaid &amp; FAMIS - LASER'!F12+'Energy Assistance LASER'!F12+'TANF LASER'!E12+'ChildCare LASER'!J12</f>
        <v>106459402.64348081</v>
      </c>
      <c r="F13" s="1358">
        <f>'CSA LASER'!F12+'Medicaid &amp; FAMIS - LASER'!G12+'Energy Assistance LASER'!G12+'TANF LASER'!F12</f>
        <v>3999890.01</v>
      </c>
      <c r="G13" s="1358">
        <f>'CSA LASER'!G12+'Energy Assistance LASER'!H12+'TANF LASER'!G12</f>
        <v>0</v>
      </c>
      <c r="H13" s="1358">
        <f t="shared" si="2"/>
        <v>232031243.55653676</v>
      </c>
      <c r="I13" s="1359">
        <f t="shared" si="1"/>
        <v>3999890.01</v>
      </c>
    </row>
    <row r="14" spans="1:9" x14ac:dyDescent="0.3">
      <c r="A14" s="1341" t="s">
        <v>26</v>
      </c>
      <c r="B14" s="1342" t="s">
        <v>27</v>
      </c>
      <c r="C14" s="895" t="s">
        <v>252</v>
      </c>
      <c r="D14" s="1357">
        <f>'CSA LASER'!D13+'Medicaid &amp; FAMIS - LASER'!E13+'SNAP LASER'!E13+'Energy Assistance LASER'!E13+'TANF LASER'!D13+'ChildCare LASER'!I13</f>
        <v>4127386.5401930939</v>
      </c>
      <c r="E14" s="1358">
        <f>'CSA LASER'!E13+'Medicaid &amp; FAMIS - LASER'!F13+'Energy Assistance LASER'!F13+'TANF LASER'!E13+'ChildCare LASER'!J13</f>
        <v>3550151.7897719964</v>
      </c>
      <c r="F14" s="1358">
        <f>'CSA LASER'!F13+'Medicaid &amp; FAMIS - LASER'!G13+'Energy Assistance LASER'!G13+'TANF LASER'!F13</f>
        <v>50213.440000000002</v>
      </c>
      <c r="G14" s="1358">
        <f>'CSA LASER'!G13+'Energy Assistance LASER'!H13+'TANF LASER'!G13</f>
        <v>0</v>
      </c>
      <c r="H14" s="1358">
        <f t="shared" si="2"/>
        <v>7727751.7699650908</v>
      </c>
      <c r="I14" s="1359">
        <f t="shared" si="1"/>
        <v>50213.440000000002</v>
      </c>
    </row>
    <row r="15" spans="1:9" x14ac:dyDescent="0.3">
      <c r="A15" s="1341" t="s">
        <v>28</v>
      </c>
      <c r="B15" s="1342" t="s">
        <v>568</v>
      </c>
      <c r="C15" s="895" t="s">
        <v>252</v>
      </c>
      <c r="D15" s="1357">
        <f>'CSA LASER'!D14+'Medicaid &amp; FAMIS - LASER'!E14+'SNAP LASER'!E14+'Energy Assistance LASER'!E14+'TANF LASER'!D14+'ChildCare LASER'!I14</f>
        <v>72301270.594452322</v>
      </c>
      <c r="E15" s="1358">
        <f>'CSA LASER'!E14+'Medicaid &amp; FAMIS - LASER'!F14+'Energy Assistance LASER'!F14+'TANF LASER'!E14+'ChildCare LASER'!J14</f>
        <v>65048718.199975602</v>
      </c>
      <c r="F15" s="1358">
        <f>'CSA LASER'!F14+'Medicaid &amp; FAMIS - LASER'!G14+'Energy Assistance LASER'!G14+'TANF LASER'!F14</f>
        <v>2420548.0700000003</v>
      </c>
      <c r="G15" s="1358">
        <f>'CSA LASER'!G14+'Energy Assistance LASER'!H14+'TANF LASER'!G14</f>
        <v>0</v>
      </c>
      <c r="H15" s="1358">
        <f t="shared" si="2"/>
        <v>139770536.86442792</v>
      </c>
      <c r="I15" s="1359">
        <f t="shared" si="1"/>
        <v>2420548.0700000003</v>
      </c>
    </row>
    <row r="16" spans="1:9" x14ac:dyDescent="0.3">
      <c r="A16" s="1341" t="s">
        <v>29</v>
      </c>
      <c r="B16" s="1342" t="s">
        <v>30</v>
      </c>
      <c r="C16" s="895" t="s">
        <v>255</v>
      </c>
      <c r="D16" s="1357">
        <f>'CSA LASER'!D15+'Medicaid &amp; FAMIS - LASER'!E15+'SNAP LASER'!E15+'Energy Assistance LASER'!E15+'TANF LASER'!D15+'ChildCare LASER'!I15</f>
        <v>5380956.5848817518</v>
      </c>
      <c r="E16" s="1358">
        <f>'CSA LASER'!E15+'Medicaid &amp; FAMIS - LASER'!F15+'Energy Assistance LASER'!F15+'TANF LASER'!E15+'ChildCare LASER'!J15</f>
        <v>4709026.2250709319</v>
      </c>
      <c r="F16" s="1358">
        <f>'CSA LASER'!F15+'Medicaid &amp; FAMIS - LASER'!G15+'Energy Assistance LASER'!G15+'TANF LASER'!F15</f>
        <v>73346.350000000006</v>
      </c>
      <c r="G16" s="1358">
        <f>'CSA LASER'!G15+'Energy Assistance LASER'!H15+'TANF LASER'!G15</f>
        <v>0</v>
      </c>
      <c r="H16" s="1358">
        <f t="shared" si="2"/>
        <v>10163329.159952683</v>
      </c>
      <c r="I16" s="1359">
        <f t="shared" si="1"/>
        <v>73346.350000000006</v>
      </c>
    </row>
    <row r="17" spans="1:9" x14ac:dyDescent="0.3">
      <c r="A17" s="1341" t="s">
        <v>31</v>
      </c>
      <c r="B17" s="1342" t="s">
        <v>32</v>
      </c>
      <c r="C17" s="895" t="s">
        <v>252</v>
      </c>
      <c r="D17" s="1357">
        <f>'CSA LASER'!D16+'Medicaid &amp; FAMIS - LASER'!E16+'SNAP LASER'!E16+'Energy Assistance LASER'!E16+'TANF LASER'!D16+'ChildCare LASER'!I16</f>
        <v>22261502.335505392</v>
      </c>
      <c r="E17" s="1358">
        <f>'CSA LASER'!E16+'Medicaid &amp; FAMIS - LASER'!F16+'Energy Assistance LASER'!F16+'TANF LASER'!E16+'ChildCare LASER'!J16</f>
        <v>19988667.541811794</v>
      </c>
      <c r="F17" s="1358">
        <f>'CSA LASER'!F16+'Medicaid &amp; FAMIS - LASER'!G16+'Energy Assistance LASER'!G16+'TANF LASER'!F16</f>
        <v>606044.74</v>
      </c>
      <c r="G17" s="1358">
        <f>'CSA LASER'!G16+'Energy Assistance LASER'!H16+'TANF LASER'!G16</f>
        <v>0</v>
      </c>
      <c r="H17" s="1358">
        <f t="shared" si="2"/>
        <v>42856214.617317192</v>
      </c>
      <c r="I17" s="1359">
        <f t="shared" si="1"/>
        <v>606044.74</v>
      </c>
    </row>
    <row r="18" spans="1:9" x14ac:dyDescent="0.3">
      <c r="A18" s="1341" t="s">
        <v>35</v>
      </c>
      <c r="B18" s="1342" t="s">
        <v>36</v>
      </c>
      <c r="C18" s="895" t="s">
        <v>251</v>
      </c>
      <c r="D18" s="1357">
        <f>'CSA LASER'!D17+'Medicaid &amp; FAMIS - LASER'!E17+'SNAP LASER'!E17+'Energy Assistance LASER'!E17+'TANF LASER'!D17+'ChildCare LASER'!I17</f>
        <v>30543412.785015143</v>
      </c>
      <c r="E18" s="1358">
        <f>'CSA LASER'!E17+'Medicaid &amp; FAMIS - LASER'!F17+'Energy Assistance LASER'!F17+'TANF LASER'!E17+'ChildCare LASER'!J17</f>
        <v>25051392.224773858</v>
      </c>
      <c r="F18" s="1358">
        <f>'CSA LASER'!F17+'Medicaid &amp; FAMIS - LASER'!G17+'Energy Assistance LASER'!G17+'TANF LASER'!F17</f>
        <v>209825.47</v>
      </c>
      <c r="G18" s="1358">
        <f>'CSA LASER'!G17+'Energy Assistance LASER'!H17+'TANF LASER'!G17</f>
        <v>0</v>
      </c>
      <c r="H18" s="1358">
        <f t="shared" si="2"/>
        <v>55804630.479789004</v>
      </c>
      <c r="I18" s="1359">
        <f t="shared" si="1"/>
        <v>209825.47</v>
      </c>
    </row>
    <row r="19" spans="1:9" x14ac:dyDescent="0.3">
      <c r="A19" s="1341" t="s">
        <v>37</v>
      </c>
      <c r="B19" s="1342" t="s">
        <v>38</v>
      </c>
      <c r="C19" s="895" t="s">
        <v>255</v>
      </c>
      <c r="D19" s="1357">
        <f>'CSA LASER'!D18+'Medicaid &amp; FAMIS - LASER'!E18+'SNAP LASER'!E18+'Energy Assistance LASER'!E18+'TANF LASER'!D18+'ChildCare LASER'!I18</f>
        <v>41071944.385500193</v>
      </c>
      <c r="E19" s="1358">
        <f>'CSA LASER'!E18+'Medicaid &amp; FAMIS - LASER'!F18+'Energy Assistance LASER'!F18+'TANF LASER'!E18+'ChildCare LASER'!J18</f>
        <v>32537334.581661452</v>
      </c>
      <c r="F19" s="1358">
        <f>'CSA LASER'!F18+'Medicaid &amp; FAMIS - LASER'!G18+'Energy Assistance LASER'!G18+'TANF LASER'!F18</f>
        <v>500776.07</v>
      </c>
      <c r="G19" s="1358">
        <f>'CSA LASER'!G18+'Energy Assistance LASER'!H18+'TANF LASER'!G18</f>
        <v>0</v>
      </c>
      <c r="H19" s="1358">
        <f t="shared" si="2"/>
        <v>74110055.037161633</v>
      </c>
      <c r="I19" s="1359">
        <f t="shared" si="1"/>
        <v>500776.07</v>
      </c>
    </row>
    <row r="20" spans="1:9" x14ac:dyDescent="0.3">
      <c r="A20" s="1341" t="s">
        <v>39</v>
      </c>
      <c r="B20" s="1342" t="s">
        <v>40</v>
      </c>
      <c r="C20" s="895" t="s">
        <v>253</v>
      </c>
      <c r="D20" s="1357">
        <f>'CSA LASER'!D19+'Medicaid &amp; FAMIS - LASER'!E19+'SNAP LASER'!E19+'Energy Assistance LASER'!E19+'TANF LASER'!D19+'ChildCare LASER'!I19</f>
        <v>23231158.673144691</v>
      </c>
      <c r="E20" s="1358">
        <f>'CSA LASER'!E19+'Medicaid &amp; FAMIS - LASER'!F19+'Energy Assistance LASER'!F19+'TANF LASER'!E19+'ChildCare LASER'!J19</f>
        <v>19548568.109165605</v>
      </c>
      <c r="F20" s="1358">
        <f>'CSA LASER'!F19+'Medicaid &amp; FAMIS - LASER'!G19+'Energy Assistance LASER'!G19+'TANF LASER'!F19</f>
        <v>373285.44</v>
      </c>
      <c r="G20" s="1358">
        <f>'CSA LASER'!G19+'Energy Assistance LASER'!H19+'TANF LASER'!G19</f>
        <v>0</v>
      </c>
      <c r="H20" s="1358">
        <f t="shared" si="2"/>
        <v>43153012.22231029</v>
      </c>
      <c r="I20" s="1359">
        <f t="shared" si="1"/>
        <v>373285.44</v>
      </c>
    </row>
    <row r="21" spans="1:9" x14ac:dyDescent="0.3">
      <c r="A21" s="1341" t="s">
        <v>41</v>
      </c>
      <c r="B21" s="1342" t="s">
        <v>42</v>
      </c>
      <c r="C21" s="895" t="s">
        <v>252</v>
      </c>
      <c r="D21" s="1357">
        <f>'CSA LASER'!D20+'Medicaid &amp; FAMIS - LASER'!E20+'SNAP LASER'!E20+'Energy Assistance LASER'!E20+'TANF LASER'!D20+'ChildCare LASER'!I20</f>
        <v>65601121.286071315</v>
      </c>
      <c r="E21" s="1358">
        <f>'CSA LASER'!E20+'Medicaid &amp; FAMIS - LASER'!F20+'Energy Assistance LASER'!F20+'TANF LASER'!E20+'ChildCare LASER'!J20</f>
        <v>55544683.128423452</v>
      </c>
      <c r="F21" s="1358">
        <f>'CSA LASER'!F20+'Medicaid &amp; FAMIS - LASER'!G20+'Energy Assistance LASER'!G20+'TANF LASER'!F20</f>
        <v>1547674.7</v>
      </c>
      <c r="G21" s="1358">
        <f>'CSA LASER'!G20+'Energy Assistance LASER'!H20+'TANF LASER'!G20</f>
        <v>0</v>
      </c>
      <c r="H21" s="1358">
        <f t="shared" si="2"/>
        <v>122693479.11449477</v>
      </c>
      <c r="I21" s="1359">
        <f t="shared" si="1"/>
        <v>1547674.7</v>
      </c>
    </row>
    <row r="22" spans="1:9" x14ac:dyDescent="0.3">
      <c r="A22" s="1341" t="s">
        <v>43</v>
      </c>
      <c r="B22" s="1342" t="s">
        <v>44</v>
      </c>
      <c r="C22" s="895" t="s">
        <v>253</v>
      </c>
      <c r="D22" s="1357">
        <f>'CSA LASER'!D21+'Medicaid &amp; FAMIS - LASER'!E21+'SNAP LASER'!E21+'Energy Assistance LASER'!E21+'TANF LASER'!D21+'ChildCare LASER'!I21</f>
        <v>34300696.43091128</v>
      </c>
      <c r="E22" s="1358">
        <f>'CSA LASER'!E21+'Medicaid &amp; FAMIS - LASER'!F21+'Energy Assistance LASER'!F21+'TANF LASER'!E21+'ChildCare LASER'!J21</f>
        <v>27672000.273849133</v>
      </c>
      <c r="F22" s="1358">
        <f>'CSA LASER'!F21+'Medicaid &amp; FAMIS - LASER'!G21+'Energy Assistance LASER'!G21+'TANF LASER'!F21</f>
        <v>534316.25</v>
      </c>
      <c r="G22" s="1358">
        <f>'CSA LASER'!G21+'Energy Assistance LASER'!H21+'TANF LASER'!G21</f>
        <v>0</v>
      </c>
      <c r="H22" s="1358">
        <f t="shared" si="2"/>
        <v>62507012.954760417</v>
      </c>
      <c r="I22" s="1359">
        <f t="shared" si="1"/>
        <v>534316.25</v>
      </c>
    </row>
    <row r="23" spans="1:9" x14ac:dyDescent="0.3">
      <c r="A23" s="1341" t="s">
        <v>45</v>
      </c>
      <c r="B23" s="1342" t="s">
        <v>46</v>
      </c>
      <c r="C23" s="895" t="s">
        <v>255</v>
      </c>
      <c r="D23" s="1357">
        <f>'CSA LASER'!D22+'Medicaid &amp; FAMIS - LASER'!E22+'SNAP LASER'!E22+'Energy Assistance LASER'!E22+'TANF LASER'!D22+'ChildCare LASER'!I22</f>
        <v>43608107.204047218</v>
      </c>
      <c r="E23" s="1358">
        <f>'CSA LASER'!E22+'Medicaid &amp; FAMIS - LASER'!F22+'Energy Assistance LASER'!F22+'TANF LASER'!E22+'ChildCare LASER'!J22</f>
        <v>37383995.433092259</v>
      </c>
      <c r="F23" s="1358">
        <f>'CSA LASER'!F22+'Medicaid &amp; FAMIS - LASER'!G22+'Energy Assistance LASER'!G22+'TANF LASER'!F22</f>
        <v>1281568.6599999999</v>
      </c>
      <c r="G23" s="1358">
        <f>'CSA LASER'!G22+'Energy Assistance LASER'!H22+'TANF LASER'!G22</f>
        <v>0</v>
      </c>
      <c r="H23" s="1358">
        <f t="shared" si="2"/>
        <v>82273671.297139466</v>
      </c>
      <c r="I23" s="1359">
        <f t="shared" si="1"/>
        <v>1281568.6599999999</v>
      </c>
    </row>
    <row r="24" spans="1:9" x14ac:dyDescent="0.3">
      <c r="A24" s="1341" t="s">
        <v>47</v>
      </c>
      <c r="B24" s="1342" t="s">
        <v>256</v>
      </c>
      <c r="C24" s="895" t="s">
        <v>253</v>
      </c>
      <c r="D24" s="1357">
        <f>'CSA LASER'!D23+'Medicaid &amp; FAMIS - LASER'!E23+'SNAP LASER'!E23+'Energy Assistance LASER'!E23+'TANF LASER'!D23+'ChildCare LASER'!I23</f>
        <v>8676368.3065609019</v>
      </c>
      <c r="E24" s="1358">
        <f>'CSA LASER'!E23+'Medicaid &amp; FAMIS - LASER'!F23+'Energy Assistance LASER'!F23+'TANF LASER'!E23+'ChildCare LASER'!J23</f>
        <v>7352938.1583769275</v>
      </c>
      <c r="F24" s="1358">
        <f>'CSA LASER'!F23+'Medicaid &amp; FAMIS - LASER'!G23+'Energy Assistance LASER'!G23+'TANF LASER'!F23</f>
        <v>182791.28</v>
      </c>
      <c r="G24" s="1358">
        <f>'CSA LASER'!G23+'Energy Assistance LASER'!H23+'TANF LASER'!G23</f>
        <v>0</v>
      </c>
      <c r="H24" s="1358">
        <f t="shared" si="2"/>
        <v>16212097.744937828</v>
      </c>
      <c r="I24" s="1359">
        <f t="shared" si="1"/>
        <v>182791.28</v>
      </c>
    </row>
    <row r="25" spans="1:9" x14ac:dyDescent="0.3">
      <c r="A25" s="1341" t="s">
        <v>49</v>
      </c>
      <c r="B25" s="1342" t="s">
        <v>50</v>
      </c>
      <c r="C25" s="895" t="s">
        <v>252</v>
      </c>
      <c r="D25" s="1357">
        <f>'CSA LASER'!D24+'Medicaid &amp; FAMIS - LASER'!E24+'SNAP LASER'!E24+'Energy Assistance LASER'!E24+'TANF LASER'!D24+'ChildCare LASER'!I24</f>
        <v>17514088.56093803</v>
      </c>
      <c r="E25" s="1358">
        <f>'CSA LASER'!E24+'Medicaid &amp; FAMIS - LASER'!F24+'Energy Assistance LASER'!F24+'TANF LASER'!E24+'ChildCare LASER'!J24</f>
        <v>14608530.043920135</v>
      </c>
      <c r="F25" s="1358">
        <f>'CSA LASER'!F24+'Medicaid &amp; FAMIS - LASER'!G24+'Energy Assistance LASER'!G24+'TANF LASER'!F24</f>
        <v>217417.47</v>
      </c>
      <c r="G25" s="1358">
        <f>'CSA LASER'!G24+'Energy Assistance LASER'!H24+'TANF LASER'!G24</f>
        <v>0</v>
      </c>
      <c r="H25" s="1358">
        <f t="shared" si="2"/>
        <v>32340036.074858166</v>
      </c>
      <c r="I25" s="1359">
        <f t="shared" si="1"/>
        <v>217417.47</v>
      </c>
    </row>
    <row r="26" spans="1:9" x14ac:dyDescent="0.3">
      <c r="A26" s="1341" t="s">
        <v>55</v>
      </c>
      <c r="B26" s="1342" t="s">
        <v>271</v>
      </c>
      <c r="C26" s="895" t="s">
        <v>253</v>
      </c>
      <c r="D26" s="1357">
        <f>'CSA LASER'!D25+'Medicaid &amp; FAMIS - LASER'!E25+'SNAP LASER'!E25+'Energy Assistance LASER'!E25+'TANF LASER'!D25+'ChildCare LASER'!I25</f>
        <v>328066232.98077542</v>
      </c>
      <c r="E26" s="1358">
        <f>'CSA LASER'!E25+'Medicaid &amp; FAMIS - LASER'!F25+'Energy Assistance LASER'!F25+'TANF LASER'!E25+'ChildCare LASER'!J25</f>
        <v>271241559.17681736</v>
      </c>
      <c r="F26" s="1358">
        <f>'CSA LASER'!F25+'Medicaid &amp; FAMIS - LASER'!G25+'Energy Assistance LASER'!G25+'TANF LASER'!F25</f>
        <v>6308063.5499999998</v>
      </c>
      <c r="G26" s="1358">
        <f>'CSA LASER'!G25+'Energy Assistance LASER'!H25+'TANF LASER'!G25</f>
        <v>0</v>
      </c>
      <c r="H26" s="1358">
        <f t="shared" si="2"/>
        <v>605615855.70759273</v>
      </c>
      <c r="I26" s="1359">
        <f t="shared" si="1"/>
        <v>6308063.5499999998</v>
      </c>
    </row>
    <row r="27" spans="1:9" x14ac:dyDescent="0.3">
      <c r="A27" s="1341" t="s">
        <v>57</v>
      </c>
      <c r="B27" s="1342" t="s">
        <v>58</v>
      </c>
      <c r="C27" s="895" t="s">
        <v>254</v>
      </c>
      <c r="D27" s="1357">
        <f>'CSA LASER'!D26+'Medicaid &amp; FAMIS - LASER'!E26+'SNAP LASER'!E26+'Energy Assistance LASER'!E26+'TANF LASER'!D26+'ChildCare LASER'!I26</f>
        <v>8503281.8849740904</v>
      </c>
      <c r="E27" s="1358">
        <f>'CSA LASER'!E26+'Medicaid &amp; FAMIS - LASER'!F26+'Energy Assistance LASER'!F26+'TANF LASER'!E26+'ChildCare LASER'!J26</f>
        <v>7459882.3074609414</v>
      </c>
      <c r="F27" s="1358">
        <f>'CSA LASER'!F26+'Medicaid &amp; FAMIS - LASER'!G26+'Energy Assistance LASER'!G26+'TANF LASER'!F26</f>
        <v>103323.28</v>
      </c>
      <c r="G27" s="1358">
        <f>'CSA LASER'!G26+'Energy Assistance LASER'!H26+'TANF LASER'!G26</f>
        <v>0</v>
      </c>
      <c r="H27" s="1358">
        <f t="shared" si="2"/>
        <v>16066487.472435031</v>
      </c>
      <c r="I27" s="1359">
        <f t="shared" si="1"/>
        <v>103323.28</v>
      </c>
    </row>
    <row r="28" spans="1:9" x14ac:dyDescent="0.3">
      <c r="A28" s="1341" t="s">
        <v>59</v>
      </c>
      <c r="B28" s="1342" t="s">
        <v>60</v>
      </c>
      <c r="C28" s="895" t="s">
        <v>252</v>
      </c>
      <c r="D28" s="1357">
        <f>'CSA LASER'!D27+'Medicaid &amp; FAMIS - LASER'!E27+'SNAP LASER'!E27+'Energy Assistance LASER'!E27+'TANF LASER'!D27+'ChildCare LASER'!I27</f>
        <v>4914143.7692571077</v>
      </c>
      <c r="E28" s="1358">
        <f>'CSA LASER'!E27+'Medicaid &amp; FAMIS - LASER'!F27+'Energy Assistance LASER'!F27+'TANF LASER'!E27+'ChildCare LASER'!J27</f>
        <v>4499998.4882056788</v>
      </c>
      <c r="F28" s="1358">
        <f>'CSA LASER'!F27+'Medicaid &amp; FAMIS - LASER'!G27+'Energy Assistance LASER'!G27+'TANF LASER'!F27</f>
        <v>208319.03999999998</v>
      </c>
      <c r="G28" s="1358">
        <f>'CSA LASER'!G27+'Energy Assistance LASER'!H27+'TANF LASER'!G27</f>
        <v>0</v>
      </c>
      <c r="H28" s="1358">
        <f t="shared" si="2"/>
        <v>9622461.2974627856</v>
      </c>
      <c r="I28" s="1359">
        <f t="shared" si="1"/>
        <v>208319.03999999998</v>
      </c>
    </row>
    <row r="29" spans="1:9" x14ac:dyDescent="0.3">
      <c r="A29" s="1341" t="s">
        <v>61</v>
      </c>
      <c r="B29" s="1342" t="s">
        <v>62</v>
      </c>
      <c r="C29" s="895" t="s">
        <v>254</v>
      </c>
      <c r="D29" s="1357">
        <f>'CSA LASER'!D28+'Medicaid &amp; FAMIS - LASER'!E28+'SNAP LASER'!E28+'Energy Assistance LASER'!E28+'TANF LASER'!D28+'ChildCare LASER'!I28</f>
        <v>49990851.278112844</v>
      </c>
      <c r="E29" s="1358">
        <f>'CSA LASER'!E28+'Medicaid &amp; FAMIS - LASER'!F28+'Energy Assistance LASER'!F28+'TANF LASER'!E28+'ChildCare LASER'!J28</f>
        <v>41910148.973972417</v>
      </c>
      <c r="F29" s="1358">
        <f>'CSA LASER'!F28+'Medicaid &amp; FAMIS - LASER'!G28+'Energy Assistance LASER'!G28+'TANF LASER'!F28</f>
        <v>1120126.02</v>
      </c>
      <c r="G29" s="1358">
        <f>'CSA LASER'!G28+'Energy Assistance LASER'!H28+'TANF LASER'!G28</f>
        <v>0</v>
      </c>
      <c r="H29" s="1358">
        <f t="shared" si="2"/>
        <v>93021126.272085264</v>
      </c>
      <c r="I29" s="1359">
        <f t="shared" si="1"/>
        <v>1120126.02</v>
      </c>
    </row>
    <row r="30" spans="1:9" x14ac:dyDescent="0.3">
      <c r="A30" s="1341" t="s">
        <v>63</v>
      </c>
      <c r="B30" s="1342" t="s">
        <v>64</v>
      </c>
      <c r="C30" s="895" t="s">
        <v>253</v>
      </c>
      <c r="D30" s="1357">
        <f>'CSA LASER'!D29+'Medicaid &amp; FAMIS - LASER'!E29+'SNAP LASER'!E29+'Energy Assistance LASER'!E29+'TANF LASER'!D29+'ChildCare LASER'!I29</f>
        <v>17265197.051410854</v>
      </c>
      <c r="E30" s="1358">
        <f>'CSA LASER'!E29+'Medicaid &amp; FAMIS - LASER'!F29+'Energy Assistance LASER'!F29+'TANF LASER'!E29+'ChildCare LASER'!J29</f>
        <v>14249283.433473602</v>
      </c>
      <c r="F30" s="1358">
        <f>'CSA LASER'!F29+'Medicaid &amp; FAMIS - LASER'!G29+'Energy Assistance LASER'!G29+'TANF LASER'!F29</f>
        <v>332714.07</v>
      </c>
      <c r="G30" s="1358">
        <f>'CSA LASER'!G29+'Energy Assistance LASER'!H29+'TANF LASER'!G29</f>
        <v>0</v>
      </c>
      <c r="H30" s="1358">
        <f t="shared" si="2"/>
        <v>31847194.554884456</v>
      </c>
      <c r="I30" s="1359">
        <f t="shared" si="1"/>
        <v>332714.07</v>
      </c>
    </row>
    <row r="31" spans="1:9" x14ac:dyDescent="0.3">
      <c r="A31" s="1341" t="s">
        <v>67</v>
      </c>
      <c r="B31" s="1342" t="s">
        <v>68</v>
      </c>
      <c r="C31" s="895" t="s">
        <v>255</v>
      </c>
      <c r="D31" s="1357">
        <f>'CSA LASER'!D30+'Medicaid &amp; FAMIS - LASER'!E30+'SNAP LASER'!E30+'Energy Assistance LASER'!E30+'TANF LASER'!D30+'ChildCare LASER'!I30</f>
        <v>25418360.486476641</v>
      </c>
      <c r="E31" s="1358">
        <f>'CSA LASER'!E30+'Medicaid &amp; FAMIS - LASER'!F30+'Energy Assistance LASER'!F30+'TANF LASER'!E30+'ChildCare LASER'!J30</f>
        <v>20573319.670811988</v>
      </c>
      <c r="F31" s="1358">
        <f>'CSA LASER'!F30+'Medicaid &amp; FAMIS - LASER'!G30+'Energy Assistance LASER'!G30+'TANF LASER'!F30</f>
        <v>335655.86</v>
      </c>
      <c r="G31" s="1358">
        <f>'CSA LASER'!G30+'Energy Assistance LASER'!H30+'TANF LASER'!G30</f>
        <v>0</v>
      </c>
      <c r="H31" s="1358">
        <f t="shared" si="2"/>
        <v>46327336.017288625</v>
      </c>
      <c r="I31" s="1359">
        <f t="shared" si="1"/>
        <v>335655.86</v>
      </c>
    </row>
    <row r="32" spans="1:9" x14ac:dyDescent="0.3">
      <c r="A32" s="1341" t="s">
        <v>69</v>
      </c>
      <c r="B32" s="1342" t="s">
        <v>70</v>
      </c>
      <c r="C32" s="895" t="s">
        <v>251</v>
      </c>
      <c r="D32" s="1357">
        <f>'CSA LASER'!D31+'Medicaid &amp; FAMIS - LASER'!E31+'SNAP LASER'!E31+'Energy Assistance LASER'!E31+'TANF LASER'!D31+'ChildCare LASER'!I31</f>
        <v>35412428.415921398</v>
      </c>
      <c r="E32" s="1358">
        <f>'CSA LASER'!E31+'Medicaid &amp; FAMIS - LASER'!F31+'Energy Assistance LASER'!F31+'TANF LASER'!E31+'ChildCare LASER'!J31</f>
        <v>28728908.623834834</v>
      </c>
      <c r="F32" s="1358">
        <f>'CSA LASER'!F31+'Medicaid &amp; FAMIS - LASER'!G31+'Energy Assistance LASER'!G31+'TANF LASER'!F31</f>
        <v>840183.57000000007</v>
      </c>
      <c r="G32" s="1358">
        <f>'CSA LASER'!G31+'Energy Assistance LASER'!H31+'TANF LASER'!G31</f>
        <v>0</v>
      </c>
      <c r="H32" s="1358">
        <f t="shared" si="2"/>
        <v>64981520.609756231</v>
      </c>
      <c r="I32" s="1359">
        <f t="shared" si="1"/>
        <v>840183.57000000007</v>
      </c>
    </row>
    <row r="33" spans="1:9" x14ac:dyDescent="0.3">
      <c r="A33" s="1341" t="s">
        <v>71</v>
      </c>
      <c r="B33" s="1342" t="s">
        <v>72</v>
      </c>
      <c r="C33" s="895" t="s">
        <v>253</v>
      </c>
      <c r="D33" s="1357">
        <f>'CSA LASER'!D32+'Medicaid &amp; FAMIS - LASER'!E32+'SNAP LASER'!E32+'Energy Assistance LASER'!E32+'TANF LASER'!D32+'ChildCare LASER'!I32</f>
        <v>16868257.134012479</v>
      </c>
      <c r="E33" s="1358">
        <f>'CSA LASER'!E32+'Medicaid &amp; FAMIS - LASER'!F32+'Energy Assistance LASER'!F32+'TANF LASER'!E32+'ChildCare LASER'!J32</f>
        <v>13781784.338368373</v>
      </c>
      <c r="F33" s="1358">
        <f>'CSA LASER'!F32+'Medicaid &amp; FAMIS - LASER'!G32+'Energy Assistance LASER'!G32+'TANF LASER'!F32</f>
        <v>416500.08999999997</v>
      </c>
      <c r="G33" s="1358">
        <f>'CSA LASER'!G32+'Energy Assistance LASER'!H32+'TANF LASER'!G32</f>
        <v>0</v>
      </c>
      <c r="H33" s="1358">
        <f t="shared" si="2"/>
        <v>31066541.562380854</v>
      </c>
      <c r="I33" s="1359">
        <f t="shared" si="1"/>
        <v>416500.08999999997</v>
      </c>
    </row>
    <row r="34" spans="1:9" x14ac:dyDescent="0.3">
      <c r="A34" s="1341" t="s">
        <v>73</v>
      </c>
      <c r="B34" s="1342" t="s">
        <v>405</v>
      </c>
      <c r="C34" s="895" t="s">
        <v>254</v>
      </c>
      <c r="D34" s="1357">
        <f>'CSA LASER'!D33+'Medicaid &amp; FAMIS - LASER'!E33+'SNAP LASER'!E33+'Energy Assistance LASER'!E33+'TANF LASER'!D33+'ChildCare LASER'!I33</f>
        <v>553376698.34224427</v>
      </c>
      <c r="E34" s="1358">
        <f>'CSA LASER'!E33+'Medicaid &amp; FAMIS - LASER'!F33+'Energy Assistance LASER'!F33+'TANF LASER'!E33+'ChildCare LASER'!J33</f>
        <v>459024833.21328455</v>
      </c>
      <c r="F34" s="1358">
        <f>'CSA LASER'!F33+'Medicaid &amp; FAMIS - LASER'!G33+'Energy Assistance LASER'!G33+'TANF LASER'!F33</f>
        <v>17422104.309999999</v>
      </c>
      <c r="G34" s="1358">
        <f>'CSA LASER'!G33+'Energy Assistance LASER'!H33+'TANF LASER'!G33</f>
        <v>0</v>
      </c>
      <c r="H34" s="1358">
        <f t="shared" si="2"/>
        <v>1029823635.8655288</v>
      </c>
      <c r="I34" s="1359">
        <f t="shared" si="1"/>
        <v>17422104.309999999</v>
      </c>
    </row>
    <row r="35" spans="1:9" x14ac:dyDescent="0.3">
      <c r="A35" s="1341" t="s">
        <v>75</v>
      </c>
      <c r="B35" s="1342" t="s">
        <v>76</v>
      </c>
      <c r="C35" s="895" t="s">
        <v>254</v>
      </c>
      <c r="D35" s="1357">
        <f>'CSA LASER'!D34+'Medicaid &amp; FAMIS - LASER'!E34+'SNAP LASER'!E34+'Energy Assistance LASER'!E34+'TANF LASER'!D34+'ChildCare LASER'!I34</f>
        <v>41045642.02038794</v>
      </c>
      <c r="E35" s="1358">
        <f>'CSA LASER'!E34+'Medicaid &amp; FAMIS - LASER'!F34+'Energy Assistance LASER'!F34+'TANF LASER'!E34+'ChildCare LASER'!J34</f>
        <v>36726348.42675475</v>
      </c>
      <c r="F35" s="1358">
        <f>'CSA LASER'!F34+'Medicaid &amp; FAMIS - LASER'!G34+'Energy Assistance LASER'!G34+'TANF LASER'!F34</f>
        <v>2143896.29</v>
      </c>
      <c r="G35" s="1358">
        <f>'CSA LASER'!G34+'Energy Assistance LASER'!H34+'TANF LASER'!G34</f>
        <v>0</v>
      </c>
      <c r="H35" s="1358">
        <f t="shared" si="2"/>
        <v>79915886.737142697</v>
      </c>
      <c r="I35" s="1359">
        <f t="shared" si="1"/>
        <v>2143896.29</v>
      </c>
    </row>
    <row r="36" spans="1:9" x14ac:dyDescent="0.3">
      <c r="A36" s="1341" t="s">
        <v>77</v>
      </c>
      <c r="B36" s="1342" t="s">
        <v>78</v>
      </c>
      <c r="C36" s="895" t="s">
        <v>255</v>
      </c>
      <c r="D36" s="1357">
        <f>'CSA LASER'!D35+'Medicaid &amp; FAMIS - LASER'!E35+'SNAP LASER'!E35+'Energy Assistance LASER'!E35+'TANF LASER'!D35+'ChildCare LASER'!I35</f>
        <v>18552836.139187485</v>
      </c>
      <c r="E36" s="1358">
        <f>'CSA LASER'!E35+'Medicaid &amp; FAMIS - LASER'!F35+'Energy Assistance LASER'!F35+'TANF LASER'!E35+'ChildCare LASER'!J35</f>
        <v>16115445.265670191</v>
      </c>
      <c r="F36" s="1358">
        <f>'CSA LASER'!F35+'Medicaid &amp; FAMIS - LASER'!G35+'Energy Assistance LASER'!G35+'TANF LASER'!F35</f>
        <v>318846.24</v>
      </c>
      <c r="G36" s="1358">
        <f>'CSA LASER'!G35+'Energy Assistance LASER'!H35+'TANF LASER'!G35</f>
        <v>0</v>
      </c>
      <c r="H36" s="1358">
        <f t="shared" si="2"/>
        <v>34987127.644857682</v>
      </c>
      <c r="I36" s="1359">
        <f t="shared" si="1"/>
        <v>318846.24</v>
      </c>
    </row>
    <row r="37" spans="1:9" x14ac:dyDescent="0.3">
      <c r="A37" s="1341" t="s">
        <v>79</v>
      </c>
      <c r="B37" s="1342" t="s">
        <v>80</v>
      </c>
      <c r="C37" s="895" t="s">
        <v>253</v>
      </c>
      <c r="D37" s="1357">
        <f>'CSA LASER'!D36+'Medicaid &amp; FAMIS - LASER'!E36+'SNAP LASER'!E36+'Energy Assistance LASER'!E36+'TANF LASER'!D36+'ChildCare LASER'!I36</f>
        <v>18704565.012182895</v>
      </c>
      <c r="E37" s="1358">
        <f>'CSA LASER'!E36+'Medicaid &amp; FAMIS - LASER'!F36+'Energy Assistance LASER'!F36+'TANF LASER'!E36+'ChildCare LASER'!J36</f>
        <v>16926291.080164611</v>
      </c>
      <c r="F37" s="1358">
        <f>'CSA LASER'!F36+'Medicaid &amp; FAMIS - LASER'!G36+'Energy Assistance LASER'!G36+'TANF LASER'!F36</f>
        <v>937270.85</v>
      </c>
      <c r="G37" s="1358">
        <f>'CSA LASER'!G36+'Energy Assistance LASER'!H36+'TANF LASER'!G36</f>
        <v>0</v>
      </c>
      <c r="H37" s="1358">
        <f t="shared" si="2"/>
        <v>36568126.942347504</v>
      </c>
      <c r="I37" s="1359">
        <f t="shared" si="1"/>
        <v>937270.85</v>
      </c>
    </row>
    <row r="38" spans="1:9" x14ac:dyDescent="0.3">
      <c r="A38" s="1341" t="s">
        <v>83</v>
      </c>
      <c r="B38" s="1342" t="s">
        <v>281</v>
      </c>
      <c r="C38" s="895" t="s">
        <v>252</v>
      </c>
      <c r="D38" s="1357">
        <f>'CSA LASER'!D37+'Medicaid &amp; FAMIS - LASER'!E37+'SNAP LASER'!E37+'Energy Assistance LASER'!E37+'TANF LASER'!D37+'ChildCare LASER'!I37</f>
        <v>60500368.293051302</v>
      </c>
      <c r="E38" s="1358">
        <f>'CSA LASER'!E37+'Medicaid &amp; FAMIS - LASER'!F37+'Energy Assistance LASER'!F37+'TANF LASER'!E37+'ChildCare LASER'!J37</f>
        <v>52339131.543989331</v>
      </c>
      <c r="F38" s="1358">
        <f>'CSA LASER'!F37+'Medicaid &amp; FAMIS - LASER'!G37+'Energy Assistance LASER'!G37+'TANF LASER'!F37</f>
        <v>2085626.43</v>
      </c>
      <c r="G38" s="1358">
        <f>'CSA LASER'!G37+'Energy Assistance LASER'!H37+'TANF LASER'!G37</f>
        <v>0</v>
      </c>
      <c r="H38" s="1358">
        <f t="shared" si="2"/>
        <v>114925126.26704064</v>
      </c>
      <c r="I38" s="1359">
        <f t="shared" si="1"/>
        <v>2085626.43</v>
      </c>
    </row>
    <row r="39" spans="1:9" x14ac:dyDescent="0.3">
      <c r="A39" s="1341" t="s">
        <v>85</v>
      </c>
      <c r="B39" s="1342" t="s">
        <v>86</v>
      </c>
      <c r="C39" s="895" t="s">
        <v>254</v>
      </c>
      <c r="D39" s="1357">
        <f>'CSA LASER'!D38+'Medicaid &amp; FAMIS - LASER'!E38+'SNAP LASER'!E38+'Energy Assistance LASER'!E38+'TANF LASER'!D38+'ChildCare LASER'!I38</f>
        <v>56788798.510772459</v>
      </c>
      <c r="E39" s="1358">
        <f>'CSA LASER'!E38+'Medicaid &amp; FAMIS - LASER'!F38+'Energy Assistance LASER'!F38+'TANF LASER'!E38+'ChildCare LASER'!J38</f>
        <v>47247184.968780711</v>
      </c>
      <c r="F39" s="1358">
        <f>'CSA LASER'!F38+'Medicaid &amp; FAMIS - LASER'!G38+'Energy Assistance LASER'!G38+'TANF LASER'!F38</f>
        <v>1625786.73</v>
      </c>
      <c r="G39" s="1358">
        <f>'CSA LASER'!G38+'Energy Assistance LASER'!H38+'TANF LASER'!G38</f>
        <v>0</v>
      </c>
      <c r="H39" s="1358">
        <f t="shared" si="2"/>
        <v>105661770.20955317</v>
      </c>
      <c r="I39" s="1359">
        <f t="shared" si="1"/>
        <v>1625786.73</v>
      </c>
    </row>
    <row r="40" spans="1:9" x14ac:dyDescent="0.3">
      <c r="A40" s="1341" t="s">
        <v>91</v>
      </c>
      <c r="B40" s="1342" t="s">
        <v>92</v>
      </c>
      <c r="C40" s="895" t="s">
        <v>255</v>
      </c>
      <c r="D40" s="1357">
        <f>'CSA LASER'!D39+'Medicaid &amp; FAMIS - LASER'!E39+'SNAP LASER'!E39+'Energy Assistance LASER'!E39+'TANF LASER'!D39+'ChildCare LASER'!I39</f>
        <v>20357477.542241301</v>
      </c>
      <c r="E40" s="1358">
        <f>'CSA LASER'!E39+'Medicaid &amp; FAMIS - LASER'!F39+'Energy Assistance LASER'!F39+'TANF LASER'!E39+'ChildCare LASER'!J39</f>
        <v>18106119.632597856</v>
      </c>
      <c r="F40" s="1358">
        <f>'CSA LASER'!F39+'Medicaid &amp; FAMIS - LASER'!G39+'Energy Assistance LASER'!G39+'TANF LASER'!F39</f>
        <v>643288.61</v>
      </c>
      <c r="G40" s="1358">
        <f>'CSA LASER'!G39+'Energy Assistance LASER'!H39+'TANF LASER'!G39</f>
        <v>0</v>
      </c>
      <c r="H40" s="1358">
        <f t="shared" si="2"/>
        <v>39106885.784839153</v>
      </c>
      <c r="I40" s="1359">
        <f t="shared" si="1"/>
        <v>643288.61</v>
      </c>
    </row>
    <row r="41" spans="1:9" x14ac:dyDescent="0.3">
      <c r="A41" s="1341" t="s">
        <v>93</v>
      </c>
      <c r="B41" s="1342" t="s">
        <v>94</v>
      </c>
      <c r="C41" s="895" t="s">
        <v>251</v>
      </c>
      <c r="D41" s="1357">
        <f>'CSA LASER'!D40+'Medicaid &amp; FAMIS - LASER'!E40+'SNAP LASER'!E40+'Energy Assistance LASER'!E40+'TANF LASER'!D40+'ChildCare LASER'!I40</f>
        <v>34994314.096319385</v>
      </c>
      <c r="E41" s="1358">
        <f>'CSA LASER'!E40+'Medicaid &amp; FAMIS - LASER'!F40+'Energy Assistance LASER'!F40+'TANF LASER'!E40+'ChildCare LASER'!J40</f>
        <v>28779923.015915811</v>
      </c>
      <c r="F41" s="1358">
        <f>'CSA LASER'!F40+'Medicaid &amp; FAMIS - LASER'!G40+'Energy Assistance LASER'!G40+'TANF LASER'!F40</f>
        <v>370940.75</v>
      </c>
      <c r="G41" s="1358">
        <f>'CSA LASER'!G40+'Energy Assistance LASER'!H40+'TANF LASER'!G40</f>
        <v>0</v>
      </c>
      <c r="H41" s="1358">
        <f t="shared" si="2"/>
        <v>64145177.862235196</v>
      </c>
      <c r="I41" s="1359">
        <f t="shared" si="1"/>
        <v>370940.75</v>
      </c>
    </row>
    <row r="42" spans="1:9" x14ac:dyDescent="0.3">
      <c r="A42" s="1341" t="s">
        <v>95</v>
      </c>
      <c r="B42" s="1342" t="s">
        <v>96</v>
      </c>
      <c r="C42" s="895" t="s">
        <v>253</v>
      </c>
      <c r="D42" s="1357">
        <f>'CSA LASER'!D41+'Medicaid &amp; FAMIS - LASER'!E41+'SNAP LASER'!E41+'Energy Assistance LASER'!E41+'TANF LASER'!D41+'ChildCare LASER'!I41</f>
        <v>13409856.731834468</v>
      </c>
      <c r="E42" s="1358">
        <f>'CSA LASER'!E41+'Medicaid &amp; FAMIS - LASER'!F41+'Energy Assistance LASER'!F41+'TANF LASER'!E41+'ChildCare LASER'!J41</f>
        <v>11517822.450570056</v>
      </c>
      <c r="F42" s="1358">
        <f>'CSA LASER'!F41+'Medicaid &amp; FAMIS - LASER'!G41+'Energy Assistance LASER'!G41+'TANF LASER'!F41</f>
        <v>440046.97</v>
      </c>
      <c r="G42" s="1358">
        <f>'CSA LASER'!G41+'Energy Assistance LASER'!H41+'TANF LASER'!G41</f>
        <v>0</v>
      </c>
      <c r="H42" s="1358">
        <f t="shared" si="2"/>
        <v>25367726.152404524</v>
      </c>
      <c r="I42" s="1359">
        <f t="shared" si="1"/>
        <v>440046.97</v>
      </c>
    </row>
    <row r="43" spans="1:9" x14ac:dyDescent="0.3">
      <c r="A43" s="1341" t="s">
        <v>97</v>
      </c>
      <c r="B43" s="1342" t="s">
        <v>98</v>
      </c>
      <c r="C43" s="895" t="s">
        <v>255</v>
      </c>
      <c r="D43" s="1357">
        <f>'CSA LASER'!D42+'Medicaid &amp; FAMIS - LASER'!E42+'SNAP LASER'!E42+'Energy Assistance LASER'!E42+'TANF LASER'!D42+'ChildCare LASER'!I42</f>
        <v>21176412.889633544</v>
      </c>
      <c r="E43" s="1358">
        <f>'CSA LASER'!E42+'Medicaid &amp; FAMIS - LASER'!F42+'Energy Assistance LASER'!F42+'TANF LASER'!E42+'ChildCare LASER'!J42</f>
        <v>17282834.28269342</v>
      </c>
      <c r="F43" s="1358">
        <f>'CSA LASER'!F42+'Medicaid &amp; FAMIS - LASER'!G42+'Energy Assistance LASER'!G42+'TANF LASER'!F42</f>
        <v>195740.13</v>
      </c>
      <c r="G43" s="1358">
        <f>'CSA LASER'!G42+'Energy Assistance LASER'!H42+'TANF LASER'!G42</f>
        <v>0</v>
      </c>
      <c r="H43" s="1358">
        <f t="shared" si="2"/>
        <v>38654987.30232697</v>
      </c>
      <c r="I43" s="1359">
        <f t="shared" si="1"/>
        <v>195740.13</v>
      </c>
    </row>
    <row r="44" spans="1:9" x14ac:dyDescent="0.3">
      <c r="A44" s="1341" t="s">
        <v>99</v>
      </c>
      <c r="B44" s="1342" t="s">
        <v>100</v>
      </c>
      <c r="C44" s="895" t="s">
        <v>254</v>
      </c>
      <c r="D44" s="1357">
        <f>'CSA LASER'!D43+'Medicaid &amp; FAMIS - LASER'!E43+'SNAP LASER'!E43+'Energy Assistance LASER'!E43+'TANF LASER'!D43+'ChildCare LASER'!I43</f>
        <v>17229877.82334749</v>
      </c>
      <c r="E44" s="1358">
        <f>'CSA LASER'!E43+'Medicaid &amp; FAMIS - LASER'!F43+'Energy Assistance LASER'!F43+'TANF LASER'!E43+'ChildCare LASER'!J43</f>
        <v>14233410.079016367</v>
      </c>
      <c r="F44" s="1358">
        <f>'CSA LASER'!F43+'Medicaid &amp; FAMIS - LASER'!G43+'Energy Assistance LASER'!G43+'TANF LASER'!F43</f>
        <v>501074.82</v>
      </c>
      <c r="G44" s="1358">
        <f>'CSA LASER'!G43+'Energy Assistance LASER'!H43+'TANF LASER'!G43</f>
        <v>0</v>
      </c>
      <c r="H44" s="1358">
        <f t="shared" si="2"/>
        <v>31964362.722363859</v>
      </c>
      <c r="I44" s="1359">
        <f t="shared" si="1"/>
        <v>501074.82</v>
      </c>
    </row>
    <row r="45" spans="1:9" x14ac:dyDescent="0.3">
      <c r="A45" s="1341" t="s">
        <v>101</v>
      </c>
      <c r="B45" s="1342" t="s">
        <v>263</v>
      </c>
      <c r="C45" s="895" t="s">
        <v>251</v>
      </c>
      <c r="D45" s="1357">
        <f>'CSA LASER'!D44+'Medicaid &amp; FAMIS - LASER'!E44+'SNAP LASER'!E44+'Energy Assistance LASER'!E44+'TANF LASER'!D44+'ChildCare LASER'!I44</f>
        <v>31228407.20001078</v>
      </c>
      <c r="E45" s="1358">
        <f>'CSA LASER'!E44+'Medicaid &amp; FAMIS - LASER'!F44+'Energy Assistance LASER'!F44+'TANF LASER'!E44+'ChildCare LASER'!J44</f>
        <v>25488252.18977778</v>
      </c>
      <c r="F45" s="1358">
        <f>'CSA LASER'!F44+'Medicaid &amp; FAMIS - LASER'!G44+'Energy Assistance LASER'!G44+'TANF LASER'!F44</f>
        <v>348532.36</v>
      </c>
      <c r="G45" s="1358">
        <f>'CSA LASER'!G44+'Energy Assistance LASER'!H44+'TANF LASER'!G44</f>
        <v>0</v>
      </c>
      <c r="H45" s="1358">
        <f t="shared" si="2"/>
        <v>57065191.74978856</v>
      </c>
      <c r="I45" s="1359">
        <f t="shared" si="1"/>
        <v>348532.36</v>
      </c>
    </row>
    <row r="46" spans="1:9" x14ac:dyDescent="0.3">
      <c r="A46" s="1341" t="s">
        <v>103</v>
      </c>
      <c r="B46" s="1342" t="s">
        <v>398</v>
      </c>
      <c r="C46" s="895" t="s">
        <v>252</v>
      </c>
      <c r="D46" s="1357">
        <f>'CSA LASER'!D45+'Medicaid &amp; FAMIS - LASER'!E45+'SNAP LASER'!E45+'Energy Assistance LASER'!E45+'TANF LASER'!D45+'ChildCare LASER'!I45</f>
        <v>57545660.627198257</v>
      </c>
      <c r="E46" s="1358">
        <f>'CSA LASER'!E45+'Medicaid &amp; FAMIS - LASER'!F45+'Energy Assistance LASER'!F45+'TANF LASER'!E45+'ChildCare LASER'!J45</f>
        <v>48363892.199830703</v>
      </c>
      <c r="F46" s="1358">
        <f>'CSA LASER'!F45+'Medicaid &amp; FAMIS - LASER'!G45+'Energy Assistance LASER'!G45+'TANF LASER'!F45</f>
        <v>1032421.68</v>
      </c>
      <c r="G46" s="1358">
        <f>'CSA LASER'!G45+'Energy Assistance LASER'!H45+'TANF LASER'!G45</f>
        <v>0</v>
      </c>
      <c r="H46" s="1358">
        <f t="shared" si="2"/>
        <v>106941974.50702897</v>
      </c>
      <c r="I46" s="1359">
        <f t="shared" si="1"/>
        <v>1032421.68</v>
      </c>
    </row>
    <row r="47" spans="1:9" x14ac:dyDescent="0.3">
      <c r="A47" s="1341" t="s">
        <v>107</v>
      </c>
      <c r="B47" s="1342" t="s">
        <v>108</v>
      </c>
      <c r="C47" s="895" t="s">
        <v>253</v>
      </c>
      <c r="D47" s="1357">
        <f>'CSA LASER'!D46+'Medicaid &amp; FAMIS - LASER'!E46+'SNAP LASER'!E46+'Energy Assistance LASER'!E46+'TANF LASER'!D46+'ChildCare LASER'!I46</f>
        <v>60516735.159395911</v>
      </c>
      <c r="E47" s="1358">
        <f>'CSA LASER'!E46+'Medicaid &amp; FAMIS - LASER'!F46+'Energy Assistance LASER'!F46+'TANF LASER'!E46+'ChildCare LASER'!J46</f>
        <v>52656693.130159535</v>
      </c>
      <c r="F47" s="1358">
        <f>'CSA LASER'!F46+'Medicaid &amp; FAMIS - LASER'!G46+'Energy Assistance LASER'!G46+'TANF LASER'!F46</f>
        <v>2606474.5199999996</v>
      </c>
      <c r="G47" s="1358">
        <f>'CSA LASER'!G46+'Energy Assistance LASER'!H46+'TANF LASER'!G46</f>
        <v>0</v>
      </c>
      <c r="H47" s="1358">
        <f t="shared" si="2"/>
        <v>115779902.80955544</v>
      </c>
      <c r="I47" s="1359">
        <f t="shared" si="1"/>
        <v>2606474.5199999996</v>
      </c>
    </row>
    <row r="48" spans="1:9" x14ac:dyDescent="0.3">
      <c r="A48" s="1341" t="s">
        <v>109</v>
      </c>
      <c r="B48" s="1342" t="s">
        <v>110</v>
      </c>
      <c r="C48" s="895" t="s">
        <v>253</v>
      </c>
      <c r="D48" s="1357">
        <f>'CSA LASER'!D47+'Medicaid &amp; FAMIS - LASER'!E47+'SNAP LASER'!E47+'Energy Assistance LASER'!E47+'TANF LASER'!D47+'ChildCare LASER'!I47</f>
        <v>322216451.94070464</v>
      </c>
      <c r="E48" s="1358">
        <f>'CSA LASER'!E47+'Medicaid &amp; FAMIS - LASER'!F47+'Energy Assistance LASER'!F47+'TANF LASER'!E47+'ChildCare LASER'!J47</f>
        <v>263906613.82209736</v>
      </c>
      <c r="F48" s="1358">
        <f>'CSA LASER'!F47+'Medicaid &amp; FAMIS - LASER'!G47+'Energy Assistance LASER'!G47+'TANF LASER'!F47</f>
        <v>7717492.54</v>
      </c>
      <c r="G48" s="1358">
        <f>'CSA LASER'!G47+'Energy Assistance LASER'!H47+'TANF LASER'!G47</f>
        <v>0</v>
      </c>
      <c r="H48" s="1358">
        <f t="shared" si="2"/>
        <v>593840558.30280197</v>
      </c>
      <c r="I48" s="1359">
        <f t="shared" si="1"/>
        <v>7717492.54</v>
      </c>
    </row>
    <row r="49" spans="1:9" x14ac:dyDescent="0.3">
      <c r="A49" s="1341" t="s">
        <v>111</v>
      </c>
      <c r="B49" s="1342" t="s">
        <v>275</v>
      </c>
      <c r="C49" s="895" t="s">
        <v>252</v>
      </c>
      <c r="D49" s="1357">
        <f>'CSA LASER'!D48+'Medicaid &amp; FAMIS - LASER'!E48+'SNAP LASER'!E48+'Energy Assistance LASER'!E48+'TANF LASER'!D48+'ChildCare LASER'!I48</f>
        <v>128231947.38706397</v>
      </c>
      <c r="E49" s="1358">
        <f>'CSA LASER'!E48+'Medicaid &amp; FAMIS - LASER'!F48+'Energy Assistance LASER'!F48+'TANF LASER'!E48+'ChildCare LASER'!J48</f>
        <v>104448742.88198417</v>
      </c>
      <c r="F49" s="1358">
        <f>'CSA LASER'!F48+'Medicaid &amp; FAMIS - LASER'!G48+'Energy Assistance LASER'!G48+'TANF LASER'!F48</f>
        <v>871660.24</v>
      </c>
      <c r="G49" s="1358">
        <f>'CSA LASER'!G48+'Energy Assistance LASER'!H48+'TANF LASER'!G48</f>
        <v>0</v>
      </c>
      <c r="H49" s="1358">
        <f t="shared" si="2"/>
        <v>233552350.50904816</v>
      </c>
      <c r="I49" s="1359">
        <f t="shared" si="1"/>
        <v>871660.24</v>
      </c>
    </row>
    <row r="50" spans="1:9" x14ac:dyDescent="0.3">
      <c r="A50" s="1341" t="s">
        <v>113</v>
      </c>
      <c r="B50" s="1342" t="s">
        <v>114</v>
      </c>
      <c r="C50" s="895" t="s">
        <v>252</v>
      </c>
      <c r="D50" s="1357">
        <f>'CSA LASER'!D49+'Medicaid &amp; FAMIS - LASER'!E49+'SNAP LASER'!E49+'Energy Assistance LASER'!E49+'TANF LASER'!D49+'ChildCare LASER'!I49</f>
        <v>1834931.4608335623</v>
      </c>
      <c r="E50" s="1358">
        <f>'CSA LASER'!E49+'Medicaid &amp; FAMIS - LASER'!F49+'Energy Assistance LASER'!F49+'TANF LASER'!E49+'ChildCare LASER'!J49</f>
        <v>1581408.6791514589</v>
      </c>
      <c r="F50" s="1358">
        <f>'CSA LASER'!F49+'Medicaid &amp; FAMIS - LASER'!G49+'Energy Assistance LASER'!G49+'TANF LASER'!F49</f>
        <v>3093.15</v>
      </c>
      <c r="G50" s="1358">
        <f>'CSA LASER'!G49+'Energy Assistance LASER'!H49+'TANF LASER'!G49</f>
        <v>0</v>
      </c>
      <c r="H50" s="1358">
        <f t="shared" si="2"/>
        <v>3419433.2899850211</v>
      </c>
      <c r="I50" s="1359">
        <f t="shared" si="1"/>
        <v>3093.15</v>
      </c>
    </row>
    <row r="51" spans="1:9" x14ac:dyDescent="0.3">
      <c r="A51" s="1341" t="s">
        <v>117</v>
      </c>
      <c r="B51" s="1342" t="s">
        <v>118</v>
      </c>
      <c r="C51" s="895" t="s">
        <v>251</v>
      </c>
      <c r="D51" s="1357">
        <f>'CSA LASER'!D50+'Medicaid &amp; FAMIS - LASER'!E50+'SNAP LASER'!E50+'Energy Assistance LASER'!E50+'TANF LASER'!D50+'ChildCare LASER'!I50</f>
        <v>31077521.582372826</v>
      </c>
      <c r="E51" s="1358">
        <f>'CSA LASER'!E50+'Medicaid &amp; FAMIS - LASER'!F50+'Energy Assistance LASER'!F50+'TANF LASER'!E50+'ChildCare LASER'!J50</f>
        <v>25202797.474888217</v>
      </c>
      <c r="F51" s="1358">
        <f>'CSA LASER'!F50+'Medicaid &amp; FAMIS - LASER'!G50+'Energy Assistance LASER'!G50+'TANF LASER'!F50</f>
        <v>114199.36</v>
      </c>
      <c r="G51" s="1358">
        <f>'CSA LASER'!G50+'Energy Assistance LASER'!H50+'TANF LASER'!G50</f>
        <v>0</v>
      </c>
      <c r="H51" s="1358">
        <f t="shared" si="2"/>
        <v>56394518.417261042</v>
      </c>
      <c r="I51" s="1359">
        <f t="shared" si="1"/>
        <v>114199.36</v>
      </c>
    </row>
    <row r="52" spans="1:9" x14ac:dyDescent="0.3">
      <c r="A52" s="1341" t="s">
        <v>119</v>
      </c>
      <c r="B52" s="1342" t="s">
        <v>120</v>
      </c>
      <c r="C52" s="895" t="s">
        <v>251</v>
      </c>
      <c r="D52" s="1357">
        <f>'CSA LASER'!D51+'Medicaid &amp; FAMIS - LASER'!E51+'SNAP LASER'!E51+'Energy Assistance LASER'!E51+'TANF LASER'!D51+'ChildCare LASER'!I51</f>
        <v>35953487.240402929</v>
      </c>
      <c r="E52" s="1358">
        <f>'CSA LASER'!E51+'Medicaid &amp; FAMIS - LASER'!F51+'Energy Assistance LASER'!F51+'TANF LASER'!E51+'ChildCare LASER'!J51</f>
        <v>28289395.091837965</v>
      </c>
      <c r="F52" s="1358">
        <f>'CSA LASER'!F51+'Medicaid &amp; FAMIS - LASER'!G51+'Energy Assistance LASER'!G51+'TANF LASER'!F51</f>
        <v>922394.42999999993</v>
      </c>
      <c r="G52" s="1358">
        <f>'CSA LASER'!G51+'Energy Assistance LASER'!H51+'TANF LASER'!G51</f>
        <v>0</v>
      </c>
      <c r="H52" s="1358">
        <f t="shared" si="2"/>
        <v>65165276.762240894</v>
      </c>
      <c r="I52" s="1359">
        <f t="shared" si="1"/>
        <v>922394.42999999993</v>
      </c>
    </row>
    <row r="53" spans="1:9" x14ac:dyDescent="0.3">
      <c r="A53" s="1341" t="s">
        <v>121</v>
      </c>
      <c r="B53" s="1342" t="s">
        <v>258</v>
      </c>
      <c r="C53" s="895" t="s">
        <v>253</v>
      </c>
      <c r="D53" s="1357">
        <f>'CSA LASER'!D52+'Medicaid &amp; FAMIS - LASER'!E52+'SNAP LASER'!E52+'Energy Assistance LASER'!E52+'TANF LASER'!D52+'ChildCare LASER'!I52</f>
        <v>8428614.7631120458</v>
      </c>
      <c r="E53" s="1358">
        <f>'CSA LASER'!E52+'Medicaid &amp; FAMIS - LASER'!F52+'Energy Assistance LASER'!F52+'TANF LASER'!E52+'ChildCare LASER'!J52</f>
        <v>6743085.8193296148</v>
      </c>
      <c r="F53" s="1358">
        <f>'CSA LASER'!F52+'Medicaid &amp; FAMIS - LASER'!G52+'Energy Assistance LASER'!G52+'TANF LASER'!F52</f>
        <v>122483.99</v>
      </c>
      <c r="G53" s="1358">
        <f>'CSA LASER'!G52+'Energy Assistance LASER'!H52+'TANF LASER'!G52</f>
        <v>0</v>
      </c>
      <c r="H53" s="1358">
        <f t="shared" si="2"/>
        <v>15294184.572441662</v>
      </c>
      <c r="I53" s="1359">
        <f t="shared" si="1"/>
        <v>122483.99</v>
      </c>
    </row>
    <row r="54" spans="1:9" x14ac:dyDescent="0.3">
      <c r="A54" s="1341" t="s">
        <v>123</v>
      </c>
      <c r="B54" s="1342" t="s">
        <v>124</v>
      </c>
      <c r="C54" s="895" t="s">
        <v>254</v>
      </c>
      <c r="D54" s="1357">
        <f>'CSA LASER'!D53+'Medicaid &amp; FAMIS - LASER'!E53+'SNAP LASER'!E53+'Energy Assistance LASER'!E53+'TANF LASER'!D53+'ChildCare LASER'!I53</f>
        <v>18848896.468215328</v>
      </c>
      <c r="E54" s="1358">
        <f>'CSA LASER'!E53+'Medicaid &amp; FAMIS - LASER'!F53+'Energy Assistance LASER'!F53+'TANF LASER'!E53+'ChildCare LASER'!J53</f>
        <v>16249953.926652903</v>
      </c>
      <c r="F54" s="1358">
        <f>'CSA LASER'!F53+'Medicaid &amp; FAMIS - LASER'!G53+'Energy Assistance LASER'!G53+'TANF LASER'!F53</f>
        <v>1073103.01</v>
      </c>
      <c r="G54" s="1358">
        <f>'CSA LASER'!G53+'Energy Assistance LASER'!H53+'TANF LASER'!G53</f>
        <v>0</v>
      </c>
      <c r="H54" s="1358">
        <f t="shared" si="2"/>
        <v>36171953.40486823</v>
      </c>
      <c r="I54" s="1359">
        <f t="shared" si="1"/>
        <v>1073103.01</v>
      </c>
    </row>
    <row r="55" spans="1:9" x14ac:dyDescent="0.3">
      <c r="A55" s="1341" t="s">
        <v>125</v>
      </c>
      <c r="B55" s="1342" t="s">
        <v>126</v>
      </c>
      <c r="C55" s="895" t="s">
        <v>253</v>
      </c>
      <c r="D55" s="1357">
        <f>'CSA LASER'!D54+'Medicaid &amp; FAMIS - LASER'!E54+'SNAP LASER'!E54+'Energy Assistance LASER'!E54+'TANF LASER'!D54+'ChildCare LASER'!I54</f>
        <v>14480365.366914937</v>
      </c>
      <c r="E55" s="1358">
        <f>'CSA LASER'!E54+'Medicaid &amp; FAMIS - LASER'!F54+'Energy Assistance LASER'!F54+'TANF LASER'!E54+'ChildCare LASER'!J54</f>
        <v>12018889.255481437</v>
      </c>
      <c r="F55" s="1358">
        <f>'CSA LASER'!F54+'Medicaid &amp; FAMIS - LASER'!G54+'Energy Assistance LASER'!G54+'TANF LASER'!F54</f>
        <v>386060.18</v>
      </c>
      <c r="G55" s="1358">
        <f>'CSA LASER'!G54+'Energy Assistance LASER'!H54+'TANF LASER'!G54</f>
        <v>0</v>
      </c>
      <c r="H55" s="1358">
        <f t="shared" si="2"/>
        <v>26885314.802396372</v>
      </c>
      <c r="I55" s="1359">
        <f t="shared" si="1"/>
        <v>386060.18</v>
      </c>
    </row>
    <row r="56" spans="1:9" x14ac:dyDescent="0.3">
      <c r="A56" s="1341" t="s">
        <v>127</v>
      </c>
      <c r="B56" s="1342" t="s">
        <v>128</v>
      </c>
      <c r="C56" s="895" t="s">
        <v>253</v>
      </c>
      <c r="D56" s="1357">
        <f>'CSA LASER'!D55+'Medicaid &amp; FAMIS - LASER'!E55+'SNAP LASER'!E55+'Energy Assistance LASER'!E55+'TANF LASER'!D55+'ChildCare LASER'!I55</f>
        <v>13014531.42842699</v>
      </c>
      <c r="E56" s="1358">
        <f>'CSA LASER'!E55+'Medicaid &amp; FAMIS - LASER'!F55+'Energy Assistance LASER'!F55+'TANF LASER'!E55+'ChildCare LASER'!J55</f>
        <v>10721622.421486428</v>
      </c>
      <c r="F56" s="1358">
        <f>'CSA LASER'!F55+'Medicaid &amp; FAMIS - LASER'!G55+'Energy Assistance LASER'!G55+'TANF LASER'!F55</f>
        <v>470060.53</v>
      </c>
      <c r="G56" s="1358">
        <f>'CSA LASER'!G55+'Energy Assistance LASER'!H55+'TANF LASER'!G55</f>
        <v>0</v>
      </c>
      <c r="H56" s="1358">
        <f t="shared" si="2"/>
        <v>24206214.379913419</v>
      </c>
      <c r="I56" s="1359">
        <f t="shared" si="1"/>
        <v>470060.53</v>
      </c>
    </row>
    <row r="57" spans="1:9" x14ac:dyDescent="0.3">
      <c r="A57" s="1341" t="s">
        <v>129</v>
      </c>
      <c r="B57" s="1342" t="s">
        <v>130</v>
      </c>
      <c r="C57" s="895" t="s">
        <v>255</v>
      </c>
      <c r="D57" s="1357">
        <f>'CSA LASER'!D56+'Medicaid &amp; FAMIS - LASER'!E56+'SNAP LASER'!E56+'Energy Assistance LASER'!E56+'TANF LASER'!D56+'ChildCare LASER'!I56</f>
        <v>47775049.829009093</v>
      </c>
      <c r="E57" s="1358">
        <f>'CSA LASER'!E56+'Medicaid &amp; FAMIS - LASER'!F56+'Energy Assistance LASER'!F56+'TANF LASER'!E56+'ChildCare LASER'!J56</f>
        <v>38076233.778107718</v>
      </c>
      <c r="F57" s="1358">
        <f>'CSA LASER'!F56+'Medicaid &amp; FAMIS - LASER'!G56+'Energy Assistance LASER'!G56+'TANF LASER'!F56</f>
        <v>343038.35</v>
      </c>
      <c r="G57" s="1358">
        <f>'CSA LASER'!G56+'Energy Assistance LASER'!H56+'TANF LASER'!G56</f>
        <v>0</v>
      </c>
      <c r="H57" s="1358">
        <f t="shared" si="2"/>
        <v>86194321.957116812</v>
      </c>
      <c r="I57" s="1359">
        <f t="shared" si="1"/>
        <v>343038.35</v>
      </c>
    </row>
    <row r="58" spans="1:9" x14ac:dyDescent="0.3">
      <c r="A58" s="1341" t="s">
        <v>131</v>
      </c>
      <c r="B58" s="1342" t="s">
        <v>132</v>
      </c>
      <c r="C58" s="895" t="s">
        <v>254</v>
      </c>
      <c r="D58" s="1357">
        <f>'CSA LASER'!D57+'Medicaid &amp; FAMIS - LASER'!E57+'SNAP LASER'!E57+'Energy Assistance LASER'!E57+'TANF LASER'!D57+'ChildCare LASER'!I57</f>
        <v>140888339.5843769</v>
      </c>
      <c r="E58" s="1358">
        <f>'CSA LASER'!E57+'Medicaid &amp; FAMIS - LASER'!F57+'Energy Assistance LASER'!F57+'TANF LASER'!E57+'ChildCare LASER'!J57</f>
        <v>117786567.336916</v>
      </c>
      <c r="F58" s="1358">
        <f>'CSA LASER'!F57+'Medicaid &amp; FAMIS - LASER'!G57+'Energy Assistance LASER'!G57+'TANF LASER'!F57</f>
        <v>4107267.96</v>
      </c>
      <c r="G58" s="1358">
        <f>'CSA LASER'!G57+'Energy Assistance LASER'!H57+'TANF LASER'!G57</f>
        <v>0</v>
      </c>
      <c r="H58" s="1358">
        <f t="shared" si="2"/>
        <v>262782174.88129291</v>
      </c>
      <c r="I58" s="1359">
        <f t="shared" si="1"/>
        <v>4107267.96</v>
      </c>
    </row>
    <row r="59" spans="1:9" x14ac:dyDescent="0.3">
      <c r="A59" s="1341" t="s">
        <v>133</v>
      </c>
      <c r="B59" s="1342" t="s">
        <v>134</v>
      </c>
      <c r="C59" s="895" t="s">
        <v>254</v>
      </c>
      <c r="D59" s="1357">
        <f>'CSA LASER'!D58+'Medicaid &amp; FAMIS - LASER'!E58+'SNAP LASER'!E58+'Energy Assistance LASER'!E58+'TANF LASER'!D58+'ChildCare LASER'!I58</f>
        <v>37386536.898125805</v>
      </c>
      <c r="E59" s="1358">
        <f>'CSA LASER'!E58+'Medicaid &amp; FAMIS - LASER'!F58+'Energy Assistance LASER'!F58+'TANF LASER'!E58+'ChildCare LASER'!J58</f>
        <v>32155761.934073925</v>
      </c>
      <c r="F59" s="1358">
        <f>'CSA LASER'!F58+'Medicaid &amp; FAMIS - LASER'!G58+'Energy Assistance LASER'!G58+'TANF LASER'!F58</f>
        <v>1749894.46</v>
      </c>
      <c r="G59" s="1358">
        <f>'CSA LASER'!G58+'Energy Assistance LASER'!H58+'TANF LASER'!G58</f>
        <v>0</v>
      </c>
      <c r="H59" s="1358">
        <f t="shared" si="2"/>
        <v>71292193.292199716</v>
      </c>
      <c r="I59" s="1359">
        <f t="shared" si="1"/>
        <v>1749894.46</v>
      </c>
    </row>
    <row r="60" spans="1:9" x14ac:dyDescent="0.3">
      <c r="A60" s="1341" t="s">
        <v>135</v>
      </c>
      <c r="B60" s="1342" t="s">
        <v>136</v>
      </c>
      <c r="C60" s="895" t="s">
        <v>253</v>
      </c>
      <c r="D60" s="1357">
        <f>'CSA LASER'!D59+'Medicaid &amp; FAMIS - LASER'!E59+'SNAP LASER'!E59+'Energy Assistance LASER'!E59+'TANF LASER'!D59+'ChildCare LASER'!I59</f>
        <v>20416737.12612994</v>
      </c>
      <c r="E60" s="1358">
        <f>'CSA LASER'!E59+'Medicaid &amp; FAMIS - LASER'!F59+'Energy Assistance LASER'!F59+'TANF LASER'!E59+'ChildCare LASER'!J59</f>
        <v>17266072.651232287</v>
      </c>
      <c r="F60" s="1358">
        <f>'CSA LASER'!F59+'Medicaid &amp; FAMIS - LASER'!G59+'Energy Assistance LASER'!G59+'TANF LASER'!F59</f>
        <v>227563.59000000003</v>
      </c>
      <c r="G60" s="1358">
        <f>'CSA LASER'!G59+'Energy Assistance LASER'!H59+'TANF LASER'!G59</f>
        <v>0</v>
      </c>
      <c r="H60" s="1358">
        <f t="shared" si="2"/>
        <v>37910373.367362231</v>
      </c>
      <c r="I60" s="1359">
        <f t="shared" si="1"/>
        <v>227563.59000000003</v>
      </c>
    </row>
    <row r="61" spans="1:9" x14ac:dyDescent="0.3">
      <c r="A61" s="1341" t="s">
        <v>139</v>
      </c>
      <c r="B61" s="1342" t="s">
        <v>140</v>
      </c>
      <c r="C61" s="895" t="s">
        <v>254</v>
      </c>
      <c r="D61" s="1357">
        <f>'CSA LASER'!D60+'Medicaid &amp; FAMIS - LASER'!E60+'SNAP LASER'!E60+'Energy Assistance LASER'!E60+'TANF LASER'!D60+'ChildCare LASER'!I60</f>
        <v>11846577.023400366</v>
      </c>
      <c r="E61" s="1358">
        <f>'CSA LASER'!E60+'Medicaid &amp; FAMIS - LASER'!F60+'Energy Assistance LASER'!F60+'TANF LASER'!E60+'ChildCare LASER'!J60</f>
        <v>11159644.381495697</v>
      </c>
      <c r="F61" s="1358">
        <f>'CSA LASER'!F60+'Medicaid &amp; FAMIS - LASER'!G60+'Energy Assistance LASER'!G60+'TANF LASER'!F60</f>
        <v>663167.31000000006</v>
      </c>
      <c r="G61" s="1358">
        <f>'CSA LASER'!G60+'Energy Assistance LASER'!H60+'TANF LASER'!G60</f>
        <v>0</v>
      </c>
      <c r="H61" s="1358">
        <f t="shared" si="2"/>
        <v>23669388.714896064</v>
      </c>
      <c r="I61" s="1359">
        <f t="shared" si="1"/>
        <v>663167.31000000006</v>
      </c>
    </row>
    <row r="62" spans="1:9" x14ac:dyDescent="0.3">
      <c r="A62" s="1341" t="s">
        <v>145</v>
      </c>
      <c r="B62" s="1342" t="s">
        <v>146</v>
      </c>
      <c r="C62" s="895" t="s">
        <v>251</v>
      </c>
      <c r="D62" s="1357">
        <f>'CSA LASER'!D61+'Medicaid &amp; FAMIS - LASER'!E61+'SNAP LASER'!E61+'Energy Assistance LASER'!E61+'TANF LASER'!D61+'ChildCare LASER'!I61</f>
        <v>10120634.134248648</v>
      </c>
      <c r="E62" s="1358">
        <f>'CSA LASER'!E61+'Medicaid &amp; FAMIS - LASER'!F61+'Energy Assistance LASER'!F61+'TANF LASER'!E61+'ChildCare LASER'!J61</f>
        <v>8814951.2531746142</v>
      </c>
      <c r="F62" s="1358">
        <f>'CSA LASER'!F61+'Medicaid &amp; FAMIS - LASER'!G61+'Energy Assistance LASER'!G61+'TANF LASER'!F61</f>
        <v>189162.05</v>
      </c>
      <c r="G62" s="1358">
        <f>'CSA LASER'!G61+'Energy Assistance LASER'!H61+'TANF LASER'!G61</f>
        <v>0</v>
      </c>
      <c r="H62" s="1358">
        <f t="shared" si="2"/>
        <v>19124747.437423263</v>
      </c>
      <c r="I62" s="1359">
        <f t="shared" si="1"/>
        <v>189162.05</v>
      </c>
    </row>
    <row r="63" spans="1:9" x14ac:dyDescent="0.3">
      <c r="A63" s="1341" t="s">
        <v>147</v>
      </c>
      <c r="B63" s="1342" t="s">
        <v>148</v>
      </c>
      <c r="C63" s="895" t="s">
        <v>252</v>
      </c>
      <c r="D63" s="1357">
        <f>'CSA LASER'!D62+'Medicaid &amp; FAMIS - LASER'!E62+'SNAP LASER'!E62+'Energy Assistance LASER'!E62+'TANF LASER'!D62+'ChildCare LASER'!I62</f>
        <v>43258430.472757384</v>
      </c>
      <c r="E63" s="1358">
        <f>'CSA LASER'!E62+'Medicaid &amp; FAMIS - LASER'!F62+'Energy Assistance LASER'!F62+'TANF LASER'!E62+'ChildCare LASER'!J62</f>
        <v>36731200.281943373</v>
      </c>
      <c r="F63" s="1358">
        <f>'CSA LASER'!F62+'Medicaid &amp; FAMIS - LASER'!G62+'Energy Assistance LASER'!G62+'TANF LASER'!F62</f>
        <v>674444.7699999999</v>
      </c>
      <c r="G63" s="1358">
        <f>'CSA LASER'!G62+'Energy Assistance LASER'!H62+'TANF LASER'!G62</f>
        <v>0</v>
      </c>
      <c r="H63" s="1358">
        <f t="shared" si="2"/>
        <v>80664075.524700746</v>
      </c>
      <c r="I63" s="1359">
        <f t="shared" si="1"/>
        <v>674444.7699999999</v>
      </c>
    </row>
    <row r="64" spans="1:9" x14ac:dyDescent="0.3">
      <c r="A64" s="1341" t="s">
        <v>149</v>
      </c>
      <c r="B64" s="1342" t="s">
        <v>150</v>
      </c>
      <c r="C64" s="895" t="s">
        <v>253</v>
      </c>
      <c r="D64" s="1357">
        <f>'CSA LASER'!D63+'Medicaid &amp; FAMIS - LASER'!E63+'SNAP LASER'!E63+'Energy Assistance LASER'!E63+'TANF LASER'!D63+'ChildCare LASER'!I63</f>
        <v>14268752.858496087</v>
      </c>
      <c r="E64" s="1358">
        <f>'CSA LASER'!E63+'Medicaid &amp; FAMIS - LASER'!F63+'Energy Assistance LASER'!F63+'TANF LASER'!E63+'ChildCare LASER'!J63</f>
        <v>11761157.31390368</v>
      </c>
      <c r="F64" s="1358">
        <f>'CSA LASER'!F63+'Medicaid &amp; FAMIS - LASER'!G63+'Energy Assistance LASER'!G63+'TANF LASER'!F63</f>
        <v>351158.03</v>
      </c>
      <c r="G64" s="1358">
        <f>'CSA LASER'!G63+'Energy Assistance LASER'!H63+'TANF LASER'!G63</f>
        <v>0</v>
      </c>
      <c r="H64" s="1358">
        <f t="shared" si="2"/>
        <v>26381068.202399768</v>
      </c>
      <c r="I64" s="1359">
        <f t="shared" si="1"/>
        <v>351158.03</v>
      </c>
    </row>
    <row r="65" spans="1:9" x14ac:dyDescent="0.3">
      <c r="A65" s="1341" t="s">
        <v>151</v>
      </c>
      <c r="B65" s="1342" t="s">
        <v>152</v>
      </c>
      <c r="C65" s="895" t="s">
        <v>255</v>
      </c>
      <c r="D65" s="1357">
        <f>'CSA LASER'!D64+'Medicaid &amp; FAMIS - LASER'!E64+'SNAP LASER'!E64+'Energy Assistance LASER'!E64+'TANF LASER'!D64+'ChildCare LASER'!I64</f>
        <v>61246604.94772175</v>
      </c>
      <c r="E65" s="1358">
        <f>'CSA LASER'!E64+'Medicaid &amp; FAMIS - LASER'!F64+'Energy Assistance LASER'!F64+'TANF LASER'!E64+'ChildCare LASER'!J64</f>
        <v>50120320.786809444</v>
      </c>
      <c r="F65" s="1358">
        <f>'CSA LASER'!F64+'Medicaid &amp; FAMIS - LASER'!G64+'Energy Assistance LASER'!G64+'TANF LASER'!F64</f>
        <v>511641.93</v>
      </c>
      <c r="G65" s="1358">
        <f>'CSA LASER'!G64+'Energy Assistance LASER'!H64+'TANF LASER'!G64</f>
        <v>0</v>
      </c>
      <c r="H65" s="1358">
        <f t="shared" si="2"/>
        <v>111878567.6645312</v>
      </c>
      <c r="I65" s="1359">
        <f t="shared" si="1"/>
        <v>511641.93</v>
      </c>
    </row>
    <row r="66" spans="1:9" x14ac:dyDescent="0.3">
      <c r="A66" s="1341" t="s">
        <v>153</v>
      </c>
      <c r="B66" s="1342" t="s">
        <v>154</v>
      </c>
      <c r="C66" s="895" t="s">
        <v>252</v>
      </c>
      <c r="D66" s="1357">
        <f>'CSA LASER'!D65+'Medicaid &amp; FAMIS - LASER'!E65+'SNAP LASER'!E65+'Energy Assistance LASER'!E65+'TANF LASER'!D65+'ChildCare LASER'!I65</f>
        <v>17789460.87845346</v>
      </c>
      <c r="E66" s="1358">
        <f>'CSA LASER'!E65+'Medicaid &amp; FAMIS - LASER'!F65+'Energy Assistance LASER'!F65+'TANF LASER'!E65+'ChildCare LASER'!J65</f>
        <v>15580434.378900141</v>
      </c>
      <c r="F66" s="1358">
        <f>'CSA LASER'!F65+'Medicaid &amp; FAMIS - LASER'!G65+'Energy Assistance LASER'!G65+'TANF LASER'!F65</f>
        <v>581752.91</v>
      </c>
      <c r="G66" s="1358">
        <f>'CSA LASER'!G65+'Energy Assistance LASER'!H65+'TANF LASER'!G65</f>
        <v>0</v>
      </c>
      <c r="H66" s="1358">
        <f t="shared" si="2"/>
        <v>33951648.1673536</v>
      </c>
      <c r="I66" s="1359">
        <f t="shared" si="1"/>
        <v>581752.91</v>
      </c>
    </row>
    <row r="67" spans="1:9" x14ac:dyDescent="0.3">
      <c r="A67" s="1341" t="s">
        <v>155</v>
      </c>
      <c r="B67" s="1342" t="s">
        <v>156</v>
      </c>
      <c r="C67" s="895" t="s">
        <v>253</v>
      </c>
      <c r="D67" s="1357">
        <f>'CSA LASER'!D66+'Medicaid &amp; FAMIS - LASER'!E66+'SNAP LASER'!E66+'Energy Assistance LASER'!E66+'TANF LASER'!D66+'ChildCare LASER'!I66</f>
        <v>12530854.609429035</v>
      </c>
      <c r="E67" s="1358">
        <f>'CSA LASER'!E66+'Medicaid &amp; FAMIS - LASER'!F66+'Energy Assistance LASER'!F66+'TANF LASER'!E66+'ChildCare LASER'!J66</f>
        <v>10544207.630477611</v>
      </c>
      <c r="F67" s="1358">
        <f>'CSA LASER'!F66+'Medicaid &amp; FAMIS - LASER'!G66+'Energy Assistance LASER'!G66+'TANF LASER'!F66</f>
        <v>216758.16</v>
      </c>
      <c r="G67" s="1358">
        <f>'CSA LASER'!G66+'Energy Assistance LASER'!H66+'TANF LASER'!G66</f>
        <v>0</v>
      </c>
      <c r="H67" s="1358">
        <f t="shared" si="2"/>
        <v>23291820.399906646</v>
      </c>
      <c r="I67" s="1359">
        <f t="shared" si="1"/>
        <v>216758.16</v>
      </c>
    </row>
    <row r="68" spans="1:9" x14ac:dyDescent="0.3">
      <c r="A68" s="1341" t="s">
        <v>161</v>
      </c>
      <c r="B68" s="1342" t="s">
        <v>162</v>
      </c>
      <c r="C68" s="895" t="s">
        <v>251</v>
      </c>
      <c r="D68" s="1357">
        <f>'CSA LASER'!D67+'Medicaid &amp; FAMIS - LASER'!E67+'SNAP LASER'!E67+'Energy Assistance LASER'!E67+'TANF LASER'!D67+'ChildCare LASER'!I67</f>
        <v>25786243.355643686</v>
      </c>
      <c r="E68" s="1358">
        <f>'CSA LASER'!E67+'Medicaid &amp; FAMIS - LASER'!F67+'Energy Assistance LASER'!F67+'TANF LASER'!E67+'ChildCare LASER'!J67</f>
        <v>21420392.199150287</v>
      </c>
      <c r="F68" s="1358">
        <f>'CSA LASER'!F67+'Medicaid &amp; FAMIS - LASER'!G67+'Energy Assistance LASER'!G67+'TANF LASER'!F67</f>
        <v>62858.63</v>
      </c>
      <c r="G68" s="1358">
        <f>'CSA LASER'!G67+'Energy Assistance LASER'!H67+'TANF LASER'!G67</f>
        <v>0</v>
      </c>
      <c r="H68" s="1358">
        <f t="shared" si="2"/>
        <v>47269494.184793971</v>
      </c>
      <c r="I68" s="1359">
        <f t="shared" si="1"/>
        <v>62858.63</v>
      </c>
    </row>
    <row r="69" spans="1:9" x14ac:dyDescent="0.3">
      <c r="A69" s="1341" t="s">
        <v>163</v>
      </c>
      <c r="B69" s="1342" t="s">
        <v>164</v>
      </c>
      <c r="C69" s="895" t="s">
        <v>253</v>
      </c>
      <c r="D69" s="1357">
        <f>'CSA LASER'!D68+'Medicaid &amp; FAMIS - LASER'!E68+'SNAP LASER'!E68+'Energy Assistance LASER'!E68+'TANF LASER'!D68+'ChildCare LASER'!I68</f>
        <v>13500379.252778074</v>
      </c>
      <c r="E69" s="1358">
        <f>'CSA LASER'!E68+'Medicaid &amp; FAMIS - LASER'!F68+'Energy Assistance LASER'!F68+'TANF LASER'!E68+'ChildCare LASER'!J68</f>
        <v>10576605.272130819</v>
      </c>
      <c r="F69" s="1358">
        <f>'CSA LASER'!F68+'Medicaid &amp; FAMIS - LASER'!G68+'Energy Assistance LASER'!G68+'TANF LASER'!F68</f>
        <v>64507.24</v>
      </c>
      <c r="G69" s="1358">
        <f>'CSA LASER'!G68+'Energy Assistance LASER'!H68+'TANF LASER'!G68</f>
        <v>0</v>
      </c>
      <c r="H69" s="1358">
        <f t="shared" si="2"/>
        <v>24141491.764908891</v>
      </c>
      <c r="I69" s="1359">
        <f t="shared" si="1"/>
        <v>64507.24</v>
      </c>
    </row>
    <row r="70" spans="1:9" x14ac:dyDescent="0.3">
      <c r="A70" s="1341" t="s">
        <v>167</v>
      </c>
      <c r="B70" s="1342" t="s">
        <v>168</v>
      </c>
      <c r="C70" s="895" t="s">
        <v>253</v>
      </c>
      <c r="D70" s="1357">
        <f>'CSA LASER'!D69+'Medicaid &amp; FAMIS - LASER'!E69+'SNAP LASER'!E69+'Energy Assistance LASER'!E69+'TANF LASER'!D69+'ChildCare LASER'!I69</f>
        <v>24068717.266336609</v>
      </c>
      <c r="E70" s="1358">
        <f>'CSA LASER'!E69+'Medicaid &amp; FAMIS - LASER'!F69+'Energy Assistance LASER'!F69+'TANF LASER'!E69+'ChildCare LASER'!J69</f>
        <v>19544529.578495402</v>
      </c>
      <c r="F70" s="1358">
        <f>'CSA LASER'!F69+'Medicaid &amp; FAMIS - LASER'!G69+'Energy Assistance LASER'!G69+'TANF LASER'!F69</f>
        <v>346969.98</v>
      </c>
      <c r="G70" s="1358">
        <f>'CSA LASER'!G69+'Energy Assistance LASER'!H69+'TANF LASER'!G69</f>
        <v>0</v>
      </c>
      <c r="H70" s="1358">
        <f t="shared" si="2"/>
        <v>43960216.824832007</v>
      </c>
      <c r="I70" s="1359">
        <f t="shared" ref="I70:I131" si="3">F70+G70</f>
        <v>346969.98</v>
      </c>
    </row>
    <row r="71" spans="1:9" x14ac:dyDescent="0.3">
      <c r="A71" s="1341" t="s">
        <v>169</v>
      </c>
      <c r="B71" s="1342" t="s">
        <v>170</v>
      </c>
      <c r="C71" s="895" t="s">
        <v>254</v>
      </c>
      <c r="D71" s="1357">
        <f>'CSA LASER'!D70+'Medicaid &amp; FAMIS - LASER'!E70+'SNAP LASER'!E70+'Energy Assistance LASER'!E70+'TANF LASER'!D70+'ChildCare LASER'!I70</f>
        <v>33457533.672678344</v>
      </c>
      <c r="E71" s="1358">
        <f>'CSA LASER'!E70+'Medicaid &amp; FAMIS - LASER'!F70+'Energy Assistance LASER'!F70+'TANF LASER'!E70+'ChildCare LASER'!J70</f>
        <v>28757813.879547887</v>
      </c>
      <c r="F71" s="1358">
        <f>'CSA LASER'!F70+'Medicaid &amp; FAMIS - LASER'!G70+'Energy Assistance LASER'!G70+'TANF LASER'!F70</f>
        <v>1160389.25</v>
      </c>
      <c r="G71" s="1358">
        <f>'CSA LASER'!G70+'Energy Assistance LASER'!H70+'TANF LASER'!G70</f>
        <v>0</v>
      </c>
      <c r="H71" s="1358">
        <f t="shared" ref="H71:H125" si="4">SUM(D71:G71)</f>
        <v>63375736.802226231</v>
      </c>
      <c r="I71" s="1359">
        <f t="shared" si="3"/>
        <v>1160389.25</v>
      </c>
    </row>
    <row r="72" spans="1:9" x14ac:dyDescent="0.3">
      <c r="A72" s="1341" t="s">
        <v>171</v>
      </c>
      <c r="B72" s="1342" t="s">
        <v>172</v>
      </c>
      <c r="C72" s="895" t="s">
        <v>254</v>
      </c>
      <c r="D72" s="1357">
        <f>'CSA LASER'!D71+'Medicaid &amp; FAMIS - LASER'!E71+'SNAP LASER'!E71+'Energy Assistance LASER'!E71+'TANF LASER'!D71+'ChildCare LASER'!I71</f>
        <v>26245234.848290101</v>
      </c>
      <c r="E72" s="1358">
        <f>'CSA LASER'!E71+'Medicaid &amp; FAMIS - LASER'!F71+'Energy Assistance LASER'!F71+'TANF LASER'!E71+'ChildCare LASER'!J71</f>
        <v>21741038.30650137</v>
      </c>
      <c r="F72" s="1358">
        <f>'CSA LASER'!F71+'Medicaid &amp; FAMIS - LASER'!G71+'Energy Assistance LASER'!G71+'TANF LASER'!F71</f>
        <v>428643.42000000004</v>
      </c>
      <c r="G72" s="1358">
        <f>'CSA LASER'!G71+'Energy Assistance LASER'!H71+'TANF LASER'!G71</f>
        <v>0</v>
      </c>
      <c r="H72" s="1358">
        <f t="shared" si="4"/>
        <v>48414916.574791476</v>
      </c>
      <c r="I72" s="1359">
        <f t="shared" si="3"/>
        <v>428643.42000000004</v>
      </c>
    </row>
    <row r="73" spans="1:9" x14ac:dyDescent="0.3">
      <c r="A73" s="1341" t="s">
        <v>173</v>
      </c>
      <c r="B73" s="1342" t="s">
        <v>174</v>
      </c>
      <c r="C73" s="895" t="s">
        <v>255</v>
      </c>
      <c r="D73" s="1357">
        <f>'CSA LASER'!D72+'Medicaid &amp; FAMIS - LASER'!E72+'SNAP LASER'!E72+'Energy Assistance LASER'!E72+'TANF LASER'!D72+'ChildCare LASER'!I72</f>
        <v>25496774.371805634</v>
      </c>
      <c r="E73" s="1358">
        <f>'CSA LASER'!E72+'Medicaid &amp; FAMIS - LASER'!F72+'Energy Assistance LASER'!F72+'TANF LASER'!E72+'ChildCare LASER'!J72</f>
        <v>21087562.7580043</v>
      </c>
      <c r="F73" s="1358">
        <f>'CSA LASER'!F72+'Medicaid &amp; FAMIS - LASER'!G72+'Energy Assistance LASER'!G72+'TANF LASER'!F72</f>
        <v>215807.02</v>
      </c>
      <c r="G73" s="1358">
        <f>'CSA LASER'!G72+'Energy Assistance LASER'!H72+'TANF LASER'!G72</f>
        <v>0</v>
      </c>
      <c r="H73" s="1358">
        <f t="shared" si="4"/>
        <v>46800144.149809934</v>
      </c>
      <c r="I73" s="1359">
        <f t="shared" si="3"/>
        <v>215807.02</v>
      </c>
    </row>
    <row r="74" spans="1:9" x14ac:dyDescent="0.3">
      <c r="A74" s="1341" t="s">
        <v>177</v>
      </c>
      <c r="B74" s="1342" t="s">
        <v>178</v>
      </c>
      <c r="C74" s="895" t="s">
        <v>252</v>
      </c>
      <c r="D74" s="1357">
        <f>'CSA LASER'!D73+'Medicaid &amp; FAMIS - LASER'!E73+'SNAP LASER'!E73+'Energy Assistance LASER'!E73+'TANF LASER'!D73+'ChildCare LASER'!I73</f>
        <v>82565691.920270637</v>
      </c>
      <c r="E74" s="1358">
        <f>'CSA LASER'!E73+'Medicaid &amp; FAMIS - LASER'!F73+'Energy Assistance LASER'!F73+'TANF LASER'!E73+'ChildCare LASER'!J73</f>
        <v>70106160.39656581</v>
      </c>
      <c r="F74" s="1358">
        <f>'CSA LASER'!F73+'Medicaid &amp; FAMIS - LASER'!G73+'Energy Assistance LASER'!G73+'TANF LASER'!F73</f>
        <v>1295469.3700000001</v>
      </c>
      <c r="G74" s="1358">
        <f>'CSA LASER'!G73+'Energy Assistance LASER'!H73+'TANF LASER'!G73</f>
        <v>0</v>
      </c>
      <c r="H74" s="1358">
        <f t="shared" si="4"/>
        <v>153967321.68683645</v>
      </c>
      <c r="I74" s="1359">
        <f t="shared" si="3"/>
        <v>1295469.3700000001</v>
      </c>
    </row>
    <row r="75" spans="1:9" x14ac:dyDescent="0.3">
      <c r="A75" s="1341" t="s">
        <v>181</v>
      </c>
      <c r="B75" s="1342" t="s">
        <v>182</v>
      </c>
      <c r="C75" s="895" t="s">
        <v>253</v>
      </c>
      <c r="D75" s="1357">
        <f>'CSA LASER'!D74+'Medicaid &amp; FAMIS - LASER'!E74+'SNAP LASER'!E74+'Energy Assistance LASER'!E74+'TANF LASER'!D74+'ChildCare LASER'!I74</f>
        <v>15952191.540128635</v>
      </c>
      <c r="E75" s="1358">
        <f>'CSA LASER'!E74+'Medicaid &amp; FAMIS - LASER'!F74+'Energy Assistance LASER'!F74+'TANF LASER'!E74+'ChildCare LASER'!J74</f>
        <v>14106948.792249104</v>
      </c>
      <c r="F75" s="1358">
        <f>'CSA LASER'!F74+'Medicaid &amp; FAMIS - LASER'!G74+'Energy Assistance LASER'!G74+'TANF LASER'!F74</f>
        <v>822257.78</v>
      </c>
      <c r="G75" s="1358">
        <f>'CSA LASER'!G74+'Energy Assistance LASER'!H74+'TANF LASER'!G74</f>
        <v>0</v>
      </c>
      <c r="H75" s="1358">
        <f t="shared" si="4"/>
        <v>30881398.11237774</v>
      </c>
      <c r="I75" s="1359">
        <f t="shared" si="3"/>
        <v>822257.78</v>
      </c>
    </row>
    <row r="76" spans="1:9" x14ac:dyDescent="0.3">
      <c r="A76" s="1341" t="s">
        <v>183</v>
      </c>
      <c r="B76" s="1342" t="s">
        <v>184</v>
      </c>
      <c r="C76" s="895" t="s">
        <v>253</v>
      </c>
      <c r="D76" s="1357">
        <f>'CSA LASER'!D75+'Medicaid &amp; FAMIS - LASER'!E75+'SNAP LASER'!E75+'Energy Assistance LASER'!E75+'TANF LASER'!D75+'ChildCare LASER'!I75</f>
        <v>29562153.282783587</v>
      </c>
      <c r="E76" s="1358">
        <f>'CSA LASER'!E75+'Medicaid &amp; FAMIS - LASER'!F75+'Energy Assistance LASER'!F75+'TANF LASER'!E75+'ChildCare LASER'!J75</f>
        <v>24197447.122014444</v>
      </c>
      <c r="F76" s="1358">
        <f>'CSA LASER'!F75+'Medicaid &amp; FAMIS - LASER'!G75+'Energy Assistance LASER'!G75+'TANF LASER'!F75</f>
        <v>159265.94</v>
      </c>
      <c r="G76" s="1358">
        <f>'CSA LASER'!G75+'Energy Assistance LASER'!H75+'TANF LASER'!G75</f>
        <v>0</v>
      </c>
      <c r="H76" s="1358">
        <f t="shared" si="4"/>
        <v>53918866.344798028</v>
      </c>
      <c r="I76" s="1359">
        <f t="shared" si="3"/>
        <v>159265.94</v>
      </c>
    </row>
    <row r="77" spans="1:9" x14ac:dyDescent="0.3">
      <c r="A77" s="1341" t="s">
        <v>185</v>
      </c>
      <c r="B77" s="1342" t="s">
        <v>186</v>
      </c>
      <c r="C77" s="895" t="s">
        <v>251</v>
      </c>
      <c r="D77" s="1357">
        <f>'CSA LASER'!D76+'Medicaid &amp; FAMIS - LASER'!E76+'SNAP LASER'!E76+'Energy Assistance LASER'!E76+'TANF LASER'!D76+'ChildCare LASER'!I76</f>
        <v>29510616.18079276</v>
      </c>
      <c r="E77" s="1358">
        <f>'CSA LASER'!E76+'Medicaid &amp; FAMIS - LASER'!F76+'Energy Assistance LASER'!F76+'TANF LASER'!E76+'ChildCare LASER'!J76</f>
        <v>24465231.418996532</v>
      </c>
      <c r="F77" s="1358">
        <f>'CSA LASER'!F76+'Medicaid &amp; FAMIS - LASER'!G76+'Energy Assistance LASER'!G76+'TANF LASER'!F76</f>
        <v>873989.55999999994</v>
      </c>
      <c r="G77" s="1358">
        <f>'CSA LASER'!G76+'Energy Assistance LASER'!H76+'TANF LASER'!G76</f>
        <v>0</v>
      </c>
      <c r="H77" s="1358">
        <f t="shared" si="4"/>
        <v>54849837.159789294</v>
      </c>
      <c r="I77" s="1359">
        <f t="shared" si="3"/>
        <v>873989.55999999994</v>
      </c>
    </row>
    <row r="78" spans="1:9" x14ac:dyDescent="0.3">
      <c r="A78" s="1341" t="s">
        <v>187</v>
      </c>
      <c r="B78" s="1342" t="s">
        <v>188</v>
      </c>
      <c r="C78" s="895" t="s">
        <v>254</v>
      </c>
      <c r="D78" s="1357">
        <f>'CSA LASER'!D77+'Medicaid &amp; FAMIS - LASER'!E77+'SNAP LASER'!E77+'Energy Assistance LASER'!E77+'TANF LASER'!D77+'ChildCare LASER'!I77</f>
        <v>290721267.44640505</v>
      </c>
      <c r="E78" s="1358">
        <f>'CSA LASER'!E77+'Medicaid &amp; FAMIS - LASER'!F77+'Energy Assistance LASER'!F77+'TANF LASER'!E77+'ChildCare LASER'!J77</f>
        <v>239545237.19357592</v>
      </c>
      <c r="F78" s="1358">
        <f>'CSA LASER'!F77+'Medicaid &amp; FAMIS - LASER'!G77+'Energy Assistance LASER'!G77+'TANF LASER'!F77</f>
        <v>6592026.6700000009</v>
      </c>
      <c r="G78" s="1358">
        <f>'CSA LASER'!G77+'Energy Assistance LASER'!H77+'TANF LASER'!G77</f>
        <v>0</v>
      </c>
      <c r="H78" s="1358">
        <f t="shared" si="4"/>
        <v>536858531.30998099</v>
      </c>
      <c r="I78" s="1359">
        <f t="shared" si="3"/>
        <v>6592026.6700000009</v>
      </c>
    </row>
    <row r="79" spans="1:9" x14ac:dyDescent="0.3">
      <c r="A79" s="1341" t="s">
        <v>189</v>
      </c>
      <c r="B79" s="1342" t="s">
        <v>190</v>
      </c>
      <c r="C79" s="895" t="s">
        <v>255</v>
      </c>
      <c r="D79" s="1357">
        <f>'CSA LASER'!D78+'Medicaid &amp; FAMIS - LASER'!E78+'SNAP LASER'!E78+'Energy Assistance LASER'!E78+'TANF LASER'!D78+'ChildCare LASER'!I78</f>
        <v>44967034.910514034</v>
      </c>
      <c r="E79" s="1358">
        <f>'CSA LASER'!E78+'Medicaid &amp; FAMIS - LASER'!F78+'Energy Assistance LASER'!F78+'TANF LASER'!E78+'ChildCare LASER'!J78</f>
        <v>38007082.769153602</v>
      </c>
      <c r="F79" s="1358">
        <f>'CSA LASER'!F78+'Medicaid &amp; FAMIS - LASER'!G78+'Energy Assistance LASER'!G78+'TANF LASER'!F78</f>
        <v>958963.77999999991</v>
      </c>
      <c r="G79" s="1358">
        <f>'CSA LASER'!G78+'Energy Assistance LASER'!H78+'TANF LASER'!G78</f>
        <v>0</v>
      </c>
      <c r="H79" s="1358">
        <f t="shared" si="4"/>
        <v>83933081.459667638</v>
      </c>
      <c r="I79" s="1359">
        <f t="shared" si="3"/>
        <v>958963.77999999991</v>
      </c>
    </row>
    <row r="80" spans="1:9" x14ac:dyDescent="0.3">
      <c r="A80" s="1341" t="s">
        <v>193</v>
      </c>
      <c r="B80" s="1342" t="s">
        <v>194</v>
      </c>
      <c r="C80" s="895" t="s">
        <v>254</v>
      </c>
      <c r="D80" s="1357">
        <f>'CSA LASER'!D79+'Medicaid &amp; FAMIS - LASER'!E79+'SNAP LASER'!E79+'Energy Assistance LASER'!E79+'TANF LASER'!D79+'ChildCare LASER'!I79</f>
        <v>4611489.693525211</v>
      </c>
      <c r="E80" s="1358">
        <f>'CSA LASER'!E79+'Medicaid &amp; FAMIS - LASER'!F79+'Energy Assistance LASER'!F79+'TANF LASER'!E79+'ChildCare LASER'!J79</f>
        <v>4430249.0764341913</v>
      </c>
      <c r="F80" s="1358">
        <f>'CSA LASER'!F79+'Medicaid &amp; FAMIS - LASER'!G79+'Energy Assistance LASER'!G79+'TANF LASER'!F79</f>
        <v>728215.55999999994</v>
      </c>
      <c r="G80" s="1358">
        <f>'CSA LASER'!G79+'Energy Assistance LASER'!H79+'TANF LASER'!G79</f>
        <v>0</v>
      </c>
      <c r="H80" s="1358">
        <f t="shared" si="4"/>
        <v>9769954.3299594019</v>
      </c>
      <c r="I80" s="1359">
        <f t="shared" si="3"/>
        <v>728215.55999999994</v>
      </c>
    </row>
    <row r="81" spans="1:9" x14ac:dyDescent="0.3">
      <c r="A81" s="1341" t="s">
        <v>197</v>
      </c>
      <c r="B81" s="1342" t="s">
        <v>198</v>
      </c>
      <c r="C81" s="895" t="s">
        <v>253</v>
      </c>
      <c r="D81" s="1357">
        <f>'CSA LASER'!D80+'Medicaid &amp; FAMIS - LASER'!E80+'SNAP LASER'!E80+'Energy Assistance LASER'!E80+'TANF LASER'!D80+'ChildCare LASER'!I80</f>
        <v>11013985.653621228</v>
      </c>
      <c r="E81" s="1358">
        <f>'CSA LASER'!E80+'Medicaid &amp; FAMIS - LASER'!F80+'Energy Assistance LASER'!F80+'TANF LASER'!E80+'ChildCare LASER'!J80</f>
        <v>8438172.8788043</v>
      </c>
      <c r="F81" s="1358">
        <f>'CSA LASER'!F80+'Medicaid &amp; FAMIS - LASER'!G80+'Energy Assistance LASER'!G80+'TANF LASER'!F80</f>
        <v>88440.920000000013</v>
      </c>
      <c r="G81" s="1358">
        <f>'CSA LASER'!G80+'Energy Assistance LASER'!H80+'TANF LASER'!G80</f>
        <v>0</v>
      </c>
      <c r="H81" s="1358">
        <f t="shared" si="4"/>
        <v>19540599.452425532</v>
      </c>
      <c r="I81" s="1359">
        <f t="shared" si="3"/>
        <v>88440.920000000013</v>
      </c>
    </row>
    <row r="82" spans="1:9" x14ac:dyDescent="0.3">
      <c r="A82" s="1341" t="s">
        <v>201</v>
      </c>
      <c r="B82" s="1342" t="s">
        <v>406</v>
      </c>
      <c r="C82" s="895" t="s">
        <v>252</v>
      </c>
      <c r="D82" s="1357">
        <f>'CSA LASER'!D81+'Medicaid &amp; FAMIS - LASER'!E81+'SNAP LASER'!E81+'Energy Assistance LASER'!E81+'TANF LASER'!D81+'ChildCare LASER'!I81</f>
        <v>84442887.730197057</v>
      </c>
      <c r="E82" s="1358">
        <f>'CSA LASER'!E81+'Medicaid &amp; FAMIS - LASER'!F81+'Energy Assistance LASER'!F81+'TANF LASER'!E81+'ChildCare LASER'!J81</f>
        <v>75384334.044127136</v>
      </c>
      <c r="F82" s="1358">
        <f>'CSA LASER'!F81+'Medicaid &amp; FAMIS - LASER'!G81+'Energy Assistance LASER'!G81+'TANF LASER'!F81</f>
        <v>4678661.75</v>
      </c>
      <c r="G82" s="1358">
        <f>'CSA LASER'!G81+'Energy Assistance LASER'!H81+'TANF LASER'!G81</f>
        <v>0</v>
      </c>
      <c r="H82" s="1358">
        <f t="shared" si="4"/>
        <v>164505883.52432418</v>
      </c>
      <c r="I82" s="1359">
        <f t="shared" si="3"/>
        <v>4678661.75</v>
      </c>
    </row>
    <row r="83" spans="1:9" x14ac:dyDescent="0.3">
      <c r="A83" s="1341" t="s">
        <v>203</v>
      </c>
      <c r="B83" s="1342" t="s">
        <v>269</v>
      </c>
      <c r="C83" s="895" t="s">
        <v>252</v>
      </c>
      <c r="D83" s="1357">
        <f>'CSA LASER'!D82+'Medicaid &amp; FAMIS - LASER'!E82+'SNAP LASER'!E82+'Energy Assistance LASER'!E82+'TANF LASER'!D82+'ChildCare LASER'!I82</f>
        <v>36397636.812102064</v>
      </c>
      <c r="E83" s="1358">
        <f>'CSA LASER'!E82+'Medicaid &amp; FAMIS - LASER'!F82+'Energy Assistance LASER'!F82+'TANF LASER'!E82+'ChildCare LASER'!J82</f>
        <v>34544280.280117519</v>
      </c>
      <c r="F83" s="1358">
        <f>'CSA LASER'!F82+'Medicaid &amp; FAMIS - LASER'!G82+'Energy Assistance LASER'!G82+'TANF LASER'!F82</f>
        <v>1675804.3100000003</v>
      </c>
      <c r="G83" s="1358">
        <f>'CSA LASER'!G82+'Energy Assistance LASER'!H82+'TANF LASER'!G82</f>
        <v>0</v>
      </c>
      <c r="H83" s="1358">
        <f t="shared" si="4"/>
        <v>72617721.402219594</v>
      </c>
      <c r="I83" s="1359">
        <f t="shared" si="3"/>
        <v>1675804.3100000003</v>
      </c>
    </row>
    <row r="84" spans="1:9" x14ac:dyDescent="0.3">
      <c r="A84" s="1341" t="s">
        <v>205</v>
      </c>
      <c r="B84" s="1342" t="s">
        <v>270</v>
      </c>
      <c r="C84" s="895" t="s">
        <v>254</v>
      </c>
      <c r="D84" s="1357">
        <f>'CSA LASER'!D83+'Medicaid &amp; FAMIS - LASER'!E83+'SNAP LASER'!E83+'Energy Assistance LASER'!E83+'TANF LASER'!D83+'ChildCare LASER'!I83</f>
        <v>96368968.241953105</v>
      </c>
      <c r="E84" s="1358">
        <f>'CSA LASER'!E83+'Medicaid &amp; FAMIS - LASER'!F83+'Energy Assistance LASER'!F83+'TANF LASER'!E83+'ChildCare LASER'!J83</f>
        <v>82472830.022284761</v>
      </c>
      <c r="F84" s="1358">
        <f>'CSA LASER'!F83+'Medicaid &amp; FAMIS - LASER'!G83+'Energy Assistance LASER'!G83+'TANF LASER'!F83</f>
        <v>4610821.7200000007</v>
      </c>
      <c r="G84" s="1358">
        <f>'CSA LASER'!G83+'Energy Assistance LASER'!H83+'TANF LASER'!G83</f>
        <v>0</v>
      </c>
      <c r="H84" s="1358">
        <f t="shared" si="4"/>
        <v>183452619.98423788</v>
      </c>
      <c r="I84" s="1359">
        <f t="shared" si="3"/>
        <v>4610821.7200000007</v>
      </c>
    </row>
    <row r="85" spans="1:9" x14ac:dyDescent="0.3">
      <c r="A85" s="1341" t="s">
        <v>207</v>
      </c>
      <c r="B85" s="1342" t="s">
        <v>208</v>
      </c>
      <c r="C85" s="895" t="s">
        <v>255</v>
      </c>
      <c r="D85" s="1357">
        <f>'CSA LASER'!D84+'Medicaid &amp; FAMIS - LASER'!E84+'SNAP LASER'!E84+'Energy Assistance LASER'!E84+'TANF LASER'!D84+'ChildCare LASER'!I84</f>
        <v>41366489.060902067</v>
      </c>
      <c r="E85" s="1358">
        <f>'CSA LASER'!E84+'Medicaid &amp; FAMIS - LASER'!F84+'Energy Assistance LASER'!F84+'TANF LASER'!E84+'ChildCare LASER'!J84</f>
        <v>32103090.456271049</v>
      </c>
      <c r="F85" s="1358">
        <f>'CSA LASER'!F84+'Medicaid &amp; FAMIS - LASER'!G84+'Energy Assistance LASER'!G84+'TANF LASER'!F84</f>
        <v>313785.68</v>
      </c>
      <c r="G85" s="1358">
        <f>'CSA LASER'!G84+'Energy Assistance LASER'!H84+'TANF LASER'!G84</f>
        <v>0</v>
      </c>
      <c r="H85" s="1358">
        <f t="shared" si="4"/>
        <v>73783365.197173119</v>
      </c>
      <c r="I85" s="1359">
        <f t="shared" si="3"/>
        <v>313785.68</v>
      </c>
    </row>
    <row r="86" spans="1:9" x14ac:dyDescent="0.3">
      <c r="A86" s="1341" t="s">
        <v>209</v>
      </c>
      <c r="B86" s="1342" t="s">
        <v>210</v>
      </c>
      <c r="C86" s="895" t="s">
        <v>255</v>
      </c>
      <c r="D86" s="1357">
        <f>'CSA LASER'!D85+'Medicaid &amp; FAMIS - LASER'!E85+'SNAP LASER'!E85+'Energy Assistance LASER'!E85+'TANF LASER'!D85+'ChildCare LASER'!I85</f>
        <v>29646992.842795547</v>
      </c>
      <c r="E86" s="1358">
        <f>'CSA LASER'!E85+'Medicaid &amp; FAMIS - LASER'!F85+'Energy Assistance LASER'!F85+'TANF LASER'!E85+'ChildCare LASER'!J85</f>
        <v>23882522.13696076</v>
      </c>
      <c r="F86" s="1358">
        <f>'CSA LASER'!F85+'Medicaid &amp; FAMIS - LASER'!G85+'Energy Assistance LASER'!G85+'TANF LASER'!F85</f>
        <v>234442.35</v>
      </c>
      <c r="G86" s="1358">
        <f>'CSA LASER'!G85+'Energy Assistance LASER'!H85+'TANF LASER'!G85</f>
        <v>0</v>
      </c>
      <c r="H86" s="1358">
        <f t="shared" si="4"/>
        <v>53763957.329756312</v>
      </c>
      <c r="I86" s="1359">
        <f t="shared" si="3"/>
        <v>234442.35</v>
      </c>
    </row>
    <row r="87" spans="1:9" x14ac:dyDescent="0.3">
      <c r="A87" s="1341" t="s">
        <v>211</v>
      </c>
      <c r="B87" s="1342" t="s">
        <v>212</v>
      </c>
      <c r="C87" s="895" t="s">
        <v>254</v>
      </c>
      <c r="D87" s="1357">
        <f>'CSA LASER'!D86+'Medicaid &amp; FAMIS - LASER'!E86+'SNAP LASER'!E86+'Energy Assistance LASER'!E86+'TANF LASER'!D86+'ChildCare LASER'!I86</f>
        <v>47813791.195314251</v>
      </c>
      <c r="E87" s="1358">
        <f>'CSA LASER'!E86+'Medicaid &amp; FAMIS - LASER'!F86+'Energy Assistance LASER'!F86+'TANF LASER'!E86+'ChildCare LASER'!J86</f>
        <v>42232874.64181643</v>
      </c>
      <c r="F87" s="1358">
        <f>'CSA LASER'!F86+'Medicaid &amp; FAMIS - LASER'!G86+'Energy Assistance LASER'!G86+'TANF LASER'!F86</f>
        <v>1749828.35</v>
      </c>
      <c r="G87" s="1358">
        <f>'CSA LASER'!G86+'Energy Assistance LASER'!H86+'TANF LASER'!G86</f>
        <v>0</v>
      </c>
      <c r="H87" s="1358">
        <f t="shared" si="4"/>
        <v>91796494.187130675</v>
      </c>
      <c r="I87" s="1359">
        <f t="shared" si="3"/>
        <v>1749828.35</v>
      </c>
    </row>
    <row r="88" spans="1:9" x14ac:dyDescent="0.3">
      <c r="A88" s="1341" t="s">
        <v>213</v>
      </c>
      <c r="B88" s="1342" t="s">
        <v>214</v>
      </c>
      <c r="C88" s="895" t="s">
        <v>255</v>
      </c>
      <c r="D88" s="1357">
        <f>'CSA LASER'!D87+'Medicaid &amp; FAMIS - LASER'!E87+'SNAP LASER'!E87+'Energy Assistance LASER'!E87+'TANF LASER'!D87+'ChildCare LASER'!I87</f>
        <v>48582243.939432427</v>
      </c>
      <c r="E88" s="1358">
        <f>'CSA LASER'!E87+'Medicaid &amp; FAMIS - LASER'!F87+'Energy Assistance LASER'!F87+'TANF LASER'!E87+'ChildCare LASER'!J87</f>
        <v>39070404.785173237</v>
      </c>
      <c r="F88" s="1358">
        <f>'CSA LASER'!F87+'Medicaid &amp; FAMIS - LASER'!G87+'Energy Assistance LASER'!G87+'TANF LASER'!F87</f>
        <v>528358.47</v>
      </c>
      <c r="G88" s="1358">
        <f>'CSA LASER'!G87+'Energy Assistance LASER'!H87+'TANF LASER'!G87</f>
        <v>0</v>
      </c>
      <c r="H88" s="1358">
        <f t="shared" si="4"/>
        <v>88181007.194605663</v>
      </c>
      <c r="I88" s="1359">
        <f t="shared" si="3"/>
        <v>528358.47</v>
      </c>
    </row>
    <row r="89" spans="1:9" x14ac:dyDescent="0.3">
      <c r="A89" s="1341" t="s">
        <v>215</v>
      </c>
      <c r="B89" s="1342" t="s">
        <v>216</v>
      </c>
      <c r="C89" s="895" t="s">
        <v>251</v>
      </c>
      <c r="D89" s="1357">
        <f>'CSA LASER'!D88+'Medicaid &amp; FAMIS - LASER'!E88+'SNAP LASER'!E88+'Energy Assistance LASER'!E88+'TANF LASER'!D88+'ChildCare LASER'!I88</f>
        <v>24410433.768295199</v>
      </c>
      <c r="E89" s="1358">
        <f>'CSA LASER'!E88+'Medicaid &amp; FAMIS - LASER'!F88+'Energy Assistance LASER'!F88+'TANF LASER'!E88+'ChildCare LASER'!J88</f>
        <v>20274271.496532861</v>
      </c>
      <c r="F89" s="1358">
        <f>'CSA LASER'!F88+'Medicaid &amp; FAMIS - LASER'!G88+'Energy Assistance LASER'!G88+'TANF LASER'!F88</f>
        <v>267439.41000000003</v>
      </c>
      <c r="G89" s="1358">
        <f>'CSA LASER'!G88+'Energy Assistance LASER'!H88+'TANF LASER'!G88</f>
        <v>0</v>
      </c>
      <c r="H89" s="1358">
        <f t="shared" si="4"/>
        <v>44952144.674828053</v>
      </c>
      <c r="I89" s="1359">
        <f t="shared" si="3"/>
        <v>267439.41000000003</v>
      </c>
    </row>
    <row r="90" spans="1:9" x14ac:dyDescent="0.3">
      <c r="A90" s="1341" t="s">
        <v>217</v>
      </c>
      <c r="B90" s="1342" t="s">
        <v>218</v>
      </c>
      <c r="C90" s="895" t="s">
        <v>254</v>
      </c>
      <c r="D90" s="1357">
        <f>'CSA LASER'!D89+'Medicaid &amp; FAMIS - LASER'!E89+'SNAP LASER'!E89+'Energy Assistance LASER'!E89+'TANF LASER'!D89+'ChildCare LASER'!I89</f>
        <v>121330535.12796557</v>
      </c>
      <c r="E90" s="1358">
        <f>'CSA LASER'!E89+'Medicaid &amp; FAMIS - LASER'!F89+'Energy Assistance LASER'!F89+'TANF LASER'!E89+'ChildCare LASER'!J89</f>
        <v>103982757.8461297</v>
      </c>
      <c r="F90" s="1358">
        <f>'CSA LASER'!F89+'Medicaid &amp; FAMIS - LASER'!G89+'Energy Assistance LASER'!G89+'TANF LASER'!F89</f>
        <v>5038376.5299999993</v>
      </c>
      <c r="G90" s="1358">
        <f>'CSA LASER'!G89+'Energy Assistance LASER'!H89+'TANF LASER'!G89</f>
        <v>0</v>
      </c>
      <c r="H90" s="1358">
        <f t="shared" si="4"/>
        <v>230351669.50409529</v>
      </c>
      <c r="I90" s="1359">
        <f t="shared" si="3"/>
        <v>5038376.5299999993</v>
      </c>
    </row>
    <row r="91" spans="1:9" x14ac:dyDescent="0.3">
      <c r="A91" s="1341" t="s">
        <v>219</v>
      </c>
      <c r="B91" s="1342" t="s">
        <v>220</v>
      </c>
      <c r="C91" s="895" t="s">
        <v>254</v>
      </c>
      <c r="D91" s="1357">
        <f>'CSA LASER'!D90+'Medicaid &amp; FAMIS - LASER'!E90+'SNAP LASER'!E90+'Energy Assistance LASER'!E90+'TANF LASER'!D90+'ChildCare LASER'!I90</f>
        <v>100959035.26882528</v>
      </c>
      <c r="E91" s="1358">
        <f>'CSA LASER'!E90+'Medicaid &amp; FAMIS - LASER'!F90+'Energy Assistance LASER'!F90+'TANF LASER'!E90+'ChildCare LASER'!J90</f>
        <v>82763673.210441172</v>
      </c>
      <c r="F91" s="1358">
        <f>'CSA LASER'!F90+'Medicaid &amp; FAMIS - LASER'!G90+'Energy Assistance LASER'!G90+'TANF LASER'!F90</f>
        <v>2564363.79</v>
      </c>
      <c r="G91" s="1358">
        <f>'CSA LASER'!G90+'Energy Assistance LASER'!H90+'TANF LASER'!G90</f>
        <v>0</v>
      </c>
      <c r="H91" s="1358">
        <f t="shared" si="4"/>
        <v>186287072.26926646</v>
      </c>
      <c r="I91" s="1359">
        <f t="shared" si="3"/>
        <v>2564363.79</v>
      </c>
    </row>
    <row r="92" spans="1:9" x14ac:dyDescent="0.3">
      <c r="A92" s="1341" t="s">
        <v>223</v>
      </c>
      <c r="B92" s="1342" t="s">
        <v>224</v>
      </c>
      <c r="C92" s="895" t="s">
        <v>251</v>
      </c>
      <c r="D92" s="1357">
        <f>'CSA LASER'!D91+'Medicaid &amp; FAMIS - LASER'!E91+'SNAP LASER'!E91+'Energy Assistance LASER'!E91+'TANF LASER'!D91+'ChildCare LASER'!I91</f>
        <v>7966764.8707120866</v>
      </c>
      <c r="E92" s="1358">
        <f>'CSA LASER'!E91+'Medicaid &amp; FAMIS - LASER'!F91+'Energy Assistance LASER'!F91+'TANF LASER'!E91+'ChildCare LASER'!J91</f>
        <v>6526676.6217317143</v>
      </c>
      <c r="F92" s="1358">
        <f>'CSA LASER'!F91+'Medicaid &amp; FAMIS - LASER'!G91+'Energy Assistance LASER'!G91+'TANF LASER'!F91</f>
        <v>196702.83</v>
      </c>
      <c r="G92" s="1358">
        <f>'CSA LASER'!G91+'Energy Assistance LASER'!H91+'TANF LASER'!G91</f>
        <v>0</v>
      </c>
      <c r="H92" s="1358">
        <f t="shared" si="4"/>
        <v>14690144.3224438</v>
      </c>
      <c r="I92" s="1359">
        <f t="shared" si="3"/>
        <v>196702.83</v>
      </c>
    </row>
    <row r="93" spans="1:9" x14ac:dyDescent="0.3">
      <c r="A93" s="1341" t="s">
        <v>225</v>
      </c>
      <c r="B93" s="1342" t="s">
        <v>226</v>
      </c>
      <c r="C93" s="895" t="s">
        <v>251</v>
      </c>
      <c r="D93" s="1357">
        <f>'CSA LASER'!D92+'Medicaid &amp; FAMIS - LASER'!E92+'SNAP LASER'!E92+'Energy Assistance LASER'!E92+'TANF LASER'!D92+'ChildCare LASER'!I92</f>
        <v>17014283.112845771</v>
      </c>
      <c r="E93" s="1358">
        <f>'CSA LASER'!E92+'Medicaid &amp; FAMIS - LASER'!F92+'Energy Assistance LASER'!F92+'TANF LASER'!E92+'ChildCare LASER'!J92</f>
        <v>14168985.249534693</v>
      </c>
      <c r="F93" s="1358">
        <f>'CSA LASER'!F92+'Medicaid &amp; FAMIS - LASER'!G92+'Energy Assistance LASER'!G92+'TANF LASER'!F92</f>
        <v>144586.18</v>
      </c>
      <c r="G93" s="1358">
        <f>'CSA LASER'!G92+'Energy Assistance LASER'!H92+'TANF LASER'!G92</f>
        <v>0</v>
      </c>
      <c r="H93" s="1358">
        <f t="shared" si="4"/>
        <v>31327854.542380463</v>
      </c>
      <c r="I93" s="1359">
        <f t="shared" si="3"/>
        <v>144586.18</v>
      </c>
    </row>
    <row r="94" spans="1:9" x14ac:dyDescent="0.3">
      <c r="A94" s="1341" t="s">
        <v>227</v>
      </c>
      <c r="B94" s="1342" t="s">
        <v>228</v>
      </c>
      <c r="C94" s="895" t="s">
        <v>255</v>
      </c>
      <c r="D94" s="1357">
        <f>'CSA LASER'!D93+'Medicaid &amp; FAMIS - LASER'!E93+'SNAP LASER'!E93+'Energy Assistance LASER'!E93+'TANF LASER'!D93+'ChildCare LASER'!I93</f>
        <v>61402155.267021112</v>
      </c>
      <c r="E94" s="1358">
        <f>'CSA LASER'!E93+'Medicaid &amp; FAMIS - LASER'!F93+'Energy Assistance LASER'!F93+'TANF LASER'!E93+'ChildCare LASER'!J93</f>
        <v>48186819.359977886</v>
      </c>
      <c r="F94" s="1358">
        <f>'CSA LASER'!F93+'Medicaid &amp; FAMIS - LASER'!G93+'Energy Assistance LASER'!G93+'TANF LASER'!F93</f>
        <v>506455.61</v>
      </c>
      <c r="G94" s="1358">
        <f>'CSA LASER'!G93+'Energy Assistance LASER'!H93+'TANF LASER'!G93</f>
        <v>0</v>
      </c>
      <c r="H94" s="1358">
        <f t="shared" si="4"/>
        <v>110095430.23699899</v>
      </c>
      <c r="I94" s="1359">
        <f t="shared" si="3"/>
        <v>506455.61</v>
      </c>
    </row>
    <row r="95" spans="1:9" x14ac:dyDescent="0.3">
      <c r="A95" s="1341" t="s">
        <v>231</v>
      </c>
      <c r="B95" s="1342" t="s">
        <v>232</v>
      </c>
      <c r="C95" s="895" t="s">
        <v>254</v>
      </c>
      <c r="D95" s="1357">
        <f>'CSA LASER'!D94+'Medicaid &amp; FAMIS - LASER'!E94+'SNAP LASER'!E94+'Energy Assistance LASER'!E94+'TANF LASER'!D94+'ChildCare LASER'!I94</f>
        <v>37184302.252715364</v>
      </c>
      <c r="E95" s="1358">
        <f>'CSA LASER'!E94+'Medicaid &amp; FAMIS - LASER'!F94+'Energy Assistance LASER'!F94+'TANF LASER'!E94+'ChildCare LASER'!J94</f>
        <v>30194358.391980402</v>
      </c>
      <c r="F95" s="1358">
        <f>'CSA LASER'!F94+'Medicaid &amp; FAMIS - LASER'!G94+'Energy Assistance LASER'!G94+'TANF LASER'!F94</f>
        <v>641522.24</v>
      </c>
      <c r="G95" s="1358">
        <f>'CSA LASER'!G94+'Energy Assistance LASER'!H94+'TANF LASER'!G94</f>
        <v>0</v>
      </c>
      <c r="H95" s="1358">
        <f t="shared" si="4"/>
        <v>68020182.884695753</v>
      </c>
      <c r="I95" s="1359">
        <f t="shared" si="3"/>
        <v>641522.24</v>
      </c>
    </row>
    <row r="96" spans="1:9" x14ac:dyDescent="0.3">
      <c r="A96" s="1341" t="s">
        <v>233</v>
      </c>
      <c r="B96" s="1342" t="s">
        <v>234</v>
      </c>
      <c r="C96" s="895" t="s">
        <v>255</v>
      </c>
      <c r="D96" s="1357">
        <f>'CSA LASER'!D95+'Medicaid &amp; FAMIS - LASER'!E95+'SNAP LASER'!E95+'Energy Assistance LASER'!E95+'TANF LASER'!D95+'ChildCare LASER'!I95</f>
        <v>57615823.265829287</v>
      </c>
      <c r="E96" s="1358">
        <f>'CSA LASER'!E95+'Medicaid &amp; FAMIS - LASER'!F95+'Energy Assistance LASER'!F95+'TANF LASER'!E95+'ChildCare LASER'!J95</f>
        <v>46511449.398692682</v>
      </c>
      <c r="F96" s="1358">
        <f>'CSA LASER'!F95+'Medicaid &amp; FAMIS - LASER'!G95+'Energy Assistance LASER'!G95+'TANF LASER'!F95</f>
        <v>675402.91999999993</v>
      </c>
      <c r="G96" s="1358">
        <f>'CSA LASER'!G95+'Energy Assistance LASER'!H95+'TANF LASER'!G95</f>
        <v>0</v>
      </c>
      <c r="H96" s="1358">
        <f t="shared" si="4"/>
        <v>104802675.58452196</v>
      </c>
      <c r="I96" s="1359">
        <f t="shared" si="3"/>
        <v>675402.91999999993</v>
      </c>
    </row>
    <row r="97" spans="1:9" x14ac:dyDescent="0.3">
      <c r="A97" s="1341" t="s">
        <v>235</v>
      </c>
      <c r="B97" s="1342" t="s">
        <v>236</v>
      </c>
      <c r="C97" s="895" t="s">
        <v>253</v>
      </c>
      <c r="D97" s="1357">
        <f>'CSA LASER'!D96+'Medicaid &amp; FAMIS - LASER'!E96+'SNAP LASER'!E96+'Energy Assistance LASER'!E96+'TANF LASER'!D96+'ChildCare LASER'!I96</f>
        <v>25246271.632422116</v>
      </c>
      <c r="E97" s="1358">
        <f>'CSA LASER'!E96+'Medicaid &amp; FAMIS - LASER'!F96+'Energy Assistance LASER'!F96+'TANF LASER'!E96+'ChildCare LASER'!J96</f>
        <v>20480213.872404538</v>
      </c>
      <c r="F97" s="1358">
        <f>'CSA LASER'!F96+'Medicaid &amp; FAMIS - LASER'!G96+'Energy Assistance LASER'!G96+'TANF LASER'!F96</f>
        <v>644096.27</v>
      </c>
      <c r="G97" s="1358">
        <f>'CSA LASER'!G96+'Energy Assistance LASER'!H96+'TANF LASER'!G96</f>
        <v>0</v>
      </c>
      <c r="H97" s="1358">
        <f t="shared" si="4"/>
        <v>46370581.774826653</v>
      </c>
      <c r="I97" s="1359">
        <f t="shared" si="3"/>
        <v>644096.27</v>
      </c>
    </row>
    <row r="98" spans="1:9" x14ac:dyDescent="0.3">
      <c r="A98" s="1341" t="s">
        <v>241</v>
      </c>
      <c r="B98" s="1342" t="s">
        <v>242</v>
      </c>
      <c r="C98" s="895" t="s">
        <v>255</v>
      </c>
      <c r="D98" s="1357">
        <f>'CSA LASER'!D97+'Medicaid &amp; FAMIS - LASER'!E97+'SNAP LASER'!E97+'Energy Assistance LASER'!E97+'TANF LASER'!D97+'ChildCare LASER'!I97</f>
        <v>62281680.526882879</v>
      </c>
      <c r="E98" s="1358">
        <f>'CSA LASER'!E97+'Medicaid &amp; FAMIS - LASER'!F97+'Energy Assistance LASER'!F97+'TANF LASER'!E97+'ChildCare LASER'!J97</f>
        <v>49643002.62511415</v>
      </c>
      <c r="F98" s="1358">
        <f>'CSA LASER'!F97+'Medicaid &amp; FAMIS - LASER'!G97+'Energy Assistance LASER'!G97+'TANF LASER'!F97</f>
        <v>548890.42000000004</v>
      </c>
      <c r="G98" s="1358">
        <f>'CSA LASER'!G97+'Energy Assistance LASER'!H97+'TANF LASER'!G97</f>
        <v>0</v>
      </c>
      <c r="H98" s="1358">
        <f t="shared" si="4"/>
        <v>112473573.57199703</v>
      </c>
      <c r="I98" s="1359">
        <f t="shared" si="3"/>
        <v>548890.42000000004</v>
      </c>
    </row>
    <row r="99" spans="1:9" x14ac:dyDescent="0.3">
      <c r="A99" s="1341" t="s">
        <v>243</v>
      </c>
      <c r="B99" s="1342" t="s">
        <v>244</v>
      </c>
      <c r="C99" s="895" t="s">
        <v>255</v>
      </c>
      <c r="D99" s="1357">
        <f>'CSA LASER'!D98+'Medicaid &amp; FAMIS - LASER'!E98+'SNAP LASER'!E98+'Energy Assistance LASER'!E98+'TANF LASER'!D98+'ChildCare LASER'!I98</f>
        <v>40108636.191038147</v>
      </c>
      <c r="E99" s="1358">
        <f>'CSA LASER'!E98+'Medicaid &amp; FAMIS - LASER'!F98+'Energy Assistance LASER'!F98+'TANF LASER'!E98+'ChildCare LASER'!J98</f>
        <v>33930054.678656332</v>
      </c>
      <c r="F99" s="1358">
        <f>'CSA LASER'!F98+'Medicaid &amp; FAMIS - LASER'!G98+'Energy Assistance LASER'!G98+'TANF LASER'!F98</f>
        <v>587774.25</v>
      </c>
      <c r="G99" s="1358">
        <f>'CSA LASER'!G98+'Energy Assistance LASER'!H98+'TANF LASER'!G98</f>
        <v>0</v>
      </c>
      <c r="H99" s="1358">
        <f t="shared" si="4"/>
        <v>74626465.119694471</v>
      </c>
      <c r="I99" s="1359">
        <f t="shared" si="3"/>
        <v>587774.25</v>
      </c>
    </row>
    <row r="100" spans="1:9" x14ac:dyDescent="0.3">
      <c r="A100" s="1341" t="s">
        <v>245</v>
      </c>
      <c r="B100" s="1342" t="s">
        <v>246</v>
      </c>
      <c r="C100" s="895" t="s">
        <v>251</v>
      </c>
      <c r="D100" s="1357">
        <f>'CSA LASER'!D99+'Medicaid &amp; FAMIS - LASER'!E99+'SNAP LASER'!E99+'Energy Assistance LASER'!E99+'TANF LASER'!D99+'ChildCare LASER'!I99</f>
        <v>32008329.217888348</v>
      </c>
      <c r="E100" s="1358">
        <f>'CSA LASER'!E99+'Medicaid &amp; FAMIS - LASER'!F99+'Energy Assistance LASER'!F99+'TANF LASER'!E99+'ChildCare LASER'!J99</f>
        <v>27226039.981864776</v>
      </c>
      <c r="F100" s="1358">
        <f>'CSA LASER'!F99+'Medicaid &amp; FAMIS - LASER'!G99+'Energy Assistance LASER'!G99+'TANF LASER'!F99</f>
        <v>742060.85</v>
      </c>
      <c r="G100" s="1358">
        <f>'CSA LASER'!G99+'Energy Assistance LASER'!H99+'TANF LASER'!G99</f>
        <v>0</v>
      </c>
      <c r="H100" s="1358">
        <f t="shared" si="4"/>
        <v>59976430.049753122</v>
      </c>
      <c r="I100" s="1359">
        <f t="shared" si="3"/>
        <v>742060.85</v>
      </c>
    </row>
    <row r="101" spans="1:9" x14ac:dyDescent="0.3">
      <c r="A101" s="1341" t="s">
        <v>13</v>
      </c>
      <c r="B101" s="1342" t="s">
        <v>14</v>
      </c>
      <c r="C101" s="895" t="s">
        <v>254</v>
      </c>
      <c r="D101" s="1357">
        <f>'CSA LASER'!D100+'Medicaid &amp; FAMIS - LASER'!E100+'SNAP LASER'!E100+'Energy Assistance LASER'!E100+'TANF LASER'!D100+'ChildCare LASER'!I100</f>
        <v>96786133.769116014</v>
      </c>
      <c r="E101" s="1358">
        <f>'CSA LASER'!E100+'Medicaid &amp; FAMIS - LASER'!F100+'Energy Assistance LASER'!F100+'TANF LASER'!E100+'ChildCare LASER'!J100</f>
        <v>78777167.935101867</v>
      </c>
      <c r="F101" s="1358">
        <f>'CSA LASER'!F100+'Medicaid &amp; FAMIS - LASER'!G100+'Energy Assistance LASER'!G100+'TANF LASER'!F100</f>
        <v>4157161.68</v>
      </c>
      <c r="G101" s="1358">
        <f>'CSA LASER'!G100+'Energy Assistance LASER'!H100+'TANF LASER'!G100</f>
        <v>0</v>
      </c>
      <c r="H101" s="1358">
        <f t="shared" si="4"/>
        <v>179720463.38421789</v>
      </c>
      <c r="I101" s="1359">
        <f t="shared" si="3"/>
        <v>4157161.68</v>
      </c>
    </row>
    <row r="102" spans="1:9" x14ac:dyDescent="0.3">
      <c r="A102" s="1341" t="s">
        <v>33</v>
      </c>
      <c r="B102" s="1342" t="s">
        <v>34</v>
      </c>
      <c r="C102" s="895" t="s">
        <v>255</v>
      </c>
      <c r="D102" s="1357">
        <f>'CSA LASER'!D101+'Medicaid &amp; FAMIS - LASER'!E101+'SNAP LASER'!E101+'Energy Assistance LASER'!E101+'TANF LASER'!D101+'ChildCare LASER'!I101</f>
        <v>31657774.983228743</v>
      </c>
      <c r="E102" s="1358">
        <f>'CSA LASER'!E101+'Medicaid &amp; FAMIS - LASER'!F101+'Energy Assistance LASER'!F101+'TANF LASER'!E101+'ChildCare LASER'!J101</f>
        <v>25300154.389022332</v>
      </c>
      <c r="F102" s="1358">
        <f>'CSA LASER'!F101+'Medicaid &amp; FAMIS - LASER'!G101+'Energy Assistance LASER'!G101+'TANF LASER'!F101</f>
        <v>708010.09</v>
      </c>
      <c r="G102" s="1358">
        <f>'CSA LASER'!G101+'Energy Assistance LASER'!H101+'TANF LASER'!G101</f>
        <v>0</v>
      </c>
      <c r="H102" s="1358">
        <f t="shared" si="4"/>
        <v>57665939.462251082</v>
      </c>
      <c r="I102" s="1359">
        <f t="shared" si="3"/>
        <v>708010.09</v>
      </c>
    </row>
    <row r="103" spans="1:9" x14ac:dyDescent="0.3">
      <c r="A103" s="1341" t="s">
        <v>51</v>
      </c>
      <c r="B103" s="1342" t="s">
        <v>52</v>
      </c>
      <c r="C103" s="895" t="s">
        <v>252</v>
      </c>
      <c r="D103" s="1357">
        <f>'CSA LASER'!D102+'Medicaid &amp; FAMIS - LASER'!E102+'SNAP LASER'!E102+'Energy Assistance LASER'!E102+'TANF LASER'!D102+'ChildCare LASER'!I102</f>
        <v>44619544.783674732</v>
      </c>
      <c r="E103" s="1358">
        <f>'CSA LASER'!E102+'Medicaid &amp; FAMIS - LASER'!F102+'Energy Assistance LASER'!F102+'TANF LASER'!E102+'ChildCare LASER'!J102</f>
        <v>41959853.975977525</v>
      </c>
      <c r="F103" s="1358">
        <f>'CSA LASER'!F102+'Medicaid &amp; FAMIS - LASER'!G102+'Energy Assistance LASER'!G102+'TANF LASER'!F102</f>
        <v>2242703.4700000002</v>
      </c>
      <c r="G103" s="1358">
        <f>'CSA LASER'!G102+'Energy Assistance LASER'!H102+'TANF LASER'!G102</f>
        <v>0</v>
      </c>
      <c r="H103" s="1358">
        <f t="shared" si="4"/>
        <v>88822102.229652256</v>
      </c>
      <c r="I103" s="1359">
        <f t="shared" si="3"/>
        <v>2242703.4700000002</v>
      </c>
    </row>
    <row r="104" spans="1:9" x14ac:dyDescent="0.3">
      <c r="A104" s="1341" t="s">
        <v>53</v>
      </c>
      <c r="B104" s="1342" t="s">
        <v>54</v>
      </c>
      <c r="C104" s="895" t="s">
        <v>251</v>
      </c>
      <c r="D104" s="1357">
        <f>'CSA LASER'!D103+'Medicaid &amp; FAMIS - LASER'!E103+'SNAP LASER'!E103+'Energy Assistance LASER'!E103+'TANF LASER'!D103+'ChildCare LASER'!I103</f>
        <v>209216643.6705268</v>
      </c>
      <c r="E104" s="1358">
        <f>'CSA LASER'!E103+'Medicaid &amp; FAMIS - LASER'!F103+'Energy Assistance LASER'!F103+'TANF LASER'!E103+'ChildCare LASER'!J103</f>
        <v>169699680.28041247</v>
      </c>
      <c r="F104" s="1358">
        <f>'CSA LASER'!F103+'Medicaid &amp; FAMIS - LASER'!G103+'Energy Assistance LASER'!G103+'TANF LASER'!F103</f>
        <v>1995903.66</v>
      </c>
      <c r="G104" s="1358">
        <f>'CSA LASER'!G103+'Energy Assistance LASER'!H103+'TANF LASER'!G103</f>
        <v>0</v>
      </c>
      <c r="H104" s="1358">
        <f t="shared" si="4"/>
        <v>380912227.61093932</v>
      </c>
      <c r="I104" s="1359">
        <f t="shared" si="3"/>
        <v>1995903.66</v>
      </c>
    </row>
    <row r="105" spans="1:9" x14ac:dyDescent="0.3">
      <c r="A105" s="1341" t="s">
        <v>65</v>
      </c>
      <c r="B105" s="1342" t="s">
        <v>66</v>
      </c>
      <c r="C105" s="895" t="s">
        <v>252</v>
      </c>
      <c r="D105" s="1357">
        <f>'CSA LASER'!D104+'Medicaid &amp; FAMIS - LASER'!E104+'SNAP LASER'!E104+'Energy Assistance LASER'!E104+'TANF LASER'!D104+'ChildCare LASER'!I104</f>
        <v>107582260.3442978</v>
      </c>
      <c r="E105" s="1358">
        <f>'CSA LASER'!E104+'Medicaid &amp; FAMIS - LASER'!F104+'Energy Assistance LASER'!F104+'TANF LASER'!E104+'ChildCare LASER'!J104</f>
        <v>87722566.587350413</v>
      </c>
      <c r="F105" s="1358">
        <f>'CSA LASER'!F104+'Medicaid &amp; FAMIS - LASER'!G104+'Energy Assistance LASER'!G104+'TANF LASER'!F104</f>
        <v>1031135.96</v>
      </c>
      <c r="G105" s="1358">
        <f>'CSA LASER'!G104+'Energy Assistance LASER'!H104+'TANF LASER'!G104</f>
        <v>0</v>
      </c>
      <c r="H105" s="1358">
        <f t="shared" si="4"/>
        <v>196335962.8916482</v>
      </c>
      <c r="I105" s="1359">
        <f t="shared" si="3"/>
        <v>1031135.96</v>
      </c>
    </row>
    <row r="106" spans="1:9" x14ac:dyDescent="0.3">
      <c r="A106" s="1341" t="s">
        <v>81</v>
      </c>
      <c r="B106" s="1342" t="s">
        <v>284</v>
      </c>
      <c r="C106" s="895" t="s">
        <v>251</v>
      </c>
      <c r="D106" s="1357">
        <f>'CSA LASER'!D105+'Medicaid &amp; FAMIS - LASER'!E105+'SNAP LASER'!E105+'Energy Assistance LASER'!E105+'TANF LASER'!D105+'ChildCare LASER'!I105</f>
        <v>21486729.259970348</v>
      </c>
      <c r="E106" s="1358">
        <f>'CSA LASER'!E105+'Medicaid &amp; FAMIS - LASER'!F105+'Energy Assistance LASER'!F105+'TANF LASER'!E105+'ChildCare LASER'!J105</f>
        <v>16953677.742392011</v>
      </c>
      <c r="F106" s="1358">
        <f>'CSA LASER'!F105+'Medicaid &amp; FAMIS - LASER'!G105+'Energy Assistance LASER'!G105+'TANF LASER'!F105</f>
        <v>61248.299999999996</v>
      </c>
      <c r="G106" s="1358">
        <f>'CSA LASER'!G105+'Energy Assistance LASER'!H105+'TANF LASER'!G105</f>
        <v>0</v>
      </c>
      <c r="H106" s="1358">
        <f t="shared" si="4"/>
        <v>38501655.302362353</v>
      </c>
      <c r="I106" s="1359">
        <f t="shared" si="3"/>
        <v>61248.299999999996</v>
      </c>
    </row>
    <row r="107" spans="1:9" x14ac:dyDescent="0.3">
      <c r="A107" s="1341" t="s">
        <v>87</v>
      </c>
      <c r="B107" s="1342" t="s">
        <v>88</v>
      </c>
      <c r="C107" s="895" t="s">
        <v>254</v>
      </c>
      <c r="D107" s="1357">
        <f>'CSA LASER'!D106+'Medicaid &amp; FAMIS - LASER'!E106+'SNAP LASER'!E106+'Energy Assistance LASER'!E106+'TANF LASER'!D106+'ChildCare LASER'!I106</f>
        <v>38576012.146833271</v>
      </c>
      <c r="E107" s="1358">
        <f>'CSA LASER'!E106+'Medicaid &amp; FAMIS - LASER'!F106+'Energy Assistance LASER'!F106+'TANF LASER'!E106+'ChildCare LASER'!J106</f>
        <v>31685469.727896631</v>
      </c>
      <c r="F107" s="1358">
        <f>'CSA LASER'!F106+'Medicaid &amp; FAMIS - LASER'!G106+'Energy Assistance LASER'!G106+'TANF LASER'!F106</f>
        <v>1053310.83</v>
      </c>
      <c r="G107" s="1358">
        <f>'CSA LASER'!G106+'Energy Assistance LASER'!H106+'TANF LASER'!G106</f>
        <v>0</v>
      </c>
      <c r="H107" s="1358">
        <f t="shared" si="4"/>
        <v>71314792.7047299</v>
      </c>
      <c r="I107" s="1359">
        <f t="shared" si="3"/>
        <v>1053310.83</v>
      </c>
    </row>
    <row r="108" spans="1:9" x14ac:dyDescent="0.3">
      <c r="A108" s="1341" t="s">
        <v>89</v>
      </c>
      <c r="B108" s="1342" t="s">
        <v>90</v>
      </c>
      <c r="C108" s="895" t="s">
        <v>255</v>
      </c>
      <c r="D108" s="1357">
        <f>'CSA LASER'!D107+'Medicaid &amp; FAMIS - LASER'!E107+'SNAP LASER'!E107+'Energy Assistance LASER'!E107+'TANF LASER'!D107+'ChildCare LASER'!I107</f>
        <v>15624487.243087476</v>
      </c>
      <c r="E108" s="1358">
        <f>'CSA LASER'!E107+'Medicaid &amp; FAMIS - LASER'!F107+'Energy Assistance LASER'!F107+'TANF LASER'!E107+'ChildCare LASER'!J107</f>
        <v>13712539.34928395</v>
      </c>
      <c r="F108" s="1358">
        <f>'CSA LASER'!F107+'Medicaid &amp; FAMIS - LASER'!G107+'Energy Assistance LASER'!G107+'TANF LASER'!F107</f>
        <v>516786.81</v>
      </c>
      <c r="G108" s="1358">
        <f>'CSA LASER'!G107+'Energy Assistance LASER'!H107+'TANF LASER'!G107</f>
        <v>0</v>
      </c>
      <c r="H108" s="1358">
        <f t="shared" si="4"/>
        <v>29853813.402371425</v>
      </c>
      <c r="I108" s="1359">
        <f t="shared" si="3"/>
        <v>516786.81</v>
      </c>
    </row>
    <row r="109" spans="1:9" x14ac:dyDescent="0.3">
      <c r="A109" s="1341" t="s">
        <v>105</v>
      </c>
      <c r="B109" s="1342" t="s">
        <v>106</v>
      </c>
      <c r="C109" s="895" t="s">
        <v>251</v>
      </c>
      <c r="D109" s="1357">
        <f>'CSA LASER'!D108+'Medicaid &amp; FAMIS - LASER'!E108+'SNAP LASER'!E108+'Energy Assistance LASER'!E108+'TANF LASER'!D108+'ChildCare LASER'!I108</f>
        <v>173826049.56924212</v>
      </c>
      <c r="E109" s="1358">
        <f>'CSA LASER'!E108+'Medicaid &amp; FAMIS - LASER'!F108+'Energy Assistance LASER'!F108+'TANF LASER'!E108+'ChildCare LASER'!J108</f>
        <v>138744303.58954337</v>
      </c>
      <c r="F109" s="1358">
        <f>'CSA LASER'!F108+'Medicaid &amp; FAMIS - LASER'!G108+'Energy Assistance LASER'!G108+'TANF LASER'!F108</f>
        <v>1365015.5</v>
      </c>
      <c r="G109" s="1358">
        <f>'CSA LASER'!G108+'Energy Assistance LASER'!H108+'TANF LASER'!G108</f>
        <v>0</v>
      </c>
      <c r="H109" s="1358">
        <f t="shared" si="4"/>
        <v>313935368.65878546</v>
      </c>
      <c r="I109" s="1359">
        <f t="shared" si="3"/>
        <v>1365015.5</v>
      </c>
    </row>
    <row r="110" spans="1:9" x14ac:dyDescent="0.3">
      <c r="A110" s="1341" t="s">
        <v>115</v>
      </c>
      <c r="B110" s="1342" t="s">
        <v>116</v>
      </c>
      <c r="C110" s="895" t="s">
        <v>253</v>
      </c>
      <c r="D110" s="1357">
        <f>'CSA LASER'!D109+'Medicaid &amp; FAMIS - LASER'!E109+'SNAP LASER'!E109+'Energy Assistance LASER'!E109+'TANF LASER'!D109+'ChildCare LASER'!I109</f>
        <v>50414756.851673163</v>
      </c>
      <c r="E110" s="1358">
        <f>'CSA LASER'!E109+'Medicaid &amp; FAMIS - LASER'!F109+'Energy Assistance LASER'!F109+'TANF LASER'!E109+'ChildCare LASER'!J109</f>
        <v>39377001.985494412</v>
      </c>
      <c r="F110" s="1358">
        <f>'CSA LASER'!F109+'Medicaid &amp; FAMIS - LASER'!G109+'Energy Assistance LASER'!G109+'TANF LASER'!F109</f>
        <v>812997.47</v>
      </c>
      <c r="G110" s="1358">
        <f>'CSA LASER'!G109+'Energy Assistance LASER'!H109+'TANF LASER'!G109</f>
        <v>0</v>
      </c>
      <c r="H110" s="1358">
        <f t="shared" si="4"/>
        <v>90604756.307167575</v>
      </c>
      <c r="I110" s="1359">
        <f t="shared" si="3"/>
        <v>812997.47</v>
      </c>
    </row>
    <row r="111" spans="1:9" x14ac:dyDescent="0.3">
      <c r="A111" s="1341" t="s">
        <v>137</v>
      </c>
      <c r="B111" s="1342" t="s">
        <v>138</v>
      </c>
      <c r="C111" s="895" t="s">
        <v>252</v>
      </c>
      <c r="D111" s="1357">
        <f>'CSA LASER'!D110+'Medicaid &amp; FAMIS - LASER'!E110+'SNAP LASER'!E110+'Energy Assistance LASER'!E110+'TANF LASER'!D110+'ChildCare LASER'!I110</f>
        <v>101564413.07036562</v>
      </c>
      <c r="E111" s="1358">
        <f>'CSA LASER'!E110+'Medicaid &amp; FAMIS - LASER'!F110+'Energy Assistance LASER'!F110+'TANF LASER'!E110+'ChildCare LASER'!J110</f>
        <v>84168544.123865053</v>
      </c>
      <c r="F111" s="1358">
        <f>'CSA LASER'!F110+'Medicaid &amp; FAMIS - LASER'!G110+'Energy Assistance LASER'!G110+'TANF LASER'!F110</f>
        <v>2140981</v>
      </c>
      <c r="G111" s="1358">
        <f>'CSA LASER'!G110+'Energy Assistance LASER'!H110+'TANF LASER'!G110</f>
        <v>0</v>
      </c>
      <c r="H111" s="1358">
        <f t="shared" si="4"/>
        <v>187873938.19423068</v>
      </c>
      <c r="I111" s="1359">
        <f t="shared" si="3"/>
        <v>2140981</v>
      </c>
    </row>
    <row r="112" spans="1:9" x14ac:dyDescent="0.3">
      <c r="A112" s="1341" t="s">
        <v>141</v>
      </c>
      <c r="B112" s="1342" t="s">
        <v>142</v>
      </c>
      <c r="C112" s="895" t="s">
        <v>254</v>
      </c>
      <c r="D112" s="1357">
        <f>'CSA LASER'!D111+'Medicaid &amp; FAMIS - LASER'!E111+'SNAP LASER'!E111+'Energy Assistance LASER'!E111+'TANF LASER'!D111+'ChildCare LASER'!I111</f>
        <v>33068003.053529974</v>
      </c>
      <c r="E112" s="1358">
        <f>'CSA LASER'!E111+'Medicaid &amp; FAMIS - LASER'!F111+'Energy Assistance LASER'!F111+'TANF LASER'!E111+'ChildCare LASER'!J111</f>
        <v>25196992.29368801</v>
      </c>
      <c r="F112" s="1358">
        <f>'CSA LASER'!F111+'Medicaid &amp; FAMIS - LASER'!G111+'Energy Assistance LASER'!G111+'TANF LASER'!F111</f>
        <v>462423.70999999996</v>
      </c>
      <c r="G112" s="1358">
        <f>'CSA LASER'!G111+'Energy Assistance LASER'!H111+'TANF LASER'!G111</f>
        <v>0</v>
      </c>
      <c r="H112" s="1358">
        <f t="shared" si="4"/>
        <v>58727419.057217985</v>
      </c>
      <c r="I112" s="1359">
        <f t="shared" si="3"/>
        <v>462423.70999999996</v>
      </c>
    </row>
    <row r="113" spans="1:9" x14ac:dyDescent="0.3">
      <c r="A113" s="1341" t="s">
        <v>143</v>
      </c>
      <c r="B113" s="1342" t="s">
        <v>144</v>
      </c>
      <c r="C113" s="895" t="s">
        <v>254</v>
      </c>
      <c r="D113" s="1357">
        <f>'CSA LASER'!D112+'Medicaid &amp; FAMIS - LASER'!E112+'SNAP LASER'!E112+'Energy Assistance LASER'!E112+'TANF LASER'!D112+'ChildCare LASER'!I112</f>
        <v>12002655.323722493</v>
      </c>
      <c r="E113" s="1358">
        <f>'CSA LASER'!E112+'Medicaid &amp; FAMIS - LASER'!F112+'Energy Assistance LASER'!F112+'TANF LASER'!E112+'ChildCare LASER'!J112</f>
        <v>9642255.1711690519</v>
      </c>
      <c r="F113" s="1358">
        <f>'CSA LASER'!F112+'Medicaid &amp; FAMIS - LASER'!G112+'Energy Assistance LASER'!G112+'TANF LASER'!F112</f>
        <v>360006.48</v>
      </c>
      <c r="G113" s="1358">
        <f>'CSA LASER'!G112+'Energy Assistance LASER'!H112+'TANF LASER'!G112</f>
        <v>0</v>
      </c>
      <c r="H113" s="1358">
        <f t="shared" si="4"/>
        <v>22004916.974891547</v>
      </c>
      <c r="I113" s="1359">
        <f t="shared" si="3"/>
        <v>360006.48</v>
      </c>
    </row>
    <row r="114" spans="1:9" x14ac:dyDescent="0.3">
      <c r="A114" s="1341" t="s">
        <v>157</v>
      </c>
      <c r="B114" s="1342" t="s">
        <v>158</v>
      </c>
      <c r="C114" s="895" t="s">
        <v>251</v>
      </c>
      <c r="D114" s="1357">
        <f>'CSA LASER'!D113+'Medicaid &amp; FAMIS - LASER'!E113+'SNAP LASER'!E113+'Energy Assistance LASER'!E113+'TANF LASER'!D113+'ChildCare LASER'!I113</f>
        <v>248846091.11637306</v>
      </c>
      <c r="E114" s="1358">
        <f>'CSA LASER'!E113+'Medicaid &amp; FAMIS - LASER'!F113+'Energy Assistance LASER'!F113+'TANF LASER'!E113+'ChildCare LASER'!J113</f>
        <v>191630880.66451776</v>
      </c>
      <c r="F114" s="1358">
        <f>'CSA LASER'!F113+'Medicaid &amp; FAMIS - LASER'!G113+'Energy Assistance LASER'!G113+'TANF LASER'!F113</f>
        <v>2357766.77</v>
      </c>
      <c r="G114" s="1358">
        <f>'CSA LASER'!G113+'Energy Assistance LASER'!H113+'TANF LASER'!G113</f>
        <v>0</v>
      </c>
      <c r="H114" s="1358">
        <f t="shared" si="4"/>
        <v>442834738.5508908</v>
      </c>
      <c r="I114" s="1359">
        <f t="shared" si="3"/>
        <v>2357766.77</v>
      </c>
    </row>
    <row r="115" spans="1:9" x14ac:dyDescent="0.3">
      <c r="A115" s="1341" t="s">
        <v>159</v>
      </c>
      <c r="B115" s="1342" t="s">
        <v>160</v>
      </c>
      <c r="C115" s="895" t="s">
        <v>251</v>
      </c>
      <c r="D115" s="1357">
        <f>'CSA LASER'!D114+'Medicaid &amp; FAMIS - LASER'!E114+'SNAP LASER'!E114+'Energy Assistance LASER'!E114+'TANF LASER'!D114+'ChildCare LASER'!I114</f>
        <v>338142665.5402863</v>
      </c>
      <c r="E115" s="1358">
        <f>'CSA LASER'!E114+'Medicaid &amp; FAMIS - LASER'!F114+'Energy Assistance LASER'!F114+'TANF LASER'!E114+'ChildCare LASER'!J114</f>
        <v>271813515.89236605</v>
      </c>
      <c r="F115" s="1358">
        <f>'CSA LASER'!F114+'Medicaid &amp; FAMIS - LASER'!G114+'Energy Assistance LASER'!G114+'TANF LASER'!F114</f>
        <v>2884811.6799999997</v>
      </c>
      <c r="G115" s="1358">
        <f>'CSA LASER'!G114+'Energy Assistance LASER'!H114+'TANF LASER'!G114</f>
        <v>0</v>
      </c>
      <c r="H115" s="1358">
        <f t="shared" si="4"/>
        <v>612840993.1126523</v>
      </c>
      <c r="I115" s="1359">
        <f t="shared" si="3"/>
        <v>2884811.6799999997</v>
      </c>
    </row>
    <row r="116" spans="1:9" x14ac:dyDescent="0.3">
      <c r="A116" s="1341" t="s">
        <v>165</v>
      </c>
      <c r="B116" s="1342" t="s">
        <v>166</v>
      </c>
      <c r="C116" s="895" t="s">
        <v>255</v>
      </c>
      <c r="D116" s="1357">
        <f>'CSA LASER'!D115+'Medicaid &amp; FAMIS - LASER'!E115+'SNAP LASER'!E115+'Energy Assistance LASER'!E115+'TANF LASER'!D115+'ChildCare LASER'!I115</f>
        <v>6873716.8590225624</v>
      </c>
      <c r="E116" s="1358">
        <f>'CSA LASER'!E115+'Medicaid &amp; FAMIS - LASER'!F115+'Energy Assistance LASER'!F115+'TANF LASER'!E115+'ChildCare LASER'!J115</f>
        <v>5251878.1359224245</v>
      </c>
      <c r="F116" s="1358">
        <f>'CSA LASER'!F115+'Medicaid &amp; FAMIS - LASER'!G115+'Energy Assistance LASER'!G115+'TANF LASER'!F115</f>
        <v>41973.599999999999</v>
      </c>
      <c r="G116" s="1358">
        <f>'CSA LASER'!G115+'Energy Assistance LASER'!H115+'TANF LASER'!G115</f>
        <v>0</v>
      </c>
      <c r="H116" s="1358">
        <f t="shared" si="4"/>
        <v>12167568.594944986</v>
      </c>
      <c r="I116" s="1359">
        <f t="shared" si="3"/>
        <v>41973.599999999999</v>
      </c>
    </row>
    <row r="117" spans="1:9" x14ac:dyDescent="0.3">
      <c r="A117" s="1341" t="s">
        <v>175</v>
      </c>
      <c r="B117" s="1342" t="s">
        <v>176</v>
      </c>
      <c r="C117" s="895" t="s">
        <v>253</v>
      </c>
      <c r="D117" s="1357">
        <f>'CSA LASER'!D116+'Medicaid &amp; FAMIS - LASER'!E116+'SNAP LASER'!E116+'Energy Assistance LASER'!E116+'TANF LASER'!D116+'ChildCare LASER'!I116</f>
        <v>91771504.380547509</v>
      </c>
      <c r="E117" s="1358">
        <f>'CSA LASER'!E116+'Medicaid &amp; FAMIS - LASER'!F116+'Energy Assistance LASER'!F116+'TANF LASER'!E116+'ChildCare LASER'!J116</f>
        <v>74552451.428837791</v>
      </c>
      <c r="F117" s="1358">
        <f>'CSA LASER'!F116+'Medicaid &amp; FAMIS - LASER'!G116+'Energy Assistance LASER'!G116+'TANF LASER'!F116</f>
        <v>1417825.6099999999</v>
      </c>
      <c r="G117" s="1358">
        <f>'CSA LASER'!G116+'Energy Assistance LASER'!H116+'TANF LASER'!G116</f>
        <v>0</v>
      </c>
      <c r="H117" s="1358">
        <f t="shared" si="4"/>
        <v>167741781.41938531</v>
      </c>
      <c r="I117" s="1359">
        <f t="shared" si="3"/>
        <v>1417825.6099999999</v>
      </c>
    </row>
    <row r="118" spans="1:9" x14ac:dyDescent="0.3">
      <c r="A118" s="1341" t="s">
        <v>179</v>
      </c>
      <c r="B118" s="1342" t="s">
        <v>180</v>
      </c>
      <c r="C118" s="895" t="s">
        <v>251</v>
      </c>
      <c r="D118" s="1357">
        <f>'CSA LASER'!D117+'Medicaid &amp; FAMIS - LASER'!E117+'SNAP LASER'!E117+'Energy Assistance LASER'!E117+'TANF LASER'!D117+'ChildCare LASER'!I117</f>
        <v>178805213.2192212</v>
      </c>
      <c r="E118" s="1358">
        <f>'CSA LASER'!E117+'Medicaid &amp; FAMIS - LASER'!F117+'Energy Assistance LASER'!F117+'TANF LASER'!E117+'ChildCare LASER'!J117</f>
        <v>137434792.99950501</v>
      </c>
      <c r="F118" s="1358">
        <f>'CSA LASER'!F117+'Medicaid &amp; FAMIS - LASER'!G117+'Energy Assistance LASER'!G117+'TANF LASER'!F117</f>
        <v>394788.55</v>
      </c>
      <c r="G118" s="1358">
        <f>'CSA LASER'!G117+'Energy Assistance LASER'!H117+'TANF LASER'!G117</f>
        <v>0</v>
      </c>
      <c r="H118" s="1358">
        <f t="shared" si="4"/>
        <v>316634794.76872623</v>
      </c>
      <c r="I118" s="1359">
        <f t="shared" si="3"/>
        <v>394788.55</v>
      </c>
    </row>
    <row r="119" spans="1:9" x14ac:dyDescent="0.3">
      <c r="A119" s="1341" t="s">
        <v>191</v>
      </c>
      <c r="B119" s="1342" t="s">
        <v>192</v>
      </c>
      <c r="C119" s="895" t="s">
        <v>255</v>
      </c>
      <c r="D119" s="1357">
        <f>'CSA LASER'!D118+'Medicaid &amp; FAMIS - LASER'!E118+'SNAP LASER'!E118+'Energy Assistance LASER'!E118+'TANF LASER'!D118+'ChildCare LASER'!I118</f>
        <v>13145290.647349915</v>
      </c>
      <c r="E119" s="1358">
        <f>'CSA LASER'!E118+'Medicaid &amp; FAMIS - LASER'!F118+'Energy Assistance LASER'!F118+'TANF LASER'!E118+'ChildCare LASER'!J118</f>
        <v>11137803.520050539</v>
      </c>
      <c r="F119" s="1358">
        <f>'CSA LASER'!F118+'Medicaid &amp; FAMIS - LASER'!G118+'Energy Assistance LASER'!G118+'TANF LASER'!F118</f>
        <v>210331.62</v>
      </c>
      <c r="G119" s="1358">
        <f>'CSA LASER'!G118+'Energy Assistance LASER'!H118+'TANF LASER'!G118</f>
        <v>0</v>
      </c>
      <c r="H119" s="1358">
        <f t="shared" si="4"/>
        <v>24493425.787400454</v>
      </c>
      <c r="I119" s="1359">
        <f t="shared" si="3"/>
        <v>210331.62</v>
      </c>
    </row>
    <row r="120" spans="1:9" x14ac:dyDescent="0.3">
      <c r="A120" s="1341" t="s">
        <v>195</v>
      </c>
      <c r="B120" s="1342" t="s">
        <v>285</v>
      </c>
      <c r="C120" s="895" t="s">
        <v>253</v>
      </c>
      <c r="D120" s="1357">
        <f>'CSA LASER'!D119+'Medicaid &amp; FAMIS - LASER'!E119+'SNAP LASER'!E119+'Energy Assistance LASER'!E119+'TANF LASER'!D119+'ChildCare LASER'!I119</f>
        <v>371694328.83247358</v>
      </c>
      <c r="E120" s="1358">
        <f>'CSA LASER'!E119+'Medicaid &amp; FAMIS - LASER'!F119+'Energy Assistance LASER'!F119+'TANF LASER'!E119+'ChildCare LASER'!J119</f>
        <v>302578664.74506229</v>
      </c>
      <c r="F120" s="1358">
        <f>'CSA LASER'!F119+'Medicaid &amp; FAMIS - LASER'!G119+'Energy Assistance LASER'!G119+'TANF LASER'!F119</f>
        <v>5920662.5800000001</v>
      </c>
      <c r="G120" s="1358">
        <f>'CSA LASER'!G119+'Energy Assistance LASER'!H119+'TANF LASER'!G119</f>
        <v>0</v>
      </c>
      <c r="H120" s="1358">
        <f t="shared" si="4"/>
        <v>680193656.15753591</v>
      </c>
      <c r="I120" s="1359">
        <f t="shared" si="3"/>
        <v>5920662.5800000001</v>
      </c>
    </row>
    <row r="121" spans="1:9" x14ac:dyDescent="0.3">
      <c r="A121" s="1341" t="s">
        <v>199</v>
      </c>
      <c r="B121" s="1342" t="s">
        <v>286</v>
      </c>
      <c r="C121" s="895" t="s">
        <v>252</v>
      </c>
      <c r="D121" s="1357">
        <f>'CSA LASER'!D120+'Medicaid &amp; FAMIS - LASER'!E120+'SNAP LASER'!E120+'Energy Assistance LASER'!E120+'TANF LASER'!D120+'ChildCare LASER'!I120</f>
        <v>184036566.84364867</v>
      </c>
      <c r="E121" s="1358">
        <f>'CSA LASER'!E120+'Medicaid &amp; FAMIS - LASER'!F120+'Energy Assistance LASER'!F120+'TANF LASER'!E120+'ChildCare LASER'!J120</f>
        <v>150507900.15244833</v>
      </c>
      <c r="F121" s="1358">
        <f>'CSA LASER'!F120+'Medicaid &amp; FAMIS - LASER'!G120+'Energy Assistance LASER'!G120+'TANF LASER'!F120</f>
        <v>3971429.63</v>
      </c>
      <c r="G121" s="1358">
        <f>'CSA LASER'!G120+'Energy Assistance LASER'!H120+'TANF LASER'!G120</f>
        <v>0</v>
      </c>
      <c r="H121" s="1358">
        <f t="shared" si="4"/>
        <v>338515896.62609696</v>
      </c>
      <c r="I121" s="1359">
        <f t="shared" si="3"/>
        <v>3971429.63</v>
      </c>
    </row>
    <row r="122" spans="1:9" x14ac:dyDescent="0.3">
      <c r="A122" s="1341" t="s">
        <v>221</v>
      </c>
      <c r="B122" s="1342" t="s">
        <v>222</v>
      </c>
      <c r="C122" s="895" t="s">
        <v>251</v>
      </c>
      <c r="D122" s="1357">
        <f>'CSA LASER'!D121+'Medicaid &amp; FAMIS - LASER'!E121+'SNAP LASER'!E121+'Energy Assistance LASER'!E121+'TANF LASER'!D121+'ChildCare LASER'!I121</f>
        <v>107355732.35885878</v>
      </c>
      <c r="E122" s="1358">
        <f>'CSA LASER'!E121+'Medicaid &amp; FAMIS - LASER'!F121+'Energy Assistance LASER'!F121+'TANF LASER'!E121+'ChildCare LASER'!J121</f>
        <v>87369513.43280302</v>
      </c>
      <c r="F122" s="1358">
        <f>'CSA LASER'!F121+'Medicaid &amp; FAMIS - LASER'!G121+'Energy Assistance LASER'!G121+'TANF LASER'!F121</f>
        <v>599911.91</v>
      </c>
      <c r="G122" s="1358">
        <f>'CSA LASER'!G121+'Energy Assistance LASER'!H121+'TANF LASER'!G121</f>
        <v>0</v>
      </c>
      <c r="H122" s="1358">
        <f t="shared" si="4"/>
        <v>195325157.7016618</v>
      </c>
      <c r="I122" s="1359">
        <f t="shared" si="3"/>
        <v>599911.91</v>
      </c>
    </row>
    <row r="123" spans="1:9" x14ac:dyDescent="0.3">
      <c r="A123" s="1341" t="s">
        <v>229</v>
      </c>
      <c r="B123" s="1342" t="s">
        <v>230</v>
      </c>
      <c r="C123" s="895" t="s">
        <v>251</v>
      </c>
      <c r="D123" s="1357">
        <f>'CSA LASER'!D122+'Medicaid &amp; FAMIS - LASER'!E122+'SNAP LASER'!E122+'Energy Assistance LASER'!E122+'TANF LASER'!D122+'ChildCare LASER'!I122</f>
        <v>317716018.17971992</v>
      </c>
      <c r="E123" s="1358">
        <f>'CSA LASER'!E122+'Medicaid &amp; FAMIS - LASER'!F122+'Energy Assistance LASER'!F122+'TANF LASER'!E122+'ChildCare LASER'!J122</f>
        <v>262459817.00058118</v>
      </c>
      <c r="F123" s="1358">
        <f>'CSA LASER'!F122+'Medicaid &amp; FAMIS - LASER'!G122+'Energy Assistance LASER'!G122+'TANF LASER'!F122</f>
        <v>5216951.91</v>
      </c>
      <c r="G123" s="1358">
        <f>'CSA LASER'!G122+'Energy Assistance LASER'!H122+'TANF LASER'!G122</f>
        <v>0</v>
      </c>
      <c r="H123" s="1358">
        <f t="shared" si="4"/>
        <v>585392787.09030104</v>
      </c>
      <c r="I123" s="1359">
        <f t="shared" si="3"/>
        <v>5216951.91</v>
      </c>
    </row>
    <row r="124" spans="1:9" x14ac:dyDescent="0.3">
      <c r="A124" s="1341" t="s">
        <v>237</v>
      </c>
      <c r="B124" s="1342" t="s">
        <v>238</v>
      </c>
      <c r="C124" s="895" t="s">
        <v>251</v>
      </c>
      <c r="D124" s="1357">
        <f>'CSA LASER'!D123+'Medicaid &amp; FAMIS - LASER'!E123+'SNAP LASER'!E123+'Energy Assistance LASER'!E123+'TANF LASER'!D123+'ChildCare LASER'!I123</f>
        <v>9034171.5986978263</v>
      </c>
      <c r="E124" s="1358">
        <f>'CSA LASER'!E123+'Medicaid &amp; FAMIS - LASER'!F123+'Energy Assistance LASER'!F123+'TANF LASER'!E123+'ChildCare LASER'!J123</f>
        <v>6790721.4287402388</v>
      </c>
      <c r="F124" s="1358">
        <f>'CSA LASER'!F123+'Medicaid &amp; FAMIS - LASER'!G123+'Energy Assistance LASER'!G123+'TANF LASER'!F123</f>
        <v>85377.08</v>
      </c>
      <c r="G124" s="1358">
        <f>'CSA LASER'!G123+'Energy Assistance LASER'!H123+'TANF LASER'!G123</f>
        <v>0</v>
      </c>
      <c r="H124" s="1358">
        <f t="shared" si="4"/>
        <v>15910270.107438065</v>
      </c>
      <c r="I124" s="1359">
        <f t="shared" si="3"/>
        <v>85377.08</v>
      </c>
    </row>
    <row r="125" spans="1:9" x14ac:dyDescent="0.3">
      <c r="A125" s="1347" t="s">
        <v>239</v>
      </c>
      <c r="B125" s="1348" t="s">
        <v>240</v>
      </c>
      <c r="C125" s="1349" t="s">
        <v>254</v>
      </c>
      <c r="D125" s="1360">
        <f>'CSA LASER'!D124+'Medicaid &amp; FAMIS - LASER'!E124+'SNAP LASER'!E124+'Energy Assistance LASER'!E124+'TANF LASER'!D124+'ChildCare LASER'!I124</f>
        <v>34266680.034584597</v>
      </c>
      <c r="E125" s="1361">
        <f>'CSA LASER'!E124+'Medicaid &amp; FAMIS - LASER'!F124+'Energy Assistance LASER'!F124+'TANF LASER'!E124+'ChildCare LASER'!J124</f>
        <v>28894461.137647055</v>
      </c>
      <c r="F125" s="1361">
        <f>'CSA LASER'!F124+'Medicaid &amp; FAMIS - LASER'!G124+'Energy Assistance LASER'!G124+'TANF LASER'!F124</f>
        <v>1526717.5</v>
      </c>
      <c r="G125" s="1361">
        <f>'CSA LASER'!G124+'Energy Assistance LASER'!H124+'TANF LASER'!G124</f>
        <v>0</v>
      </c>
      <c r="H125" s="1361">
        <f t="shared" si="4"/>
        <v>64687858.672231652</v>
      </c>
      <c r="I125" s="1362">
        <f t="shared" si="3"/>
        <v>1526717.5</v>
      </c>
    </row>
    <row r="126" spans="1:9" x14ac:dyDescent="0.3">
      <c r="A126" s="440"/>
      <c r="B126" s="440"/>
      <c r="C126" s="440"/>
    </row>
    <row r="127" spans="1:9" x14ac:dyDescent="0.3">
      <c r="A127" s="1363" t="s">
        <v>253</v>
      </c>
      <c r="B127" s="1363"/>
      <c r="C127" s="1363"/>
      <c r="D127" s="1364">
        <f>'CSA LASER'!D126+'Medicaid &amp; FAMIS - LASER'!E126+'SNAP LASER'!E126+'Energy Assistance LASER'!E126+'TANF LASER'!D126+'ChildCare LASER'!I126</f>
        <v>1574925227.5002506</v>
      </c>
      <c r="E127" s="1365">
        <f>'CSA LASER'!E126+'Medicaid &amp; FAMIS - LASER'!F126+'Energy Assistance LASER'!F126+'TANF LASER'!E126+'ChildCare LASER'!J126</f>
        <v>1294705662.4062915</v>
      </c>
      <c r="F127" s="1365">
        <f>'CSA LASER'!F126+'Medicaid &amp; FAMIS - LASER'!G126+'Energy Assistance LASER'!G126+'TANF LASER'!F126</f>
        <v>32155443.600000001</v>
      </c>
      <c r="G127" s="1365">
        <f>'CSA LASER'!G126+'Energy Assistance LASER'!H126+'TANF LASER'!G126</f>
        <v>0</v>
      </c>
      <c r="H127" s="1366">
        <f>SUM(D127:G127)</f>
        <v>2901786333.5065417</v>
      </c>
      <c r="I127" s="1367">
        <f t="shared" si="3"/>
        <v>32155443.600000001</v>
      </c>
    </row>
    <row r="128" spans="1:9" x14ac:dyDescent="0.3">
      <c r="A128" s="1363" t="s">
        <v>251</v>
      </c>
      <c r="B128" s="1363"/>
      <c r="C128" s="1363"/>
      <c r="D128" s="1364">
        <f>'CSA LASER'!D127+'Medicaid &amp; FAMIS - LASER'!E127+'SNAP LASER'!E127+'Energy Assistance LASER'!E127+'TANF LASER'!D127+'ChildCare LASER'!I127</f>
        <v>1999726835.3380752</v>
      </c>
      <c r="E128" s="1365">
        <f>'CSA LASER'!E127+'Medicaid &amp; FAMIS - LASER'!F127+'Energy Assistance LASER'!F127+'TANF LASER'!E127+'ChildCare LASER'!J127</f>
        <v>1606391071.797792</v>
      </c>
      <c r="F128" s="1365">
        <f>'CSA LASER'!F127+'Medicaid &amp; FAMIS - LASER'!G127+'Energy Assistance LASER'!G127+'TANF LASER'!F127</f>
        <v>20338066.100000001</v>
      </c>
      <c r="G128" s="1365">
        <f>'CSA LASER'!G127+'Energy Assistance LASER'!H127+'TANF LASER'!G127</f>
        <v>0</v>
      </c>
      <c r="H128" s="1366">
        <f t="shared" ref="H128:H131" si="5">SUM(D128:G128)</f>
        <v>3626455973.235867</v>
      </c>
      <c r="I128" s="1367">
        <f t="shared" si="3"/>
        <v>20338066.100000001</v>
      </c>
    </row>
    <row r="129" spans="1:9" x14ac:dyDescent="0.3">
      <c r="A129" s="1363" t="s">
        <v>254</v>
      </c>
      <c r="B129" s="1363"/>
      <c r="C129" s="1363"/>
      <c r="D129" s="1364">
        <f>'CSA LASER'!D128+'Medicaid &amp; FAMIS - LASER'!E128+'SNAP LASER'!E128+'Energy Assistance LASER'!E128+'TANF LASER'!D128+'ChildCare LASER'!I128</f>
        <v>2004069909.47679</v>
      </c>
      <c r="E129" s="1365">
        <f>'CSA LASER'!E128+'Medicaid &amp; FAMIS - LASER'!F128+'Energy Assistance LASER'!F128+'TANF LASER'!E128+'ChildCare LASER'!J128</f>
        <v>1674856947.9919057</v>
      </c>
      <c r="F129" s="1365">
        <f>'CSA LASER'!F128+'Medicaid &amp; FAMIS - LASER'!G128+'Energy Assistance LASER'!G128+'TANF LASER'!F128</f>
        <v>64217831.88000001</v>
      </c>
      <c r="G129" s="1365">
        <f>'CSA LASER'!G128+'Energy Assistance LASER'!H128+'TANF LASER'!G128</f>
        <v>0</v>
      </c>
      <c r="H129" s="1366">
        <f t="shared" si="5"/>
        <v>3743144689.3486958</v>
      </c>
      <c r="I129" s="1367">
        <f t="shared" si="3"/>
        <v>64217831.88000001</v>
      </c>
    </row>
    <row r="130" spans="1:9" x14ac:dyDescent="0.3">
      <c r="A130" s="1363" t="s">
        <v>252</v>
      </c>
      <c r="B130" s="1363"/>
      <c r="C130" s="1363"/>
      <c r="D130" s="1364">
        <f>'CSA LASER'!D129+'Medicaid &amp; FAMIS - LASER'!E129+'SNAP LASER'!E129+'Energy Assistance LASER'!E129+'TANF LASER'!D129+'ChildCare LASER'!I129</f>
        <v>1413967383.6915948</v>
      </c>
      <c r="E130" s="1365">
        <f>'CSA LASER'!E129+'Medicaid &amp; FAMIS - LASER'!F129+'Energy Assistance LASER'!F129+'TANF LASER'!E129+'ChildCare LASER'!J129</f>
        <v>1211018741.0824137</v>
      </c>
      <c r="F130" s="1365">
        <f>'CSA LASER'!F129+'Medicaid &amp; FAMIS - LASER'!G129+'Energy Assistance LASER'!G129+'TANF LASER'!F129</f>
        <v>37331822</v>
      </c>
      <c r="G130" s="1365">
        <f>'CSA LASER'!G129+'Energy Assistance LASER'!H129+'TANF LASER'!G129</f>
        <v>0</v>
      </c>
      <c r="H130" s="1366">
        <f t="shared" si="5"/>
        <v>2662317946.7740088</v>
      </c>
      <c r="I130" s="1367">
        <f t="shared" si="3"/>
        <v>37331822</v>
      </c>
    </row>
    <row r="131" spans="1:9" x14ac:dyDescent="0.3">
      <c r="A131" s="1363" t="s">
        <v>255</v>
      </c>
      <c r="B131" s="1363"/>
      <c r="C131" s="1363"/>
      <c r="D131" s="1364">
        <f>'CSA LASER'!D130+'Medicaid &amp; FAMIS - LASER'!E130+'SNAP LASER'!E130+'Energy Assistance LASER'!E130+'TANF LASER'!D130+'ChildCare LASER'!I130</f>
        <v>763356850.1176089</v>
      </c>
      <c r="E131" s="1365">
        <f>'CSA LASER'!E130+'Medicaid &amp; FAMIS - LASER'!F130+'Energy Assistance LASER'!F130+'TANF LASER'!E130+'ChildCare LASER'!J130</f>
        <v>622728994.01879847</v>
      </c>
      <c r="F131" s="1365">
        <f>'CSA LASER'!F130+'Medicaid &amp; FAMIS - LASER'!G130+'Energy Assistance LASER'!G130+'TANF LASER'!F130</f>
        <v>10250884.819999997</v>
      </c>
      <c r="G131" s="1365">
        <f>'CSA LASER'!G130+'Energy Assistance LASER'!H130+'TANF LASER'!G130</f>
        <v>0</v>
      </c>
      <c r="H131" s="1366">
        <f t="shared" si="5"/>
        <v>1396336728.9564073</v>
      </c>
      <c r="I131" s="1367">
        <f t="shared" si="3"/>
        <v>10250884.819999997</v>
      </c>
    </row>
    <row r="132" spans="1:9" x14ac:dyDescent="0.3">
      <c r="A132" s="1363" t="s">
        <v>8</v>
      </c>
      <c r="B132" s="1363"/>
      <c r="C132" s="1363"/>
      <c r="D132" s="1368">
        <f>SUM(D127:D131)</f>
        <v>7756046206.1243191</v>
      </c>
      <c r="E132" s="1365">
        <f t="shared" ref="E132:I132" si="6">SUM(E127:E131)</f>
        <v>6409701417.2972021</v>
      </c>
      <c r="F132" s="1365">
        <f t="shared" si="6"/>
        <v>164294048.40000001</v>
      </c>
      <c r="G132" s="1365">
        <f t="shared" si="6"/>
        <v>0</v>
      </c>
      <c r="H132" s="1365">
        <f t="shared" si="6"/>
        <v>14330041671.82152</v>
      </c>
      <c r="I132" s="1367">
        <f t="shared" si="6"/>
        <v>164294048.40000001</v>
      </c>
    </row>
    <row r="133" spans="1:9" x14ac:dyDescent="0.3">
      <c r="A133" s="440"/>
      <c r="B133" s="440"/>
      <c r="C133" s="440"/>
    </row>
    <row r="134" spans="1:9" x14ac:dyDescent="0.3">
      <c r="A134" s="1001" t="s">
        <v>913</v>
      </c>
      <c r="B134" s="440"/>
      <c r="C134" s="440"/>
    </row>
    <row r="135" spans="1:9" x14ac:dyDescent="0.3">
      <c r="A135" s="426"/>
      <c r="B135" s="426"/>
      <c r="C135" s="426"/>
    </row>
    <row r="136" spans="1:9" x14ac:dyDescent="0.3">
      <c r="A136" s="41" t="s">
        <v>247</v>
      </c>
      <c r="B136" s="441"/>
      <c r="C136" s="441"/>
    </row>
    <row r="137" spans="1:9" x14ac:dyDescent="0.3">
      <c r="A137" s="41" t="s">
        <v>248</v>
      </c>
      <c r="B137" s="195" t="s">
        <v>249</v>
      </c>
      <c r="C137" s="442"/>
    </row>
  </sheetData>
  <hyperlinks>
    <hyperlink ref="B137"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133"/>
  <sheetViews>
    <sheetView workbookViewId="0">
      <pane xSplit="3" ySplit="6" topLeftCell="D7" activePane="bottomRight" state="frozen"/>
      <selection pane="topRight" activeCell="E1" sqref="E1"/>
      <selection pane="bottomLeft" activeCell="A7" sqref="A7"/>
      <selection pane="bottomRight" activeCell="L7" sqref="L7:N126"/>
    </sheetView>
  </sheetViews>
  <sheetFormatPr defaultColWidth="9" defaultRowHeight="15.6" x14ac:dyDescent="0.3"/>
  <cols>
    <col min="1" max="1" width="6.09765625" style="105" bestFit="1" customWidth="1"/>
    <col min="2" max="2" width="26.296875" style="443" customWidth="1"/>
    <col min="3" max="3" width="10.296875" style="443" customWidth="1"/>
    <col min="4" max="15" width="8.59765625" style="105" customWidth="1"/>
    <col min="16" max="19" width="9.796875" style="105" customWidth="1"/>
    <col min="20" max="20" width="16.09765625" style="105" customWidth="1"/>
    <col min="21" max="16384" width="9" style="105"/>
  </cols>
  <sheetData>
    <row r="1" spans="1:36" x14ac:dyDescent="0.3">
      <c r="A1" s="2" t="s">
        <v>890</v>
      </c>
      <c r="B1" s="105"/>
      <c r="C1" s="105"/>
    </row>
    <row r="3" spans="1:36" x14ac:dyDescent="0.3">
      <c r="B3" s="105"/>
      <c r="C3" s="105"/>
    </row>
    <row r="4" spans="1:36" ht="15.75" customHeight="1" x14ac:dyDescent="0.3">
      <c r="D4" s="2573" t="s">
        <v>424</v>
      </c>
      <c r="E4" s="2574"/>
      <c r="F4" s="2574"/>
      <c r="G4" s="2575"/>
      <c r="H4" s="2573" t="s">
        <v>432</v>
      </c>
      <c r="I4" s="2574"/>
      <c r="J4" s="2574"/>
      <c r="K4" s="2575"/>
      <c r="L4" s="2573" t="s">
        <v>433</v>
      </c>
      <c r="M4" s="2574"/>
      <c r="N4" s="2574"/>
      <c r="O4" s="2575"/>
      <c r="P4" s="2576" t="s">
        <v>458</v>
      </c>
      <c r="Q4" s="2579" t="s">
        <v>515</v>
      </c>
      <c r="R4" s="2580"/>
      <c r="S4" s="2581"/>
      <c r="T4" s="2578" t="s">
        <v>459</v>
      </c>
      <c r="U4" s="2573" t="s">
        <v>434</v>
      </c>
      <c r="V4" s="2583"/>
      <c r="W4" s="2574"/>
      <c r="X4" s="2575"/>
      <c r="Y4" s="2582" t="s">
        <v>800</v>
      </c>
      <c r="Z4" s="2582"/>
      <c r="AA4" s="2582"/>
      <c r="AB4" s="2582" t="s">
        <v>801</v>
      </c>
      <c r="AC4" s="2582"/>
      <c r="AD4" s="2582"/>
      <c r="AE4" s="2582" t="s">
        <v>802</v>
      </c>
      <c r="AF4" s="2582"/>
      <c r="AG4" s="2582"/>
      <c r="AH4" s="2582" t="s">
        <v>803</v>
      </c>
      <c r="AI4" s="2582"/>
      <c r="AJ4" s="2582"/>
    </row>
    <row r="5" spans="1:36" x14ac:dyDescent="0.3">
      <c r="A5" s="444" t="s">
        <v>4</v>
      </c>
      <c r="B5" s="445" t="s">
        <v>428</v>
      </c>
      <c r="C5" s="445" t="s">
        <v>250</v>
      </c>
      <c r="D5" s="428" t="s">
        <v>512</v>
      </c>
      <c r="E5" s="429" t="s">
        <v>513</v>
      </c>
      <c r="F5" s="429" t="s">
        <v>508</v>
      </c>
      <c r="G5" s="430" t="s">
        <v>422</v>
      </c>
      <c r="H5" s="428" t="s">
        <v>512</v>
      </c>
      <c r="I5" s="429" t="s">
        <v>513</v>
      </c>
      <c r="J5" s="429" t="s">
        <v>508</v>
      </c>
      <c r="K5" s="177" t="s">
        <v>422</v>
      </c>
      <c r="L5" s="428" t="s">
        <v>512</v>
      </c>
      <c r="M5" s="429" t="s">
        <v>513</v>
      </c>
      <c r="N5" s="429" t="s">
        <v>508</v>
      </c>
      <c r="O5" s="177" t="s">
        <v>422</v>
      </c>
      <c r="P5" s="2577"/>
      <c r="Q5" s="563" t="s">
        <v>512</v>
      </c>
      <c r="R5" s="563" t="s">
        <v>513</v>
      </c>
      <c r="S5" s="563" t="s">
        <v>508</v>
      </c>
      <c r="T5" s="2578"/>
      <c r="U5" s="431" t="s">
        <v>512</v>
      </c>
      <c r="V5" s="432" t="s">
        <v>513</v>
      </c>
      <c r="W5" s="433" t="s">
        <v>508</v>
      </c>
      <c r="X5" s="434" t="s">
        <v>262</v>
      </c>
      <c r="Y5" s="105" t="s">
        <v>799</v>
      </c>
      <c r="Z5" s="105" t="s">
        <v>604</v>
      </c>
      <c r="AA5" s="105" t="s">
        <v>605</v>
      </c>
      <c r="AB5" s="105" t="s">
        <v>799</v>
      </c>
      <c r="AC5" s="105" t="s">
        <v>604</v>
      </c>
      <c r="AD5" s="105" t="s">
        <v>605</v>
      </c>
      <c r="AE5" s="105" t="s">
        <v>799</v>
      </c>
      <c r="AF5" s="105" t="s">
        <v>604</v>
      </c>
      <c r="AG5" s="105" t="s">
        <v>605</v>
      </c>
      <c r="AH5" s="105" t="s">
        <v>799</v>
      </c>
      <c r="AI5" s="105" t="s">
        <v>604</v>
      </c>
      <c r="AJ5" s="105" t="s">
        <v>605</v>
      </c>
    </row>
    <row r="6" spans="1:36" x14ac:dyDescent="0.3">
      <c r="A6" s="446" t="s">
        <v>7</v>
      </c>
      <c r="B6" s="447" t="s">
        <v>8</v>
      </c>
      <c r="C6" s="447"/>
      <c r="D6" s="465">
        <f>SUM(D7:D126)</f>
        <v>5840</v>
      </c>
      <c r="E6" s="466">
        <f t="shared" ref="E6:J6" si="0">SUM(E7:E126)</f>
        <v>2934</v>
      </c>
      <c r="F6" s="466">
        <f t="shared" si="0"/>
        <v>265</v>
      </c>
      <c r="G6" s="467">
        <f t="shared" ref="G6:G37" si="1">SUM(D6:F6)</f>
        <v>9039</v>
      </c>
      <c r="H6" s="466">
        <f t="shared" si="0"/>
        <v>1178</v>
      </c>
      <c r="I6" s="466">
        <f t="shared" si="0"/>
        <v>553</v>
      </c>
      <c r="J6" s="466">
        <f t="shared" si="0"/>
        <v>69</v>
      </c>
      <c r="K6" s="467">
        <f t="shared" ref="K6:K37" si="2">SUM(H6:J6)</f>
        <v>1800</v>
      </c>
      <c r="L6" s="468">
        <f>SUM(L7:L126)</f>
        <v>24</v>
      </c>
      <c r="M6" s="469">
        <f>SUM(M7:M126)</f>
        <v>15</v>
      </c>
      <c r="N6" s="469">
        <f>SUM(N7:N126)</f>
        <v>2</v>
      </c>
      <c r="O6" s="470">
        <f t="shared" ref="O6:O37" si="3">SUM(L6:N6)</f>
        <v>41</v>
      </c>
      <c r="P6" s="471">
        <f t="shared" ref="P6:P37" si="4">G6+K6+O6</f>
        <v>10880</v>
      </c>
      <c r="Q6" s="471">
        <f>D6+H6</f>
        <v>7018</v>
      </c>
      <c r="R6" s="471">
        <f>E6+I6</f>
        <v>3487</v>
      </c>
      <c r="S6" s="471">
        <f>F6+J6</f>
        <v>334</v>
      </c>
      <c r="T6" s="471">
        <f>G6+K6</f>
        <v>10839</v>
      </c>
      <c r="U6" s="463">
        <f t="shared" ref="U6:U37" si="5">IF((D6+H6)=0,"NA",(H6/(D6+H6)))</f>
        <v>0.16785408948418354</v>
      </c>
      <c r="V6" s="463">
        <f t="shared" ref="V6:V37" si="6">IF((E6+I6)=0,"NA",(I6/(E6+I6)))</f>
        <v>0.15858904502437626</v>
      </c>
      <c r="W6" s="463">
        <f t="shared" ref="W6:W37" si="7">IF((F6+J6)=0,"NA",(J6/(F6+J6)))</f>
        <v>0.20658682634730538</v>
      </c>
      <c r="X6" s="464">
        <f t="shared" ref="X6:X37" si="8">IF((G6+K6)=0,"NA",(K6/(G6+K6)))</f>
        <v>0.16606698034874065</v>
      </c>
      <c r="Y6" s="1746">
        <f>SUM(Y7:Y126)</f>
        <v>1717</v>
      </c>
      <c r="Z6" s="1746">
        <f t="shared" ref="Z6:AD6" si="9">SUM(Z7:Z126)</f>
        <v>4442</v>
      </c>
      <c r="AA6" s="1746">
        <f t="shared" si="9"/>
        <v>2911</v>
      </c>
      <c r="AB6" s="1746">
        <f t="shared" si="9"/>
        <v>407</v>
      </c>
      <c r="AC6" s="1746">
        <f t="shared" si="9"/>
        <v>894</v>
      </c>
      <c r="AD6" s="1746">
        <f t="shared" si="9"/>
        <v>554</v>
      </c>
      <c r="AE6" s="1746">
        <f t="shared" ref="AE6:AG7" si="10">Y6+AB6</f>
        <v>2124</v>
      </c>
      <c r="AF6" s="1746">
        <f t="shared" si="10"/>
        <v>5336</v>
      </c>
      <c r="AG6" s="1746">
        <f t="shared" si="10"/>
        <v>3465</v>
      </c>
      <c r="AH6" s="1743">
        <f>AB6/AE6</f>
        <v>0.1916195856873823</v>
      </c>
      <c r="AI6" s="1743">
        <f>AC6/AF6</f>
        <v>0.16754122938530736</v>
      </c>
      <c r="AJ6" s="1743">
        <f>AD6/AG6</f>
        <v>0.15988455988455988</v>
      </c>
    </row>
    <row r="7" spans="1:36" x14ac:dyDescent="0.3">
      <c r="A7" s="267" t="s">
        <v>9</v>
      </c>
      <c r="B7" s="205" t="s">
        <v>10</v>
      </c>
      <c r="C7" s="229" t="s">
        <v>251</v>
      </c>
      <c r="D7" s="448">
        <v>38</v>
      </c>
      <c r="E7" s="449">
        <v>17</v>
      </c>
      <c r="F7" s="449"/>
      <c r="G7" s="149">
        <f t="shared" si="1"/>
        <v>55</v>
      </c>
      <c r="H7" s="448">
        <v>5</v>
      </c>
      <c r="I7" s="449">
        <v>3</v>
      </c>
      <c r="J7" s="449"/>
      <c r="K7" s="149">
        <f t="shared" si="2"/>
        <v>8</v>
      </c>
      <c r="L7" s="448"/>
      <c r="M7" s="449"/>
      <c r="N7" s="449"/>
      <c r="O7" s="149">
        <f t="shared" si="3"/>
        <v>0</v>
      </c>
      <c r="P7" s="450">
        <f t="shared" si="4"/>
        <v>63</v>
      </c>
      <c r="Q7" s="564">
        <f t="shared" ref="Q7:Q70" si="11">D7+H7</f>
        <v>43</v>
      </c>
      <c r="R7" s="564">
        <f t="shared" ref="R7:R70" si="12">E7+I7</f>
        <v>20</v>
      </c>
      <c r="S7" s="564">
        <f t="shared" ref="S7:S70" si="13">F7+J7</f>
        <v>0</v>
      </c>
      <c r="T7" s="450">
        <f t="shared" ref="T7:T38" si="14">G7+K7</f>
        <v>63</v>
      </c>
      <c r="U7" s="451">
        <f t="shared" si="5"/>
        <v>0.11627906976744186</v>
      </c>
      <c r="V7" s="452">
        <f t="shared" si="6"/>
        <v>0.15</v>
      </c>
      <c r="W7" s="453" t="str">
        <f t="shared" si="7"/>
        <v>NA</v>
      </c>
      <c r="X7" s="454">
        <f t="shared" si="8"/>
        <v>0.12698412698412698</v>
      </c>
      <c r="Y7" s="511">
        <v>12</v>
      </c>
      <c r="Z7" s="511">
        <v>32</v>
      </c>
      <c r="AA7" s="511">
        <v>11</v>
      </c>
      <c r="AB7" s="511">
        <v>3</v>
      </c>
      <c r="AC7" s="511">
        <v>1</v>
      </c>
      <c r="AD7" s="511">
        <v>4</v>
      </c>
      <c r="AE7" s="511">
        <f t="shared" si="10"/>
        <v>15</v>
      </c>
      <c r="AF7" s="511">
        <f t="shared" si="10"/>
        <v>33</v>
      </c>
      <c r="AG7" s="511">
        <f t="shared" si="10"/>
        <v>15</v>
      </c>
      <c r="AH7" s="1731">
        <f t="shared" ref="AH7:AH70" si="15">AB7/AE7</f>
        <v>0.2</v>
      </c>
      <c r="AI7" s="1731">
        <f t="shared" ref="AI7:AI70" si="16">AC7/AF7</f>
        <v>3.0303030303030304E-2</v>
      </c>
      <c r="AJ7" s="1731">
        <f t="shared" ref="AJ7:AJ70" si="17">AD7/AG7</f>
        <v>0.26666666666666666</v>
      </c>
    </row>
    <row r="8" spans="1:36" x14ac:dyDescent="0.3">
      <c r="A8" s="267" t="s">
        <v>11</v>
      </c>
      <c r="B8" s="205" t="s">
        <v>12</v>
      </c>
      <c r="C8" s="229" t="s">
        <v>252</v>
      </c>
      <c r="D8" s="448">
        <v>81</v>
      </c>
      <c r="E8" s="449">
        <v>45</v>
      </c>
      <c r="F8" s="449">
        <v>18</v>
      </c>
      <c r="G8" s="149">
        <f t="shared" si="1"/>
        <v>144</v>
      </c>
      <c r="H8" s="448">
        <v>8</v>
      </c>
      <c r="I8" s="449">
        <v>5</v>
      </c>
      <c r="J8" s="449"/>
      <c r="K8" s="149">
        <f t="shared" si="2"/>
        <v>13</v>
      </c>
      <c r="L8" s="448"/>
      <c r="M8" s="449"/>
      <c r="N8" s="449"/>
      <c r="O8" s="149">
        <f t="shared" si="3"/>
        <v>0</v>
      </c>
      <c r="P8" s="450">
        <f t="shared" si="4"/>
        <v>157</v>
      </c>
      <c r="Q8" s="564">
        <f t="shared" si="11"/>
        <v>89</v>
      </c>
      <c r="R8" s="564">
        <f t="shared" si="12"/>
        <v>50</v>
      </c>
      <c r="S8" s="564">
        <f t="shared" si="13"/>
        <v>18</v>
      </c>
      <c r="T8" s="450">
        <f t="shared" si="14"/>
        <v>157</v>
      </c>
      <c r="U8" s="451">
        <f t="shared" si="5"/>
        <v>8.98876404494382E-2</v>
      </c>
      <c r="V8" s="452">
        <f t="shared" si="6"/>
        <v>0.1</v>
      </c>
      <c r="W8" s="453">
        <f t="shared" si="7"/>
        <v>0</v>
      </c>
      <c r="X8" s="454">
        <f t="shared" si="8"/>
        <v>8.2802547770700632E-2</v>
      </c>
      <c r="Y8" s="511">
        <v>33</v>
      </c>
      <c r="Z8" s="511">
        <v>50</v>
      </c>
      <c r="AA8" s="511">
        <v>61</v>
      </c>
      <c r="AB8" s="511">
        <v>5</v>
      </c>
      <c r="AC8" s="511">
        <v>2</v>
      </c>
      <c r="AD8" s="511">
        <v>6</v>
      </c>
      <c r="AE8" s="511">
        <f t="shared" ref="AE8:AE71" si="18">Y8+AB8</f>
        <v>38</v>
      </c>
      <c r="AF8" s="511">
        <f t="shared" ref="AF8:AF71" si="19">Z8+AC8</f>
        <v>52</v>
      </c>
      <c r="AG8" s="511">
        <f t="shared" ref="AG8:AG71" si="20">AA8+AD8</f>
        <v>67</v>
      </c>
      <c r="AH8" s="1731">
        <f t="shared" si="15"/>
        <v>0.13157894736842105</v>
      </c>
      <c r="AI8" s="1731">
        <f t="shared" si="16"/>
        <v>3.8461538461538464E-2</v>
      </c>
      <c r="AJ8" s="1731">
        <f t="shared" si="17"/>
        <v>8.9552238805970144E-2</v>
      </c>
    </row>
    <row r="9" spans="1:36" x14ac:dyDescent="0.3">
      <c r="A9" s="267" t="s">
        <v>15</v>
      </c>
      <c r="B9" s="205" t="s">
        <v>273</v>
      </c>
      <c r="C9" s="229" t="s">
        <v>252</v>
      </c>
      <c r="D9" s="448">
        <v>25</v>
      </c>
      <c r="E9" s="449">
        <v>11</v>
      </c>
      <c r="F9" s="449"/>
      <c r="G9" s="149">
        <f t="shared" si="1"/>
        <v>36</v>
      </c>
      <c r="H9" s="448">
        <v>1</v>
      </c>
      <c r="I9" s="449">
        <v>1</v>
      </c>
      <c r="J9" s="449"/>
      <c r="K9" s="149">
        <f t="shared" si="2"/>
        <v>2</v>
      </c>
      <c r="L9" s="448">
        <v>1</v>
      </c>
      <c r="M9" s="449"/>
      <c r="N9" s="449"/>
      <c r="O9" s="149">
        <f t="shared" si="3"/>
        <v>1</v>
      </c>
      <c r="P9" s="450">
        <f t="shared" si="4"/>
        <v>39</v>
      </c>
      <c r="Q9" s="564">
        <f t="shared" si="11"/>
        <v>26</v>
      </c>
      <c r="R9" s="564">
        <f t="shared" si="12"/>
        <v>12</v>
      </c>
      <c r="S9" s="564">
        <f t="shared" si="13"/>
        <v>0</v>
      </c>
      <c r="T9" s="450">
        <f t="shared" si="14"/>
        <v>38</v>
      </c>
      <c r="U9" s="451">
        <f t="shared" si="5"/>
        <v>3.8461538461538464E-2</v>
      </c>
      <c r="V9" s="452">
        <f t="shared" si="6"/>
        <v>8.3333333333333329E-2</v>
      </c>
      <c r="W9" s="453" t="str">
        <f t="shared" si="7"/>
        <v>NA</v>
      </c>
      <c r="X9" s="454">
        <f t="shared" si="8"/>
        <v>5.2631578947368418E-2</v>
      </c>
      <c r="Y9" s="511">
        <v>4</v>
      </c>
      <c r="Z9" s="511">
        <v>23</v>
      </c>
      <c r="AA9" s="511">
        <v>9</v>
      </c>
      <c r="AB9" s="511">
        <v>1</v>
      </c>
      <c r="AC9" s="511">
        <v>1</v>
      </c>
      <c r="AD9" s="511"/>
      <c r="AE9" s="511">
        <f t="shared" si="18"/>
        <v>5</v>
      </c>
      <c r="AF9" s="511">
        <f t="shared" si="19"/>
        <v>24</v>
      </c>
      <c r="AG9" s="511">
        <f t="shared" si="20"/>
        <v>9</v>
      </c>
      <c r="AH9" s="1731">
        <f t="shared" si="15"/>
        <v>0.2</v>
      </c>
      <c r="AI9" s="1731">
        <f t="shared" si="16"/>
        <v>4.1666666666666664E-2</v>
      </c>
      <c r="AJ9" s="1731">
        <f t="shared" si="17"/>
        <v>0</v>
      </c>
    </row>
    <row r="10" spans="1:36" x14ac:dyDescent="0.3">
      <c r="A10" s="267" t="s">
        <v>17</v>
      </c>
      <c r="B10" s="205" t="s">
        <v>18</v>
      </c>
      <c r="C10" s="229" t="s">
        <v>253</v>
      </c>
      <c r="D10" s="448">
        <v>12</v>
      </c>
      <c r="E10" s="449">
        <v>7</v>
      </c>
      <c r="F10" s="449"/>
      <c r="G10" s="149">
        <f t="shared" si="1"/>
        <v>19</v>
      </c>
      <c r="H10" s="448"/>
      <c r="I10" s="449"/>
      <c r="J10" s="449">
        <v>1</v>
      </c>
      <c r="K10" s="149">
        <f t="shared" si="2"/>
        <v>1</v>
      </c>
      <c r="L10" s="448"/>
      <c r="M10" s="449"/>
      <c r="N10" s="449"/>
      <c r="O10" s="149">
        <f t="shared" si="3"/>
        <v>0</v>
      </c>
      <c r="P10" s="450">
        <f t="shared" si="4"/>
        <v>20</v>
      </c>
      <c r="Q10" s="564">
        <f t="shared" si="11"/>
        <v>12</v>
      </c>
      <c r="R10" s="564">
        <f t="shared" si="12"/>
        <v>7</v>
      </c>
      <c r="S10" s="564">
        <f t="shared" si="13"/>
        <v>1</v>
      </c>
      <c r="T10" s="450">
        <f t="shared" si="14"/>
        <v>20</v>
      </c>
      <c r="U10" s="451">
        <f t="shared" si="5"/>
        <v>0</v>
      </c>
      <c r="V10" s="452">
        <f t="shared" si="6"/>
        <v>0</v>
      </c>
      <c r="W10" s="453">
        <f t="shared" si="7"/>
        <v>1</v>
      </c>
      <c r="X10" s="454">
        <f t="shared" si="8"/>
        <v>0.05</v>
      </c>
      <c r="Y10" s="511">
        <v>5</v>
      </c>
      <c r="Z10" s="511">
        <v>9</v>
      </c>
      <c r="AA10" s="511">
        <v>5</v>
      </c>
      <c r="AB10" s="511"/>
      <c r="AC10" s="511"/>
      <c r="AD10" s="511">
        <v>1</v>
      </c>
      <c r="AE10" s="511">
        <f t="shared" si="18"/>
        <v>5</v>
      </c>
      <c r="AF10" s="511">
        <f t="shared" si="19"/>
        <v>9</v>
      </c>
      <c r="AG10" s="511">
        <f t="shared" si="20"/>
        <v>6</v>
      </c>
      <c r="AH10" s="1731">
        <f t="shared" si="15"/>
        <v>0</v>
      </c>
      <c r="AI10" s="1731">
        <f t="shared" si="16"/>
        <v>0</v>
      </c>
      <c r="AJ10" s="1731">
        <f t="shared" si="17"/>
        <v>0.16666666666666666</v>
      </c>
    </row>
    <row r="11" spans="1:36" x14ac:dyDescent="0.3">
      <c r="A11" s="267" t="s">
        <v>19</v>
      </c>
      <c r="B11" s="205" t="s">
        <v>20</v>
      </c>
      <c r="C11" s="229" t="s">
        <v>252</v>
      </c>
      <c r="D11" s="448">
        <v>32</v>
      </c>
      <c r="E11" s="449">
        <v>12</v>
      </c>
      <c r="F11" s="449"/>
      <c r="G11" s="149">
        <f t="shared" si="1"/>
        <v>44</v>
      </c>
      <c r="H11" s="448">
        <v>3</v>
      </c>
      <c r="I11" s="449">
        <v>1</v>
      </c>
      <c r="J11" s="449"/>
      <c r="K11" s="149">
        <f t="shared" si="2"/>
        <v>4</v>
      </c>
      <c r="L11" s="448"/>
      <c r="M11" s="449"/>
      <c r="N11" s="449"/>
      <c r="O11" s="149">
        <f t="shared" si="3"/>
        <v>0</v>
      </c>
      <c r="P11" s="450">
        <f t="shared" si="4"/>
        <v>48</v>
      </c>
      <c r="Q11" s="564">
        <f t="shared" si="11"/>
        <v>35</v>
      </c>
      <c r="R11" s="564">
        <f t="shared" si="12"/>
        <v>13</v>
      </c>
      <c r="S11" s="564">
        <f t="shared" si="13"/>
        <v>0</v>
      </c>
      <c r="T11" s="450">
        <f t="shared" si="14"/>
        <v>48</v>
      </c>
      <c r="U11" s="451">
        <f t="shared" si="5"/>
        <v>8.5714285714285715E-2</v>
      </c>
      <c r="V11" s="452">
        <f t="shared" si="6"/>
        <v>7.6923076923076927E-2</v>
      </c>
      <c r="W11" s="453" t="str">
        <f t="shared" si="7"/>
        <v>NA</v>
      </c>
      <c r="X11" s="454">
        <f t="shared" si="8"/>
        <v>8.3333333333333329E-2</v>
      </c>
      <c r="Y11" s="511">
        <v>8</v>
      </c>
      <c r="Z11" s="511">
        <v>23</v>
      </c>
      <c r="AA11" s="511">
        <v>13</v>
      </c>
      <c r="AB11" s="511">
        <v>1</v>
      </c>
      <c r="AC11" s="511">
        <v>4</v>
      </c>
      <c r="AD11" s="511">
        <v>1</v>
      </c>
      <c r="AE11" s="511">
        <f t="shared" si="18"/>
        <v>9</v>
      </c>
      <c r="AF11" s="511">
        <f t="shared" si="19"/>
        <v>27</v>
      </c>
      <c r="AG11" s="511">
        <f t="shared" si="20"/>
        <v>14</v>
      </c>
      <c r="AH11" s="1731">
        <f t="shared" si="15"/>
        <v>0.1111111111111111</v>
      </c>
      <c r="AI11" s="1731">
        <f t="shared" si="16"/>
        <v>0.14814814814814814</v>
      </c>
      <c r="AJ11" s="1731">
        <f t="shared" si="17"/>
        <v>7.1428571428571425E-2</v>
      </c>
    </row>
    <row r="12" spans="1:36" x14ac:dyDescent="0.3">
      <c r="A12" s="267" t="s">
        <v>21</v>
      </c>
      <c r="B12" s="205" t="s">
        <v>22</v>
      </c>
      <c r="C12" s="229" t="s">
        <v>252</v>
      </c>
      <c r="D12" s="448">
        <v>14</v>
      </c>
      <c r="E12" s="449">
        <v>6</v>
      </c>
      <c r="F12" s="449"/>
      <c r="G12" s="149">
        <f t="shared" si="1"/>
        <v>20</v>
      </c>
      <c r="H12" s="448">
        <v>3</v>
      </c>
      <c r="I12" s="449">
        <v>2</v>
      </c>
      <c r="J12" s="449"/>
      <c r="K12" s="149">
        <f t="shared" si="2"/>
        <v>5</v>
      </c>
      <c r="L12" s="448"/>
      <c r="M12" s="449"/>
      <c r="N12" s="449"/>
      <c r="O12" s="149">
        <f t="shared" si="3"/>
        <v>0</v>
      </c>
      <c r="P12" s="450">
        <f t="shared" si="4"/>
        <v>25</v>
      </c>
      <c r="Q12" s="564">
        <f t="shared" si="11"/>
        <v>17</v>
      </c>
      <c r="R12" s="564">
        <f t="shared" si="12"/>
        <v>8</v>
      </c>
      <c r="S12" s="564">
        <f t="shared" si="13"/>
        <v>0</v>
      </c>
      <c r="T12" s="450">
        <f t="shared" si="14"/>
        <v>25</v>
      </c>
      <c r="U12" s="451">
        <f t="shared" si="5"/>
        <v>0.17647058823529413</v>
      </c>
      <c r="V12" s="452">
        <f t="shared" si="6"/>
        <v>0.25</v>
      </c>
      <c r="W12" s="453" t="str">
        <f t="shared" si="7"/>
        <v>NA</v>
      </c>
      <c r="X12" s="454">
        <f t="shared" si="8"/>
        <v>0.2</v>
      </c>
      <c r="Y12" s="511">
        <v>2</v>
      </c>
      <c r="Z12" s="511">
        <v>12</v>
      </c>
      <c r="AA12" s="511">
        <v>6</v>
      </c>
      <c r="AB12" s="511">
        <v>2</v>
      </c>
      <c r="AC12" s="511">
        <v>1</v>
      </c>
      <c r="AD12" s="511">
        <v>2</v>
      </c>
      <c r="AE12" s="511">
        <f t="shared" si="18"/>
        <v>4</v>
      </c>
      <c r="AF12" s="511">
        <f t="shared" si="19"/>
        <v>13</v>
      </c>
      <c r="AG12" s="511">
        <f t="shared" si="20"/>
        <v>8</v>
      </c>
      <c r="AH12" s="1731">
        <f t="shared" si="15"/>
        <v>0.5</v>
      </c>
      <c r="AI12" s="1731">
        <f t="shared" si="16"/>
        <v>7.6923076923076927E-2</v>
      </c>
      <c r="AJ12" s="1731">
        <f t="shared" si="17"/>
        <v>0.25</v>
      </c>
    </row>
    <row r="13" spans="1:36" x14ac:dyDescent="0.3">
      <c r="A13" s="267" t="s">
        <v>23</v>
      </c>
      <c r="B13" s="205" t="s">
        <v>24</v>
      </c>
      <c r="C13" s="229" t="s">
        <v>254</v>
      </c>
      <c r="D13" s="448">
        <v>94</v>
      </c>
      <c r="E13" s="449">
        <v>52</v>
      </c>
      <c r="F13" s="449">
        <v>3</v>
      </c>
      <c r="G13" s="149">
        <f t="shared" si="1"/>
        <v>149</v>
      </c>
      <c r="H13" s="448">
        <v>24</v>
      </c>
      <c r="I13" s="449">
        <v>9</v>
      </c>
      <c r="J13" s="449"/>
      <c r="K13" s="149">
        <f t="shared" si="2"/>
        <v>33</v>
      </c>
      <c r="L13" s="448"/>
      <c r="M13" s="449"/>
      <c r="N13" s="449"/>
      <c r="O13" s="149">
        <f t="shared" si="3"/>
        <v>0</v>
      </c>
      <c r="P13" s="450">
        <f t="shared" si="4"/>
        <v>182</v>
      </c>
      <c r="Q13" s="564">
        <f t="shared" si="11"/>
        <v>118</v>
      </c>
      <c r="R13" s="564">
        <f t="shared" si="12"/>
        <v>61</v>
      </c>
      <c r="S13" s="564">
        <f t="shared" si="13"/>
        <v>3</v>
      </c>
      <c r="T13" s="450">
        <f t="shared" si="14"/>
        <v>182</v>
      </c>
      <c r="U13" s="451">
        <f t="shared" si="5"/>
        <v>0.20338983050847459</v>
      </c>
      <c r="V13" s="452">
        <f t="shared" si="6"/>
        <v>0.14754098360655737</v>
      </c>
      <c r="W13" s="453">
        <f t="shared" si="7"/>
        <v>0</v>
      </c>
      <c r="X13" s="454">
        <f t="shared" si="8"/>
        <v>0.18131868131868131</v>
      </c>
      <c r="Y13" s="511">
        <v>40</v>
      </c>
      <c r="Z13" s="511">
        <v>54</v>
      </c>
      <c r="AA13" s="511">
        <v>55</v>
      </c>
      <c r="AB13" s="511">
        <v>6</v>
      </c>
      <c r="AC13" s="511">
        <v>19</v>
      </c>
      <c r="AD13" s="511">
        <v>8</v>
      </c>
      <c r="AE13" s="511">
        <f t="shared" si="18"/>
        <v>46</v>
      </c>
      <c r="AF13" s="511">
        <f t="shared" si="19"/>
        <v>73</v>
      </c>
      <c r="AG13" s="511">
        <f t="shared" si="20"/>
        <v>63</v>
      </c>
      <c r="AH13" s="1731">
        <f t="shared" si="15"/>
        <v>0.13043478260869565</v>
      </c>
      <c r="AI13" s="1731">
        <f t="shared" si="16"/>
        <v>0.26027397260273971</v>
      </c>
      <c r="AJ13" s="1731">
        <f t="shared" si="17"/>
        <v>0.12698412698412698</v>
      </c>
    </row>
    <row r="14" spans="1:36" x14ac:dyDescent="0.3">
      <c r="A14" s="267" t="s">
        <v>25</v>
      </c>
      <c r="B14" s="205" t="s">
        <v>274</v>
      </c>
      <c r="C14" s="229" t="s">
        <v>252</v>
      </c>
      <c r="D14" s="448">
        <v>111</v>
      </c>
      <c r="E14" s="449">
        <v>52</v>
      </c>
      <c r="F14" s="449">
        <v>2</v>
      </c>
      <c r="G14" s="149">
        <f t="shared" si="1"/>
        <v>165</v>
      </c>
      <c r="H14" s="448">
        <v>9</v>
      </c>
      <c r="I14" s="449">
        <v>7</v>
      </c>
      <c r="J14" s="449"/>
      <c r="K14" s="149">
        <f t="shared" si="2"/>
        <v>16</v>
      </c>
      <c r="L14" s="448"/>
      <c r="M14" s="449"/>
      <c r="N14" s="449"/>
      <c r="O14" s="149">
        <f t="shared" si="3"/>
        <v>0</v>
      </c>
      <c r="P14" s="450">
        <f t="shared" si="4"/>
        <v>181</v>
      </c>
      <c r="Q14" s="564">
        <f t="shared" si="11"/>
        <v>120</v>
      </c>
      <c r="R14" s="564">
        <f t="shared" si="12"/>
        <v>59</v>
      </c>
      <c r="S14" s="564">
        <f t="shared" si="13"/>
        <v>2</v>
      </c>
      <c r="T14" s="450">
        <f t="shared" si="14"/>
        <v>181</v>
      </c>
      <c r="U14" s="451">
        <f t="shared" si="5"/>
        <v>7.4999999999999997E-2</v>
      </c>
      <c r="V14" s="452">
        <f t="shared" si="6"/>
        <v>0.11864406779661017</v>
      </c>
      <c r="W14" s="453">
        <f t="shared" si="7"/>
        <v>0</v>
      </c>
      <c r="X14" s="454">
        <f t="shared" si="8"/>
        <v>8.8397790055248615E-2</v>
      </c>
      <c r="Y14" s="511">
        <v>36</v>
      </c>
      <c r="Z14" s="511">
        <v>76</v>
      </c>
      <c r="AA14" s="511">
        <v>53</v>
      </c>
      <c r="AB14" s="511">
        <v>6</v>
      </c>
      <c r="AC14" s="511">
        <v>12</v>
      </c>
      <c r="AD14" s="511">
        <v>5</v>
      </c>
      <c r="AE14" s="511">
        <f t="shared" si="18"/>
        <v>42</v>
      </c>
      <c r="AF14" s="511">
        <f t="shared" si="19"/>
        <v>88</v>
      </c>
      <c r="AG14" s="511">
        <f t="shared" si="20"/>
        <v>58</v>
      </c>
      <c r="AH14" s="1731">
        <f t="shared" si="15"/>
        <v>0.14285714285714285</v>
      </c>
      <c r="AI14" s="1731">
        <f t="shared" si="16"/>
        <v>0.13636363636363635</v>
      </c>
      <c r="AJ14" s="1731">
        <f t="shared" si="17"/>
        <v>8.6206896551724144E-2</v>
      </c>
    </row>
    <row r="15" spans="1:36" x14ac:dyDescent="0.3">
      <c r="A15" s="267" t="s">
        <v>26</v>
      </c>
      <c r="B15" s="205" t="s">
        <v>27</v>
      </c>
      <c r="C15" s="229" t="s">
        <v>252</v>
      </c>
      <c r="D15" s="448">
        <v>5</v>
      </c>
      <c r="E15" s="449">
        <v>4</v>
      </c>
      <c r="F15" s="449"/>
      <c r="G15" s="149">
        <f t="shared" si="1"/>
        <v>9</v>
      </c>
      <c r="H15" s="448"/>
      <c r="I15" s="449"/>
      <c r="J15" s="449"/>
      <c r="K15" s="149">
        <f t="shared" si="2"/>
        <v>0</v>
      </c>
      <c r="L15" s="448"/>
      <c r="M15" s="449"/>
      <c r="N15" s="449"/>
      <c r="O15" s="149">
        <f t="shared" si="3"/>
        <v>0</v>
      </c>
      <c r="P15" s="450">
        <f t="shared" si="4"/>
        <v>9</v>
      </c>
      <c r="Q15" s="564">
        <f t="shared" si="11"/>
        <v>5</v>
      </c>
      <c r="R15" s="564">
        <f t="shared" si="12"/>
        <v>4</v>
      </c>
      <c r="S15" s="564">
        <f t="shared" si="13"/>
        <v>0</v>
      </c>
      <c r="T15" s="450">
        <f t="shared" si="14"/>
        <v>9</v>
      </c>
      <c r="U15" s="451">
        <f t="shared" si="5"/>
        <v>0</v>
      </c>
      <c r="V15" s="452">
        <f t="shared" si="6"/>
        <v>0</v>
      </c>
      <c r="W15" s="453" t="str">
        <f t="shared" si="7"/>
        <v>NA</v>
      </c>
      <c r="X15" s="454">
        <f t="shared" si="8"/>
        <v>0</v>
      </c>
      <c r="Y15" s="511">
        <v>2</v>
      </c>
      <c r="Z15" s="511">
        <v>5</v>
      </c>
      <c r="AA15" s="511">
        <v>2</v>
      </c>
      <c r="AB15" s="511"/>
      <c r="AC15" s="511"/>
      <c r="AD15" s="511"/>
      <c r="AE15" s="511">
        <f t="shared" si="18"/>
        <v>2</v>
      </c>
      <c r="AF15" s="511">
        <f t="shared" si="19"/>
        <v>5</v>
      </c>
      <c r="AG15" s="511">
        <f t="shared" si="20"/>
        <v>2</v>
      </c>
      <c r="AH15" s="1731">
        <f t="shared" si="15"/>
        <v>0</v>
      </c>
      <c r="AI15" s="1731">
        <f t="shared" si="16"/>
        <v>0</v>
      </c>
      <c r="AJ15" s="1731">
        <f t="shared" si="17"/>
        <v>0</v>
      </c>
    </row>
    <row r="16" spans="1:36" x14ac:dyDescent="0.3">
      <c r="A16" s="267" t="s">
        <v>28</v>
      </c>
      <c r="B16" s="205" t="s">
        <v>568</v>
      </c>
      <c r="C16" s="229" t="s">
        <v>252</v>
      </c>
      <c r="D16" s="448">
        <v>71</v>
      </c>
      <c r="E16" s="449">
        <v>20</v>
      </c>
      <c r="F16" s="449">
        <v>11</v>
      </c>
      <c r="G16" s="149">
        <f t="shared" si="1"/>
        <v>102</v>
      </c>
      <c r="H16" s="448">
        <v>8</v>
      </c>
      <c r="I16" s="449">
        <v>2</v>
      </c>
      <c r="J16" s="449"/>
      <c r="K16" s="149">
        <f t="shared" si="2"/>
        <v>10</v>
      </c>
      <c r="L16" s="448"/>
      <c r="M16" s="449"/>
      <c r="N16" s="449"/>
      <c r="O16" s="149">
        <f t="shared" si="3"/>
        <v>0</v>
      </c>
      <c r="P16" s="450">
        <f t="shared" si="4"/>
        <v>112</v>
      </c>
      <c r="Q16" s="564">
        <f t="shared" si="11"/>
        <v>79</v>
      </c>
      <c r="R16" s="564">
        <f t="shared" si="12"/>
        <v>22</v>
      </c>
      <c r="S16" s="564">
        <f t="shared" si="13"/>
        <v>11</v>
      </c>
      <c r="T16" s="450">
        <f t="shared" si="14"/>
        <v>112</v>
      </c>
      <c r="U16" s="451">
        <f t="shared" si="5"/>
        <v>0.10126582278481013</v>
      </c>
      <c r="V16" s="452">
        <f t="shared" si="6"/>
        <v>9.0909090909090912E-2</v>
      </c>
      <c r="W16" s="453">
        <f t="shared" si="7"/>
        <v>0</v>
      </c>
      <c r="X16" s="454">
        <f t="shared" si="8"/>
        <v>8.9285714285714288E-2</v>
      </c>
      <c r="Y16" s="511">
        <v>12</v>
      </c>
      <c r="Z16" s="511">
        <v>50</v>
      </c>
      <c r="AA16" s="511">
        <v>45</v>
      </c>
      <c r="AB16" s="511">
        <v>1</v>
      </c>
      <c r="AC16" s="511">
        <v>8</v>
      </c>
      <c r="AD16" s="511">
        <v>2</v>
      </c>
      <c r="AE16" s="511">
        <f t="shared" si="18"/>
        <v>13</v>
      </c>
      <c r="AF16" s="511">
        <f t="shared" si="19"/>
        <v>58</v>
      </c>
      <c r="AG16" s="511">
        <f t="shared" si="20"/>
        <v>47</v>
      </c>
      <c r="AH16" s="1731">
        <f t="shared" si="15"/>
        <v>7.6923076923076927E-2</v>
      </c>
      <c r="AI16" s="1731">
        <f t="shared" si="16"/>
        <v>0.13793103448275862</v>
      </c>
      <c r="AJ16" s="1731">
        <f t="shared" si="17"/>
        <v>4.2553191489361701E-2</v>
      </c>
    </row>
    <row r="17" spans="1:36" x14ac:dyDescent="0.3">
      <c r="A17" s="267" t="s">
        <v>29</v>
      </c>
      <c r="B17" s="205" t="s">
        <v>30</v>
      </c>
      <c r="C17" s="229" t="s">
        <v>255</v>
      </c>
      <c r="D17" s="448">
        <v>8</v>
      </c>
      <c r="E17" s="449">
        <v>3</v>
      </c>
      <c r="F17" s="449"/>
      <c r="G17" s="149">
        <f t="shared" si="1"/>
        <v>11</v>
      </c>
      <c r="H17" s="448"/>
      <c r="I17" s="449"/>
      <c r="J17" s="449"/>
      <c r="K17" s="149">
        <f t="shared" si="2"/>
        <v>0</v>
      </c>
      <c r="L17" s="448"/>
      <c r="M17" s="449"/>
      <c r="N17" s="449"/>
      <c r="O17" s="149">
        <f t="shared" si="3"/>
        <v>0</v>
      </c>
      <c r="P17" s="450">
        <f t="shared" si="4"/>
        <v>11</v>
      </c>
      <c r="Q17" s="564">
        <f t="shared" si="11"/>
        <v>8</v>
      </c>
      <c r="R17" s="564">
        <f t="shared" si="12"/>
        <v>3</v>
      </c>
      <c r="S17" s="564">
        <f t="shared" si="13"/>
        <v>0</v>
      </c>
      <c r="T17" s="450">
        <f t="shared" si="14"/>
        <v>11</v>
      </c>
      <c r="U17" s="451">
        <f t="shared" si="5"/>
        <v>0</v>
      </c>
      <c r="V17" s="452">
        <f t="shared" si="6"/>
        <v>0</v>
      </c>
      <c r="W17" s="453" t="str">
        <f t="shared" si="7"/>
        <v>NA</v>
      </c>
      <c r="X17" s="454">
        <f t="shared" si="8"/>
        <v>0</v>
      </c>
      <c r="Y17" s="511">
        <v>3</v>
      </c>
      <c r="Z17" s="511">
        <v>5</v>
      </c>
      <c r="AA17" s="511">
        <v>3</v>
      </c>
      <c r="AB17" s="511"/>
      <c r="AC17" s="511"/>
      <c r="AD17" s="511"/>
      <c r="AE17" s="511">
        <f t="shared" si="18"/>
        <v>3</v>
      </c>
      <c r="AF17" s="511">
        <f t="shared" si="19"/>
        <v>5</v>
      </c>
      <c r="AG17" s="511">
        <f t="shared" si="20"/>
        <v>3</v>
      </c>
      <c r="AH17" s="1731">
        <f t="shared" si="15"/>
        <v>0</v>
      </c>
      <c r="AI17" s="1731">
        <f t="shared" si="16"/>
        <v>0</v>
      </c>
      <c r="AJ17" s="1731">
        <f t="shared" si="17"/>
        <v>0</v>
      </c>
    </row>
    <row r="18" spans="1:36" x14ac:dyDescent="0.3">
      <c r="A18" s="267" t="s">
        <v>31</v>
      </c>
      <c r="B18" s="205" t="s">
        <v>32</v>
      </c>
      <c r="C18" s="229" t="s">
        <v>252</v>
      </c>
      <c r="D18" s="448">
        <v>15</v>
      </c>
      <c r="E18" s="449">
        <v>5</v>
      </c>
      <c r="F18" s="449"/>
      <c r="G18" s="149">
        <f t="shared" si="1"/>
        <v>20</v>
      </c>
      <c r="H18" s="448">
        <v>3</v>
      </c>
      <c r="I18" s="449">
        <v>1</v>
      </c>
      <c r="J18" s="449"/>
      <c r="K18" s="149">
        <f t="shared" si="2"/>
        <v>4</v>
      </c>
      <c r="L18" s="448"/>
      <c r="M18" s="449"/>
      <c r="N18" s="449"/>
      <c r="O18" s="149">
        <f t="shared" si="3"/>
        <v>0</v>
      </c>
      <c r="P18" s="450">
        <f t="shared" si="4"/>
        <v>24</v>
      </c>
      <c r="Q18" s="564">
        <f t="shared" si="11"/>
        <v>18</v>
      </c>
      <c r="R18" s="564">
        <f t="shared" si="12"/>
        <v>6</v>
      </c>
      <c r="S18" s="564">
        <f t="shared" si="13"/>
        <v>0</v>
      </c>
      <c r="T18" s="450">
        <f t="shared" si="14"/>
        <v>24</v>
      </c>
      <c r="U18" s="451">
        <f t="shared" si="5"/>
        <v>0.16666666666666666</v>
      </c>
      <c r="V18" s="452">
        <f t="shared" si="6"/>
        <v>0.16666666666666666</v>
      </c>
      <c r="W18" s="453" t="str">
        <f t="shared" si="7"/>
        <v>NA</v>
      </c>
      <c r="X18" s="454">
        <f t="shared" si="8"/>
        <v>0.16666666666666666</v>
      </c>
      <c r="Y18" s="511">
        <v>3</v>
      </c>
      <c r="Z18" s="511">
        <v>12</v>
      </c>
      <c r="AA18" s="511">
        <v>5</v>
      </c>
      <c r="AB18" s="511">
        <v>1</v>
      </c>
      <c r="AC18" s="511">
        <v>1</v>
      </c>
      <c r="AD18" s="511">
        <v>2</v>
      </c>
      <c r="AE18" s="511">
        <f t="shared" si="18"/>
        <v>4</v>
      </c>
      <c r="AF18" s="511">
        <f t="shared" si="19"/>
        <v>13</v>
      </c>
      <c r="AG18" s="511">
        <f t="shared" si="20"/>
        <v>7</v>
      </c>
      <c r="AH18" s="1731">
        <f t="shared" si="15"/>
        <v>0.25</v>
      </c>
      <c r="AI18" s="1731">
        <f t="shared" si="16"/>
        <v>7.6923076923076927E-2</v>
      </c>
      <c r="AJ18" s="1731">
        <f t="shared" si="17"/>
        <v>0.2857142857142857</v>
      </c>
    </row>
    <row r="19" spans="1:36" x14ac:dyDescent="0.3">
      <c r="A19" s="267" t="s">
        <v>35</v>
      </c>
      <c r="B19" s="205" t="s">
        <v>36</v>
      </c>
      <c r="C19" s="229" t="s">
        <v>251</v>
      </c>
      <c r="D19" s="448">
        <v>19</v>
      </c>
      <c r="E19" s="449">
        <v>10</v>
      </c>
      <c r="F19" s="449"/>
      <c r="G19" s="149">
        <f t="shared" si="1"/>
        <v>29</v>
      </c>
      <c r="H19" s="448">
        <v>6</v>
      </c>
      <c r="I19" s="449">
        <v>1</v>
      </c>
      <c r="J19" s="449"/>
      <c r="K19" s="149">
        <f t="shared" si="2"/>
        <v>7</v>
      </c>
      <c r="L19" s="448"/>
      <c r="M19" s="449"/>
      <c r="N19" s="449"/>
      <c r="O19" s="149">
        <f t="shared" si="3"/>
        <v>0</v>
      </c>
      <c r="P19" s="450">
        <f t="shared" si="4"/>
        <v>36</v>
      </c>
      <c r="Q19" s="564">
        <f t="shared" si="11"/>
        <v>25</v>
      </c>
      <c r="R19" s="564">
        <f t="shared" si="12"/>
        <v>11</v>
      </c>
      <c r="S19" s="564">
        <f t="shared" si="13"/>
        <v>0</v>
      </c>
      <c r="T19" s="450">
        <f t="shared" si="14"/>
        <v>36</v>
      </c>
      <c r="U19" s="451">
        <f t="shared" si="5"/>
        <v>0.24</v>
      </c>
      <c r="V19" s="452">
        <f t="shared" si="6"/>
        <v>9.0909090909090912E-2</v>
      </c>
      <c r="W19" s="453" t="str">
        <f t="shared" si="7"/>
        <v>NA</v>
      </c>
      <c r="X19" s="454">
        <f t="shared" si="8"/>
        <v>0.19444444444444445</v>
      </c>
      <c r="Y19" s="511">
        <v>7</v>
      </c>
      <c r="Z19" s="511">
        <v>17</v>
      </c>
      <c r="AA19" s="511">
        <v>5</v>
      </c>
      <c r="AB19" s="511">
        <v>1</v>
      </c>
      <c r="AC19" s="511">
        <v>4</v>
      </c>
      <c r="AD19" s="511">
        <v>2</v>
      </c>
      <c r="AE19" s="511">
        <f t="shared" si="18"/>
        <v>8</v>
      </c>
      <c r="AF19" s="511">
        <f t="shared" si="19"/>
        <v>21</v>
      </c>
      <c r="AG19" s="511">
        <f t="shared" si="20"/>
        <v>7</v>
      </c>
      <c r="AH19" s="1731">
        <f t="shared" si="15"/>
        <v>0.125</v>
      </c>
      <c r="AI19" s="1731">
        <f t="shared" si="16"/>
        <v>0.19047619047619047</v>
      </c>
      <c r="AJ19" s="1731">
        <f t="shared" si="17"/>
        <v>0.2857142857142857</v>
      </c>
    </row>
    <row r="20" spans="1:36" x14ac:dyDescent="0.3">
      <c r="A20" s="267" t="s">
        <v>37</v>
      </c>
      <c r="B20" s="205" t="s">
        <v>38</v>
      </c>
      <c r="C20" s="229" t="s">
        <v>255</v>
      </c>
      <c r="D20" s="448">
        <v>36</v>
      </c>
      <c r="E20" s="449">
        <v>13</v>
      </c>
      <c r="F20" s="449"/>
      <c r="G20" s="149">
        <f t="shared" si="1"/>
        <v>49</v>
      </c>
      <c r="H20" s="448">
        <v>11</v>
      </c>
      <c r="I20" s="449">
        <v>2</v>
      </c>
      <c r="J20" s="449"/>
      <c r="K20" s="149">
        <f t="shared" si="2"/>
        <v>13</v>
      </c>
      <c r="L20" s="448"/>
      <c r="M20" s="449"/>
      <c r="N20" s="449"/>
      <c r="O20" s="149">
        <f t="shared" si="3"/>
        <v>0</v>
      </c>
      <c r="P20" s="450">
        <f t="shared" si="4"/>
        <v>62</v>
      </c>
      <c r="Q20" s="564">
        <f t="shared" si="11"/>
        <v>47</v>
      </c>
      <c r="R20" s="564">
        <f t="shared" si="12"/>
        <v>15</v>
      </c>
      <c r="S20" s="564">
        <f t="shared" si="13"/>
        <v>0</v>
      </c>
      <c r="T20" s="450">
        <f t="shared" si="14"/>
        <v>62</v>
      </c>
      <c r="U20" s="451">
        <f t="shared" si="5"/>
        <v>0.23404255319148937</v>
      </c>
      <c r="V20" s="452">
        <f t="shared" si="6"/>
        <v>0.13333333333333333</v>
      </c>
      <c r="W20" s="453" t="str">
        <f t="shared" si="7"/>
        <v>NA</v>
      </c>
      <c r="X20" s="454">
        <f t="shared" si="8"/>
        <v>0.20967741935483872</v>
      </c>
      <c r="Y20" s="511">
        <v>9</v>
      </c>
      <c r="Z20" s="511">
        <v>27</v>
      </c>
      <c r="AA20" s="511">
        <v>13</v>
      </c>
      <c r="AB20" s="511">
        <v>2</v>
      </c>
      <c r="AC20" s="511">
        <v>4</v>
      </c>
      <c r="AD20" s="511">
        <v>7</v>
      </c>
      <c r="AE20" s="511">
        <f t="shared" si="18"/>
        <v>11</v>
      </c>
      <c r="AF20" s="511">
        <f t="shared" si="19"/>
        <v>31</v>
      </c>
      <c r="AG20" s="511">
        <f t="shared" si="20"/>
        <v>20</v>
      </c>
      <c r="AH20" s="1731">
        <f t="shared" si="15"/>
        <v>0.18181818181818182</v>
      </c>
      <c r="AI20" s="1731">
        <f t="shared" si="16"/>
        <v>0.12903225806451613</v>
      </c>
      <c r="AJ20" s="1731">
        <f t="shared" si="17"/>
        <v>0.35</v>
      </c>
    </row>
    <row r="21" spans="1:36" x14ac:dyDescent="0.3">
      <c r="A21" s="267" t="s">
        <v>39</v>
      </c>
      <c r="B21" s="205" t="s">
        <v>40</v>
      </c>
      <c r="C21" s="229" t="s">
        <v>253</v>
      </c>
      <c r="D21" s="448">
        <v>16</v>
      </c>
      <c r="E21" s="449">
        <v>6</v>
      </c>
      <c r="F21" s="449"/>
      <c r="G21" s="149">
        <f t="shared" si="1"/>
        <v>22</v>
      </c>
      <c r="H21" s="448">
        <v>2</v>
      </c>
      <c r="I21" s="449">
        <v>2</v>
      </c>
      <c r="J21" s="449"/>
      <c r="K21" s="149">
        <f t="shared" si="2"/>
        <v>4</v>
      </c>
      <c r="L21" s="448"/>
      <c r="M21" s="449"/>
      <c r="N21" s="449"/>
      <c r="O21" s="149">
        <f t="shared" si="3"/>
        <v>0</v>
      </c>
      <c r="P21" s="450">
        <f t="shared" si="4"/>
        <v>26</v>
      </c>
      <c r="Q21" s="564">
        <f t="shared" si="11"/>
        <v>18</v>
      </c>
      <c r="R21" s="564">
        <f t="shared" si="12"/>
        <v>8</v>
      </c>
      <c r="S21" s="564">
        <f t="shared" si="13"/>
        <v>0</v>
      </c>
      <c r="T21" s="450">
        <f t="shared" si="14"/>
        <v>26</v>
      </c>
      <c r="U21" s="451">
        <f t="shared" si="5"/>
        <v>0.1111111111111111</v>
      </c>
      <c r="V21" s="452">
        <f t="shared" si="6"/>
        <v>0.25</v>
      </c>
      <c r="W21" s="453" t="str">
        <f t="shared" si="7"/>
        <v>NA</v>
      </c>
      <c r="X21" s="454">
        <f t="shared" si="8"/>
        <v>0.15384615384615385</v>
      </c>
      <c r="Y21" s="511">
        <v>4</v>
      </c>
      <c r="Z21" s="511">
        <v>11</v>
      </c>
      <c r="AA21" s="511">
        <v>7</v>
      </c>
      <c r="AB21" s="511">
        <v>2</v>
      </c>
      <c r="AC21" s="511">
        <v>1</v>
      </c>
      <c r="AD21" s="511">
        <v>1</v>
      </c>
      <c r="AE21" s="511">
        <f t="shared" si="18"/>
        <v>6</v>
      </c>
      <c r="AF21" s="511">
        <f t="shared" si="19"/>
        <v>12</v>
      </c>
      <c r="AG21" s="511">
        <f t="shared" si="20"/>
        <v>8</v>
      </c>
      <c r="AH21" s="1731">
        <f t="shared" si="15"/>
        <v>0.33333333333333331</v>
      </c>
      <c r="AI21" s="1731">
        <f t="shared" si="16"/>
        <v>8.3333333333333329E-2</v>
      </c>
      <c r="AJ21" s="1731">
        <f t="shared" si="17"/>
        <v>0.125</v>
      </c>
    </row>
    <row r="22" spans="1:36" x14ac:dyDescent="0.3">
      <c r="A22" s="267" t="s">
        <v>41</v>
      </c>
      <c r="B22" s="205" t="s">
        <v>42</v>
      </c>
      <c r="C22" s="229" t="s">
        <v>252</v>
      </c>
      <c r="D22" s="448">
        <v>53</v>
      </c>
      <c r="E22" s="449">
        <v>22</v>
      </c>
      <c r="F22" s="449">
        <v>2</v>
      </c>
      <c r="G22" s="149">
        <f t="shared" si="1"/>
        <v>77</v>
      </c>
      <c r="H22" s="448">
        <v>4</v>
      </c>
      <c r="I22" s="449">
        <v>4</v>
      </c>
      <c r="J22" s="449"/>
      <c r="K22" s="149">
        <f t="shared" si="2"/>
        <v>8</v>
      </c>
      <c r="L22" s="448"/>
      <c r="M22" s="449"/>
      <c r="N22" s="449"/>
      <c r="O22" s="149">
        <f t="shared" si="3"/>
        <v>0</v>
      </c>
      <c r="P22" s="450">
        <f t="shared" si="4"/>
        <v>85</v>
      </c>
      <c r="Q22" s="564">
        <f t="shared" si="11"/>
        <v>57</v>
      </c>
      <c r="R22" s="564">
        <f t="shared" si="12"/>
        <v>26</v>
      </c>
      <c r="S22" s="564">
        <f t="shared" si="13"/>
        <v>2</v>
      </c>
      <c r="T22" s="450">
        <f t="shared" si="14"/>
        <v>85</v>
      </c>
      <c r="U22" s="451">
        <f t="shared" si="5"/>
        <v>7.0175438596491224E-2</v>
      </c>
      <c r="V22" s="452">
        <f t="shared" si="6"/>
        <v>0.15384615384615385</v>
      </c>
      <c r="W22" s="453">
        <f t="shared" si="7"/>
        <v>0</v>
      </c>
      <c r="X22" s="454">
        <f t="shared" si="8"/>
        <v>9.4117647058823528E-2</v>
      </c>
      <c r="Y22" s="511">
        <v>13</v>
      </c>
      <c r="Z22" s="511">
        <v>39</v>
      </c>
      <c r="AA22" s="511">
        <v>25</v>
      </c>
      <c r="AB22" s="511">
        <v>1</v>
      </c>
      <c r="AC22" s="511">
        <v>3</v>
      </c>
      <c r="AD22" s="511">
        <v>4</v>
      </c>
      <c r="AE22" s="511">
        <f t="shared" si="18"/>
        <v>14</v>
      </c>
      <c r="AF22" s="511">
        <f t="shared" si="19"/>
        <v>42</v>
      </c>
      <c r="AG22" s="511">
        <f t="shared" si="20"/>
        <v>29</v>
      </c>
      <c r="AH22" s="1731">
        <f t="shared" si="15"/>
        <v>7.1428571428571425E-2</v>
      </c>
      <c r="AI22" s="1731">
        <f t="shared" si="16"/>
        <v>7.1428571428571425E-2</v>
      </c>
      <c r="AJ22" s="1731">
        <f t="shared" si="17"/>
        <v>0.13793103448275862</v>
      </c>
    </row>
    <row r="23" spans="1:36" x14ac:dyDescent="0.3">
      <c r="A23" s="267" t="s">
        <v>43</v>
      </c>
      <c r="B23" s="205" t="s">
        <v>44</v>
      </c>
      <c r="C23" s="229" t="s">
        <v>253</v>
      </c>
      <c r="D23" s="448">
        <v>25</v>
      </c>
      <c r="E23" s="449">
        <v>9</v>
      </c>
      <c r="F23" s="449"/>
      <c r="G23" s="149">
        <f t="shared" si="1"/>
        <v>34</v>
      </c>
      <c r="H23" s="448"/>
      <c r="I23" s="449"/>
      <c r="J23" s="449"/>
      <c r="K23" s="149">
        <f t="shared" si="2"/>
        <v>0</v>
      </c>
      <c r="L23" s="448"/>
      <c r="M23" s="449"/>
      <c r="N23" s="449"/>
      <c r="O23" s="149">
        <f t="shared" si="3"/>
        <v>0</v>
      </c>
      <c r="P23" s="450">
        <f t="shared" si="4"/>
        <v>34</v>
      </c>
      <c r="Q23" s="564">
        <f t="shared" si="11"/>
        <v>25</v>
      </c>
      <c r="R23" s="564">
        <f t="shared" si="12"/>
        <v>9</v>
      </c>
      <c r="S23" s="564">
        <f t="shared" si="13"/>
        <v>0</v>
      </c>
      <c r="T23" s="450">
        <f t="shared" si="14"/>
        <v>34</v>
      </c>
      <c r="U23" s="451">
        <f t="shared" si="5"/>
        <v>0</v>
      </c>
      <c r="V23" s="452">
        <f t="shared" si="6"/>
        <v>0</v>
      </c>
      <c r="W23" s="453" t="str">
        <f t="shared" si="7"/>
        <v>NA</v>
      </c>
      <c r="X23" s="454">
        <f t="shared" si="8"/>
        <v>0</v>
      </c>
      <c r="Y23" s="511">
        <v>4</v>
      </c>
      <c r="Z23" s="511">
        <v>21</v>
      </c>
      <c r="AA23" s="511">
        <v>11</v>
      </c>
      <c r="AB23" s="511"/>
      <c r="AC23" s="511"/>
      <c r="AD23" s="511">
        <v>1</v>
      </c>
      <c r="AE23" s="511">
        <f t="shared" si="18"/>
        <v>4</v>
      </c>
      <c r="AF23" s="511">
        <f t="shared" si="19"/>
        <v>21</v>
      </c>
      <c r="AG23" s="511">
        <f t="shared" si="20"/>
        <v>12</v>
      </c>
      <c r="AH23" s="1731">
        <f t="shared" si="15"/>
        <v>0</v>
      </c>
      <c r="AI23" s="1731">
        <f t="shared" si="16"/>
        <v>0</v>
      </c>
      <c r="AJ23" s="1731">
        <f t="shared" si="17"/>
        <v>8.3333333333333329E-2</v>
      </c>
    </row>
    <row r="24" spans="1:36" x14ac:dyDescent="0.3">
      <c r="A24" s="267" t="s">
        <v>45</v>
      </c>
      <c r="B24" s="205" t="s">
        <v>46</v>
      </c>
      <c r="C24" s="229" t="s">
        <v>255</v>
      </c>
      <c r="D24" s="448">
        <v>31</v>
      </c>
      <c r="E24" s="449">
        <v>10</v>
      </c>
      <c r="F24" s="449"/>
      <c r="G24" s="149">
        <f t="shared" si="1"/>
        <v>41</v>
      </c>
      <c r="H24" s="448">
        <v>2</v>
      </c>
      <c r="I24" s="449">
        <v>2</v>
      </c>
      <c r="J24" s="449"/>
      <c r="K24" s="149">
        <f t="shared" si="2"/>
        <v>4</v>
      </c>
      <c r="L24" s="448"/>
      <c r="M24" s="449"/>
      <c r="N24" s="449"/>
      <c r="O24" s="149">
        <f t="shared" si="3"/>
        <v>0</v>
      </c>
      <c r="P24" s="450">
        <f t="shared" si="4"/>
        <v>45</v>
      </c>
      <c r="Q24" s="564">
        <f t="shared" si="11"/>
        <v>33</v>
      </c>
      <c r="R24" s="564">
        <f t="shared" si="12"/>
        <v>12</v>
      </c>
      <c r="S24" s="564">
        <f t="shared" si="13"/>
        <v>0</v>
      </c>
      <c r="T24" s="450">
        <f t="shared" si="14"/>
        <v>45</v>
      </c>
      <c r="U24" s="451">
        <f t="shared" si="5"/>
        <v>6.0606060606060608E-2</v>
      </c>
      <c r="V24" s="452">
        <f t="shared" si="6"/>
        <v>0.16666666666666666</v>
      </c>
      <c r="W24" s="453" t="str">
        <f t="shared" si="7"/>
        <v>NA</v>
      </c>
      <c r="X24" s="454">
        <f t="shared" si="8"/>
        <v>8.8888888888888892E-2</v>
      </c>
      <c r="Y24" s="511">
        <v>6</v>
      </c>
      <c r="Z24" s="511">
        <v>23</v>
      </c>
      <c r="AA24" s="511">
        <v>12</v>
      </c>
      <c r="AB24" s="511">
        <v>2</v>
      </c>
      <c r="AC24" s="511">
        <v>1</v>
      </c>
      <c r="AD24" s="511">
        <v>1</v>
      </c>
      <c r="AE24" s="511">
        <f t="shared" si="18"/>
        <v>8</v>
      </c>
      <c r="AF24" s="511">
        <f t="shared" si="19"/>
        <v>24</v>
      </c>
      <c r="AG24" s="511">
        <f t="shared" si="20"/>
        <v>13</v>
      </c>
      <c r="AH24" s="1731">
        <f t="shared" si="15"/>
        <v>0.25</v>
      </c>
      <c r="AI24" s="1731">
        <f t="shared" si="16"/>
        <v>4.1666666666666664E-2</v>
      </c>
      <c r="AJ24" s="1731">
        <f t="shared" si="17"/>
        <v>7.6923076923076927E-2</v>
      </c>
    </row>
    <row r="25" spans="1:36" x14ac:dyDescent="0.3">
      <c r="A25" s="267" t="s">
        <v>47</v>
      </c>
      <c r="B25" s="205" t="s">
        <v>256</v>
      </c>
      <c r="C25" s="229" t="s">
        <v>253</v>
      </c>
      <c r="D25" s="448">
        <v>5</v>
      </c>
      <c r="E25" s="449">
        <v>7</v>
      </c>
      <c r="F25" s="449"/>
      <c r="G25" s="149">
        <f t="shared" si="1"/>
        <v>12</v>
      </c>
      <c r="H25" s="448">
        <v>5</v>
      </c>
      <c r="I25" s="449">
        <v>1</v>
      </c>
      <c r="J25" s="449"/>
      <c r="K25" s="149">
        <f t="shared" si="2"/>
        <v>6</v>
      </c>
      <c r="L25" s="448"/>
      <c r="M25" s="449"/>
      <c r="N25" s="449"/>
      <c r="O25" s="149">
        <f t="shared" si="3"/>
        <v>0</v>
      </c>
      <c r="P25" s="450">
        <f t="shared" si="4"/>
        <v>18</v>
      </c>
      <c r="Q25" s="564">
        <f t="shared" si="11"/>
        <v>10</v>
      </c>
      <c r="R25" s="564">
        <f t="shared" si="12"/>
        <v>8</v>
      </c>
      <c r="S25" s="564">
        <f t="shared" si="13"/>
        <v>0</v>
      </c>
      <c r="T25" s="450">
        <f t="shared" si="14"/>
        <v>18</v>
      </c>
      <c r="U25" s="451">
        <f t="shared" si="5"/>
        <v>0.5</v>
      </c>
      <c r="V25" s="452">
        <f t="shared" si="6"/>
        <v>0.125</v>
      </c>
      <c r="W25" s="453" t="str">
        <f t="shared" si="7"/>
        <v>NA</v>
      </c>
      <c r="X25" s="454">
        <f t="shared" si="8"/>
        <v>0.33333333333333331</v>
      </c>
      <c r="Y25" s="511">
        <v>5</v>
      </c>
      <c r="Z25" s="511">
        <v>4</v>
      </c>
      <c r="AA25" s="511">
        <v>3</v>
      </c>
      <c r="AB25" s="511">
        <v>1</v>
      </c>
      <c r="AC25" s="511">
        <v>3</v>
      </c>
      <c r="AD25" s="511">
        <v>2</v>
      </c>
      <c r="AE25" s="511">
        <f t="shared" si="18"/>
        <v>6</v>
      </c>
      <c r="AF25" s="511">
        <f t="shared" si="19"/>
        <v>7</v>
      </c>
      <c r="AG25" s="511">
        <f t="shared" si="20"/>
        <v>5</v>
      </c>
      <c r="AH25" s="1731">
        <f t="shared" si="15"/>
        <v>0.16666666666666666</v>
      </c>
      <c r="AI25" s="1731">
        <f t="shared" si="16"/>
        <v>0.42857142857142855</v>
      </c>
      <c r="AJ25" s="1731">
        <f t="shared" si="17"/>
        <v>0.4</v>
      </c>
    </row>
    <row r="26" spans="1:36" x14ac:dyDescent="0.3">
      <c r="A26" s="267" t="s">
        <v>49</v>
      </c>
      <c r="B26" s="205" t="s">
        <v>50</v>
      </c>
      <c r="C26" s="229" t="s">
        <v>252</v>
      </c>
      <c r="D26" s="448">
        <v>16</v>
      </c>
      <c r="E26" s="449">
        <v>7</v>
      </c>
      <c r="F26" s="449"/>
      <c r="G26" s="149">
        <f t="shared" si="1"/>
        <v>23</v>
      </c>
      <c r="H26" s="448">
        <v>1</v>
      </c>
      <c r="I26" s="449">
        <v>1</v>
      </c>
      <c r="J26" s="449"/>
      <c r="K26" s="149">
        <f t="shared" si="2"/>
        <v>2</v>
      </c>
      <c r="L26" s="448"/>
      <c r="M26" s="449"/>
      <c r="N26" s="449"/>
      <c r="O26" s="149">
        <f t="shared" si="3"/>
        <v>0</v>
      </c>
      <c r="P26" s="450">
        <f t="shared" si="4"/>
        <v>25</v>
      </c>
      <c r="Q26" s="564">
        <f t="shared" si="11"/>
        <v>17</v>
      </c>
      <c r="R26" s="564">
        <f t="shared" si="12"/>
        <v>8</v>
      </c>
      <c r="S26" s="564">
        <f t="shared" si="13"/>
        <v>0</v>
      </c>
      <c r="T26" s="450">
        <f t="shared" si="14"/>
        <v>25</v>
      </c>
      <c r="U26" s="451">
        <f t="shared" si="5"/>
        <v>5.8823529411764705E-2</v>
      </c>
      <c r="V26" s="452">
        <f t="shared" si="6"/>
        <v>0.125</v>
      </c>
      <c r="W26" s="453" t="str">
        <f t="shared" si="7"/>
        <v>NA</v>
      </c>
      <c r="X26" s="454">
        <f t="shared" si="8"/>
        <v>0.08</v>
      </c>
      <c r="Y26" s="511">
        <v>4</v>
      </c>
      <c r="Z26" s="511">
        <v>14</v>
      </c>
      <c r="AA26" s="511">
        <v>5</v>
      </c>
      <c r="AB26" s="511">
        <v>1</v>
      </c>
      <c r="AC26" s="511"/>
      <c r="AD26" s="511">
        <v>1</v>
      </c>
      <c r="AE26" s="511">
        <f t="shared" si="18"/>
        <v>5</v>
      </c>
      <c r="AF26" s="511">
        <f t="shared" si="19"/>
        <v>14</v>
      </c>
      <c r="AG26" s="511">
        <f t="shared" si="20"/>
        <v>6</v>
      </c>
      <c r="AH26" s="1731">
        <f t="shared" si="15"/>
        <v>0.2</v>
      </c>
      <c r="AI26" s="1731">
        <f t="shared" si="16"/>
        <v>0</v>
      </c>
      <c r="AJ26" s="1731">
        <f t="shared" si="17"/>
        <v>0.16666666666666666</v>
      </c>
    </row>
    <row r="27" spans="1:36" x14ac:dyDescent="0.3">
      <c r="A27" s="267" t="s">
        <v>55</v>
      </c>
      <c r="B27" s="205" t="s">
        <v>271</v>
      </c>
      <c r="C27" s="229" t="s">
        <v>253</v>
      </c>
      <c r="D27" s="448">
        <v>123</v>
      </c>
      <c r="E27" s="449">
        <v>79</v>
      </c>
      <c r="F27" s="449">
        <v>4</v>
      </c>
      <c r="G27" s="149">
        <f t="shared" si="1"/>
        <v>206</v>
      </c>
      <c r="H27" s="448">
        <v>23</v>
      </c>
      <c r="I27" s="449">
        <v>14</v>
      </c>
      <c r="J27" s="449">
        <v>1</v>
      </c>
      <c r="K27" s="149">
        <f t="shared" si="2"/>
        <v>38</v>
      </c>
      <c r="L27" s="448"/>
      <c r="M27" s="449"/>
      <c r="N27" s="449"/>
      <c r="O27" s="149">
        <f t="shared" si="3"/>
        <v>0</v>
      </c>
      <c r="P27" s="450">
        <f t="shared" si="4"/>
        <v>244</v>
      </c>
      <c r="Q27" s="564">
        <f t="shared" si="11"/>
        <v>146</v>
      </c>
      <c r="R27" s="564">
        <f t="shared" si="12"/>
        <v>93</v>
      </c>
      <c r="S27" s="564">
        <f t="shared" si="13"/>
        <v>5</v>
      </c>
      <c r="T27" s="450">
        <f t="shared" si="14"/>
        <v>244</v>
      </c>
      <c r="U27" s="451">
        <f t="shared" si="5"/>
        <v>0.15753424657534246</v>
      </c>
      <c r="V27" s="452">
        <f t="shared" si="6"/>
        <v>0.15053763440860216</v>
      </c>
      <c r="W27" s="453">
        <f t="shared" si="7"/>
        <v>0.2</v>
      </c>
      <c r="X27" s="454">
        <f t="shared" si="8"/>
        <v>0.15573770491803279</v>
      </c>
      <c r="Y27" s="511">
        <v>27</v>
      </c>
      <c r="Z27" s="511">
        <v>122</v>
      </c>
      <c r="AA27" s="511">
        <v>62</v>
      </c>
      <c r="AB27" s="511">
        <v>9</v>
      </c>
      <c r="AC27" s="511">
        <v>25</v>
      </c>
      <c r="AD27" s="511">
        <v>7</v>
      </c>
      <c r="AE27" s="511">
        <f t="shared" si="18"/>
        <v>36</v>
      </c>
      <c r="AF27" s="511">
        <f t="shared" si="19"/>
        <v>147</v>
      </c>
      <c r="AG27" s="511">
        <f t="shared" si="20"/>
        <v>69</v>
      </c>
      <c r="AH27" s="1731">
        <f t="shared" si="15"/>
        <v>0.25</v>
      </c>
      <c r="AI27" s="1731">
        <f t="shared" si="16"/>
        <v>0.17006802721088435</v>
      </c>
      <c r="AJ27" s="1731">
        <f t="shared" si="17"/>
        <v>0.10144927536231885</v>
      </c>
    </row>
    <row r="28" spans="1:36" x14ac:dyDescent="0.3">
      <c r="A28" s="267" t="s">
        <v>57</v>
      </c>
      <c r="B28" s="205" t="s">
        <v>58</v>
      </c>
      <c r="C28" s="229" t="s">
        <v>254</v>
      </c>
      <c r="D28" s="448">
        <v>7</v>
      </c>
      <c r="E28" s="449">
        <v>10</v>
      </c>
      <c r="F28" s="449"/>
      <c r="G28" s="149">
        <f t="shared" si="1"/>
        <v>17</v>
      </c>
      <c r="H28" s="448">
        <v>2</v>
      </c>
      <c r="I28" s="449">
        <v>1</v>
      </c>
      <c r="J28" s="449"/>
      <c r="K28" s="149">
        <f t="shared" si="2"/>
        <v>3</v>
      </c>
      <c r="L28" s="448"/>
      <c r="M28" s="449"/>
      <c r="N28" s="449"/>
      <c r="O28" s="149">
        <f t="shared" si="3"/>
        <v>0</v>
      </c>
      <c r="P28" s="450">
        <f t="shared" si="4"/>
        <v>20</v>
      </c>
      <c r="Q28" s="564">
        <f t="shared" si="11"/>
        <v>9</v>
      </c>
      <c r="R28" s="564">
        <f t="shared" si="12"/>
        <v>11</v>
      </c>
      <c r="S28" s="564">
        <f t="shared" si="13"/>
        <v>0</v>
      </c>
      <c r="T28" s="450">
        <f t="shared" si="14"/>
        <v>20</v>
      </c>
      <c r="U28" s="451">
        <f t="shared" si="5"/>
        <v>0.22222222222222221</v>
      </c>
      <c r="V28" s="452">
        <f t="shared" si="6"/>
        <v>9.0909090909090912E-2</v>
      </c>
      <c r="W28" s="453" t="str">
        <f t="shared" si="7"/>
        <v>NA</v>
      </c>
      <c r="X28" s="454">
        <f t="shared" si="8"/>
        <v>0.15</v>
      </c>
      <c r="Y28" s="511">
        <v>5</v>
      </c>
      <c r="Z28" s="511">
        <v>8</v>
      </c>
      <c r="AA28" s="511">
        <v>4</v>
      </c>
      <c r="AB28" s="511">
        <v>1</v>
      </c>
      <c r="AC28" s="511">
        <v>1</v>
      </c>
      <c r="AD28" s="511">
        <v>1</v>
      </c>
      <c r="AE28" s="511">
        <f t="shared" si="18"/>
        <v>6</v>
      </c>
      <c r="AF28" s="511">
        <f t="shared" si="19"/>
        <v>9</v>
      </c>
      <c r="AG28" s="511">
        <f t="shared" si="20"/>
        <v>5</v>
      </c>
      <c r="AH28" s="1731">
        <f t="shared" si="15"/>
        <v>0.16666666666666666</v>
      </c>
      <c r="AI28" s="1731">
        <f t="shared" si="16"/>
        <v>0.1111111111111111</v>
      </c>
      <c r="AJ28" s="1731">
        <f t="shared" si="17"/>
        <v>0.2</v>
      </c>
    </row>
    <row r="29" spans="1:36" x14ac:dyDescent="0.3">
      <c r="A29" s="267" t="s">
        <v>59</v>
      </c>
      <c r="B29" s="205" t="s">
        <v>60</v>
      </c>
      <c r="C29" s="229" t="s">
        <v>252</v>
      </c>
      <c r="D29" s="448">
        <v>7</v>
      </c>
      <c r="E29" s="449">
        <v>4</v>
      </c>
      <c r="F29" s="449"/>
      <c r="G29" s="149">
        <f t="shared" si="1"/>
        <v>11</v>
      </c>
      <c r="H29" s="448">
        <v>3</v>
      </c>
      <c r="I29" s="449">
        <v>1</v>
      </c>
      <c r="J29" s="449"/>
      <c r="K29" s="149">
        <f t="shared" si="2"/>
        <v>4</v>
      </c>
      <c r="L29" s="448">
        <v>2</v>
      </c>
      <c r="M29" s="449">
        <v>1</v>
      </c>
      <c r="N29" s="449"/>
      <c r="O29" s="149">
        <f t="shared" si="3"/>
        <v>3</v>
      </c>
      <c r="P29" s="450">
        <f t="shared" si="4"/>
        <v>18</v>
      </c>
      <c r="Q29" s="564">
        <f t="shared" si="11"/>
        <v>10</v>
      </c>
      <c r="R29" s="564">
        <f t="shared" si="12"/>
        <v>5</v>
      </c>
      <c r="S29" s="564">
        <f t="shared" si="13"/>
        <v>0</v>
      </c>
      <c r="T29" s="450">
        <f t="shared" si="14"/>
        <v>15</v>
      </c>
      <c r="U29" s="451">
        <f t="shared" si="5"/>
        <v>0.3</v>
      </c>
      <c r="V29" s="452">
        <f t="shared" si="6"/>
        <v>0.2</v>
      </c>
      <c r="W29" s="453" t="str">
        <f t="shared" si="7"/>
        <v>NA</v>
      </c>
      <c r="X29" s="454">
        <f t="shared" si="8"/>
        <v>0.26666666666666666</v>
      </c>
      <c r="Y29" s="511">
        <v>3</v>
      </c>
      <c r="Z29" s="511">
        <v>5</v>
      </c>
      <c r="AA29" s="511">
        <v>3</v>
      </c>
      <c r="AB29" s="511"/>
      <c r="AC29" s="511">
        <v>2</v>
      </c>
      <c r="AD29" s="511">
        <v>2</v>
      </c>
      <c r="AE29" s="511">
        <f t="shared" si="18"/>
        <v>3</v>
      </c>
      <c r="AF29" s="511">
        <f t="shared" si="19"/>
        <v>7</v>
      </c>
      <c r="AG29" s="511">
        <f t="shared" si="20"/>
        <v>5</v>
      </c>
      <c r="AH29" s="1731">
        <f t="shared" si="15"/>
        <v>0</v>
      </c>
      <c r="AI29" s="1731">
        <f t="shared" si="16"/>
        <v>0.2857142857142857</v>
      </c>
      <c r="AJ29" s="1731">
        <f t="shared" si="17"/>
        <v>0.4</v>
      </c>
    </row>
    <row r="30" spans="1:36" x14ac:dyDescent="0.3">
      <c r="A30" s="267" t="s">
        <v>61</v>
      </c>
      <c r="B30" s="205" t="s">
        <v>62</v>
      </c>
      <c r="C30" s="229" t="s">
        <v>254</v>
      </c>
      <c r="D30" s="448">
        <v>35</v>
      </c>
      <c r="E30" s="449">
        <v>22</v>
      </c>
      <c r="F30" s="449"/>
      <c r="G30" s="149">
        <f t="shared" si="1"/>
        <v>57</v>
      </c>
      <c r="H30" s="448">
        <v>7</v>
      </c>
      <c r="I30" s="449">
        <v>2</v>
      </c>
      <c r="J30" s="449">
        <v>1</v>
      </c>
      <c r="K30" s="149">
        <f t="shared" si="2"/>
        <v>10</v>
      </c>
      <c r="L30" s="448"/>
      <c r="M30" s="449"/>
      <c r="N30" s="449"/>
      <c r="O30" s="149">
        <f t="shared" si="3"/>
        <v>0</v>
      </c>
      <c r="P30" s="450">
        <f t="shared" si="4"/>
        <v>67</v>
      </c>
      <c r="Q30" s="564">
        <f t="shared" si="11"/>
        <v>42</v>
      </c>
      <c r="R30" s="564">
        <f t="shared" si="12"/>
        <v>24</v>
      </c>
      <c r="S30" s="564">
        <f t="shared" si="13"/>
        <v>1</v>
      </c>
      <c r="T30" s="450">
        <f t="shared" si="14"/>
        <v>67</v>
      </c>
      <c r="U30" s="451">
        <f t="shared" si="5"/>
        <v>0.16666666666666666</v>
      </c>
      <c r="V30" s="452">
        <f t="shared" si="6"/>
        <v>8.3333333333333329E-2</v>
      </c>
      <c r="W30" s="453">
        <f t="shared" si="7"/>
        <v>1</v>
      </c>
      <c r="X30" s="454">
        <f t="shared" si="8"/>
        <v>0.14925373134328357</v>
      </c>
      <c r="Y30" s="511">
        <v>9</v>
      </c>
      <c r="Z30" s="511">
        <v>35</v>
      </c>
      <c r="AA30" s="511">
        <v>13</v>
      </c>
      <c r="AB30" s="511">
        <v>2</v>
      </c>
      <c r="AC30" s="511">
        <v>4</v>
      </c>
      <c r="AD30" s="511">
        <v>4</v>
      </c>
      <c r="AE30" s="511">
        <f t="shared" si="18"/>
        <v>11</v>
      </c>
      <c r="AF30" s="511">
        <f t="shared" si="19"/>
        <v>39</v>
      </c>
      <c r="AG30" s="511">
        <f t="shared" si="20"/>
        <v>17</v>
      </c>
      <c r="AH30" s="1731">
        <f t="shared" si="15"/>
        <v>0.18181818181818182</v>
      </c>
      <c r="AI30" s="1731">
        <f t="shared" si="16"/>
        <v>0.10256410256410256</v>
      </c>
      <c r="AJ30" s="1731">
        <f t="shared" si="17"/>
        <v>0.23529411764705882</v>
      </c>
    </row>
    <row r="31" spans="1:36" x14ac:dyDescent="0.3">
      <c r="A31" s="267" t="s">
        <v>63</v>
      </c>
      <c r="B31" s="205" t="s">
        <v>64</v>
      </c>
      <c r="C31" s="229" t="s">
        <v>253</v>
      </c>
      <c r="D31" s="448">
        <v>13</v>
      </c>
      <c r="E31" s="449">
        <v>6</v>
      </c>
      <c r="F31" s="449"/>
      <c r="G31" s="149">
        <f t="shared" si="1"/>
        <v>19</v>
      </c>
      <c r="H31" s="448"/>
      <c r="I31" s="449">
        <v>1</v>
      </c>
      <c r="J31" s="449"/>
      <c r="K31" s="149">
        <f t="shared" si="2"/>
        <v>1</v>
      </c>
      <c r="L31" s="448"/>
      <c r="M31" s="449"/>
      <c r="N31" s="449"/>
      <c r="O31" s="149">
        <f t="shared" si="3"/>
        <v>0</v>
      </c>
      <c r="P31" s="450">
        <f t="shared" si="4"/>
        <v>20</v>
      </c>
      <c r="Q31" s="564">
        <f t="shared" si="11"/>
        <v>13</v>
      </c>
      <c r="R31" s="564">
        <f t="shared" si="12"/>
        <v>7</v>
      </c>
      <c r="S31" s="564">
        <f t="shared" si="13"/>
        <v>0</v>
      </c>
      <c r="T31" s="450">
        <f t="shared" si="14"/>
        <v>20</v>
      </c>
      <c r="U31" s="451">
        <f t="shared" si="5"/>
        <v>0</v>
      </c>
      <c r="V31" s="452">
        <f t="shared" si="6"/>
        <v>0.14285714285714285</v>
      </c>
      <c r="W31" s="453" t="str">
        <f t="shared" si="7"/>
        <v>NA</v>
      </c>
      <c r="X31" s="454">
        <f t="shared" si="8"/>
        <v>0.05</v>
      </c>
      <c r="Y31" s="511">
        <v>4</v>
      </c>
      <c r="Z31" s="511">
        <v>9</v>
      </c>
      <c r="AA31" s="511">
        <v>6</v>
      </c>
      <c r="AB31" s="511"/>
      <c r="AC31" s="511">
        <v>1</v>
      </c>
      <c r="AD31" s="511"/>
      <c r="AE31" s="511">
        <f t="shared" si="18"/>
        <v>4</v>
      </c>
      <c r="AF31" s="511">
        <f t="shared" si="19"/>
        <v>10</v>
      </c>
      <c r="AG31" s="511">
        <f t="shared" si="20"/>
        <v>6</v>
      </c>
      <c r="AH31" s="1731">
        <f t="shared" si="15"/>
        <v>0</v>
      </c>
      <c r="AI31" s="1731">
        <f t="shared" si="16"/>
        <v>0.1</v>
      </c>
      <c r="AJ31" s="1731">
        <f t="shared" si="17"/>
        <v>0</v>
      </c>
    </row>
    <row r="32" spans="1:36" x14ac:dyDescent="0.3">
      <c r="A32" s="267" t="s">
        <v>67</v>
      </c>
      <c r="B32" s="205" t="s">
        <v>68</v>
      </c>
      <c r="C32" s="229" t="s">
        <v>255</v>
      </c>
      <c r="D32" s="448">
        <v>34</v>
      </c>
      <c r="E32" s="449">
        <v>12</v>
      </c>
      <c r="F32" s="449"/>
      <c r="G32" s="149">
        <f t="shared" si="1"/>
        <v>46</v>
      </c>
      <c r="H32" s="448">
        <v>5</v>
      </c>
      <c r="I32" s="449">
        <v>2</v>
      </c>
      <c r="J32" s="449"/>
      <c r="K32" s="149">
        <f t="shared" si="2"/>
        <v>7</v>
      </c>
      <c r="L32" s="448"/>
      <c r="M32" s="449"/>
      <c r="N32" s="449"/>
      <c r="O32" s="149">
        <f t="shared" si="3"/>
        <v>0</v>
      </c>
      <c r="P32" s="450">
        <f t="shared" si="4"/>
        <v>53</v>
      </c>
      <c r="Q32" s="564">
        <f t="shared" si="11"/>
        <v>39</v>
      </c>
      <c r="R32" s="564">
        <f t="shared" si="12"/>
        <v>14</v>
      </c>
      <c r="S32" s="564">
        <f t="shared" si="13"/>
        <v>0</v>
      </c>
      <c r="T32" s="450">
        <f t="shared" si="14"/>
        <v>53</v>
      </c>
      <c r="U32" s="451">
        <f t="shared" si="5"/>
        <v>0.12820512820512819</v>
      </c>
      <c r="V32" s="452">
        <f t="shared" si="6"/>
        <v>0.14285714285714285</v>
      </c>
      <c r="W32" s="453" t="str">
        <f t="shared" si="7"/>
        <v>NA</v>
      </c>
      <c r="X32" s="454">
        <f t="shared" si="8"/>
        <v>0.13207547169811321</v>
      </c>
      <c r="Y32" s="511">
        <v>6</v>
      </c>
      <c r="Z32" s="511">
        <v>26</v>
      </c>
      <c r="AA32" s="511">
        <v>14</v>
      </c>
      <c r="AB32" s="511">
        <v>2</v>
      </c>
      <c r="AC32" s="511">
        <v>1</v>
      </c>
      <c r="AD32" s="511">
        <v>4</v>
      </c>
      <c r="AE32" s="511">
        <f t="shared" si="18"/>
        <v>8</v>
      </c>
      <c r="AF32" s="511">
        <f t="shared" si="19"/>
        <v>27</v>
      </c>
      <c r="AG32" s="511">
        <f t="shared" si="20"/>
        <v>18</v>
      </c>
      <c r="AH32" s="1731">
        <f t="shared" si="15"/>
        <v>0.25</v>
      </c>
      <c r="AI32" s="1731">
        <f t="shared" si="16"/>
        <v>3.7037037037037035E-2</v>
      </c>
      <c r="AJ32" s="1731">
        <f t="shared" si="17"/>
        <v>0.22222222222222221</v>
      </c>
    </row>
    <row r="33" spans="1:36" x14ac:dyDescent="0.3">
      <c r="A33" s="267" t="s">
        <v>69</v>
      </c>
      <c r="B33" s="205" t="s">
        <v>70</v>
      </c>
      <c r="C33" s="229" t="s">
        <v>251</v>
      </c>
      <c r="D33" s="448">
        <v>22</v>
      </c>
      <c r="E33" s="449">
        <v>7</v>
      </c>
      <c r="F33" s="449"/>
      <c r="G33" s="149">
        <f t="shared" si="1"/>
        <v>29</v>
      </c>
      <c r="H33" s="448">
        <v>4</v>
      </c>
      <c r="I33" s="449">
        <v>4</v>
      </c>
      <c r="J33" s="449"/>
      <c r="K33" s="149">
        <f t="shared" si="2"/>
        <v>8</v>
      </c>
      <c r="L33" s="448"/>
      <c r="M33" s="449"/>
      <c r="N33" s="449"/>
      <c r="O33" s="149">
        <f t="shared" si="3"/>
        <v>0</v>
      </c>
      <c r="P33" s="450">
        <f t="shared" si="4"/>
        <v>37</v>
      </c>
      <c r="Q33" s="564">
        <f t="shared" si="11"/>
        <v>26</v>
      </c>
      <c r="R33" s="564">
        <f t="shared" si="12"/>
        <v>11</v>
      </c>
      <c r="S33" s="564">
        <f t="shared" si="13"/>
        <v>0</v>
      </c>
      <c r="T33" s="450">
        <f t="shared" si="14"/>
        <v>37</v>
      </c>
      <c r="U33" s="451">
        <f t="shared" si="5"/>
        <v>0.15384615384615385</v>
      </c>
      <c r="V33" s="452">
        <f t="shared" si="6"/>
        <v>0.36363636363636365</v>
      </c>
      <c r="W33" s="453" t="str">
        <f t="shared" si="7"/>
        <v>NA</v>
      </c>
      <c r="X33" s="454">
        <f t="shared" si="8"/>
        <v>0.21621621621621623</v>
      </c>
      <c r="Y33" s="511">
        <v>3</v>
      </c>
      <c r="Z33" s="511">
        <v>19</v>
      </c>
      <c r="AA33" s="511">
        <v>7</v>
      </c>
      <c r="AB33" s="511">
        <v>3</v>
      </c>
      <c r="AC33" s="511">
        <v>3</v>
      </c>
      <c r="AD33" s="511">
        <v>2</v>
      </c>
      <c r="AE33" s="511">
        <f t="shared" si="18"/>
        <v>6</v>
      </c>
      <c r="AF33" s="511">
        <f t="shared" si="19"/>
        <v>22</v>
      </c>
      <c r="AG33" s="511">
        <f t="shared" si="20"/>
        <v>9</v>
      </c>
      <c r="AH33" s="1731">
        <f t="shared" si="15"/>
        <v>0.5</v>
      </c>
      <c r="AI33" s="1731">
        <f t="shared" si="16"/>
        <v>0.13636363636363635</v>
      </c>
      <c r="AJ33" s="1731">
        <f t="shared" si="17"/>
        <v>0.22222222222222221</v>
      </c>
    </row>
    <row r="34" spans="1:36" x14ac:dyDescent="0.3">
      <c r="A34" s="267" t="s">
        <v>71</v>
      </c>
      <c r="B34" s="205" t="s">
        <v>72</v>
      </c>
      <c r="C34" s="229" t="s">
        <v>253</v>
      </c>
      <c r="D34" s="448">
        <v>13</v>
      </c>
      <c r="E34" s="449">
        <v>7</v>
      </c>
      <c r="F34" s="449"/>
      <c r="G34" s="149">
        <f t="shared" si="1"/>
        <v>20</v>
      </c>
      <c r="H34" s="448">
        <v>6</v>
      </c>
      <c r="I34" s="449">
        <v>1</v>
      </c>
      <c r="J34" s="449"/>
      <c r="K34" s="149">
        <f t="shared" si="2"/>
        <v>7</v>
      </c>
      <c r="L34" s="448"/>
      <c r="M34" s="449"/>
      <c r="N34" s="449"/>
      <c r="O34" s="149">
        <f t="shared" si="3"/>
        <v>0</v>
      </c>
      <c r="P34" s="450">
        <f t="shared" si="4"/>
        <v>27</v>
      </c>
      <c r="Q34" s="564">
        <f t="shared" si="11"/>
        <v>19</v>
      </c>
      <c r="R34" s="564">
        <f t="shared" si="12"/>
        <v>8</v>
      </c>
      <c r="S34" s="564">
        <f t="shared" si="13"/>
        <v>0</v>
      </c>
      <c r="T34" s="450">
        <f t="shared" si="14"/>
        <v>27</v>
      </c>
      <c r="U34" s="451">
        <f t="shared" si="5"/>
        <v>0.31578947368421051</v>
      </c>
      <c r="V34" s="452">
        <f t="shared" si="6"/>
        <v>0.125</v>
      </c>
      <c r="W34" s="453" t="str">
        <f t="shared" si="7"/>
        <v>NA</v>
      </c>
      <c r="X34" s="454">
        <f t="shared" si="8"/>
        <v>0.25925925925925924</v>
      </c>
      <c r="Y34" s="511">
        <v>5</v>
      </c>
      <c r="Z34" s="511">
        <v>9</v>
      </c>
      <c r="AA34" s="511">
        <v>6</v>
      </c>
      <c r="AB34" s="511">
        <v>2</v>
      </c>
      <c r="AC34" s="511">
        <v>4</v>
      </c>
      <c r="AD34" s="511">
        <v>2</v>
      </c>
      <c r="AE34" s="511">
        <f t="shared" si="18"/>
        <v>7</v>
      </c>
      <c r="AF34" s="511">
        <f t="shared" si="19"/>
        <v>13</v>
      </c>
      <c r="AG34" s="511">
        <f t="shared" si="20"/>
        <v>8</v>
      </c>
      <c r="AH34" s="1731">
        <f t="shared" si="15"/>
        <v>0.2857142857142857</v>
      </c>
      <c r="AI34" s="1731">
        <f t="shared" si="16"/>
        <v>0.30769230769230771</v>
      </c>
      <c r="AJ34" s="1731">
        <f t="shared" si="17"/>
        <v>0.25</v>
      </c>
    </row>
    <row r="35" spans="1:36" x14ac:dyDescent="0.3">
      <c r="A35" s="267" t="s">
        <v>73</v>
      </c>
      <c r="B35" s="205" t="s">
        <v>405</v>
      </c>
      <c r="C35" s="229" t="s">
        <v>254</v>
      </c>
      <c r="D35" s="448">
        <v>482</v>
      </c>
      <c r="E35" s="449">
        <v>343</v>
      </c>
      <c r="F35" s="449">
        <v>155</v>
      </c>
      <c r="G35" s="149">
        <f t="shared" si="1"/>
        <v>980</v>
      </c>
      <c r="H35" s="448">
        <v>74</v>
      </c>
      <c r="I35" s="449">
        <v>50</v>
      </c>
      <c r="J35" s="449">
        <v>11</v>
      </c>
      <c r="K35" s="149">
        <f t="shared" si="2"/>
        <v>135</v>
      </c>
      <c r="L35" s="448"/>
      <c r="M35" s="449"/>
      <c r="N35" s="449"/>
      <c r="O35" s="149">
        <f t="shared" si="3"/>
        <v>0</v>
      </c>
      <c r="P35" s="455">
        <f t="shared" si="4"/>
        <v>1115</v>
      </c>
      <c r="Q35" s="565">
        <f t="shared" si="11"/>
        <v>556</v>
      </c>
      <c r="R35" s="565">
        <f t="shared" si="12"/>
        <v>393</v>
      </c>
      <c r="S35" s="565">
        <f t="shared" si="13"/>
        <v>166</v>
      </c>
      <c r="T35" s="455">
        <f t="shared" si="14"/>
        <v>1115</v>
      </c>
      <c r="U35" s="451">
        <f t="shared" si="5"/>
        <v>0.13309352517985612</v>
      </c>
      <c r="V35" s="452">
        <f t="shared" si="6"/>
        <v>0.1272264631043257</v>
      </c>
      <c r="W35" s="453">
        <f t="shared" si="7"/>
        <v>6.6265060240963861E-2</v>
      </c>
      <c r="X35" s="454">
        <f t="shared" si="8"/>
        <v>0.1210762331838565</v>
      </c>
      <c r="Y35" s="511">
        <v>179</v>
      </c>
      <c r="Z35" s="511">
        <v>430</v>
      </c>
      <c r="AA35" s="511">
        <v>371</v>
      </c>
      <c r="AB35" s="511">
        <v>37</v>
      </c>
      <c r="AC35" s="511">
        <v>64</v>
      </c>
      <c r="AD35" s="511">
        <v>34</v>
      </c>
      <c r="AE35" s="511">
        <f t="shared" si="18"/>
        <v>216</v>
      </c>
      <c r="AF35" s="511">
        <f t="shared" si="19"/>
        <v>494</v>
      </c>
      <c r="AG35" s="511">
        <f t="shared" si="20"/>
        <v>405</v>
      </c>
      <c r="AH35" s="1731">
        <f t="shared" si="15"/>
        <v>0.17129629629629631</v>
      </c>
      <c r="AI35" s="1731">
        <f t="shared" si="16"/>
        <v>0.12955465587044535</v>
      </c>
      <c r="AJ35" s="1731">
        <f t="shared" si="17"/>
        <v>8.3950617283950618E-2</v>
      </c>
    </row>
    <row r="36" spans="1:36" x14ac:dyDescent="0.3">
      <c r="A36" s="267" t="s">
        <v>75</v>
      </c>
      <c r="B36" s="205" t="s">
        <v>76</v>
      </c>
      <c r="C36" s="229" t="s">
        <v>254</v>
      </c>
      <c r="D36" s="448">
        <v>40</v>
      </c>
      <c r="E36" s="449">
        <v>13</v>
      </c>
      <c r="F36" s="449">
        <v>7</v>
      </c>
      <c r="G36" s="149">
        <f t="shared" si="1"/>
        <v>60</v>
      </c>
      <c r="H36" s="448">
        <v>5</v>
      </c>
      <c r="I36" s="449">
        <v>2</v>
      </c>
      <c r="J36" s="449">
        <v>1</v>
      </c>
      <c r="K36" s="149">
        <f t="shared" si="2"/>
        <v>8</v>
      </c>
      <c r="L36" s="448"/>
      <c r="M36" s="449"/>
      <c r="N36" s="449"/>
      <c r="O36" s="149">
        <f t="shared" si="3"/>
        <v>0</v>
      </c>
      <c r="P36" s="450">
        <f t="shared" si="4"/>
        <v>68</v>
      </c>
      <c r="Q36" s="564">
        <f t="shared" si="11"/>
        <v>45</v>
      </c>
      <c r="R36" s="564">
        <f t="shared" si="12"/>
        <v>15</v>
      </c>
      <c r="S36" s="564">
        <f t="shared" si="13"/>
        <v>8</v>
      </c>
      <c r="T36" s="450">
        <f t="shared" si="14"/>
        <v>68</v>
      </c>
      <c r="U36" s="451">
        <f t="shared" si="5"/>
        <v>0.1111111111111111</v>
      </c>
      <c r="V36" s="452">
        <f t="shared" si="6"/>
        <v>0.13333333333333333</v>
      </c>
      <c r="W36" s="453">
        <f t="shared" si="7"/>
        <v>0.125</v>
      </c>
      <c r="X36" s="454">
        <f t="shared" si="8"/>
        <v>0.11764705882352941</v>
      </c>
      <c r="Y36" s="511">
        <v>9</v>
      </c>
      <c r="Z36" s="511">
        <v>24</v>
      </c>
      <c r="AA36" s="511">
        <v>27</v>
      </c>
      <c r="AB36" s="511">
        <v>1</v>
      </c>
      <c r="AC36" s="511">
        <v>6</v>
      </c>
      <c r="AD36" s="511">
        <v>2</v>
      </c>
      <c r="AE36" s="511">
        <f t="shared" si="18"/>
        <v>10</v>
      </c>
      <c r="AF36" s="511">
        <f t="shared" si="19"/>
        <v>30</v>
      </c>
      <c r="AG36" s="511">
        <f t="shared" si="20"/>
        <v>29</v>
      </c>
      <c r="AH36" s="1731">
        <f t="shared" si="15"/>
        <v>0.1</v>
      </c>
      <c r="AI36" s="1731">
        <f t="shared" si="16"/>
        <v>0.2</v>
      </c>
      <c r="AJ36" s="1731">
        <f t="shared" si="17"/>
        <v>6.8965517241379309E-2</v>
      </c>
    </row>
    <row r="37" spans="1:36" x14ac:dyDescent="0.3">
      <c r="A37" s="267" t="s">
        <v>77</v>
      </c>
      <c r="B37" s="205" t="s">
        <v>78</v>
      </c>
      <c r="C37" s="229" t="s">
        <v>255</v>
      </c>
      <c r="D37" s="448">
        <v>10</v>
      </c>
      <c r="E37" s="449">
        <v>5</v>
      </c>
      <c r="F37" s="449"/>
      <c r="G37" s="149">
        <f t="shared" si="1"/>
        <v>15</v>
      </c>
      <c r="H37" s="448">
        <v>3</v>
      </c>
      <c r="I37" s="449"/>
      <c r="J37" s="449"/>
      <c r="K37" s="149">
        <f t="shared" si="2"/>
        <v>3</v>
      </c>
      <c r="L37" s="448"/>
      <c r="M37" s="449"/>
      <c r="N37" s="449"/>
      <c r="O37" s="149">
        <f t="shared" si="3"/>
        <v>0</v>
      </c>
      <c r="P37" s="450">
        <f t="shared" si="4"/>
        <v>18</v>
      </c>
      <c r="Q37" s="564">
        <f t="shared" si="11"/>
        <v>13</v>
      </c>
      <c r="R37" s="564">
        <f t="shared" si="12"/>
        <v>5</v>
      </c>
      <c r="S37" s="564">
        <f t="shared" si="13"/>
        <v>0</v>
      </c>
      <c r="T37" s="450">
        <f t="shared" si="14"/>
        <v>18</v>
      </c>
      <c r="U37" s="451">
        <f t="shared" si="5"/>
        <v>0.23076923076923078</v>
      </c>
      <c r="V37" s="452">
        <f t="shared" si="6"/>
        <v>0</v>
      </c>
      <c r="W37" s="453" t="str">
        <f t="shared" si="7"/>
        <v>NA</v>
      </c>
      <c r="X37" s="454">
        <f t="shared" si="8"/>
        <v>0.16666666666666666</v>
      </c>
      <c r="Y37" s="511">
        <v>3</v>
      </c>
      <c r="Z37" s="511">
        <v>8</v>
      </c>
      <c r="AA37" s="511">
        <v>5</v>
      </c>
      <c r="AB37" s="511"/>
      <c r="AC37" s="511">
        <v>1</v>
      </c>
      <c r="AD37" s="511">
        <v>2</v>
      </c>
      <c r="AE37" s="511">
        <f t="shared" si="18"/>
        <v>3</v>
      </c>
      <c r="AF37" s="511">
        <f t="shared" si="19"/>
        <v>9</v>
      </c>
      <c r="AG37" s="511">
        <f t="shared" si="20"/>
        <v>7</v>
      </c>
      <c r="AH37" s="1731">
        <f t="shared" si="15"/>
        <v>0</v>
      </c>
      <c r="AI37" s="1731">
        <f t="shared" si="16"/>
        <v>0.1111111111111111</v>
      </c>
      <c r="AJ37" s="1731">
        <f t="shared" si="17"/>
        <v>0.2857142857142857</v>
      </c>
    </row>
    <row r="38" spans="1:36" x14ac:dyDescent="0.3">
      <c r="A38" s="267" t="s">
        <v>79</v>
      </c>
      <c r="B38" s="205" t="s">
        <v>80</v>
      </c>
      <c r="C38" s="229" t="s">
        <v>253</v>
      </c>
      <c r="D38" s="448">
        <v>20</v>
      </c>
      <c r="E38" s="449">
        <v>11</v>
      </c>
      <c r="F38" s="449"/>
      <c r="G38" s="149">
        <f t="shared" ref="G38:G69" si="21">SUM(D38:F38)</f>
        <v>31</v>
      </c>
      <c r="H38" s="448">
        <v>8</v>
      </c>
      <c r="I38" s="449">
        <v>1</v>
      </c>
      <c r="J38" s="449"/>
      <c r="K38" s="149">
        <f t="shared" ref="K38:K69" si="22">SUM(H38:J38)</f>
        <v>9</v>
      </c>
      <c r="L38" s="448"/>
      <c r="M38" s="449"/>
      <c r="N38" s="449"/>
      <c r="O38" s="149">
        <f t="shared" ref="O38:O69" si="23">SUM(L38:N38)</f>
        <v>0</v>
      </c>
      <c r="P38" s="450">
        <f t="shared" ref="P38:P69" si="24">G38+K38+O38</f>
        <v>40</v>
      </c>
      <c r="Q38" s="564">
        <f t="shared" si="11"/>
        <v>28</v>
      </c>
      <c r="R38" s="564">
        <f t="shared" si="12"/>
        <v>12</v>
      </c>
      <c r="S38" s="564">
        <f t="shared" si="13"/>
        <v>0</v>
      </c>
      <c r="T38" s="450">
        <f t="shared" si="14"/>
        <v>40</v>
      </c>
      <c r="U38" s="451">
        <f t="shared" ref="U38:U69" si="25">IF((D38+H38)=0,"NA",(H38/(D38+H38)))</f>
        <v>0.2857142857142857</v>
      </c>
      <c r="V38" s="452">
        <f t="shared" ref="V38:V69" si="26">IF((E38+I38)=0,"NA",(I38/(E38+I38)))</f>
        <v>8.3333333333333329E-2</v>
      </c>
      <c r="W38" s="453" t="str">
        <f t="shared" ref="W38:W69" si="27">IF((F38+J38)=0,"NA",(J38/(F38+J38)))</f>
        <v>NA</v>
      </c>
      <c r="X38" s="454">
        <f t="shared" ref="X38:X69" si="28">IF((G38+K38)=0,"NA",(K38/(G38+K38)))</f>
        <v>0.22500000000000001</v>
      </c>
      <c r="Y38" s="511">
        <v>6</v>
      </c>
      <c r="Z38" s="511">
        <v>12</v>
      </c>
      <c r="AA38" s="511">
        <v>13</v>
      </c>
      <c r="AB38" s="511">
        <v>1</v>
      </c>
      <c r="AC38" s="511">
        <v>6</v>
      </c>
      <c r="AD38" s="511">
        <v>2</v>
      </c>
      <c r="AE38" s="511">
        <f t="shared" si="18"/>
        <v>7</v>
      </c>
      <c r="AF38" s="511">
        <f t="shared" si="19"/>
        <v>18</v>
      </c>
      <c r="AG38" s="511">
        <f t="shared" si="20"/>
        <v>15</v>
      </c>
      <c r="AH38" s="1731">
        <f t="shared" si="15"/>
        <v>0.14285714285714285</v>
      </c>
      <c r="AI38" s="1731">
        <f t="shared" si="16"/>
        <v>0.33333333333333331</v>
      </c>
      <c r="AJ38" s="1731">
        <f t="shared" si="17"/>
        <v>0.13333333333333333</v>
      </c>
    </row>
    <row r="39" spans="1:36" x14ac:dyDescent="0.3">
      <c r="A39" s="267" t="s">
        <v>83</v>
      </c>
      <c r="B39" s="205" t="s">
        <v>281</v>
      </c>
      <c r="C39" s="229" t="s">
        <v>252</v>
      </c>
      <c r="D39" s="448">
        <v>53</v>
      </c>
      <c r="E39" s="449">
        <v>25</v>
      </c>
      <c r="F39" s="449"/>
      <c r="G39" s="149">
        <f t="shared" si="21"/>
        <v>78</v>
      </c>
      <c r="H39" s="448">
        <v>6</v>
      </c>
      <c r="I39" s="449"/>
      <c r="J39" s="449"/>
      <c r="K39" s="149">
        <f t="shared" si="22"/>
        <v>6</v>
      </c>
      <c r="L39" s="448"/>
      <c r="M39" s="449"/>
      <c r="N39" s="449"/>
      <c r="O39" s="149">
        <f t="shared" si="23"/>
        <v>0</v>
      </c>
      <c r="P39" s="450">
        <f t="shared" si="24"/>
        <v>84</v>
      </c>
      <c r="Q39" s="564">
        <f t="shared" si="11"/>
        <v>59</v>
      </c>
      <c r="R39" s="564">
        <f t="shared" si="12"/>
        <v>25</v>
      </c>
      <c r="S39" s="564">
        <f t="shared" si="13"/>
        <v>0</v>
      </c>
      <c r="T39" s="450">
        <f t="shared" ref="T39:T70" si="29">G39+K39</f>
        <v>84</v>
      </c>
      <c r="U39" s="451">
        <f t="shared" si="25"/>
        <v>0.10169491525423729</v>
      </c>
      <c r="V39" s="452">
        <f t="shared" si="26"/>
        <v>0</v>
      </c>
      <c r="W39" s="453" t="str">
        <f t="shared" si="27"/>
        <v>NA</v>
      </c>
      <c r="X39" s="454">
        <f t="shared" si="28"/>
        <v>7.1428571428571425E-2</v>
      </c>
      <c r="Y39" s="511">
        <v>8</v>
      </c>
      <c r="Z39" s="511">
        <v>44</v>
      </c>
      <c r="AA39" s="511">
        <v>26</v>
      </c>
      <c r="AB39" s="511"/>
      <c r="AC39" s="511">
        <v>3</v>
      </c>
      <c r="AD39" s="511">
        <v>3</v>
      </c>
      <c r="AE39" s="511">
        <f t="shared" si="18"/>
        <v>8</v>
      </c>
      <c r="AF39" s="511">
        <f t="shared" si="19"/>
        <v>47</v>
      </c>
      <c r="AG39" s="511">
        <f t="shared" si="20"/>
        <v>29</v>
      </c>
      <c r="AH39" s="1731">
        <f t="shared" si="15"/>
        <v>0</v>
      </c>
      <c r="AI39" s="1731">
        <f t="shared" si="16"/>
        <v>6.3829787234042548E-2</v>
      </c>
      <c r="AJ39" s="1731">
        <f t="shared" si="17"/>
        <v>0.10344827586206896</v>
      </c>
    </row>
    <row r="40" spans="1:36" x14ac:dyDescent="0.3">
      <c r="A40" s="267" t="s">
        <v>85</v>
      </c>
      <c r="B40" s="205" t="s">
        <v>86</v>
      </c>
      <c r="C40" s="229" t="s">
        <v>254</v>
      </c>
      <c r="D40" s="448">
        <v>56</v>
      </c>
      <c r="E40" s="449">
        <v>22</v>
      </c>
      <c r="F40" s="449"/>
      <c r="G40" s="149">
        <f t="shared" si="21"/>
        <v>78</v>
      </c>
      <c r="H40" s="448">
        <v>6</v>
      </c>
      <c r="I40" s="449">
        <v>2</v>
      </c>
      <c r="J40" s="449"/>
      <c r="K40" s="149">
        <f t="shared" si="22"/>
        <v>8</v>
      </c>
      <c r="L40" s="448"/>
      <c r="M40" s="449"/>
      <c r="N40" s="449"/>
      <c r="O40" s="149">
        <f t="shared" si="23"/>
        <v>0</v>
      </c>
      <c r="P40" s="450">
        <f t="shared" si="24"/>
        <v>86</v>
      </c>
      <c r="Q40" s="564">
        <f t="shared" si="11"/>
        <v>62</v>
      </c>
      <c r="R40" s="564">
        <f t="shared" si="12"/>
        <v>24</v>
      </c>
      <c r="S40" s="564">
        <f t="shared" si="13"/>
        <v>0</v>
      </c>
      <c r="T40" s="450">
        <f t="shared" si="29"/>
        <v>86</v>
      </c>
      <c r="U40" s="451">
        <f t="shared" si="25"/>
        <v>9.6774193548387094E-2</v>
      </c>
      <c r="V40" s="452">
        <f t="shared" si="26"/>
        <v>8.3333333333333329E-2</v>
      </c>
      <c r="W40" s="453" t="str">
        <f t="shared" si="27"/>
        <v>NA</v>
      </c>
      <c r="X40" s="454">
        <f t="shared" si="28"/>
        <v>9.3023255813953487E-2</v>
      </c>
      <c r="Y40" s="511">
        <v>10</v>
      </c>
      <c r="Z40" s="511">
        <v>38</v>
      </c>
      <c r="AA40" s="511">
        <v>30</v>
      </c>
      <c r="AB40" s="511">
        <v>2</v>
      </c>
      <c r="AC40" s="511">
        <v>5</v>
      </c>
      <c r="AD40" s="511">
        <v>1</v>
      </c>
      <c r="AE40" s="511">
        <f t="shared" si="18"/>
        <v>12</v>
      </c>
      <c r="AF40" s="511">
        <f t="shared" si="19"/>
        <v>43</v>
      </c>
      <c r="AG40" s="511">
        <f t="shared" si="20"/>
        <v>31</v>
      </c>
      <c r="AH40" s="1731">
        <f t="shared" si="15"/>
        <v>0.16666666666666666</v>
      </c>
      <c r="AI40" s="1731">
        <f t="shared" si="16"/>
        <v>0.11627906976744186</v>
      </c>
      <c r="AJ40" s="1731">
        <f t="shared" si="17"/>
        <v>3.2258064516129031E-2</v>
      </c>
    </row>
    <row r="41" spans="1:36" x14ac:dyDescent="0.3">
      <c r="A41" s="267" t="s">
        <v>91</v>
      </c>
      <c r="B41" s="205" t="s">
        <v>92</v>
      </c>
      <c r="C41" s="229" t="s">
        <v>255</v>
      </c>
      <c r="D41" s="448">
        <v>21</v>
      </c>
      <c r="E41" s="449">
        <v>8</v>
      </c>
      <c r="F41" s="449"/>
      <c r="G41" s="149">
        <f t="shared" si="21"/>
        <v>29</v>
      </c>
      <c r="H41" s="448">
        <v>8</v>
      </c>
      <c r="I41" s="449">
        <v>3</v>
      </c>
      <c r="J41" s="449"/>
      <c r="K41" s="149">
        <f t="shared" si="22"/>
        <v>11</v>
      </c>
      <c r="L41" s="448"/>
      <c r="M41" s="449"/>
      <c r="N41" s="449"/>
      <c r="O41" s="149">
        <f t="shared" si="23"/>
        <v>0</v>
      </c>
      <c r="P41" s="450">
        <f t="shared" si="24"/>
        <v>40</v>
      </c>
      <c r="Q41" s="564">
        <f t="shared" si="11"/>
        <v>29</v>
      </c>
      <c r="R41" s="564">
        <f t="shared" si="12"/>
        <v>11</v>
      </c>
      <c r="S41" s="564">
        <f t="shared" si="13"/>
        <v>0</v>
      </c>
      <c r="T41" s="450">
        <f t="shared" si="29"/>
        <v>40</v>
      </c>
      <c r="U41" s="451">
        <f t="shared" si="25"/>
        <v>0.27586206896551724</v>
      </c>
      <c r="V41" s="452">
        <f t="shared" si="26"/>
        <v>0.27272727272727271</v>
      </c>
      <c r="W41" s="453" t="str">
        <f t="shared" si="27"/>
        <v>NA</v>
      </c>
      <c r="X41" s="454">
        <f t="shared" si="28"/>
        <v>0.27500000000000002</v>
      </c>
      <c r="Y41" s="511">
        <v>4</v>
      </c>
      <c r="Z41" s="511">
        <v>13</v>
      </c>
      <c r="AA41" s="511">
        <v>12</v>
      </c>
      <c r="AB41" s="511">
        <v>2</v>
      </c>
      <c r="AC41" s="511">
        <v>10</v>
      </c>
      <c r="AD41" s="511">
        <v>3</v>
      </c>
      <c r="AE41" s="511">
        <f t="shared" si="18"/>
        <v>6</v>
      </c>
      <c r="AF41" s="511">
        <f t="shared" si="19"/>
        <v>23</v>
      </c>
      <c r="AG41" s="511">
        <f t="shared" si="20"/>
        <v>15</v>
      </c>
      <c r="AH41" s="1731">
        <f t="shared" si="15"/>
        <v>0.33333333333333331</v>
      </c>
      <c r="AI41" s="1731">
        <f t="shared" si="16"/>
        <v>0.43478260869565216</v>
      </c>
      <c r="AJ41" s="1731">
        <f t="shared" si="17"/>
        <v>0.2</v>
      </c>
    </row>
    <row r="42" spans="1:36" x14ac:dyDescent="0.3">
      <c r="A42" s="267" t="s">
        <v>93</v>
      </c>
      <c r="B42" s="205" t="s">
        <v>94</v>
      </c>
      <c r="C42" s="229" t="s">
        <v>251</v>
      </c>
      <c r="D42" s="448">
        <v>33</v>
      </c>
      <c r="E42" s="449">
        <v>17</v>
      </c>
      <c r="F42" s="449">
        <v>1</v>
      </c>
      <c r="G42" s="149">
        <f t="shared" si="21"/>
        <v>51</v>
      </c>
      <c r="H42" s="448"/>
      <c r="I42" s="449">
        <v>1</v>
      </c>
      <c r="J42" s="449"/>
      <c r="K42" s="149">
        <f t="shared" si="22"/>
        <v>1</v>
      </c>
      <c r="L42" s="448"/>
      <c r="M42" s="449"/>
      <c r="N42" s="449"/>
      <c r="O42" s="149">
        <f t="shared" si="23"/>
        <v>0</v>
      </c>
      <c r="P42" s="450">
        <f t="shared" si="24"/>
        <v>52</v>
      </c>
      <c r="Q42" s="564">
        <f t="shared" si="11"/>
        <v>33</v>
      </c>
      <c r="R42" s="564">
        <f t="shared" si="12"/>
        <v>18</v>
      </c>
      <c r="S42" s="564">
        <f t="shared" si="13"/>
        <v>1</v>
      </c>
      <c r="T42" s="450">
        <f t="shared" si="29"/>
        <v>52</v>
      </c>
      <c r="U42" s="451">
        <f t="shared" si="25"/>
        <v>0</v>
      </c>
      <c r="V42" s="452">
        <f t="shared" si="26"/>
        <v>5.5555555555555552E-2</v>
      </c>
      <c r="W42" s="453">
        <f t="shared" si="27"/>
        <v>0</v>
      </c>
      <c r="X42" s="454">
        <f t="shared" si="28"/>
        <v>1.9230769230769232E-2</v>
      </c>
      <c r="Y42" s="511">
        <v>11</v>
      </c>
      <c r="Z42" s="511">
        <v>26</v>
      </c>
      <c r="AA42" s="511">
        <v>14</v>
      </c>
      <c r="AB42" s="511">
        <v>1</v>
      </c>
      <c r="AC42" s="511"/>
      <c r="AD42" s="511"/>
      <c r="AE42" s="511">
        <f t="shared" si="18"/>
        <v>12</v>
      </c>
      <c r="AF42" s="511">
        <f t="shared" si="19"/>
        <v>26</v>
      </c>
      <c r="AG42" s="511">
        <f t="shared" si="20"/>
        <v>14</v>
      </c>
      <c r="AH42" s="1731">
        <f t="shared" si="15"/>
        <v>8.3333333333333329E-2</v>
      </c>
      <c r="AI42" s="1731">
        <f t="shared" si="16"/>
        <v>0</v>
      </c>
      <c r="AJ42" s="1731">
        <f t="shared" si="17"/>
        <v>0</v>
      </c>
    </row>
    <row r="43" spans="1:36" x14ac:dyDescent="0.3">
      <c r="A43" s="267" t="s">
        <v>95</v>
      </c>
      <c r="B43" s="205" t="s">
        <v>96</v>
      </c>
      <c r="C43" s="229" t="s">
        <v>253</v>
      </c>
      <c r="D43" s="448">
        <v>17</v>
      </c>
      <c r="E43" s="449">
        <v>9</v>
      </c>
      <c r="F43" s="449"/>
      <c r="G43" s="149">
        <f t="shared" si="21"/>
        <v>26</v>
      </c>
      <c r="H43" s="448"/>
      <c r="I43" s="449">
        <v>1</v>
      </c>
      <c r="J43" s="449"/>
      <c r="K43" s="149">
        <f t="shared" si="22"/>
        <v>1</v>
      </c>
      <c r="L43" s="448"/>
      <c r="M43" s="449">
        <v>1</v>
      </c>
      <c r="N43" s="449"/>
      <c r="O43" s="149">
        <f t="shared" si="23"/>
        <v>1</v>
      </c>
      <c r="P43" s="450">
        <f t="shared" si="24"/>
        <v>28</v>
      </c>
      <c r="Q43" s="564">
        <f t="shared" si="11"/>
        <v>17</v>
      </c>
      <c r="R43" s="564">
        <f t="shared" si="12"/>
        <v>10</v>
      </c>
      <c r="S43" s="564">
        <f t="shared" si="13"/>
        <v>0</v>
      </c>
      <c r="T43" s="450">
        <f t="shared" si="29"/>
        <v>27</v>
      </c>
      <c r="U43" s="451">
        <f t="shared" si="25"/>
        <v>0</v>
      </c>
      <c r="V43" s="452">
        <f t="shared" si="26"/>
        <v>0.1</v>
      </c>
      <c r="W43" s="453" t="str">
        <f t="shared" si="27"/>
        <v>NA</v>
      </c>
      <c r="X43" s="454">
        <f t="shared" si="28"/>
        <v>3.7037037037037035E-2</v>
      </c>
      <c r="Y43" s="511">
        <v>4</v>
      </c>
      <c r="Z43" s="511">
        <v>14</v>
      </c>
      <c r="AA43" s="511">
        <v>8</v>
      </c>
      <c r="AB43" s="511">
        <v>1</v>
      </c>
      <c r="AC43" s="511"/>
      <c r="AD43" s="511"/>
      <c r="AE43" s="511">
        <f t="shared" si="18"/>
        <v>5</v>
      </c>
      <c r="AF43" s="511">
        <f t="shared" si="19"/>
        <v>14</v>
      </c>
      <c r="AG43" s="511">
        <f t="shared" si="20"/>
        <v>8</v>
      </c>
      <c r="AH43" s="1731">
        <f t="shared" si="15"/>
        <v>0.2</v>
      </c>
      <c r="AI43" s="1731">
        <f t="shared" si="16"/>
        <v>0</v>
      </c>
      <c r="AJ43" s="1731">
        <f t="shared" si="17"/>
        <v>0</v>
      </c>
    </row>
    <row r="44" spans="1:36" x14ac:dyDescent="0.3">
      <c r="A44" s="267" t="s">
        <v>97</v>
      </c>
      <c r="B44" s="205" t="s">
        <v>98</v>
      </c>
      <c r="C44" s="229" t="s">
        <v>255</v>
      </c>
      <c r="D44" s="448">
        <v>19</v>
      </c>
      <c r="E44" s="449">
        <v>8</v>
      </c>
      <c r="F44" s="449"/>
      <c r="G44" s="149">
        <f t="shared" si="21"/>
        <v>27</v>
      </c>
      <c r="H44" s="448">
        <v>3</v>
      </c>
      <c r="I44" s="449"/>
      <c r="J44" s="449"/>
      <c r="K44" s="149">
        <f t="shared" si="22"/>
        <v>3</v>
      </c>
      <c r="L44" s="448"/>
      <c r="M44" s="449"/>
      <c r="N44" s="449"/>
      <c r="O44" s="149">
        <f t="shared" si="23"/>
        <v>0</v>
      </c>
      <c r="P44" s="450">
        <f t="shared" si="24"/>
        <v>30</v>
      </c>
      <c r="Q44" s="564">
        <f t="shared" si="11"/>
        <v>22</v>
      </c>
      <c r="R44" s="564">
        <f t="shared" si="12"/>
        <v>8</v>
      </c>
      <c r="S44" s="564">
        <f t="shared" si="13"/>
        <v>0</v>
      </c>
      <c r="T44" s="450">
        <f t="shared" si="29"/>
        <v>30</v>
      </c>
      <c r="U44" s="451">
        <f t="shared" si="25"/>
        <v>0.13636363636363635</v>
      </c>
      <c r="V44" s="452">
        <f t="shared" si="26"/>
        <v>0</v>
      </c>
      <c r="W44" s="453" t="str">
        <f t="shared" si="27"/>
        <v>NA</v>
      </c>
      <c r="X44" s="454">
        <f t="shared" si="28"/>
        <v>0.1</v>
      </c>
      <c r="Y44" s="511">
        <v>6</v>
      </c>
      <c r="Z44" s="511">
        <v>12</v>
      </c>
      <c r="AA44" s="511">
        <v>9</v>
      </c>
      <c r="AB44" s="511"/>
      <c r="AC44" s="511">
        <v>1</v>
      </c>
      <c r="AD44" s="511">
        <v>2</v>
      </c>
      <c r="AE44" s="511">
        <f t="shared" si="18"/>
        <v>6</v>
      </c>
      <c r="AF44" s="511">
        <f t="shared" si="19"/>
        <v>13</v>
      </c>
      <c r="AG44" s="511">
        <f t="shared" si="20"/>
        <v>11</v>
      </c>
      <c r="AH44" s="1731">
        <f t="shared" si="15"/>
        <v>0</v>
      </c>
      <c r="AI44" s="1731">
        <f t="shared" si="16"/>
        <v>7.6923076923076927E-2</v>
      </c>
      <c r="AJ44" s="1731">
        <f t="shared" si="17"/>
        <v>0.18181818181818182</v>
      </c>
    </row>
    <row r="45" spans="1:36" x14ac:dyDescent="0.3">
      <c r="A45" s="267" t="s">
        <v>99</v>
      </c>
      <c r="B45" s="205" t="s">
        <v>100</v>
      </c>
      <c r="C45" s="229" t="s">
        <v>254</v>
      </c>
      <c r="D45" s="448">
        <v>14</v>
      </c>
      <c r="E45" s="449">
        <v>7</v>
      </c>
      <c r="F45" s="449"/>
      <c r="G45" s="149">
        <f t="shared" si="21"/>
        <v>21</v>
      </c>
      <c r="H45" s="448">
        <v>2</v>
      </c>
      <c r="I45" s="449">
        <v>1</v>
      </c>
      <c r="J45" s="449"/>
      <c r="K45" s="149">
        <f t="shared" si="22"/>
        <v>3</v>
      </c>
      <c r="L45" s="448"/>
      <c r="M45" s="449">
        <v>1</v>
      </c>
      <c r="N45" s="449"/>
      <c r="O45" s="149">
        <f t="shared" si="23"/>
        <v>1</v>
      </c>
      <c r="P45" s="450">
        <f t="shared" si="24"/>
        <v>25</v>
      </c>
      <c r="Q45" s="564">
        <f t="shared" si="11"/>
        <v>16</v>
      </c>
      <c r="R45" s="564">
        <f t="shared" si="12"/>
        <v>8</v>
      </c>
      <c r="S45" s="564">
        <f t="shared" si="13"/>
        <v>0</v>
      </c>
      <c r="T45" s="450">
        <f t="shared" si="29"/>
        <v>24</v>
      </c>
      <c r="U45" s="451">
        <f t="shared" si="25"/>
        <v>0.125</v>
      </c>
      <c r="V45" s="452">
        <f t="shared" si="26"/>
        <v>0.125</v>
      </c>
      <c r="W45" s="453" t="str">
        <f t="shared" si="27"/>
        <v>NA</v>
      </c>
      <c r="X45" s="454">
        <f t="shared" si="28"/>
        <v>0.125</v>
      </c>
      <c r="Y45" s="511">
        <v>5</v>
      </c>
      <c r="Z45" s="511">
        <v>10</v>
      </c>
      <c r="AA45" s="511">
        <v>6</v>
      </c>
      <c r="AB45" s="511"/>
      <c r="AC45" s="511">
        <v>2</v>
      </c>
      <c r="AD45" s="511">
        <v>1</v>
      </c>
      <c r="AE45" s="511">
        <f t="shared" si="18"/>
        <v>5</v>
      </c>
      <c r="AF45" s="511">
        <f t="shared" si="19"/>
        <v>12</v>
      </c>
      <c r="AG45" s="511">
        <f t="shared" si="20"/>
        <v>7</v>
      </c>
      <c r="AH45" s="1731">
        <f t="shared" si="15"/>
        <v>0</v>
      </c>
      <c r="AI45" s="1731">
        <f t="shared" si="16"/>
        <v>0.16666666666666666</v>
      </c>
      <c r="AJ45" s="1731">
        <f t="shared" si="17"/>
        <v>0.14285714285714285</v>
      </c>
    </row>
    <row r="46" spans="1:36" x14ac:dyDescent="0.3">
      <c r="A46" s="267" t="s">
        <v>101</v>
      </c>
      <c r="B46" s="205" t="s">
        <v>263</v>
      </c>
      <c r="C46" s="229" t="s">
        <v>251</v>
      </c>
      <c r="D46" s="448">
        <v>19</v>
      </c>
      <c r="E46" s="449">
        <v>11</v>
      </c>
      <c r="F46" s="449"/>
      <c r="G46" s="149">
        <f t="shared" si="21"/>
        <v>30</v>
      </c>
      <c r="H46" s="448">
        <v>9</v>
      </c>
      <c r="I46" s="449"/>
      <c r="J46" s="449"/>
      <c r="K46" s="149">
        <f t="shared" si="22"/>
        <v>9</v>
      </c>
      <c r="L46" s="448"/>
      <c r="M46" s="449"/>
      <c r="N46" s="449"/>
      <c r="O46" s="149">
        <f t="shared" si="23"/>
        <v>0</v>
      </c>
      <c r="P46" s="450">
        <f t="shared" si="24"/>
        <v>39</v>
      </c>
      <c r="Q46" s="564">
        <f t="shared" si="11"/>
        <v>28</v>
      </c>
      <c r="R46" s="564">
        <f t="shared" si="12"/>
        <v>11</v>
      </c>
      <c r="S46" s="564">
        <f t="shared" si="13"/>
        <v>0</v>
      </c>
      <c r="T46" s="450">
        <f t="shared" si="29"/>
        <v>39</v>
      </c>
      <c r="U46" s="451">
        <f t="shared" si="25"/>
        <v>0.32142857142857145</v>
      </c>
      <c r="V46" s="452">
        <f t="shared" si="26"/>
        <v>0</v>
      </c>
      <c r="W46" s="453" t="str">
        <f t="shared" si="27"/>
        <v>NA</v>
      </c>
      <c r="X46" s="454">
        <f t="shared" si="28"/>
        <v>0.23076923076923078</v>
      </c>
      <c r="Y46" s="511">
        <v>8</v>
      </c>
      <c r="Z46" s="511">
        <v>17</v>
      </c>
      <c r="AA46" s="511">
        <v>5</v>
      </c>
      <c r="AB46" s="511"/>
      <c r="AC46" s="511">
        <v>6</v>
      </c>
      <c r="AD46" s="511">
        <v>4</v>
      </c>
      <c r="AE46" s="511">
        <f t="shared" si="18"/>
        <v>8</v>
      </c>
      <c r="AF46" s="511">
        <f t="shared" si="19"/>
        <v>23</v>
      </c>
      <c r="AG46" s="511">
        <f t="shared" si="20"/>
        <v>9</v>
      </c>
      <c r="AH46" s="1731">
        <f t="shared" si="15"/>
        <v>0</v>
      </c>
      <c r="AI46" s="1731">
        <f t="shared" si="16"/>
        <v>0.2608695652173913</v>
      </c>
      <c r="AJ46" s="1731">
        <f t="shared" si="17"/>
        <v>0.44444444444444442</v>
      </c>
    </row>
    <row r="47" spans="1:36" x14ac:dyDescent="0.3">
      <c r="A47" s="267" t="s">
        <v>103</v>
      </c>
      <c r="B47" s="205" t="s">
        <v>398</v>
      </c>
      <c r="C47" s="229" t="s">
        <v>252</v>
      </c>
      <c r="D47" s="448">
        <v>42</v>
      </c>
      <c r="E47" s="449">
        <v>15</v>
      </c>
      <c r="F47" s="449"/>
      <c r="G47" s="149">
        <f t="shared" si="21"/>
        <v>57</v>
      </c>
      <c r="H47" s="448">
        <v>8</v>
      </c>
      <c r="I47" s="449">
        <v>1</v>
      </c>
      <c r="J47" s="449"/>
      <c r="K47" s="149">
        <f t="shared" si="22"/>
        <v>9</v>
      </c>
      <c r="L47" s="448">
        <v>1</v>
      </c>
      <c r="M47" s="449"/>
      <c r="N47" s="449"/>
      <c r="O47" s="149">
        <f t="shared" si="23"/>
        <v>1</v>
      </c>
      <c r="P47" s="450">
        <f t="shared" si="24"/>
        <v>67</v>
      </c>
      <c r="Q47" s="564">
        <f t="shared" si="11"/>
        <v>50</v>
      </c>
      <c r="R47" s="564">
        <f t="shared" si="12"/>
        <v>16</v>
      </c>
      <c r="S47" s="564">
        <f t="shared" si="13"/>
        <v>0</v>
      </c>
      <c r="T47" s="450">
        <f t="shared" si="29"/>
        <v>66</v>
      </c>
      <c r="U47" s="451">
        <f t="shared" si="25"/>
        <v>0.16</v>
      </c>
      <c r="V47" s="452">
        <f t="shared" si="26"/>
        <v>6.25E-2</v>
      </c>
      <c r="W47" s="453" t="str">
        <f t="shared" si="27"/>
        <v>NA</v>
      </c>
      <c r="X47" s="454">
        <f t="shared" si="28"/>
        <v>0.13636363636363635</v>
      </c>
      <c r="Y47" s="511">
        <v>10</v>
      </c>
      <c r="Z47" s="511">
        <v>34</v>
      </c>
      <c r="AA47" s="511">
        <v>13</v>
      </c>
      <c r="AB47" s="511">
        <v>1</v>
      </c>
      <c r="AC47" s="511">
        <v>3</v>
      </c>
      <c r="AD47" s="511">
        <v>5</v>
      </c>
      <c r="AE47" s="511">
        <f t="shared" si="18"/>
        <v>11</v>
      </c>
      <c r="AF47" s="511">
        <f t="shared" si="19"/>
        <v>37</v>
      </c>
      <c r="AG47" s="511">
        <f t="shared" si="20"/>
        <v>18</v>
      </c>
      <c r="AH47" s="1731">
        <f t="shared" si="15"/>
        <v>9.0909090909090912E-2</v>
      </c>
      <c r="AI47" s="1731">
        <f t="shared" si="16"/>
        <v>8.1081081081081086E-2</v>
      </c>
      <c r="AJ47" s="1731">
        <f t="shared" si="17"/>
        <v>0.27777777777777779</v>
      </c>
    </row>
    <row r="48" spans="1:36" x14ac:dyDescent="0.3">
      <c r="A48" s="267" t="s">
        <v>107</v>
      </c>
      <c r="B48" s="205" t="s">
        <v>108</v>
      </c>
      <c r="C48" s="229" t="s">
        <v>253</v>
      </c>
      <c r="D48" s="448">
        <v>38</v>
      </c>
      <c r="E48" s="449">
        <v>19</v>
      </c>
      <c r="F48" s="449">
        <v>1</v>
      </c>
      <c r="G48" s="149">
        <f t="shared" si="21"/>
        <v>58</v>
      </c>
      <c r="H48" s="448">
        <v>5</v>
      </c>
      <c r="I48" s="449">
        <v>1</v>
      </c>
      <c r="J48" s="449"/>
      <c r="K48" s="149">
        <f t="shared" si="22"/>
        <v>6</v>
      </c>
      <c r="L48" s="448"/>
      <c r="M48" s="449"/>
      <c r="N48" s="449"/>
      <c r="O48" s="149">
        <f t="shared" si="23"/>
        <v>0</v>
      </c>
      <c r="P48" s="450">
        <f t="shared" si="24"/>
        <v>64</v>
      </c>
      <c r="Q48" s="564">
        <f t="shared" si="11"/>
        <v>43</v>
      </c>
      <c r="R48" s="564">
        <f t="shared" si="12"/>
        <v>20</v>
      </c>
      <c r="S48" s="564">
        <f t="shared" si="13"/>
        <v>1</v>
      </c>
      <c r="T48" s="450">
        <f t="shared" si="29"/>
        <v>64</v>
      </c>
      <c r="U48" s="451">
        <f t="shared" si="25"/>
        <v>0.11627906976744186</v>
      </c>
      <c r="V48" s="452">
        <f t="shared" si="26"/>
        <v>0.05</v>
      </c>
      <c r="W48" s="453">
        <f t="shared" si="27"/>
        <v>0</v>
      </c>
      <c r="X48" s="454">
        <f t="shared" si="28"/>
        <v>9.375E-2</v>
      </c>
      <c r="Y48" s="511">
        <v>11</v>
      </c>
      <c r="Z48" s="511">
        <v>36</v>
      </c>
      <c r="AA48" s="511">
        <v>16</v>
      </c>
      <c r="AB48" s="511"/>
      <c r="AC48" s="511">
        <v>6</v>
      </c>
      <c r="AD48" s="511">
        <v>1</v>
      </c>
      <c r="AE48" s="511">
        <f t="shared" si="18"/>
        <v>11</v>
      </c>
      <c r="AF48" s="511">
        <f t="shared" si="19"/>
        <v>42</v>
      </c>
      <c r="AG48" s="511">
        <f t="shared" si="20"/>
        <v>17</v>
      </c>
      <c r="AH48" s="1731">
        <f t="shared" si="15"/>
        <v>0</v>
      </c>
      <c r="AI48" s="1731">
        <f t="shared" si="16"/>
        <v>0.14285714285714285</v>
      </c>
      <c r="AJ48" s="1731">
        <f t="shared" si="17"/>
        <v>5.8823529411764705E-2</v>
      </c>
    </row>
    <row r="49" spans="1:36" x14ac:dyDescent="0.3">
      <c r="A49" s="267" t="s">
        <v>109</v>
      </c>
      <c r="B49" s="205" t="s">
        <v>110</v>
      </c>
      <c r="C49" s="229" t="s">
        <v>253</v>
      </c>
      <c r="D49" s="448">
        <v>137</v>
      </c>
      <c r="E49" s="449">
        <v>67</v>
      </c>
      <c r="F49" s="449">
        <v>6</v>
      </c>
      <c r="G49" s="149">
        <f t="shared" si="21"/>
        <v>210</v>
      </c>
      <c r="H49" s="448">
        <v>22</v>
      </c>
      <c r="I49" s="449">
        <v>14</v>
      </c>
      <c r="J49" s="449">
        <v>2</v>
      </c>
      <c r="K49" s="149">
        <f t="shared" si="22"/>
        <v>38</v>
      </c>
      <c r="L49" s="448">
        <v>1</v>
      </c>
      <c r="M49" s="449"/>
      <c r="N49" s="449"/>
      <c r="O49" s="149">
        <f t="shared" si="23"/>
        <v>1</v>
      </c>
      <c r="P49" s="450">
        <f t="shared" si="24"/>
        <v>249</v>
      </c>
      <c r="Q49" s="564">
        <f t="shared" si="11"/>
        <v>159</v>
      </c>
      <c r="R49" s="564">
        <f t="shared" si="12"/>
        <v>81</v>
      </c>
      <c r="S49" s="564">
        <f t="shared" si="13"/>
        <v>8</v>
      </c>
      <c r="T49" s="450">
        <f t="shared" si="29"/>
        <v>248</v>
      </c>
      <c r="U49" s="451">
        <f t="shared" si="25"/>
        <v>0.13836477987421383</v>
      </c>
      <c r="V49" s="452">
        <f t="shared" si="26"/>
        <v>0.1728395061728395</v>
      </c>
      <c r="W49" s="453">
        <f t="shared" si="27"/>
        <v>0.25</v>
      </c>
      <c r="X49" s="454">
        <f t="shared" si="28"/>
        <v>0.15322580645161291</v>
      </c>
      <c r="Y49" s="511">
        <v>22</v>
      </c>
      <c r="Z49" s="511">
        <v>111</v>
      </c>
      <c r="AA49" s="511">
        <v>77</v>
      </c>
      <c r="AB49" s="511">
        <v>6</v>
      </c>
      <c r="AC49" s="511">
        <v>19</v>
      </c>
      <c r="AD49" s="511">
        <v>13</v>
      </c>
      <c r="AE49" s="511">
        <f t="shared" si="18"/>
        <v>28</v>
      </c>
      <c r="AF49" s="511">
        <f t="shared" si="19"/>
        <v>130</v>
      </c>
      <c r="AG49" s="511">
        <f t="shared" si="20"/>
        <v>90</v>
      </c>
      <c r="AH49" s="1731">
        <f t="shared" si="15"/>
        <v>0.21428571428571427</v>
      </c>
      <c r="AI49" s="1731">
        <f t="shared" si="16"/>
        <v>0.14615384615384616</v>
      </c>
      <c r="AJ49" s="1731">
        <f t="shared" si="17"/>
        <v>0.14444444444444443</v>
      </c>
    </row>
    <row r="50" spans="1:36" x14ac:dyDescent="0.3">
      <c r="A50" s="267" t="s">
        <v>111</v>
      </c>
      <c r="B50" s="205" t="s">
        <v>275</v>
      </c>
      <c r="C50" s="229" t="s">
        <v>252</v>
      </c>
      <c r="D50" s="448">
        <v>75</v>
      </c>
      <c r="E50" s="449">
        <v>26</v>
      </c>
      <c r="F50" s="449">
        <v>1</v>
      </c>
      <c r="G50" s="149">
        <f t="shared" si="21"/>
        <v>102</v>
      </c>
      <c r="H50" s="448">
        <v>5</v>
      </c>
      <c r="I50" s="449">
        <v>2</v>
      </c>
      <c r="J50" s="449"/>
      <c r="K50" s="149">
        <f t="shared" si="22"/>
        <v>7</v>
      </c>
      <c r="L50" s="448"/>
      <c r="M50" s="449"/>
      <c r="N50" s="449"/>
      <c r="O50" s="149">
        <f t="shared" si="23"/>
        <v>0</v>
      </c>
      <c r="P50" s="450">
        <f t="shared" si="24"/>
        <v>109</v>
      </c>
      <c r="Q50" s="564">
        <f t="shared" si="11"/>
        <v>80</v>
      </c>
      <c r="R50" s="564">
        <f t="shared" si="12"/>
        <v>28</v>
      </c>
      <c r="S50" s="564">
        <f t="shared" si="13"/>
        <v>1</v>
      </c>
      <c r="T50" s="450">
        <f t="shared" si="29"/>
        <v>109</v>
      </c>
      <c r="U50" s="451">
        <f t="shared" si="25"/>
        <v>6.25E-2</v>
      </c>
      <c r="V50" s="452">
        <f t="shared" si="26"/>
        <v>7.1428571428571425E-2</v>
      </c>
      <c r="W50" s="453">
        <f t="shared" si="27"/>
        <v>0</v>
      </c>
      <c r="X50" s="454">
        <f t="shared" si="28"/>
        <v>6.4220183486238536E-2</v>
      </c>
      <c r="Y50" s="511">
        <v>16</v>
      </c>
      <c r="Z50" s="511">
        <v>63</v>
      </c>
      <c r="AA50" s="511">
        <v>23</v>
      </c>
      <c r="AB50" s="511">
        <v>2</v>
      </c>
      <c r="AC50" s="511">
        <v>2</v>
      </c>
      <c r="AD50" s="511">
        <v>3</v>
      </c>
      <c r="AE50" s="511">
        <f t="shared" si="18"/>
        <v>18</v>
      </c>
      <c r="AF50" s="511">
        <f t="shared" si="19"/>
        <v>65</v>
      </c>
      <c r="AG50" s="511">
        <f t="shared" si="20"/>
        <v>26</v>
      </c>
      <c r="AH50" s="1731">
        <f t="shared" si="15"/>
        <v>0.1111111111111111</v>
      </c>
      <c r="AI50" s="1731">
        <f t="shared" si="16"/>
        <v>3.0769230769230771E-2</v>
      </c>
      <c r="AJ50" s="1731">
        <f t="shared" si="17"/>
        <v>0.11538461538461539</v>
      </c>
    </row>
    <row r="51" spans="1:36" x14ac:dyDescent="0.3">
      <c r="A51" s="267" t="s">
        <v>113</v>
      </c>
      <c r="B51" s="205" t="s">
        <v>114</v>
      </c>
      <c r="C51" s="229" t="s">
        <v>252</v>
      </c>
      <c r="D51" s="448">
        <v>4</v>
      </c>
      <c r="E51" s="449">
        <v>2</v>
      </c>
      <c r="F51" s="449"/>
      <c r="G51" s="149">
        <f t="shared" si="21"/>
        <v>6</v>
      </c>
      <c r="H51" s="448">
        <v>2</v>
      </c>
      <c r="I51" s="449"/>
      <c r="J51" s="449"/>
      <c r="K51" s="149">
        <f t="shared" si="22"/>
        <v>2</v>
      </c>
      <c r="L51" s="448"/>
      <c r="M51" s="449"/>
      <c r="N51" s="449"/>
      <c r="O51" s="149">
        <f t="shared" si="23"/>
        <v>0</v>
      </c>
      <c r="P51" s="450">
        <f t="shared" si="24"/>
        <v>8</v>
      </c>
      <c r="Q51" s="564">
        <f t="shared" si="11"/>
        <v>6</v>
      </c>
      <c r="R51" s="564">
        <f t="shared" si="12"/>
        <v>2</v>
      </c>
      <c r="S51" s="564">
        <f t="shared" si="13"/>
        <v>0</v>
      </c>
      <c r="T51" s="450">
        <f t="shared" si="29"/>
        <v>8</v>
      </c>
      <c r="U51" s="451">
        <f t="shared" si="25"/>
        <v>0.33333333333333331</v>
      </c>
      <c r="V51" s="452">
        <f t="shared" si="26"/>
        <v>0</v>
      </c>
      <c r="W51" s="453" t="str">
        <f t="shared" si="27"/>
        <v>NA</v>
      </c>
      <c r="X51" s="454">
        <f t="shared" si="28"/>
        <v>0.25</v>
      </c>
      <c r="Y51" s="511">
        <v>2</v>
      </c>
      <c r="Z51" s="511">
        <v>2</v>
      </c>
      <c r="AA51" s="511">
        <v>2</v>
      </c>
      <c r="AB51" s="511"/>
      <c r="AC51" s="511">
        <v>1</v>
      </c>
      <c r="AD51" s="511">
        <v>1</v>
      </c>
      <c r="AE51" s="511">
        <f t="shared" si="18"/>
        <v>2</v>
      </c>
      <c r="AF51" s="511">
        <f t="shared" si="19"/>
        <v>3</v>
      </c>
      <c r="AG51" s="511">
        <f t="shared" si="20"/>
        <v>3</v>
      </c>
      <c r="AH51" s="1731">
        <f t="shared" si="15"/>
        <v>0</v>
      </c>
      <c r="AI51" s="1731">
        <f t="shared" si="16"/>
        <v>0.33333333333333331</v>
      </c>
      <c r="AJ51" s="1731">
        <f t="shared" si="17"/>
        <v>0.33333333333333331</v>
      </c>
    </row>
    <row r="52" spans="1:36" x14ac:dyDescent="0.3">
      <c r="A52" s="267" t="s">
        <v>117</v>
      </c>
      <c r="B52" s="205" t="s">
        <v>118</v>
      </c>
      <c r="C52" s="229" t="s">
        <v>251</v>
      </c>
      <c r="D52" s="448">
        <v>25</v>
      </c>
      <c r="E52" s="449">
        <v>14</v>
      </c>
      <c r="F52" s="449">
        <v>1</v>
      </c>
      <c r="G52" s="149">
        <f t="shared" si="21"/>
        <v>40</v>
      </c>
      <c r="H52" s="448">
        <v>5</v>
      </c>
      <c r="I52" s="449">
        <v>4</v>
      </c>
      <c r="J52" s="449">
        <v>2</v>
      </c>
      <c r="K52" s="149">
        <f t="shared" si="22"/>
        <v>11</v>
      </c>
      <c r="L52" s="448"/>
      <c r="M52" s="449"/>
      <c r="N52" s="449"/>
      <c r="O52" s="149">
        <f t="shared" si="23"/>
        <v>0</v>
      </c>
      <c r="P52" s="450">
        <f t="shared" si="24"/>
        <v>51</v>
      </c>
      <c r="Q52" s="564">
        <f t="shared" si="11"/>
        <v>30</v>
      </c>
      <c r="R52" s="564">
        <f t="shared" si="12"/>
        <v>18</v>
      </c>
      <c r="S52" s="564">
        <f t="shared" si="13"/>
        <v>3</v>
      </c>
      <c r="T52" s="450">
        <f t="shared" si="29"/>
        <v>51</v>
      </c>
      <c r="U52" s="451">
        <f t="shared" si="25"/>
        <v>0.16666666666666666</v>
      </c>
      <c r="V52" s="452">
        <f t="shared" si="26"/>
        <v>0.22222222222222221</v>
      </c>
      <c r="W52" s="453">
        <f t="shared" si="27"/>
        <v>0.66666666666666663</v>
      </c>
      <c r="X52" s="454">
        <f t="shared" si="28"/>
        <v>0.21568627450980393</v>
      </c>
      <c r="Y52" s="511">
        <v>10</v>
      </c>
      <c r="Z52" s="511">
        <v>20</v>
      </c>
      <c r="AA52" s="511">
        <v>10</v>
      </c>
      <c r="AB52" s="511">
        <v>4</v>
      </c>
      <c r="AC52" s="511">
        <v>4</v>
      </c>
      <c r="AD52" s="511">
        <v>3</v>
      </c>
      <c r="AE52" s="511">
        <f t="shared" si="18"/>
        <v>14</v>
      </c>
      <c r="AF52" s="511">
        <f t="shared" si="19"/>
        <v>24</v>
      </c>
      <c r="AG52" s="511">
        <f t="shared" si="20"/>
        <v>13</v>
      </c>
      <c r="AH52" s="1731">
        <f t="shared" si="15"/>
        <v>0.2857142857142857</v>
      </c>
      <c r="AI52" s="1731">
        <f t="shared" si="16"/>
        <v>0.16666666666666666</v>
      </c>
      <c r="AJ52" s="1731">
        <f t="shared" si="17"/>
        <v>0.23076923076923078</v>
      </c>
    </row>
    <row r="53" spans="1:36" x14ac:dyDescent="0.3">
      <c r="A53" s="267" t="s">
        <v>119</v>
      </c>
      <c r="B53" s="205" t="s">
        <v>120</v>
      </c>
      <c r="C53" s="229" t="s">
        <v>251</v>
      </c>
      <c r="D53" s="448">
        <v>34</v>
      </c>
      <c r="E53" s="449">
        <v>25</v>
      </c>
      <c r="F53" s="449"/>
      <c r="G53" s="149">
        <f t="shared" si="21"/>
        <v>59</v>
      </c>
      <c r="H53" s="448">
        <v>2</v>
      </c>
      <c r="I53" s="449">
        <v>1</v>
      </c>
      <c r="J53" s="449"/>
      <c r="K53" s="149">
        <f t="shared" si="22"/>
        <v>3</v>
      </c>
      <c r="L53" s="448"/>
      <c r="M53" s="449"/>
      <c r="N53" s="449"/>
      <c r="O53" s="149">
        <f t="shared" si="23"/>
        <v>0</v>
      </c>
      <c r="P53" s="450">
        <f t="shared" si="24"/>
        <v>62</v>
      </c>
      <c r="Q53" s="564">
        <f t="shared" si="11"/>
        <v>36</v>
      </c>
      <c r="R53" s="564">
        <f t="shared" si="12"/>
        <v>26</v>
      </c>
      <c r="S53" s="564">
        <f t="shared" si="13"/>
        <v>0</v>
      </c>
      <c r="T53" s="450">
        <f t="shared" si="29"/>
        <v>62</v>
      </c>
      <c r="U53" s="451">
        <f t="shared" si="25"/>
        <v>5.5555555555555552E-2</v>
      </c>
      <c r="V53" s="452">
        <f t="shared" si="26"/>
        <v>3.8461538461538464E-2</v>
      </c>
      <c r="W53" s="453" t="str">
        <f t="shared" si="27"/>
        <v>NA</v>
      </c>
      <c r="X53" s="454">
        <f t="shared" si="28"/>
        <v>4.8387096774193547E-2</v>
      </c>
      <c r="Y53" s="511">
        <v>13</v>
      </c>
      <c r="Z53" s="511">
        <v>27</v>
      </c>
      <c r="AA53" s="511">
        <v>19</v>
      </c>
      <c r="AB53" s="511">
        <v>1</v>
      </c>
      <c r="AC53" s="511">
        <v>1</v>
      </c>
      <c r="AD53" s="511">
        <v>1</v>
      </c>
      <c r="AE53" s="511">
        <f t="shared" si="18"/>
        <v>14</v>
      </c>
      <c r="AF53" s="511">
        <f t="shared" si="19"/>
        <v>28</v>
      </c>
      <c r="AG53" s="511">
        <f t="shared" si="20"/>
        <v>20</v>
      </c>
      <c r="AH53" s="1731">
        <f t="shared" si="15"/>
        <v>7.1428571428571425E-2</v>
      </c>
      <c r="AI53" s="1731">
        <f t="shared" si="16"/>
        <v>3.5714285714285712E-2</v>
      </c>
      <c r="AJ53" s="1731">
        <f t="shared" si="17"/>
        <v>0.05</v>
      </c>
    </row>
    <row r="54" spans="1:36" x14ac:dyDescent="0.3">
      <c r="A54" s="267" t="s">
        <v>121</v>
      </c>
      <c r="B54" s="205" t="s">
        <v>258</v>
      </c>
      <c r="C54" s="229" t="s">
        <v>253</v>
      </c>
      <c r="D54" s="448">
        <v>7</v>
      </c>
      <c r="E54" s="449">
        <v>8</v>
      </c>
      <c r="F54" s="449"/>
      <c r="G54" s="149">
        <f t="shared" si="21"/>
        <v>15</v>
      </c>
      <c r="H54" s="448">
        <v>4</v>
      </c>
      <c r="I54" s="449">
        <v>2</v>
      </c>
      <c r="J54" s="449"/>
      <c r="K54" s="149">
        <f t="shared" si="22"/>
        <v>6</v>
      </c>
      <c r="L54" s="448"/>
      <c r="M54" s="449"/>
      <c r="N54" s="449"/>
      <c r="O54" s="149">
        <f t="shared" si="23"/>
        <v>0</v>
      </c>
      <c r="P54" s="450">
        <f t="shared" si="24"/>
        <v>21</v>
      </c>
      <c r="Q54" s="564">
        <f t="shared" si="11"/>
        <v>11</v>
      </c>
      <c r="R54" s="564">
        <f t="shared" si="12"/>
        <v>10</v>
      </c>
      <c r="S54" s="564">
        <f t="shared" si="13"/>
        <v>0</v>
      </c>
      <c r="T54" s="450">
        <f t="shared" si="29"/>
        <v>21</v>
      </c>
      <c r="U54" s="451">
        <f t="shared" si="25"/>
        <v>0.36363636363636365</v>
      </c>
      <c r="V54" s="452">
        <f t="shared" si="26"/>
        <v>0.2</v>
      </c>
      <c r="W54" s="453" t="str">
        <f t="shared" si="27"/>
        <v>NA</v>
      </c>
      <c r="X54" s="454">
        <f t="shared" si="28"/>
        <v>0.2857142857142857</v>
      </c>
      <c r="Y54" s="511">
        <v>3</v>
      </c>
      <c r="Z54" s="511">
        <v>8</v>
      </c>
      <c r="AA54" s="511">
        <v>4</v>
      </c>
      <c r="AB54" s="511">
        <v>1</v>
      </c>
      <c r="AC54" s="511">
        <v>4</v>
      </c>
      <c r="AD54" s="511">
        <v>1</v>
      </c>
      <c r="AE54" s="511">
        <f t="shared" si="18"/>
        <v>4</v>
      </c>
      <c r="AF54" s="511">
        <f t="shared" si="19"/>
        <v>12</v>
      </c>
      <c r="AG54" s="511">
        <f t="shared" si="20"/>
        <v>5</v>
      </c>
      <c r="AH54" s="1731">
        <f t="shared" si="15"/>
        <v>0.25</v>
      </c>
      <c r="AI54" s="1731">
        <f t="shared" si="16"/>
        <v>0.33333333333333331</v>
      </c>
      <c r="AJ54" s="1731">
        <f t="shared" si="17"/>
        <v>0.2</v>
      </c>
    </row>
    <row r="55" spans="1:36" x14ac:dyDescent="0.3">
      <c r="A55" s="267" t="s">
        <v>123</v>
      </c>
      <c r="B55" s="205" t="s">
        <v>124</v>
      </c>
      <c r="C55" s="229" t="s">
        <v>254</v>
      </c>
      <c r="D55" s="448">
        <v>13</v>
      </c>
      <c r="E55" s="449">
        <v>4</v>
      </c>
      <c r="F55" s="449"/>
      <c r="G55" s="149">
        <f t="shared" si="21"/>
        <v>17</v>
      </c>
      <c r="H55" s="448"/>
      <c r="I55" s="449">
        <v>2</v>
      </c>
      <c r="J55" s="449"/>
      <c r="K55" s="149">
        <f t="shared" si="22"/>
        <v>2</v>
      </c>
      <c r="L55" s="448">
        <v>1</v>
      </c>
      <c r="M55" s="449"/>
      <c r="N55" s="449"/>
      <c r="O55" s="149">
        <f t="shared" si="23"/>
        <v>1</v>
      </c>
      <c r="P55" s="450">
        <f t="shared" si="24"/>
        <v>20</v>
      </c>
      <c r="Q55" s="564">
        <f t="shared" si="11"/>
        <v>13</v>
      </c>
      <c r="R55" s="564">
        <f t="shared" si="12"/>
        <v>6</v>
      </c>
      <c r="S55" s="564">
        <f t="shared" si="13"/>
        <v>0</v>
      </c>
      <c r="T55" s="450">
        <f t="shared" si="29"/>
        <v>19</v>
      </c>
      <c r="U55" s="451">
        <f t="shared" si="25"/>
        <v>0</v>
      </c>
      <c r="V55" s="452">
        <f t="shared" si="26"/>
        <v>0.33333333333333331</v>
      </c>
      <c r="W55" s="453" t="str">
        <f t="shared" si="27"/>
        <v>NA</v>
      </c>
      <c r="X55" s="454">
        <f t="shared" si="28"/>
        <v>0.10526315789473684</v>
      </c>
      <c r="Y55" s="511">
        <v>2</v>
      </c>
      <c r="Z55" s="511">
        <v>9</v>
      </c>
      <c r="AA55" s="511">
        <v>6</v>
      </c>
      <c r="AB55" s="511">
        <v>1</v>
      </c>
      <c r="AC55" s="511">
        <v>1</v>
      </c>
      <c r="AD55" s="511"/>
      <c r="AE55" s="511">
        <f t="shared" si="18"/>
        <v>3</v>
      </c>
      <c r="AF55" s="511">
        <f t="shared" si="19"/>
        <v>10</v>
      </c>
      <c r="AG55" s="511">
        <f t="shared" si="20"/>
        <v>6</v>
      </c>
      <c r="AH55" s="1731">
        <f t="shared" si="15"/>
        <v>0.33333333333333331</v>
      </c>
      <c r="AI55" s="1731">
        <f t="shared" si="16"/>
        <v>0.1</v>
      </c>
      <c r="AJ55" s="1731">
        <f t="shared" si="17"/>
        <v>0</v>
      </c>
    </row>
    <row r="56" spans="1:36" x14ac:dyDescent="0.3">
      <c r="A56" s="267" t="s">
        <v>125</v>
      </c>
      <c r="B56" s="205" t="s">
        <v>126</v>
      </c>
      <c r="C56" s="229" t="s">
        <v>253</v>
      </c>
      <c r="D56" s="448">
        <v>9</v>
      </c>
      <c r="E56" s="449">
        <v>7</v>
      </c>
      <c r="F56" s="449"/>
      <c r="G56" s="149">
        <f t="shared" si="21"/>
        <v>16</v>
      </c>
      <c r="H56" s="448">
        <v>1</v>
      </c>
      <c r="I56" s="449"/>
      <c r="J56" s="449"/>
      <c r="K56" s="149">
        <f t="shared" si="22"/>
        <v>1</v>
      </c>
      <c r="L56" s="448"/>
      <c r="M56" s="449"/>
      <c r="N56" s="449"/>
      <c r="O56" s="149">
        <f t="shared" si="23"/>
        <v>0</v>
      </c>
      <c r="P56" s="450">
        <f t="shared" si="24"/>
        <v>17</v>
      </c>
      <c r="Q56" s="564">
        <f t="shared" si="11"/>
        <v>10</v>
      </c>
      <c r="R56" s="564">
        <f t="shared" si="12"/>
        <v>7</v>
      </c>
      <c r="S56" s="564">
        <f t="shared" si="13"/>
        <v>0</v>
      </c>
      <c r="T56" s="450">
        <f t="shared" si="29"/>
        <v>17</v>
      </c>
      <c r="U56" s="451">
        <f t="shared" si="25"/>
        <v>0.1</v>
      </c>
      <c r="V56" s="452">
        <f t="shared" si="26"/>
        <v>0</v>
      </c>
      <c r="W56" s="453" t="str">
        <f t="shared" si="27"/>
        <v>NA</v>
      </c>
      <c r="X56" s="454">
        <f t="shared" si="28"/>
        <v>5.8823529411764705E-2</v>
      </c>
      <c r="Y56" s="511">
        <v>5</v>
      </c>
      <c r="Z56" s="511">
        <v>8</v>
      </c>
      <c r="AA56" s="511">
        <v>3</v>
      </c>
      <c r="AB56" s="511"/>
      <c r="AC56" s="511">
        <v>1</v>
      </c>
      <c r="AD56" s="511"/>
      <c r="AE56" s="511">
        <f t="shared" si="18"/>
        <v>5</v>
      </c>
      <c r="AF56" s="511">
        <f t="shared" si="19"/>
        <v>9</v>
      </c>
      <c r="AG56" s="511">
        <f t="shared" si="20"/>
        <v>3</v>
      </c>
      <c r="AH56" s="1731">
        <f t="shared" si="15"/>
        <v>0</v>
      </c>
      <c r="AI56" s="1731">
        <f t="shared" si="16"/>
        <v>0.1111111111111111</v>
      </c>
      <c r="AJ56" s="1731">
        <f t="shared" si="17"/>
        <v>0</v>
      </c>
    </row>
    <row r="57" spans="1:36" x14ac:dyDescent="0.3">
      <c r="A57" s="267" t="s">
        <v>127</v>
      </c>
      <c r="B57" s="205" t="s">
        <v>128</v>
      </c>
      <c r="C57" s="229" t="s">
        <v>253</v>
      </c>
      <c r="D57" s="448">
        <v>8</v>
      </c>
      <c r="E57" s="449">
        <v>9</v>
      </c>
      <c r="F57" s="449"/>
      <c r="G57" s="149">
        <f t="shared" si="21"/>
        <v>17</v>
      </c>
      <c r="H57" s="448">
        <v>8</v>
      </c>
      <c r="I57" s="449">
        <v>1</v>
      </c>
      <c r="J57" s="449"/>
      <c r="K57" s="149">
        <f t="shared" si="22"/>
        <v>9</v>
      </c>
      <c r="L57" s="448"/>
      <c r="M57" s="449"/>
      <c r="N57" s="449"/>
      <c r="O57" s="149">
        <f t="shared" si="23"/>
        <v>0</v>
      </c>
      <c r="P57" s="450">
        <f t="shared" si="24"/>
        <v>26</v>
      </c>
      <c r="Q57" s="564">
        <f t="shared" si="11"/>
        <v>16</v>
      </c>
      <c r="R57" s="564">
        <f t="shared" si="12"/>
        <v>10</v>
      </c>
      <c r="S57" s="564">
        <f t="shared" si="13"/>
        <v>0</v>
      </c>
      <c r="T57" s="450">
        <f t="shared" si="29"/>
        <v>26</v>
      </c>
      <c r="U57" s="451">
        <f t="shared" si="25"/>
        <v>0.5</v>
      </c>
      <c r="V57" s="452">
        <f t="shared" si="26"/>
        <v>0.1</v>
      </c>
      <c r="W57" s="453" t="str">
        <f t="shared" si="27"/>
        <v>NA</v>
      </c>
      <c r="X57" s="454">
        <f t="shared" si="28"/>
        <v>0.34615384615384615</v>
      </c>
      <c r="Y57" s="511">
        <v>7</v>
      </c>
      <c r="Z57" s="511">
        <v>7</v>
      </c>
      <c r="AA57" s="511">
        <v>3</v>
      </c>
      <c r="AB57" s="511">
        <v>1</v>
      </c>
      <c r="AC57" s="511">
        <v>4</v>
      </c>
      <c r="AD57" s="511">
        <v>4</v>
      </c>
      <c r="AE57" s="511">
        <f t="shared" si="18"/>
        <v>8</v>
      </c>
      <c r="AF57" s="511">
        <f t="shared" si="19"/>
        <v>11</v>
      </c>
      <c r="AG57" s="511">
        <f t="shared" si="20"/>
        <v>7</v>
      </c>
      <c r="AH57" s="1731">
        <f t="shared" si="15"/>
        <v>0.125</v>
      </c>
      <c r="AI57" s="1731">
        <f t="shared" si="16"/>
        <v>0.36363636363636365</v>
      </c>
      <c r="AJ57" s="1731">
        <f t="shared" si="17"/>
        <v>0.5714285714285714</v>
      </c>
    </row>
    <row r="58" spans="1:36" x14ac:dyDescent="0.3">
      <c r="A58" s="267" t="s">
        <v>129</v>
      </c>
      <c r="B58" s="205" t="s">
        <v>130</v>
      </c>
      <c r="C58" s="229" t="s">
        <v>255</v>
      </c>
      <c r="D58" s="448">
        <v>40</v>
      </c>
      <c r="E58" s="449">
        <v>11</v>
      </c>
      <c r="F58" s="449"/>
      <c r="G58" s="149">
        <f t="shared" si="21"/>
        <v>51</v>
      </c>
      <c r="H58" s="448">
        <v>10</v>
      </c>
      <c r="I58" s="449">
        <v>6</v>
      </c>
      <c r="J58" s="449"/>
      <c r="K58" s="149">
        <f t="shared" si="22"/>
        <v>16</v>
      </c>
      <c r="L58" s="448">
        <v>2</v>
      </c>
      <c r="M58" s="449"/>
      <c r="N58" s="449"/>
      <c r="O58" s="149">
        <f t="shared" si="23"/>
        <v>2</v>
      </c>
      <c r="P58" s="450">
        <f t="shared" si="24"/>
        <v>69</v>
      </c>
      <c r="Q58" s="564">
        <f t="shared" si="11"/>
        <v>50</v>
      </c>
      <c r="R58" s="564">
        <f t="shared" si="12"/>
        <v>17</v>
      </c>
      <c r="S58" s="564">
        <f t="shared" si="13"/>
        <v>0</v>
      </c>
      <c r="T58" s="450">
        <f t="shared" si="29"/>
        <v>67</v>
      </c>
      <c r="U58" s="451">
        <f t="shared" si="25"/>
        <v>0.2</v>
      </c>
      <c r="V58" s="452">
        <f t="shared" si="26"/>
        <v>0.35294117647058826</v>
      </c>
      <c r="W58" s="453" t="str">
        <f t="shared" si="27"/>
        <v>NA</v>
      </c>
      <c r="X58" s="454">
        <f t="shared" si="28"/>
        <v>0.23880597014925373</v>
      </c>
      <c r="Y58" s="511">
        <v>6</v>
      </c>
      <c r="Z58" s="511">
        <v>30</v>
      </c>
      <c r="AA58" s="511">
        <v>15</v>
      </c>
      <c r="AB58" s="511">
        <v>5</v>
      </c>
      <c r="AC58" s="511">
        <v>5</v>
      </c>
      <c r="AD58" s="511">
        <v>6</v>
      </c>
      <c r="AE58" s="511">
        <f t="shared" si="18"/>
        <v>11</v>
      </c>
      <c r="AF58" s="511">
        <f t="shared" si="19"/>
        <v>35</v>
      </c>
      <c r="AG58" s="511">
        <f t="shared" si="20"/>
        <v>21</v>
      </c>
      <c r="AH58" s="1731">
        <f t="shared" si="15"/>
        <v>0.45454545454545453</v>
      </c>
      <c r="AI58" s="1731">
        <f t="shared" si="16"/>
        <v>0.14285714285714285</v>
      </c>
      <c r="AJ58" s="1731">
        <f t="shared" si="17"/>
        <v>0.2857142857142857</v>
      </c>
    </row>
    <row r="59" spans="1:36" x14ac:dyDescent="0.3">
      <c r="A59" s="267" t="s">
        <v>131</v>
      </c>
      <c r="B59" s="205" t="s">
        <v>132</v>
      </c>
      <c r="C59" s="229" t="s">
        <v>254</v>
      </c>
      <c r="D59" s="448">
        <v>107</v>
      </c>
      <c r="E59" s="449">
        <v>55</v>
      </c>
      <c r="F59" s="449"/>
      <c r="G59" s="149">
        <f t="shared" si="21"/>
        <v>162</v>
      </c>
      <c r="H59" s="448">
        <v>13</v>
      </c>
      <c r="I59" s="449">
        <v>5</v>
      </c>
      <c r="J59" s="449"/>
      <c r="K59" s="149">
        <f t="shared" si="22"/>
        <v>18</v>
      </c>
      <c r="L59" s="448"/>
      <c r="M59" s="449"/>
      <c r="N59" s="449"/>
      <c r="O59" s="149">
        <f t="shared" si="23"/>
        <v>0</v>
      </c>
      <c r="P59" s="450">
        <f t="shared" si="24"/>
        <v>180</v>
      </c>
      <c r="Q59" s="564">
        <f t="shared" si="11"/>
        <v>120</v>
      </c>
      <c r="R59" s="564">
        <f t="shared" si="12"/>
        <v>60</v>
      </c>
      <c r="S59" s="564">
        <f t="shared" si="13"/>
        <v>0</v>
      </c>
      <c r="T59" s="450">
        <f t="shared" si="29"/>
        <v>180</v>
      </c>
      <c r="U59" s="451">
        <f t="shared" si="25"/>
        <v>0.10833333333333334</v>
      </c>
      <c r="V59" s="452">
        <f t="shared" si="26"/>
        <v>8.3333333333333329E-2</v>
      </c>
      <c r="W59" s="453" t="str">
        <f t="shared" si="27"/>
        <v>NA</v>
      </c>
      <c r="X59" s="454">
        <f t="shared" si="28"/>
        <v>0.1</v>
      </c>
      <c r="Y59" s="511">
        <v>31</v>
      </c>
      <c r="Z59" s="511">
        <v>60</v>
      </c>
      <c r="AA59" s="511">
        <v>71</v>
      </c>
      <c r="AB59" s="511">
        <v>3</v>
      </c>
      <c r="AC59" s="511">
        <v>4</v>
      </c>
      <c r="AD59" s="511">
        <v>11</v>
      </c>
      <c r="AE59" s="511">
        <f t="shared" si="18"/>
        <v>34</v>
      </c>
      <c r="AF59" s="511">
        <f t="shared" si="19"/>
        <v>64</v>
      </c>
      <c r="AG59" s="511">
        <f t="shared" si="20"/>
        <v>82</v>
      </c>
      <c r="AH59" s="1731">
        <f t="shared" si="15"/>
        <v>8.8235294117647065E-2</v>
      </c>
      <c r="AI59" s="1731">
        <f t="shared" si="16"/>
        <v>6.25E-2</v>
      </c>
      <c r="AJ59" s="1731">
        <f t="shared" si="17"/>
        <v>0.13414634146341464</v>
      </c>
    </row>
    <row r="60" spans="1:36" x14ac:dyDescent="0.3">
      <c r="A60" s="267" t="s">
        <v>133</v>
      </c>
      <c r="B60" s="205" t="s">
        <v>134</v>
      </c>
      <c r="C60" s="229" t="s">
        <v>254</v>
      </c>
      <c r="D60" s="448">
        <v>38</v>
      </c>
      <c r="E60" s="449">
        <v>8</v>
      </c>
      <c r="F60" s="449"/>
      <c r="G60" s="149">
        <f t="shared" si="21"/>
        <v>46</v>
      </c>
      <c r="H60" s="448">
        <v>2</v>
      </c>
      <c r="I60" s="449">
        <v>1</v>
      </c>
      <c r="J60" s="449"/>
      <c r="K60" s="149">
        <f t="shared" si="22"/>
        <v>3</v>
      </c>
      <c r="L60" s="448"/>
      <c r="M60" s="449"/>
      <c r="N60" s="449"/>
      <c r="O60" s="149">
        <f t="shared" si="23"/>
        <v>0</v>
      </c>
      <c r="P60" s="450">
        <f t="shared" si="24"/>
        <v>49</v>
      </c>
      <c r="Q60" s="564">
        <f t="shared" si="11"/>
        <v>40</v>
      </c>
      <c r="R60" s="564">
        <f t="shared" si="12"/>
        <v>9</v>
      </c>
      <c r="S60" s="564">
        <f t="shared" si="13"/>
        <v>0</v>
      </c>
      <c r="T60" s="450">
        <f t="shared" si="29"/>
        <v>49</v>
      </c>
      <c r="U60" s="451">
        <f t="shared" si="25"/>
        <v>0.05</v>
      </c>
      <c r="V60" s="452">
        <f t="shared" si="26"/>
        <v>0.1111111111111111</v>
      </c>
      <c r="W60" s="453" t="str">
        <f t="shared" si="27"/>
        <v>NA</v>
      </c>
      <c r="X60" s="454">
        <f t="shared" si="28"/>
        <v>6.1224489795918366E-2</v>
      </c>
      <c r="Y60" s="511">
        <v>7</v>
      </c>
      <c r="Z60" s="511">
        <v>24</v>
      </c>
      <c r="AA60" s="511">
        <v>17</v>
      </c>
      <c r="AB60" s="511">
        <v>1</v>
      </c>
      <c r="AC60" s="511">
        <v>2</v>
      </c>
      <c r="AD60" s="511"/>
      <c r="AE60" s="511">
        <f t="shared" si="18"/>
        <v>8</v>
      </c>
      <c r="AF60" s="511">
        <f t="shared" si="19"/>
        <v>26</v>
      </c>
      <c r="AG60" s="511">
        <f t="shared" si="20"/>
        <v>17</v>
      </c>
      <c r="AH60" s="1731">
        <f t="shared" si="15"/>
        <v>0.125</v>
      </c>
      <c r="AI60" s="1731">
        <f t="shared" si="16"/>
        <v>7.6923076923076927E-2</v>
      </c>
      <c r="AJ60" s="1731">
        <f t="shared" si="17"/>
        <v>0</v>
      </c>
    </row>
    <row r="61" spans="1:36" x14ac:dyDescent="0.3">
      <c r="A61" s="267" t="s">
        <v>135</v>
      </c>
      <c r="B61" s="205" t="s">
        <v>136</v>
      </c>
      <c r="C61" s="229" t="s">
        <v>253</v>
      </c>
      <c r="D61" s="448">
        <v>9</v>
      </c>
      <c r="E61" s="449">
        <v>6</v>
      </c>
      <c r="F61" s="449"/>
      <c r="G61" s="149">
        <f t="shared" si="21"/>
        <v>15</v>
      </c>
      <c r="H61" s="448">
        <v>1</v>
      </c>
      <c r="I61" s="449">
        <v>3</v>
      </c>
      <c r="J61" s="449"/>
      <c r="K61" s="149">
        <f t="shared" si="22"/>
        <v>4</v>
      </c>
      <c r="L61" s="448"/>
      <c r="M61" s="449"/>
      <c r="N61" s="449"/>
      <c r="O61" s="149">
        <f t="shared" si="23"/>
        <v>0</v>
      </c>
      <c r="P61" s="450">
        <f t="shared" si="24"/>
        <v>19</v>
      </c>
      <c r="Q61" s="564">
        <f t="shared" si="11"/>
        <v>10</v>
      </c>
      <c r="R61" s="564">
        <f t="shared" si="12"/>
        <v>9</v>
      </c>
      <c r="S61" s="564">
        <f t="shared" si="13"/>
        <v>0</v>
      </c>
      <c r="T61" s="450">
        <f t="shared" si="29"/>
        <v>19</v>
      </c>
      <c r="U61" s="451">
        <f t="shared" si="25"/>
        <v>0.1</v>
      </c>
      <c r="V61" s="452">
        <f t="shared" si="26"/>
        <v>0.33333333333333331</v>
      </c>
      <c r="W61" s="453" t="str">
        <f t="shared" si="27"/>
        <v>NA</v>
      </c>
      <c r="X61" s="454">
        <f t="shared" si="28"/>
        <v>0.21052631578947367</v>
      </c>
      <c r="Y61" s="511">
        <v>4</v>
      </c>
      <c r="Z61" s="511">
        <v>7</v>
      </c>
      <c r="AA61" s="511">
        <v>4</v>
      </c>
      <c r="AB61" s="511">
        <v>1</v>
      </c>
      <c r="AC61" s="511">
        <v>3</v>
      </c>
      <c r="AD61" s="511"/>
      <c r="AE61" s="511">
        <f t="shared" si="18"/>
        <v>5</v>
      </c>
      <c r="AF61" s="511">
        <f t="shared" si="19"/>
        <v>10</v>
      </c>
      <c r="AG61" s="511">
        <f t="shared" si="20"/>
        <v>4</v>
      </c>
      <c r="AH61" s="1731">
        <f t="shared" si="15"/>
        <v>0.2</v>
      </c>
      <c r="AI61" s="1731">
        <f t="shared" si="16"/>
        <v>0.3</v>
      </c>
      <c r="AJ61" s="1731">
        <f t="shared" si="17"/>
        <v>0</v>
      </c>
    </row>
    <row r="62" spans="1:36" x14ac:dyDescent="0.3">
      <c r="A62" s="267" t="s">
        <v>139</v>
      </c>
      <c r="B62" s="205" t="s">
        <v>140</v>
      </c>
      <c r="C62" s="229" t="s">
        <v>254</v>
      </c>
      <c r="D62" s="448">
        <v>16</v>
      </c>
      <c r="E62" s="449">
        <v>6</v>
      </c>
      <c r="F62" s="449"/>
      <c r="G62" s="149">
        <f t="shared" si="21"/>
        <v>22</v>
      </c>
      <c r="H62" s="448">
        <v>3</v>
      </c>
      <c r="I62" s="449">
        <v>1</v>
      </c>
      <c r="J62" s="449"/>
      <c r="K62" s="149">
        <f t="shared" si="22"/>
        <v>4</v>
      </c>
      <c r="L62" s="448"/>
      <c r="M62" s="449">
        <v>1</v>
      </c>
      <c r="N62" s="449"/>
      <c r="O62" s="149">
        <f t="shared" si="23"/>
        <v>1</v>
      </c>
      <c r="P62" s="450">
        <f t="shared" si="24"/>
        <v>27</v>
      </c>
      <c r="Q62" s="564">
        <f t="shared" si="11"/>
        <v>19</v>
      </c>
      <c r="R62" s="564">
        <f t="shared" si="12"/>
        <v>7</v>
      </c>
      <c r="S62" s="564">
        <f t="shared" si="13"/>
        <v>0</v>
      </c>
      <c r="T62" s="450">
        <f t="shared" si="29"/>
        <v>26</v>
      </c>
      <c r="U62" s="451">
        <f t="shared" si="25"/>
        <v>0.15789473684210525</v>
      </c>
      <c r="V62" s="452">
        <f t="shared" si="26"/>
        <v>0.14285714285714285</v>
      </c>
      <c r="W62" s="453" t="str">
        <f t="shared" si="27"/>
        <v>NA</v>
      </c>
      <c r="X62" s="454">
        <f t="shared" si="28"/>
        <v>0.15384615384615385</v>
      </c>
      <c r="Y62" s="511">
        <v>5</v>
      </c>
      <c r="Z62" s="511">
        <v>9</v>
      </c>
      <c r="AA62" s="511">
        <v>8</v>
      </c>
      <c r="AB62" s="511">
        <v>1</v>
      </c>
      <c r="AC62" s="511">
        <v>2</v>
      </c>
      <c r="AD62" s="511">
        <v>1</v>
      </c>
      <c r="AE62" s="511">
        <f t="shared" si="18"/>
        <v>6</v>
      </c>
      <c r="AF62" s="511">
        <f t="shared" si="19"/>
        <v>11</v>
      </c>
      <c r="AG62" s="511">
        <f t="shared" si="20"/>
        <v>9</v>
      </c>
      <c r="AH62" s="1731">
        <f t="shared" si="15"/>
        <v>0.16666666666666666</v>
      </c>
      <c r="AI62" s="1731">
        <f t="shared" si="16"/>
        <v>0.18181818181818182</v>
      </c>
      <c r="AJ62" s="1731">
        <f t="shared" si="17"/>
        <v>0.1111111111111111</v>
      </c>
    </row>
    <row r="63" spans="1:36" x14ac:dyDescent="0.3">
      <c r="A63" s="267" t="s">
        <v>145</v>
      </c>
      <c r="B63" s="205" t="s">
        <v>146</v>
      </c>
      <c r="C63" s="229" t="s">
        <v>251</v>
      </c>
      <c r="D63" s="448">
        <v>10</v>
      </c>
      <c r="E63" s="449">
        <v>7</v>
      </c>
      <c r="F63" s="449"/>
      <c r="G63" s="149">
        <f t="shared" si="21"/>
        <v>17</v>
      </c>
      <c r="H63" s="448"/>
      <c r="I63" s="449">
        <v>1</v>
      </c>
      <c r="J63" s="449"/>
      <c r="K63" s="149">
        <f t="shared" si="22"/>
        <v>1</v>
      </c>
      <c r="L63" s="448"/>
      <c r="M63" s="449"/>
      <c r="N63" s="449"/>
      <c r="O63" s="149">
        <f t="shared" si="23"/>
        <v>0</v>
      </c>
      <c r="P63" s="450">
        <f t="shared" si="24"/>
        <v>18</v>
      </c>
      <c r="Q63" s="564">
        <f t="shared" si="11"/>
        <v>10</v>
      </c>
      <c r="R63" s="564">
        <f t="shared" si="12"/>
        <v>8</v>
      </c>
      <c r="S63" s="564">
        <f t="shared" si="13"/>
        <v>0</v>
      </c>
      <c r="T63" s="450">
        <f t="shared" si="29"/>
        <v>18</v>
      </c>
      <c r="U63" s="451">
        <f t="shared" si="25"/>
        <v>0</v>
      </c>
      <c r="V63" s="452">
        <f t="shared" si="26"/>
        <v>0.125</v>
      </c>
      <c r="W63" s="453" t="str">
        <f t="shared" si="27"/>
        <v>NA</v>
      </c>
      <c r="X63" s="454">
        <f t="shared" si="28"/>
        <v>5.5555555555555552E-2</v>
      </c>
      <c r="Y63" s="511">
        <v>4</v>
      </c>
      <c r="Z63" s="511">
        <v>8</v>
      </c>
      <c r="AA63" s="511">
        <v>5</v>
      </c>
      <c r="AB63" s="511">
        <v>1</v>
      </c>
      <c r="AC63" s="511"/>
      <c r="AD63" s="511"/>
      <c r="AE63" s="511">
        <f t="shared" si="18"/>
        <v>5</v>
      </c>
      <c r="AF63" s="511">
        <f t="shared" si="19"/>
        <v>8</v>
      </c>
      <c r="AG63" s="511">
        <f t="shared" si="20"/>
        <v>5</v>
      </c>
      <c r="AH63" s="1731">
        <f t="shared" si="15"/>
        <v>0.2</v>
      </c>
      <c r="AI63" s="1731">
        <f t="shared" si="16"/>
        <v>0</v>
      </c>
      <c r="AJ63" s="1731">
        <f t="shared" si="17"/>
        <v>0</v>
      </c>
    </row>
    <row r="64" spans="1:36" x14ac:dyDescent="0.3">
      <c r="A64" s="267" t="s">
        <v>147</v>
      </c>
      <c r="B64" s="205" t="s">
        <v>148</v>
      </c>
      <c r="C64" s="229" t="s">
        <v>252</v>
      </c>
      <c r="D64" s="448">
        <v>25</v>
      </c>
      <c r="E64" s="449">
        <v>14</v>
      </c>
      <c r="F64" s="449"/>
      <c r="G64" s="149">
        <f t="shared" si="21"/>
        <v>39</v>
      </c>
      <c r="H64" s="448">
        <v>6</v>
      </c>
      <c r="I64" s="449"/>
      <c r="J64" s="449"/>
      <c r="K64" s="149">
        <f t="shared" si="22"/>
        <v>6</v>
      </c>
      <c r="L64" s="448"/>
      <c r="M64" s="449"/>
      <c r="N64" s="449"/>
      <c r="O64" s="149">
        <f t="shared" si="23"/>
        <v>0</v>
      </c>
      <c r="P64" s="450">
        <f t="shared" si="24"/>
        <v>45</v>
      </c>
      <c r="Q64" s="564">
        <f t="shared" si="11"/>
        <v>31</v>
      </c>
      <c r="R64" s="564">
        <f t="shared" si="12"/>
        <v>14</v>
      </c>
      <c r="S64" s="564">
        <f t="shared" si="13"/>
        <v>0</v>
      </c>
      <c r="T64" s="450">
        <f t="shared" si="29"/>
        <v>45</v>
      </c>
      <c r="U64" s="451">
        <f t="shared" si="25"/>
        <v>0.19354838709677419</v>
      </c>
      <c r="V64" s="452">
        <f t="shared" si="26"/>
        <v>0</v>
      </c>
      <c r="W64" s="453" t="str">
        <f t="shared" si="27"/>
        <v>NA</v>
      </c>
      <c r="X64" s="454">
        <f t="shared" si="28"/>
        <v>0.13333333333333333</v>
      </c>
      <c r="Y64" s="511">
        <v>10</v>
      </c>
      <c r="Z64" s="511">
        <v>21</v>
      </c>
      <c r="AA64" s="511">
        <v>8</v>
      </c>
      <c r="AB64" s="511"/>
      <c r="AC64" s="511">
        <v>5</v>
      </c>
      <c r="AD64" s="511">
        <v>1</v>
      </c>
      <c r="AE64" s="511">
        <f t="shared" si="18"/>
        <v>10</v>
      </c>
      <c r="AF64" s="511">
        <f t="shared" si="19"/>
        <v>26</v>
      </c>
      <c r="AG64" s="511">
        <f t="shared" si="20"/>
        <v>9</v>
      </c>
      <c r="AH64" s="1731">
        <f t="shared" si="15"/>
        <v>0</v>
      </c>
      <c r="AI64" s="1731">
        <f t="shared" si="16"/>
        <v>0.19230769230769232</v>
      </c>
      <c r="AJ64" s="1731">
        <f t="shared" si="17"/>
        <v>0.1111111111111111</v>
      </c>
    </row>
    <row r="65" spans="1:36" x14ac:dyDescent="0.3">
      <c r="A65" s="267" t="s">
        <v>149</v>
      </c>
      <c r="B65" s="205" t="s">
        <v>150</v>
      </c>
      <c r="C65" s="229" t="s">
        <v>253</v>
      </c>
      <c r="D65" s="448">
        <v>12</v>
      </c>
      <c r="E65" s="449">
        <v>7</v>
      </c>
      <c r="F65" s="449"/>
      <c r="G65" s="149">
        <f t="shared" si="21"/>
        <v>19</v>
      </c>
      <c r="H65" s="448"/>
      <c r="I65" s="449"/>
      <c r="J65" s="449"/>
      <c r="K65" s="149">
        <f t="shared" si="22"/>
        <v>0</v>
      </c>
      <c r="L65" s="448"/>
      <c r="M65" s="449"/>
      <c r="N65" s="449"/>
      <c r="O65" s="149">
        <f t="shared" si="23"/>
        <v>0</v>
      </c>
      <c r="P65" s="450">
        <f t="shared" si="24"/>
        <v>19</v>
      </c>
      <c r="Q65" s="564">
        <f t="shared" si="11"/>
        <v>12</v>
      </c>
      <c r="R65" s="564">
        <f t="shared" si="12"/>
        <v>7</v>
      </c>
      <c r="S65" s="564">
        <f t="shared" si="13"/>
        <v>0</v>
      </c>
      <c r="T65" s="450">
        <f t="shared" si="29"/>
        <v>19</v>
      </c>
      <c r="U65" s="451">
        <f t="shared" si="25"/>
        <v>0</v>
      </c>
      <c r="V65" s="452">
        <f t="shared" si="26"/>
        <v>0</v>
      </c>
      <c r="W65" s="453" t="str">
        <f t="shared" si="27"/>
        <v>NA</v>
      </c>
      <c r="X65" s="454">
        <f t="shared" si="28"/>
        <v>0</v>
      </c>
      <c r="Y65" s="511">
        <v>3</v>
      </c>
      <c r="Z65" s="511">
        <v>9</v>
      </c>
      <c r="AA65" s="511">
        <v>7</v>
      </c>
      <c r="AB65" s="511"/>
      <c r="AC65" s="511"/>
      <c r="AD65" s="511"/>
      <c r="AE65" s="511">
        <f t="shared" si="18"/>
        <v>3</v>
      </c>
      <c r="AF65" s="511">
        <f t="shared" si="19"/>
        <v>9</v>
      </c>
      <c r="AG65" s="511">
        <f t="shared" si="20"/>
        <v>7</v>
      </c>
      <c r="AH65" s="1731">
        <f t="shared" si="15"/>
        <v>0</v>
      </c>
      <c r="AI65" s="1731">
        <f t="shared" si="16"/>
        <v>0</v>
      </c>
      <c r="AJ65" s="1731">
        <f t="shared" si="17"/>
        <v>0</v>
      </c>
    </row>
    <row r="66" spans="1:36" x14ac:dyDescent="0.3">
      <c r="A66" s="267" t="s">
        <v>151</v>
      </c>
      <c r="B66" s="205" t="s">
        <v>152</v>
      </c>
      <c r="C66" s="229" t="s">
        <v>255</v>
      </c>
      <c r="D66" s="448">
        <v>50</v>
      </c>
      <c r="E66" s="449">
        <v>16</v>
      </c>
      <c r="F66" s="449"/>
      <c r="G66" s="149">
        <f t="shared" si="21"/>
        <v>66</v>
      </c>
      <c r="H66" s="448">
        <v>3</v>
      </c>
      <c r="I66" s="449"/>
      <c r="J66" s="449"/>
      <c r="K66" s="149">
        <f t="shared" si="22"/>
        <v>3</v>
      </c>
      <c r="L66" s="448"/>
      <c r="M66" s="449"/>
      <c r="N66" s="449"/>
      <c r="O66" s="149">
        <f t="shared" si="23"/>
        <v>0</v>
      </c>
      <c r="P66" s="450">
        <f t="shared" si="24"/>
        <v>69</v>
      </c>
      <c r="Q66" s="564">
        <f t="shared" si="11"/>
        <v>53</v>
      </c>
      <c r="R66" s="564">
        <f t="shared" si="12"/>
        <v>16</v>
      </c>
      <c r="S66" s="564">
        <f t="shared" si="13"/>
        <v>0</v>
      </c>
      <c r="T66" s="450">
        <f t="shared" si="29"/>
        <v>69</v>
      </c>
      <c r="U66" s="451">
        <f t="shared" si="25"/>
        <v>5.6603773584905662E-2</v>
      </c>
      <c r="V66" s="452">
        <f t="shared" si="26"/>
        <v>0</v>
      </c>
      <c r="W66" s="453" t="str">
        <f t="shared" si="27"/>
        <v>NA</v>
      </c>
      <c r="X66" s="454">
        <f t="shared" si="28"/>
        <v>4.3478260869565216E-2</v>
      </c>
      <c r="Y66" s="511">
        <v>11</v>
      </c>
      <c r="Z66" s="511">
        <v>37</v>
      </c>
      <c r="AA66" s="511">
        <v>18</v>
      </c>
      <c r="AB66" s="511"/>
      <c r="AC66" s="511">
        <v>2</v>
      </c>
      <c r="AD66" s="511">
        <v>1</v>
      </c>
      <c r="AE66" s="511">
        <f t="shared" si="18"/>
        <v>11</v>
      </c>
      <c r="AF66" s="511">
        <f t="shared" si="19"/>
        <v>39</v>
      </c>
      <c r="AG66" s="511">
        <f t="shared" si="20"/>
        <v>19</v>
      </c>
      <c r="AH66" s="1731">
        <f t="shared" si="15"/>
        <v>0</v>
      </c>
      <c r="AI66" s="1731">
        <f t="shared" si="16"/>
        <v>5.128205128205128E-2</v>
      </c>
      <c r="AJ66" s="1731">
        <f t="shared" si="17"/>
        <v>5.2631578947368418E-2</v>
      </c>
    </row>
    <row r="67" spans="1:36" x14ac:dyDescent="0.3">
      <c r="A67" s="267" t="s">
        <v>153</v>
      </c>
      <c r="B67" s="205" t="s">
        <v>154</v>
      </c>
      <c r="C67" s="229" t="s">
        <v>252</v>
      </c>
      <c r="D67" s="448">
        <v>11</v>
      </c>
      <c r="E67" s="449">
        <v>4</v>
      </c>
      <c r="F67" s="449"/>
      <c r="G67" s="149">
        <f t="shared" si="21"/>
        <v>15</v>
      </c>
      <c r="H67" s="448">
        <v>3</v>
      </c>
      <c r="I67" s="449">
        <v>2</v>
      </c>
      <c r="J67" s="449"/>
      <c r="K67" s="149">
        <f t="shared" si="22"/>
        <v>5</v>
      </c>
      <c r="L67" s="448"/>
      <c r="M67" s="449"/>
      <c r="N67" s="449"/>
      <c r="O67" s="149">
        <f t="shared" si="23"/>
        <v>0</v>
      </c>
      <c r="P67" s="450">
        <f t="shared" si="24"/>
        <v>20</v>
      </c>
      <c r="Q67" s="564">
        <f t="shared" si="11"/>
        <v>14</v>
      </c>
      <c r="R67" s="564">
        <f t="shared" si="12"/>
        <v>6</v>
      </c>
      <c r="S67" s="564">
        <f t="shared" si="13"/>
        <v>0</v>
      </c>
      <c r="T67" s="450">
        <f t="shared" si="29"/>
        <v>20</v>
      </c>
      <c r="U67" s="451">
        <f t="shared" si="25"/>
        <v>0.21428571428571427</v>
      </c>
      <c r="V67" s="452">
        <f t="shared" si="26"/>
        <v>0.33333333333333331</v>
      </c>
      <c r="W67" s="453" t="str">
        <f t="shared" si="27"/>
        <v>NA</v>
      </c>
      <c r="X67" s="454">
        <f t="shared" si="28"/>
        <v>0.25</v>
      </c>
      <c r="Y67" s="511">
        <v>3</v>
      </c>
      <c r="Z67" s="511">
        <v>7</v>
      </c>
      <c r="AA67" s="511">
        <v>5</v>
      </c>
      <c r="AB67" s="511"/>
      <c r="AC67" s="511">
        <v>3</v>
      </c>
      <c r="AD67" s="511">
        <v>2</v>
      </c>
      <c r="AE67" s="511">
        <f t="shared" si="18"/>
        <v>3</v>
      </c>
      <c r="AF67" s="511">
        <f t="shared" si="19"/>
        <v>10</v>
      </c>
      <c r="AG67" s="511">
        <f t="shared" si="20"/>
        <v>7</v>
      </c>
      <c r="AH67" s="1731">
        <f t="shared" si="15"/>
        <v>0</v>
      </c>
      <c r="AI67" s="1731">
        <f t="shared" si="16"/>
        <v>0.3</v>
      </c>
      <c r="AJ67" s="1731">
        <f t="shared" si="17"/>
        <v>0.2857142857142857</v>
      </c>
    </row>
    <row r="68" spans="1:36" x14ac:dyDescent="0.3">
      <c r="A68" s="267" t="s">
        <v>155</v>
      </c>
      <c r="B68" s="205" t="s">
        <v>156</v>
      </c>
      <c r="C68" s="229" t="s">
        <v>253</v>
      </c>
      <c r="D68" s="448">
        <v>10</v>
      </c>
      <c r="E68" s="449">
        <v>8</v>
      </c>
      <c r="F68" s="449"/>
      <c r="G68" s="149">
        <f t="shared" si="21"/>
        <v>18</v>
      </c>
      <c r="H68" s="448">
        <v>2</v>
      </c>
      <c r="I68" s="449">
        <v>1</v>
      </c>
      <c r="J68" s="449">
        <v>1</v>
      </c>
      <c r="K68" s="149">
        <f t="shared" si="22"/>
        <v>4</v>
      </c>
      <c r="L68" s="448"/>
      <c r="M68" s="449"/>
      <c r="N68" s="449"/>
      <c r="O68" s="149">
        <f t="shared" si="23"/>
        <v>0</v>
      </c>
      <c r="P68" s="450">
        <f t="shared" si="24"/>
        <v>22</v>
      </c>
      <c r="Q68" s="564">
        <f t="shared" si="11"/>
        <v>12</v>
      </c>
      <c r="R68" s="564">
        <f t="shared" si="12"/>
        <v>9</v>
      </c>
      <c r="S68" s="564">
        <f t="shared" si="13"/>
        <v>1</v>
      </c>
      <c r="T68" s="450">
        <f t="shared" si="29"/>
        <v>22</v>
      </c>
      <c r="U68" s="451">
        <f t="shared" si="25"/>
        <v>0.16666666666666666</v>
      </c>
      <c r="V68" s="452">
        <f t="shared" si="26"/>
        <v>0.1111111111111111</v>
      </c>
      <c r="W68" s="453">
        <f t="shared" si="27"/>
        <v>1</v>
      </c>
      <c r="X68" s="454">
        <f t="shared" si="28"/>
        <v>0.18181818181818182</v>
      </c>
      <c r="Y68" s="511">
        <v>5</v>
      </c>
      <c r="Z68" s="511">
        <v>8</v>
      </c>
      <c r="AA68" s="511">
        <v>6</v>
      </c>
      <c r="AB68" s="511">
        <v>1</v>
      </c>
      <c r="AC68" s="511">
        <v>1</v>
      </c>
      <c r="AD68" s="511">
        <v>2</v>
      </c>
      <c r="AE68" s="511">
        <f t="shared" si="18"/>
        <v>6</v>
      </c>
      <c r="AF68" s="511">
        <f t="shared" si="19"/>
        <v>9</v>
      </c>
      <c r="AG68" s="511">
        <f t="shared" si="20"/>
        <v>8</v>
      </c>
      <c r="AH68" s="1731">
        <f t="shared" si="15"/>
        <v>0.16666666666666666</v>
      </c>
      <c r="AI68" s="1731">
        <f t="shared" si="16"/>
        <v>0.1111111111111111</v>
      </c>
      <c r="AJ68" s="1731">
        <f t="shared" si="17"/>
        <v>0.25</v>
      </c>
    </row>
    <row r="69" spans="1:36" x14ac:dyDescent="0.3">
      <c r="A69" s="267" t="s">
        <v>161</v>
      </c>
      <c r="B69" s="205" t="s">
        <v>162</v>
      </c>
      <c r="C69" s="229" t="s">
        <v>251</v>
      </c>
      <c r="D69" s="448">
        <v>18</v>
      </c>
      <c r="E69" s="449">
        <v>10</v>
      </c>
      <c r="F69" s="449"/>
      <c r="G69" s="149">
        <f t="shared" si="21"/>
        <v>28</v>
      </c>
      <c r="H69" s="448">
        <v>10</v>
      </c>
      <c r="I69" s="449">
        <v>5</v>
      </c>
      <c r="J69" s="449"/>
      <c r="K69" s="149">
        <f t="shared" si="22"/>
        <v>15</v>
      </c>
      <c r="L69" s="448"/>
      <c r="M69" s="449"/>
      <c r="N69" s="449"/>
      <c r="O69" s="149">
        <f t="shared" si="23"/>
        <v>0</v>
      </c>
      <c r="P69" s="450">
        <f t="shared" si="24"/>
        <v>43</v>
      </c>
      <c r="Q69" s="564">
        <f t="shared" si="11"/>
        <v>28</v>
      </c>
      <c r="R69" s="564">
        <f t="shared" si="12"/>
        <v>15</v>
      </c>
      <c r="S69" s="564">
        <f t="shared" si="13"/>
        <v>0</v>
      </c>
      <c r="T69" s="450">
        <f t="shared" si="29"/>
        <v>43</v>
      </c>
      <c r="U69" s="451">
        <f t="shared" si="25"/>
        <v>0.35714285714285715</v>
      </c>
      <c r="V69" s="452">
        <f t="shared" si="26"/>
        <v>0.33333333333333331</v>
      </c>
      <c r="W69" s="453" t="str">
        <f t="shared" si="27"/>
        <v>NA</v>
      </c>
      <c r="X69" s="454">
        <f t="shared" si="28"/>
        <v>0.34883720930232559</v>
      </c>
      <c r="Y69" s="511">
        <v>8</v>
      </c>
      <c r="Z69" s="511">
        <v>15</v>
      </c>
      <c r="AA69" s="511">
        <v>5</v>
      </c>
      <c r="AB69" s="511">
        <v>4</v>
      </c>
      <c r="AC69" s="511">
        <v>6</v>
      </c>
      <c r="AD69" s="511">
        <v>5</v>
      </c>
      <c r="AE69" s="511">
        <f t="shared" si="18"/>
        <v>12</v>
      </c>
      <c r="AF69" s="511">
        <f t="shared" si="19"/>
        <v>21</v>
      </c>
      <c r="AG69" s="511">
        <f t="shared" si="20"/>
        <v>10</v>
      </c>
      <c r="AH69" s="1731">
        <f t="shared" si="15"/>
        <v>0.33333333333333331</v>
      </c>
      <c r="AI69" s="1731">
        <f t="shared" si="16"/>
        <v>0.2857142857142857</v>
      </c>
      <c r="AJ69" s="1731">
        <f t="shared" si="17"/>
        <v>0.5</v>
      </c>
    </row>
    <row r="70" spans="1:36" x14ac:dyDescent="0.3">
      <c r="A70" s="267" t="s">
        <v>163</v>
      </c>
      <c r="B70" s="205" t="s">
        <v>164</v>
      </c>
      <c r="C70" s="229" t="s">
        <v>253</v>
      </c>
      <c r="D70" s="448">
        <v>12</v>
      </c>
      <c r="E70" s="449">
        <v>9</v>
      </c>
      <c r="F70" s="449"/>
      <c r="G70" s="149">
        <f t="shared" ref="G70:G101" si="30">SUM(D70:F70)</f>
        <v>21</v>
      </c>
      <c r="H70" s="448"/>
      <c r="I70" s="449">
        <v>1</v>
      </c>
      <c r="J70" s="449"/>
      <c r="K70" s="149">
        <f t="shared" ref="K70:K101" si="31">SUM(H70:J70)</f>
        <v>1</v>
      </c>
      <c r="L70" s="448"/>
      <c r="M70" s="449"/>
      <c r="N70" s="449"/>
      <c r="O70" s="149">
        <f t="shared" ref="O70:O101" si="32">SUM(L70:N70)</f>
        <v>0</v>
      </c>
      <c r="P70" s="450">
        <f t="shared" ref="P70:P101" si="33">G70+K70+O70</f>
        <v>22</v>
      </c>
      <c r="Q70" s="564">
        <f t="shared" si="11"/>
        <v>12</v>
      </c>
      <c r="R70" s="564">
        <f t="shared" si="12"/>
        <v>10</v>
      </c>
      <c r="S70" s="564">
        <f t="shared" si="13"/>
        <v>0</v>
      </c>
      <c r="T70" s="450">
        <f t="shared" si="29"/>
        <v>22</v>
      </c>
      <c r="U70" s="451">
        <f t="shared" ref="U70:U101" si="34">IF((D70+H70)=0,"NA",(H70/(D70+H70)))</f>
        <v>0</v>
      </c>
      <c r="V70" s="452">
        <f t="shared" ref="V70:V101" si="35">IF((E70+I70)=0,"NA",(I70/(E70+I70)))</f>
        <v>0.1</v>
      </c>
      <c r="W70" s="453" t="str">
        <f t="shared" ref="W70:W101" si="36">IF((F70+J70)=0,"NA",(J70/(F70+J70)))</f>
        <v>NA</v>
      </c>
      <c r="X70" s="454">
        <f t="shared" ref="X70:X101" si="37">IF((G70+K70)=0,"NA",(K70/(G70+K70)))</f>
        <v>4.5454545454545456E-2</v>
      </c>
      <c r="Y70" s="511">
        <v>6</v>
      </c>
      <c r="Z70" s="511">
        <v>10</v>
      </c>
      <c r="AA70" s="511">
        <v>5</v>
      </c>
      <c r="AB70" s="511"/>
      <c r="AC70" s="511">
        <v>1</v>
      </c>
      <c r="AD70" s="511"/>
      <c r="AE70" s="511">
        <f t="shared" si="18"/>
        <v>6</v>
      </c>
      <c r="AF70" s="511">
        <f t="shared" si="19"/>
        <v>11</v>
      </c>
      <c r="AG70" s="511">
        <f t="shared" si="20"/>
        <v>5</v>
      </c>
      <c r="AH70" s="1731">
        <f t="shared" si="15"/>
        <v>0</v>
      </c>
      <c r="AI70" s="1731">
        <f t="shared" si="16"/>
        <v>9.0909090909090912E-2</v>
      </c>
      <c r="AJ70" s="1731">
        <f t="shared" si="17"/>
        <v>0</v>
      </c>
    </row>
    <row r="71" spans="1:36" x14ac:dyDescent="0.3">
      <c r="A71" s="267" t="s">
        <v>167</v>
      </c>
      <c r="B71" s="205" t="s">
        <v>168</v>
      </c>
      <c r="C71" s="229" t="s">
        <v>253</v>
      </c>
      <c r="D71" s="448">
        <v>15</v>
      </c>
      <c r="E71" s="449">
        <v>7</v>
      </c>
      <c r="F71" s="449"/>
      <c r="G71" s="149">
        <f t="shared" si="30"/>
        <v>22</v>
      </c>
      <c r="H71" s="448">
        <v>3</v>
      </c>
      <c r="I71" s="449"/>
      <c r="J71" s="449"/>
      <c r="K71" s="149">
        <f t="shared" si="31"/>
        <v>3</v>
      </c>
      <c r="L71" s="448">
        <v>1</v>
      </c>
      <c r="M71" s="449"/>
      <c r="N71" s="449"/>
      <c r="O71" s="149">
        <f t="shared" si="32"/>
        <v>1</v>
      </c>
      <c r="P71" s="450">
        <f t="shared" si="33"/>
        <v>26</v>
      </c>
      <c r="Q71" s="564">
        <f t="shared" ref="Q71:Q126" si="38">D71+H71</f>
        <v>18</v>
      </c>
      <c r="R71" s="564">
        <f t="shared" ref="R71:R126" si="39">E71+I71</f>
        <v>7</v>
      </c>
      <c r="S71" s="564">
        <f t="shared" ref="S71:S126" si="40">F71+J71</f>
        <v>0</v>
      </c>
      <c r="T71" s="450">
        <f t="shared" ref="T71:T102" si="41">G71+K71</f>
        <v>25</v>
      </c>
      <c r="U71" s="451">
        <f t="shared" si="34"/>
        <v>0.16666666666666666</v>
      </c>
      <c r="V71" s="452">
        <f t="shared" si="35"/>
        <v>0</v>
      </c>
      <c r="W71" s="453" t="str">
        <f t="shared" si="36"/>
        <v>NA</v>
      </c>
      <c r="X71" s="454">
        <f t="shared" si="37"/>
        <v>0.12</v>
      </c>
      <c r="Y71" s="511">
        <v>5</v>
      </c>
      <c r="Z71" s="511">
        <v>14</v>
      </c>
      <c r="AA71" s="511">
        <v>3</v>
      </c>
      <c r="AB71" s="511"/>
      <c r="AC71" s="511">
        <v>2</v>
      </c>
      <c r="AD71" s="511">
        <v>1</v>
      </c>
      <c r="AE71" s="511">
        <f t="shared" si="18"/>
        <v>5</v>
      </c>
      <c r="AF71" s="511">
        <f t="shared" si="19"/>
        <v>16</v>
      </c>
      <c r="AG71" s="511">
        <f t="shared" si="20"/>
        <v>4</v>
      </c>
      <c r="AH71" s="1731">
        <f t="shared" ref="AH71:AH126" si="42">AB71/AE71</f>
        <v>0</v>
      </c>
      <c r="AI71" s="1731">
        <f t="shared" ref="AI71:AI126" si="43">AC71/AF71</f>
        <v>0.125</v>
      </c>
      <c r="AJ71" s="1731">
        <f t="shared" ref="AJ71:AJ126" si="44">AD71/AG71</f>
        <v>0.25</v>
      </c>
    </row>
    <row r="72" spans="1:36" x14ac:dyDescent="0.3">
      <c r="A72" s="267" t="s">
        <v>169</v>
      </c>
      <c r="B72" s="205" t="s">
        <v>170</v>
      </c>
      <c r="C72" s="229" t="s">
        <v>254</v>
      </c>
      <c r="D72" s="448">
        <v>26</v>
      </c>
      <c r="E72" s="449">
        <v>11</v>
      </c>
      <c r="F72" s="449"/>
      <c r="G72" s="149">
        <f t="shared" si="30"/>
        <v>37</v>
      </c>
      <c r="H72" s="448">
        <v>4</v>
      </c>
      <c r="I72" s="449"/>
      <c r="J72" s="449"/>
      <c r="K72" s="149">
        <f t="shared" si="31"/>
        <v>4</v>
      </c>
      <c r="L72" s="448"/>
      <c r="M72" s="449">
        <v>1</v>
      </c>
      <c r="N72" s="449"/>
      <c r="O72" s="149">
        <f t="shared" si="32"/>
        <v>1</v>
      </c>
      <c r="P72" s="450">
        <f t="shared" si="33"/>
        <v>42</v>
      </c>
      <c r="Q72" s="564">
        <f t="shared" si="38"/>
        <v>30</v>
      </c>
      <c r="R72" s="564">
        <f t="shared" si="39"/>
        <v>11</v>
      </c>
      <c r="S72" s="564">
        <f t="shared" si="40"/>
        <v>0</v>
      </c>
      <c r="T72" s="450">
        <f t="shared" si="41"/>
        <v>41</v>
      </c>
      <c r="U72" s="451">
        <f t="shared" si="34"/>
        <v>0.13333333333333333</v>
      </c>
      <c r="V72" s="452">
        <f t="shared" si="35"/>
        <v>0</v>
      </c>
      <c r="W72" s="453" t="str">
        <f t="shared" si="36"/>
        <v>NA</v>
      </c>
      <c r="X72" s="454">
        <f t="shared" si="37"/>
        <v>9.7560975609756101E-2</v>
      </c>
      <c r="Y72" s="511">
        <v>8</v>
      </c>
      <c r="Z72" s="511">
        <v>18</v>
      </c>
      <c r="AA72" s="511">
        <v>12</v>
      </c>
      <c r="AB72" s="511"/>
      <c r="AC72" s="511">
        <v>4</v>
      </c>
      <c r="AD72" s="511">
        <v>1</v>
      </c>
      <c r="AE72" s="511">
        <f t="shared" ref="AE72:AE126" si="45">Y72+AB72</f>
        <v>8</v>
      </c>
      <c r="AF72" s="511">
        <f t="shared" ref="AF72:AF126" si="46">Z72+AC72</f>
        <v>22</v>
      </c>
      <c r="AG72" s="511">
        <f t="shared" ref="AG72:AG126" si="47">AA72+AD72</f>
        <v>13</v>
      </c>
      <c r="AH72" s="1731">
        <f t="shared" si="42"/>
        <v>0</v>
      </c>
      <c r="AI72" s="1731">
        <f t="shared" si="43"/>
        <v>0.18181818181818182</v>
      </c>
      <c r="AJ72" s="1731">
        <f t="shared" si="44"/>
        <v>7.6923076923076927E-2</v>
      </c>
    </row>
    <row r="73" spans="1:36" x14ac:dyDescent="0.3">
      <c r="A73" s="267" t="s">
        <v>171</v>
      </c>
      <c r="B73" s="205" t="s">
        <v>172</v>
      </c>
      <c r="C73" s="229" t="s">
        <v>254</v>
      </c>
      <c r="D73" s="448">
        <v>24</v>
      </c>
      <c r="E73" s="449">
        <v>4</v>
      </c>
      <c r="F73" s="449"/>
      <c r="G73" s="149">
        <f t="shared" si="30"/>
        <v>28</v>
      </c>
      <c r="H73" s="448"/>
      <c r="I73" s="449">
        <v>1</v>
      </c>
      <c r="J73" s="449"/>
      <c r="K73" s="149">
        <f t="shared" si="31"/>
        <v>1</v>
      </c>
      <c r="L73" s="448"/>
      <c r="M73" s="449"/>
      <c r="N73" s="449"/>
      <c r="O73" s="149">
        <f t="shared" si="32"/>
        <v>0</v>
      </c>
      <c r="P73" s="450">
        <f t="shared" si="33"/>
        <v>29</v>
      </c>
      <c r="Q73" s="564">
        <f t="shared" si="38"/>
        <v>24</v>
      </c>
      <c r="R73" s="564">
        <f t="shared" si="39"/>
        <v>5</v>
      </c>
      <c r="S73" s="564">
        <f t="shared" si="40"/>
        <v>0</v>
      </c>
      <c r="T73" s="450">
        <f t="shared" si="41"/>
        <v>29</v>
      </c>
      <c r="U73" s="451">
        <f t="shared" si="34"/>
        <v>0</v>
      </c>
      <c r="V73" s="452">
        <f t="shared" si="35"/>
        <v>0.2</v>
      </c>
      <c r="W73" s="453" t="str">
        <f t="shared" si="36"/>
        <v>NA</v>
      </c>
      <c r="X73" s="454">
        <f t="shared" si="37"/>
        <v>3.4482758620689655E-2</v>
      </c>
      <c r="Y73" s="511">
        <v>2</v>
      </c>
      <c r="Z73" s="511">
        <v>18</v>
      </c>
      <c r="AA73" s="511">
        <v>8</v>
      </c>
      <c r="AB73" s="511">
        <v>1</v>
      </c>
      <c r="AC73" s="511"/>
      <c r="AD73" s="511"/>
      <c r="AE73" s="511">
        <f t="shared" si="45"/>
        <v>3</v>
      </c>
      <c r="AF73" s="511">
        <f t="shared" si="46"/>
        <v>18</v>
      </c>
      <c r="AG73" s="511">
        <f t="shared" si="47"/>
        <v>8</v>
      </c>
      <c r="AH73" s="1731">
        <f t="shared" si="42"/>
        <v>0.33333333333333331</v>
      </c>
      <c r="AI73" s="1731">
        <f t="shared" si="43"/>
        <v>0</v>
      </c>
      <c r="AJ73" s="1731">
        <f t="shared" si="44"/>
        <v>0</v>
      </c>
    </row>
    <row r="74" spans="1:36" x14ac:dyDescent="0.3">
      <c r="A74" s="267" t="s">
        <v>173</v>
      </c>
      <c r="B74" s="205" t="s">
        <v>174</v>
      </c>
      <c r="C74" s="229" t="s">
        <v>255</v>
      </c>
      <c r="D74" s="448">
        <v>21</v>
      </c>
      <c r="E74" s="449">
        <v>11</v>
      </c>
      <c r="F74" s="449"/>
      <c r="G74" s="149">
        <f t="shared" si="30"/>
        <v>32</v>
      </c>
      <c r="H74" s="448">
        <v>1</v>
      </c>
      <c r="I74" s="449"/>
      <c r="J74" s="449"/>
      <c r="K74" s="149">
        <f t="shared" si="31"/>
        <v>1</v>
      </c>
      <c r="L74" s="448"/>
      <c r="M74" s="449"/>
      <c r="N74" s="449"/>
      <c r="O74" s="149">
        <f t="shared" si="32"/>
        <v>0</v>
      </c>
      <c r="P74" s="450">
        <f t="shared" si="33"/>
        <v>33</v>
      </c>
      <c r="Q74" s="564">
        <f t="shared" si="38"/>
        <v>22</v>
      </c>
      <c r="R74" s="564">
        <f t="shared" si="39"/>
        <v>11</v>
      </c>
      <c r="S74" s="564">
        <f t="shared" si="40"/>
        <v>0</v>
      </c>
      <c r="T74" s="450">
        <f t="shared" si="41"/>
        <v>33</v>
      </c>
      <c r="U74" s="451">
        <f t="shared" si="34"/>
        <v>4.5454545454545456E-2</v>
      </c>
      <c r="V74" s="452">
        <f t="shared" si="35"/>
        <v>0</v>
      </c>
      <c r="W74" s="453" t="str">
        <f t="shared" si="36"/>
        <v>NA</v>
      </c>
      <c r="X74" s="454">
        <f t="shared" si="37"/>
        <v>3.0303030303030304E-2</v>
      </c>
      <c r="Y74" s="511">
        <v>8</v>
      </c>
      <c r="Z74" s="511">
        <v>15</v>
      </c>
      <c r="AA74" s="511">
        <v>9</v>
      </c>
      <c r="AB74" s="511"/>
      <c r="AC74" s="511">
        <v>1</v>
      </c>
      <c r="AD74" s="511"/>
      <c r="AE74" s="511">
        <f t="shared" si="45"/>
        <v>8</v>
      </c>
      <c r="AF74" s="511">
        <f t="shared" si="46"/>
        <v>16</v>
      </c>
      <c r="AG74" s="511">
        <f t="shared" si="47"/>
        <v>9</v>
      </c>
      <c r="AH74" s="1731">
        <f t="shared" si="42"/>
        <v>0</v>
      </c>
      <c r="AI74" s="1731">
        <f t="shared" si="43"/>
        <v>6.25E-2</v>
      </c>
      <c r="AJ74" s="1731">
        <f t="shared" si="44"/>
        <v>0</v>
      </c>
    </row>
    <row r="75" spans="1:36" x14ac:dyDescent="0.3">
      <c r="A75" s="267" t="s">
        <v>177</v>
      </c>
      <c r="B75" s="205" t="s">
        <v>178</v>
      </c>
      <c r="C75" s="229" t="s">
        <v>252</v>
      </c>
      <c r="D75" s="448">
        <v>42</v>
      </c>
      <c r="E75" s="449">
        <v>17</v>
      </c>
      <c r="F75" s="449"/>
      <c r="G75" s="149">
        <f t="shared" si="30"/>
        <v>59</v>
      </c>
      <c r="H75" s="448">
        <v>14</v>
      </c>
      <c r="I75" s="449">
        <v>7</v>
      </c>
      <c r="J75" s="449"/>
      <c r="K75" s="149">
        <f t="shared" si="31"/>
        <v>21</v>
      </c>
      <c r="L75" s="448">
        <v>2</v>
      </c>
      <c r="M75" s="449"/>
      <c r="N75" s="449"/>
      <c r="O75" s="149">
        <f t="shared" si="32"/>
        <v>2</v>
      </c>
      <c r="P75" s="450">
        <f t="shared" si="33"/>
        <v>82</v>
      </c>
      <c r="Q75" s="564">
        <f t="shared" si="38"/>
        <v>56</v>
      </c>
      <c r="R75" s="564">
        <f t="shared" si="39"/>
        <v>24</v>
      </c>
      <c r="S75" s="564">
        <f t="shared" si="40"/>
        <v>0</v>
      </c>
      <c r="T75" s="450">
        <f t="shared" si="41"/>
        <v>80</v>
      </c>
      <c r="U75" s="451">
        <f t="shared" si="34"/>
        <v>0.25</v>
      </c>
      <c r="V75" s="452">
        <f t="shared" si="35"/>
        <v>0.29166666666666669</v>
      </c>
      <c r="W75" s="453" t="str">
        <f t="shared" si="36"/>
        <v>NA</v>
      </c>
      <c r="X75" s="454">
        <f t="shared" si="37"/>
        <v>0.26250000000000001</v>
      </c>
      <c r="Y75" s="511">
        <v>6</v>
      </c>
      <c r="Z75" s="511">
        <v>39</v>
      </c>
      <c r="AA75" s="511">
        <v>14</v>
      </c>
      <c r="AB75" s="511">
        <v>4</v>
      </c>
      <c r="AC75" s="511">
        <v>10</v>
      </c>
      <c r="AD75" s="511">
        <v>7</v>
      </c>
      <c r="AE75" s="511">
        <f t="shared" si="45"/>
        <v>10</v>
      </c>
      <c r="AF75" s="511">
        <f t="shared" si="46"/>
        <v>49</v>
      </c>
      <c r="AG75" s="511">
        <f t="shared" si="47"/>
        <v>21</v>
      </c>
      <c r="AH75" s="1731">
        <f t="shared" si="42"/>
        <v>0.4</v>
      </c>
      <c r="AI75" s="1731">
        <f t="shared" si="43"/>
        <v>0.20408163265306123</v>
      </c>
      <c r="AJ75" s="1731">
        <f t="shared" si="44"/>
        <v>0.33333333333333331</v>
      </c>
    </row>
    <row r="76" spans="1:36" x14ac:dyDescent="0.3">
      <c r="A76" s="267" t="s">
        <v>181</v>
      </c>
      <c r="B76" s="205" t="s">
        <v>182</v>
      </c>
      <c r="C76" s="229" t="s">
        <v>253</v>
      </c>
      <c r="D76" s="448">
        <v>12</v>
      </c>
      <c r="E76" s="449">
        <v>10</v>
      </c>
      <c r="F76" s="449"/>
      <c r="G76" s="149">
        <f t="shared" si="30"/>
        <v>22</v>
      </c>
      <c r="H76" s="448">
        <v>5</v>
      </c>
      <c r="I76" s="449">
        <v>2</v>
      </c>
      <c r="J76" s="449"/>
      <c r="K76" s="149">
        <f t="shared" si="31"/>
        <v>7</v>
      </c>
      <c r="L76" s="448"/>
      <c r="M76" s="449"/>
      <c r="N76" s="449"/>
      <c r="O76" s="149">
        <f t="shared" si="32"/>
        <v>0</v>
      </c>
      <c r="P76" s="450">
        <f t="shared" si="33"/>
        <v>29</v>
      </c>
      <c r="Q76" s="564">
        <f t="shared" si="38"/>
        <v>17</v>
      </c>
      <c r="R76" s="564">
        <f t="shared" si="39"/>
        <v>12</v>
      </c>
      <c r="S76" s="564">
        <f t="shared" si="40"/>
        <v>0</v>
      </c>
      <c r="T76" s="450">
        <f t="shared" si="41"/>
        <v>29</v>
      </c>
      <c r="U76" s="451">
        <f t="shared" si="34"/>
        <v>0.29411764705882354</v>
      </c>
      <c r="V76" s="452">
        <f t="shared" si="35"/>
        <v>0.16666666666666666</v>
      </c>
      <c r="W76" s="453" t="str">
        <f t="shared" si="36"/>
        <v>NA</v>
      </c>
      <c r="X76" s="454">
        <f t="shared" si="37"/>
        <v>0.2413793103448276</v>
      </c>
      <c r="Y76" s="511">
        <v>8</v>
      </c>
      <c r="Z76" s="511">
        <v>9</v>
      </c>
      <c r="AA76" s="511">
        <v>5</v>
      </c>
      <c r="AB76" s="511">
        <v>2</v>
      </c>
      <c r="AC76" s="511"/>
      <c r="AD76" s="511">
        <v>5</v>
      </c>
      <c r="AE76" s="511">
        <f t="shared" si="45"/>
        <v>10</v>
      </c>
      <c r="AF76" s="511">
        <f t="shared" si="46"/>
        <v>9</v>
      </c>
      <c r="AG76" s="511">
        <f t="shared" si="47"/>
        <v>10</v>
      </c>
      <c r="AH76" s="1731">
        <f t="shared" si="42"/>
        <v>0.2</v>
      </c>
      <c r="AI76" s="1731">
        <f t="shared" si="43"/>
        <v>0</v>
      </c>
      <c r="AJ76" s="1731">
        <f t="shared" si="44"/>
        <v>0.5</v>
      </c>
    </row>
    <row r="77" spans="1:36" x14ac:dyDescent="0.3">
      <c r="A77" s="267" t="s">
        <v>183</v>
      </c>
      <c r="B77" s="205" t="s">
        <v>184</v>
      </c>
      <c r="C77" s="229" t="s">
        <v>253</v>
      </c>
      <c r="D77" s="448">
        <v>25</v>
      </c>
      <c r="E77" s="449">
        <v>6</v>
      </c>
      <c r="F77" s="449"/>
      <c r="G77" s="149">
        <f t="shared" si="30"/>
        <v>31</v>
      </c>
      <c r="H77" s="448">
        <v>12</v>
      </c>
      <c r="I77" s="449">
        <v>1</v>
      </c>
      <c r="J77" s="449">
        <v>2</v>
      </c>
      <c r="K77" s="149">
        <f t="shared" si="31"/>
        <v>15</v>
      </c>
      <c r="L77" s="448">
        <v>1</v>
      </c>
      <c r="M77" s="449"/>
      <c r="N77" s="449"/>
      <c r="O77" s="149">
        <f t="shared" si="32"/>
        <v>1</v>
      </c>
      <c r="P77" s="450">
        <f t="shared" si="33"/>
        <v>47</v>
      </c>
      <c r="Q77" s="564">
        <f t="shared" si="38"/>
        <v>37</v>
      </c>
      <c r="R77" s="564">
        <f t="shared" si="39"/>
        <v>7</v>
      </c>
      <c r="S77" s="564">
        <f t="shared" si="40"/>
        <v>2</v>
      </c>
      <c r="T77" s="450">
        <f t="shared" si="41"/>
        <v>46</v>
      </c>
      <c r="U77" s="451">
        <f t="shared" si="34"/>
        <v>0.32432432432432434</v>
      </c>
      <c r="V77" s="452">
        <f t="shared" si="35"/>
        <v>0.14285714285714285</v>
      </c>
      <c r="W77" s="453">
        <f t="shared" si="36"/>
        <v>1</v>
      </c>
      <c r="X77" s="454">
        <f t="shared" si="37"/>
        <v>0.32608695652173914</v>
      </c>
      <c r="Y77" s="511">
        <v>3</v>
      </c>
      <c r="Z77" s="511">
        <v>22</v>
      </c>
      <c r="AA77" s="511">
        <v>6</v>
      </c>
      <c r="AB77" s="511"/>
      <c r="AC77" s="511">
        <v>11</v>
      </c>
      <c r="AD77" s="511">
        <v>4</v>
      </c>
      <c r="AE77" s="511">
        <f t="shared" si="45"/>
        <v>3</v>
      </c>
      <c r="AF77" s="511">
        <f t="shared" si="46"/>
        <v>33</v>
      </c>
      <c r="AG77" s="511">
        <f t="shared" si="47"/>
        <v>10</v>
      </c>
      <c r="AH77" s="1731">
        <f t="shared" si="42"/>
        <v>0</v>
      </c>
      <c r="AI77" s="1731">
        <f t="shared" si="43"/>
        <v>0.33333333333333331</v>
      </c>
      <c r="AJ77" s="1731">
        <f t="shared" si="44"/>
        <v>0.4</v>
      </c>
    </row>
    <row r="78" spans="1:36" x14ac:dyDescent="0.3">
      <c r="A78" s="267" t="s">
        <v>185</v>
      </c>
      <c r="B78" s="205" t="s">
        <v>186</v>
      </c>
      <c r="C78" s="229" t="s">
        <v>251</v>
      </c>
      <c r="D78" s="448">
        <v>19</v>
      </c>
      <c r="E78" s="449">
        <v>11</v>
      </c>
      <c r="F78" s="449"/>
      <c r="G78" s="149">
        <f t="shared" si="30"/>
        <v>30</v>
      </c>
      <c r="H78" s="448">
        <v>2</v>
      </c>
      <c r="I78" s="449">
        <v>2</v>
      </c>
      <c r="J78" s="449">
        <v>3</v>
      </c>
      <c r="K78" s="149">
        <f t="shared" si="31"/>
        <v>7</v>
      </c>
      <c r="L78" s="448"/>
      <c r="M78" s="449"/>
      <c r="N78" s="449"/>
      <c r="O78" s="149">
        <f t="shared" si="32"/>
        <v>0</v>
      </c>
      <c r="P78" s="450">
        <f t="shared" si="33"/>
        <v>37</v>
      </c>
      <c r="Q78" s="564">
        <f t="shared" si="38"/>
        <v>21</v>
      </c>
      <c r="R78" s="564">
        <f t="shared" si="39"/>
        <v>13</v>
      </c>
      <c r="S78" s="564">
        <f t="shared" si="40"/>
        <v>3</v>
      </c>
      <c r="T78" s="450">
        <f t="shared" si="41"/>
        <v>37</v>
      </c>
      <c r="U78" s="451">
        <f t="shared" si="34"/>
        <v>9.5238095238095233E-2</v>
      </c>
      <c r="V78" s="452">
        <f t="shared" si="35"/>
        <v>0.15384615384615385</v>
      </c>
      <c r="W78" s="453">
        <f t="shared" si="36"/>
        <v>1</v>
      </c>
      <c r="X78" s="454">
        <f t="shared" si="37"/>
        <v>0.1891891891891892</v>
      </c>
      <c r="Y78" s="511">
        <v>9</v>
      </c>
      <c r="Z78" s="511">
        <v>9</v>
      </c>
      <c r="AA78" s="511">
        <v>12</v>
      </c>
      <c r="AB78" s="511">
        <v>3</v>
      </c>
      <c r="AC78" s="511">
        <v>2</v>
      </c>
      <c r="AD78" s="511">
        <v>2</v>
      </c>
      <c r="AE78" s="511">
        <f t="shared" si="45"/>
        <v>12</v>
      </c>
      <c r="AF78" s="511">
        <f t="shared" si="46"/>
        <v>11</v>
      </c>
      <c r="AG78" s="511">
        <f t="shared" si="47"/>
        <v>14</v>
      </c>
      <c r="AH78" s="1731">
        <f t="shared" si="42"/>
        <v>0.25</v>
      </c>
      <c r="AI78" s="1731">
        <f t="shared" si="43"/>
        <v>0.18181818181818182</v>
      </c>
      <c r="AJ78" s="1731">
        <f t="shared" si="44"/>
        <v>0.14285714285714285</v>
      </c>
    </row>
    <row r="79" spans="1:36" x14ac:dyDescent="0.3">
      <c r="A79" s="267" t="s">
        <v>187</v>
      </c>
      <c r="B79" s="205" t="s">
        <v>188</v>
      </c>
      <c r="C79" s="229" t="s">
        <v>254</v>
      </c>
      <c r="D79" s="448">
        <v>201</v>
      </c>
      <c r="E79" s="449">
        <v>82</v>
      </c>
      <c r="F79" s="449">
        <v>2</v>
      </c>
      <c r="G79" s="149">
        <f t="shared" si="30"/>
        <v>285</v>
      </c>
      <c r="H79" s="448">
        <v>24</v>
      </c>
      <c r="I79" s="449">
        <v>9</v>
      </c>
      <c r="J79" s="449"/>
      <c r="K79" s="149">
        <f t="shared" si="31"/>
        <v>33</v>
      </c>
      <c r="L79" s="448">
        <v>5</v>
      </c>
      <c r="M79" s="449">
        <v>1</v>
      </c>
      <c r="N79" s="449"/>
      <c r="O79" s="149">
        <f t="shared" si="32"/>
        <v>6</v>
      </c>
      <c r="P79" s="450">
        <f t="shared" si="33"/>
        <v>324</v>
      </c>
      <c r="Q79" s="564">
        <f t="shared" si="38"/>
        <v>225</v>
      </c>
      <c r="R79" s="564">
        <f t="shared" si="39"/>
        <v>91</v>
      </c>
      <c r="S79" s="564">
        <f t="shared" si="40"/>
        <v>2</v>
      </c>
      <c r="T79" s="450">
        <f t="shared" si="41"/>
        <v>318</v>
      </c>
      <c r="U79" s="451">
        <f t="shared" si="34"/>
        <v>0.10666666666666667</v>
      </c>
      <c r="V79" s="452">
        <f t="shared" si="35"/>
        <v>9.8901098901098897E-2</v>
      </c>
      <c r="W79" s="453">
        <f t="shared" si="36"/>
        <v>0</v>
      </c>
      <c r="X79" s="454">
        <f t="shared" si="37"/>
        <v>0.10377358490566038</v>
      </c>
      <c r="Y79" s="511">
        <v>47</v>
      </c>
      <c r="Z79" s="511">
        <v>154</v>
      </c>
      <c r="AA79" s="511">
        <v>84</v>
      </c>
      <c r="AB79" s="511">
        <v>7</v>
      </c>
      <c r="AC79" s="511">
        <v>14</v>
      </c>
      <c r="AD79" s="511">
        <v>12</v>
      </c>
      <c r="AE79" s="511">
        <f t="shared" si="45"/>
        <v>54</v>
      </c>
      <c r="AF79" s="511">
        <f t="shared" si="46"/>
        <v>168</v>
      </c>
      <c r="AG79" s="511">
        <f t="shared" si="47"/>
        <v>96</v>
      </c>
      <c r="AH79" s="1731">
        <f t="shared" si="42"/>
        <v>0.12962962962962962</v>
      </c>
      <c r="AI79" s="1731">
        <f t="shared" si="43"/>
        <v>8.3333333333333329E-2</v>
      </c>
      <c r="AJ79" s="1731">
        <f t="shared" si="44"/>
        <v>0.125</v>
      </c>
    </row>
    <row r="80" spans="1:36" x14ac:dyDescent="0.3">
      <c r="A80" s="267" t="s">
        <v>189</v>
      </c>
      <c r="B80" s="205" t="s">
        <v>190</v>
      </c>
      <c r="C80" s="229" t="s">
        <v>255</v>
      </c>
      <c r="D80" s="448">
        <v>34</v>
      </c>
      <c r="E80" s="449">
        <v>18</v>
      </c>
      <c r="F80" s="449"/>
      <c r="G80" s="149">
        <f t="shared" si="30"/>
        <v>52</v>
      </c>
      <c r="H80" s="448">
        <v>8</v>
      </c>
      <c r="I80" s="449">
        <v>3</v>
      </c>
      <c r="J80" s="449"/>
      <c r="K80" s="149">
        <f t="shared" si="31"/>
        <v>11</v>
      </c>
      <c r="L80" s="448"/>
      <c r="M80" s="449"/>
      <c r="N80" s="449"/>
      <c r="O80" s="149">
        <f t="shared" si="32"/>
        <v>0</v>
      </c>
      <c r="P80" s="450">
        <f t="shared" si="33"/>
        <v>63</v>
      </c>
      <c r="Q80" s="564">
        <f t="shared" si="38"/>
        <v>42</v>
      </c>
      <c r="R80" s="564">
        <f t="shared" si="39"/>
        <v>21</v>
      </c>
      <c r="S80" s="564">
        <f t="shared" si="40"/>
        <v>0</v>
      </c>
      <c r="T80" s="450">
        <f t="shared" si="41"/>
        <v>63</v>
      </c>
      <c r="U80" s="451">
        <f t="shared" si="34"/>
        <v>0.19047619047619047</v>
      </c>
      <c r="V80" s="452">
        <f t="shared" si="35"/>
        <v>0.14285714285714285</v>
      </c>
      <c r="W80" s="453" t="str">
        <f t="shared" si="36"/>
        <v>NA</v>
      </c>
      <c r="X80" s="454">
        <f t="shared" si="37"/>
        <v>0.17460317460317459</v>
      </c>
      <c r="Y80" s="511">
        <v>11</v>
      </c>
      <c r="Z80" s="511">
        <v>24</v>
      </c>
      <c r="AA80" s="511">
        <v>17</v>
      </c>
      <c r="AB80" s="511">
        <v>2</v>
      </c>
      <c r="AC80" s="511">
        <v>4</v>
      </c>
      <c r="AD80" s="511">
        <v>6</v>
      </c>
      <c r="AE80" s="511">
        <f t="shared" si="45"/>
        <v>13</v>
      </c>
      <c r="AF80" s="511">
        <f t="shared" si="46"/>
        <v>28</v>
      </c>
      <c r="AG80" s="511">
        <f t="shared" si="47"/>
        <v>23</v>
      </c>
      <c r="AH80" s="1731">
        <f t="shared" si="42"/>
        <v>0.15384615384615385</v>
      </c>
      <c r="AI80" s="1731">
        <f t="shared" si="43"/>
        <v>0.14285714285714285</v>
      </c>
      <c r="AJ80" s="1731">
        <f t="shared" si="44"/>
        <v>0.2608695652173913</v>
      </c>
    </row>
    <row r="81" spans="1:36" x14ac:dyDescent="0.3">
      <c r="A81" s="267" t="s">
        <v>193</v>
      </c>
      <c r="B81" s="205" t="s">
        <v>194</v>
      </c>
      <c r="C81" s="229" t="s">
        <v>254</v>
      </c>
      <c r="D81" s="448">
        <v>7</v>
      </c>
      <c r="E81" s="449">
        <v>5</v>
      </c>
      <c r="F81" s="449">
        <v>1</v>
      </c>
      <c r="G81" s="149">
        <f t="shared" si="30"/>
        <v>13</v>
      </c>
      <c r="H81" s="448">
        <v>2</v>
      </c>
      <c r="I81" s="449"/>
      <c r="J81" s="449"/>
      <c r="K81" s="149">
        <f t="shared" si="31"/>
        <v>2</v>
      </c>
      <c r="L81" s="448"/>
      <c r="M81" s="449"/>
      <c r="N81" s="449"/>
      <c r="O81" s="149">
        <f t="shared" si="32"/>
        <v>0</v>
      </c>
      <c r="P81" s="450">
        <f t="shared" si="33"/>
        <v>15</v>
      </c>
      <c r="Q81" s="564">
        <f t="shared" si="38"/>
        <v>9</v>
      </c>
      <c r="R81" s="564">
        <f t="shared" si="39"/>
        <v>5</v>
      </c>
      <c r="S81" s="564">
        <f t="shared" si="40"/>
        <v>1</v>
      </c>
      <c r="T81" s="450">
        <f t="shared" si="41"/>
        <v>15</v>
      </c>
      <c r="U81" s="451">
        <f t="shared" si="34"/>
        <v>0.22222222222222221</v>
      </c>
      <c r="V81" s="452">
        <f t="shared" si="35"/>
        <v>0</v>
      </c>
      <c r="W81" s="453">
        <f t="shared" si="36"/>
        <v>0</v>
      </c>
      <c r="X81" s="454">
        <f t="shared" si="37"/>
        <v>0.13333333333333333</v>
      </c>
      <c r="Y81" s="511">
        <v>4</v>
      </c>
      <c r="Z81" s="511">
        <v>4</v>
      </c>
      <c r="AA81" s="511">
        <v>5</v>
      </c>
      <c r="AB81" s="511"/>
      <c r="AC81" s="511"/>
      <c r="AD81" s="511">
        <v>2</v>
      </c>
      <c r="AE81" s="511">
        <f t="shared" si="45"/>
        <v>4</v>
      </c>
      <c r="AF81" s="511">
        <f t="shared" si="46"/>
        <v>4</v>
      </c>
      <c r="AG81" s="511">
        <f t="shared" si="47"/>
        <v>7</v>
      </c>
      <c r="AH81" s="1731">
        <f t="shared" si="42"/>
        <v>0</v>
      </c>
      <c r="AI81" s="1731">
        <f t="shared" si="43"/>
        <v>0</v>
      </c>
      <c r="AJ81" s="1731">
        <f t="shared" si="44"/>
        <v>0.2857142857142857</v>
      </c>
    </row>
    <row r="82" spans="1:36" x14ac:dyDescent="0.3">
      <c r="A82" s="267" t="s">
        <v>197</v>
      </c>
      <c r="B82" s="205" t="s">
        <v>198</v>
      </c>
      <c r="C82" s="229" t="s">
        <v>253</v>
      </c>
      <c r="D82" s="448">
        <v>8</v>
      </c>
      <c r="E82" s="449">
        <v>6</v>
      </c>
      <c r="F82" s="449"/>
      <c r="G82" s="149">
        <f t="shared" si="30"/>
        <v>14</v>
      </c>
      <c r="H82" s="448"/>
      <c r="I82" s="449">
        <v>1</v>
      </c>
      <c r="J82" s="449"/>
      <c r="K82" s="149">
        <f t="shared" si="31"/>
        <v>1</v>
      </c>
      <c r="L82" s="448"/>
      <c r="M82" s="449"/>
      <c r="N82" s="449"/>
      <c r="O82" s="149">
        <f t="shared" si="32"/>
        <v>0</v>
      </c>
      <c r="P82" s="450">
        <f t="shared" si="33"/>
        <v>15</v>
      </c>
      <c r="Q82" s="564">
        <f t="shared" si="38"/>
        <v>8</v>
      </c>
      <c r="R82" s="564">
        <f t="shared" si="39"/>
        <v>7</v>
      </c>
      <c r="S82" s="564">
        <f t="shared" si="40"/>
        <v>0</v>
      </c>
      <c r="T82" s="450">
        <f t="shared" si="41"/>
        <v>15</v>
      </c>
      <c r="U82" s="451">
        <f t="shared" si="34"/>
        <v>0</v>
      </c>
      <c r="V82" s="452">
        <f t="shared" si="35"/>
        <v>0.14285714285714285</v>
      </c>
      <c r="W82" s="453" t="str">
        <f t="shared" si="36"/>
        <v>NA</v>
      </c>
      <c r="X82" s="454">
        <f t="shared" si="37"/>
        <v>6.6666666666666666E-2</v>
      </c>
      <c r="Y82" s="511">
        <v>3</v>
      </c>
      <c r="Z82" s="511">
        <v>8</v>
      </c>
      <c r="AA82" s="511">
        <v>3</v>
      </c>
      <c r="AB82" s="511"/>
      <c r="AC82" s="511">
        <v>2</v>
      </c>
      <c r="AD82" s="511"/>
      <c r="AE82" s="511">
        <f t="shared" si="45"/>
        <v>3</v>
      </c>
      <c r="AF82" s="511">
        <f t="shared" si="46"/>
        <v>10</v>
      </c>
      <c r="AG82" s="511">
        <f t="shared" si="47"/>
        <v>3</v>
      </c>
      <c r="AH82" s="1731">
        <f t="shared" si="42"/>
        <v>0</v>
      </c>
      <c r="AI82" s="1731">
        <f t="shared" si="43"/>
        <v>0.2</v>
      </c>
      <c r="AJ82" s="1731">
        <f t="shared" si="44"/>
        <v>0</v>
      </c>
    </row>
    <row r="83" spans="1:36" x14ac:dyDescent="0.3">
      <c r="A83" s="267" t="s">
        <v>201</v>
      </c>
      <c r="B83" s="205" t="s">
        <v>406</v>
      </c>
      <c r="C83" s="229" t="s">
        <v>252</v>
      </c>
      <c r="D83" s="448">
        <v>81</v>
      </c>
      <c r="E83" s="449">
        <v>29</v>
      </c>
      <c r="F83" s="449"/>
      <c r="G83" s="149">
        <f t="shared" si="30"/>
        <v>110</v>
      </c>
      <c r="H83" s="448">
        <v>2</v>
      </c>
      <c r="I83" s="449">
        <v>2</v>
      </c>
      <c r="J83" s="449"/>
      <c r="K83" s="149">
        <f t="shared" si="31"/>
        <v>4</v>
      </c>
      <c r="L83" s="448"/>
      <c r="M83" s="449"/>
      <c r="N83" s="449"/>
      <c r="O83" s="149">
        <f t="shared" si="32"/>
        <v>0</v>
      </c>
      <c r="P83" s="450">
        <f t="shared" si="33"/>
        <v>114</v>
      </c>
      <c r="Q83" s="564">
        <f t="shared" si="38"/>
        <v>83</v>
      </c>
      <c r="R83" s="564">
        <f t="shared" si="39"/>
        <v>31</v>
      </c>
      <c r="S83" s="564">
        <f t="shared" si="40"/>
        <v>0</v>
      </c>
      <c r="T83" s="450">
        <f t="shared" si="41"/>
        <v>114</v>
      </c>
      <c r="U83" s="451">
        <f t="shared" si="34"/>
        <v>2.4096385542168676E-2</v>
      </c>
      <c r="V83" s="452">
        <f t="shared" si="35"/>
        <v>6.4516129032258063E-2</v>
      </c>
      <c r="W83" s="453" t="str">
        <f t="shared" si="36"/>
        <v>NA</v>
      </c>
      <c r="X83" s="454">
        <f t="shared" si="37"/>
        <v>3.5087719298245612E-2</v>
      </c>
      <c r="Y83" s="511">
        <v>19</v>
      </c>
      <c r="Z83" s="511">
        <v>49</v>
      </c>
      <c r="AA83" s="511">
        <v>42</v>
      </c>
      <c r="AB83" s="511">
        <v>2</v>
      </c>
      <c r="AC83" s="511">
        <v>1</v>
      </c>
      <c r="AD83" s="511">
        <v>1</v>
      </c>
      <c r="AE83" s="511">
        <f t="shared" si="45"/>
        <v>21</v>
      </c>
      <c r="AF83" s="511">
        <f t="shared" si="46"/>
        <v>50</v>
      </c>
      <c r="AG83" s="511">
        <f t="shared" si="47"/>
        <v>43</v>
      </c>
      <c r="AH83" s="1731">
        <f t="shared" si="42"/>
        <v>9.5238095238095233E-2</v>
      </c>
      <c r="AI83" s="1731">
        <f t="shared" si="43"/>
        <v>0.02</v>
      </c>
      <c r="AJ83" s="1731">
        <f t="shared" si="44"/>
        <v>2.3255813953488372E-2</v>
      </c>
    </row>
    <row r="84" spans="1:36" x14ac:dyDescent="0.3">
      <c r="A84" s="267" t="s">
        <v>203</v>
      </c>
      <c r="B84" s="205" t="s">
        <v>269</v>
      </c>
      <c r="C84" s="229" t="s">
        <v>252</v>
      </c>
      <c r="D84" s="448">
        <v>24</v>
      </c>
      <c r="E84" s="449">
        <v>9</v>
      </c>
      <c r="F84" s="449"/>
      <c r="G84" s="149">
        <f t="shared" si="30"/>
        <v>33</v>
      </c>
      <c r="H84" s="448">
        <v>12</v>
      </c>
      <c r="I84" s="449">
        <v>5</v>
      </c>
      <c r="J84" s="449">
        <v>1</v>
      </c>
      <c r="K84" s="149">
        <f t="shared" si="31"/>
        <v>18</v>
      </c>
      <c r="L84" s="448"/>
      <c r="M84" s="449"/>
      <c r="N84" s="449"/>
      <c r="O84" s="149">
        <f t="shared" si="32"/>
        <v>0</v>
      </c>
      <c r="P84" s="450">
        <f t="shared" si="33"/>
        <v>51</v>
      </c>
      <c r="Q84" s="564">
        <f t="shared" si="38"/>
        <v>36</v>
      </c>
      <c r="R84" s="564">
        <f t="shared" si="39"/>
        <v>14</v>
      </c>
      <c r="S84" s="564">
        <f t="shared" si="40"/>
        <v>1</v>
      </c>
      <c r="T84" s="450">
        <f t="shared" si="41"/>
        <v>51</v>
      </c>
      <c r="U84" s="451">
        <f t="shared" si="34"/>
        <v>0.33333333333333331</v>
      </c>
      <c r="V84" s="452">
        <f t="shared" si="35"/>
        <v>0.35714285714285715</v>
      </c>
      <c r="W84" s="453">
        <f t="shared" si="36"/>
        <v>1</v>
      </c>
      <c r="X84" s="454">
        <f t="shared" si="37"/>
        <v>0.35294117647058826</v>
      </c>
      <c r="Y84" s="511">
        <v>5</v>
      </c>
      <c r="Z84" s="511">
        <v>18</v>
      </c>
      <c r="AA84" s="511">
        <v>10</v>
      </c>
      <c r="AB84" s="511">
        <v>5</v>
      </c>
      <c r="AC84" s="511">
        <v>6</v>
      </c>
      <c r="AD84" s="511">
        <v>8</v>
      </c>
      <c r="AE84" s="511">
        <f t="shared" si="45"/>
        <v>10</v>
      </c>
      <c r="AF84" s="511">
        <f t="shared" si="46"/>
        <v>24</v>
      </c>
      <c r="AG84" s="511">
        <f t="shared" si="47"/>
        <v>18</v>
      </c>
      <c r="AH84" s="1731">
        <f t="shared" si="42"/>
        <v>0.5</v>
      </c>
      <c r="AI84" s="1731">
        <f t="shared" si="43"/>
        <v>0.25</v>
      </c>
      <c r="AJ84" s="1731">
        <f t="shared" si="44"/>
        <v>0.44444444444444442</v>
      </c>
    </row>
    <row r="85" spans="1:36" x14ac:dyDescent="0.3">
      <c r="A85" s="267" t="s">
        <v>205</v>
      </c>
      <c r="B85" s="205" t="s">
        <v>270</v>
      </c>
      <c r="C85" s="229" t="s">
        <v>254</v>
      </c>
      <c r="D85" s="448">
        <v>105</v>
      </c>
      <c r="E85" s="449">
        <v>35</v>
      </c>
      <c r="F85" s="449"/>
      <c r="G85" s="149">
        <f t="shared" si="30"/>
        <v>140</v>
      </c>
      <c r="H85" s="448">
        <v>16</v>
      </c>
      <c r="I85" s="449">
        <v>1</v>
      </c>
      <c r="J85" s="449"/>
      <c r="K85" s="149">
        <f t="shared" si="31"/>
        <v>17</v>
      </c>
      <c r="L85" s="448"/>
      <c r="M85" s="449">
        <v>1</v>
      </c>
      <c r="N85" s="449"/>
      <c r="O85" s="149">
        <f t="shared" si="32"/>
        <v>1</v>
      </c>
      <c r="P85" s="450">
        <f t="shared" si="33"/>
        <v>158</v>
      </c>
      <c r="Q85" s="564">
        <f t="shared" si="38"/>
        <v>121</v>
      </c>
      <c r="R85" s="564">
        <f t="shared" si="39"/>
        <v>36</v>
      </c>
      <c r="S85" s="564">
        <f t="shared" si="40"/>
        <v>0</v>
      </c>
      <c r="T85" s="450">
        <f t="shared" si="41"/>
        <v>157</v>
      </c>
      <c r="U85" s="451">
        <f t="shared" si="34"/>
        <v>0.13223140495867769</v>
      </c>
      <c r="V85" s="452">
        <f t="shared" si="35"/>
        <v>2.7777777777777776E-2</v>
      </c>
      <c r="W85" s="453" t="str">
        <f t="shared" si="36"/>
        <v>NA</v>
      </c>
      <c r="X85" s="454">
        <f t="shared" si="37"/>
        <v>0.10828025477707007</v>
      </c>
      <c r="Y85" s="511">
        <v>18</v>
      </c>
      <c r="Z85" s="511">
        <v>72</v>
      </c>
      <c r="AA85" s="511">
        <v>50</v>
      </c>
      <c r="AB85" s="511"/>
      <c r="AC85" s="511">
        <v>6</v>
      </c>
      <c r="AD85" s="511">
        <v>11</v>
      </c>
      <c r="AE85" s="511">
        <f t="shared" si="45"/>
        <v>18</v>
      </c>
      <c r="AF85" s="511">
        <f t="shared" si="46"/>
        <v>78</v>
      </c>
      <c r="AG85" s="511">
        <f t="shared" si="47"/>
        <v>61</v>
      </c>
      <c r="AH85" s="1731">
        <f t="shared" si="42"/>
        <v>0</v>
      </c>
      <c r="AI85" s="1731">
        <f t="shared" si="43"/>
        <v>7.6923076923076927E-2</v>
      </c>
      <c r="AJ85" s="1731">
        <f t="shared" si="44"/>
        <v>0.18032786885245902</v>
      </c>
    </row>
    <row r="86" spans="1:36" x14ac:dyDescent="0.3">
      <c r="A86" s="267" t="s">
        <v>207</v>
      </c>
      <c r="B86" s="205" t="s">
        <v>208</v>
      </c>
      <c r="C86" s="229" t="s">
        <v>255</v>
      </c>
      <c r="D86" s="448">
        <v>31</v>
      </c>
      <c r="E86" s="449">
        <v>14</v>
      </c>
      <c r="F86" s="449">
        <v>1</v>
      </c>
      <c r="G86" s="149">
        <f t="shared" si="30"/>
        <v>46</v>
      </c>
      <c r="H86" s="448">
        <v>3</v>
      </c>
      <c r="I86" s="449"/>
      <c r="J86" s="449"/>
      <c r="K86" s="149">
        <f t="shared" si="31"/>
        <v>3</v>
      </c>
      <c r="L86" s="448"/>
      <c r="M86" s="449"/>
      <c r="N86" s="449"/>
      <c r="O86" s="149">
        <f t="shared" si="32"/>
        <v>0</v>
      </c>
      <c r="P86" s="450">
        <f t="shared" si="33"/>
        <v>49</v>
      </c>
      <c r="Q86" s="564">
        <f t="shared" si="38"/>
        <v>34</v>
      </c>
      <c r="R86" s="564">
        <f t="shared" si="39"/>
        <v>14</v>
      </c>
      <c r="S86" s="564">
        <f t="shared" si="40"/>
        <v>1</v>
      </c>
      <c r="T86" s="450">
        <f t="shared" si="41"/>
        <v>49</v>
      </c>
      <c r="U86" s="451">
        <f t="shared" si="34"/>
        <v>8.8235294117647065E-2</v>
      </c>
      <c r="V86" s="452">
        <f t="shared" si="35"/>
        <v>0</v>
      </c>
      <c r="W86" s="453">
        <f t="shared" si="36"/>
        <v>0</v>
      </c>
      <c r="X86" s="454">
        <f t="shared" si="37"/>
        <v>6.1224489795918366E-2</v>
      </c>
      <c r="Y86" s="511">
        <v>7</v>
      </c>
      <c r="Z86" s="511">
        <v>25</v>
      </c>
      <c r="AA86" s="511">
        <v>14</v>
      </c>
      <c r="AB86" s="511"/>
      <c r="AC86" s="511"/>
      <c r="AD86" s="511">
        <v>3</v>
      </c>
      <c r="AE86" s="511">
        <f t="shared" si="45"/>
        <v>7</v>
      </c>
      <c r="AF86" s="511">
        <f t="shared" si="46"/>
        <v>25</v>
      </c>
      <c r="AG86" s="511">
        <f t="shared" si="47"/>
        <v>17</v>
      </c>
      <c r="AH86" s="1731">
        <f t="shared" si="42"/>
        <v>0</v>
      </c>
      <c r="AI86" s="1731">
        <f t="shared" si="43"/>
        <v>0</v>
      </c>
      <c r="AJ86" s="1731">
        <f t="shared" si="44"/>
        <v>0.17647058823529413</v>
      </c>
    </row>
    <row r="87" spans="1:36" x14ac:dyDescent="0.3">
      <c r="A87" s="267" t="s">
        <v>209</v>
      </c>
      <c r="B87" s="205" t="s">
        <v>210</v>
      </c>
      <c r="C87" s="229" t="s">
        <v>255</v>
      </c>
      <c r="D87" s="448">
        <v>30</v>
      </c>
      <c r="E87" s="449">
        <v>11</v>
      </c>
      <c r="F87" s="449"/>
      <c r="G87" s="149">
        <f t="shared" si="30"/>
        <v>41</v>
      </c>
      <c r="H87" s="448">
        <v>4</v>
      </c>
      <c r="I87" s="449">
        <v>1</v>
      </c>
      <c r="J87" s="449"/>
      <c r="K87" s="149">
        <f t="shared" si="31"/>
        <v>5</v>
      </c>
      <c r="L87" s="448"/>
      <c r="M87" s="449"/>
      <c r="N87" s="449"/>
      <c r="O87" s="149">
        <f t="shared" si="32"/>
        <v>0</v>
      </c>
      <c r="P87" s="450">
        <f t="shared" si="33"/>
        <v>46</v>
      </c>
      <c r="Q87" s="564">
        <f t="shared" si="38"/>
        <v>34</v>
      </c>
      <c r="R87" s="564">
        <f t="shared" si="39"/>
        <v>12</v>
      </c>
      <c r="S87" s="564">
        <f t="shared" si="40"/>
        <v>0</v>
      </c>
      <c r="T87" s="450">
        <f t="shared" si="41"/>
        <v>46</v>
      </c>
      <c r="U87" s="451">
        <f t="shared" si="34"/>
        <v>0.11764705882352941</v>
      </c>
      <c r="V87" s="452">
        <f t="shared" si="35"/>
        <v>8.3333333333333329E-2</v>
      </c>
      <c r="W87" s="453" t="str">
        <f t="shared" si="36"/>
        <v>NA</v>
      </c>
      <c r="X87" s="454">
        <f t="shared" si="37"/>
        <v>0.10869565217391304</v>
      </c>
      <c r="Y87" s="511">
        <v>7</v>
      </c>
      <c r="Z87" s="511">
        <v>22</v>
      </c>
      <c r="AA87" s="511">
        <v>12</v>
      </c>
      <c r="AB87" s="511">
        <v>1</v>
      </c>
      <c r="AC87" s="511">
        <v>2</v>
      </c>
      <c r="AD87" s="511">
        <v>2</v>
      </c>
      <c r="AE87" s="511">
        <f t="shared" si="45"/>
        <v>8</v>
      </c>
      <c r="AF87" s="511">
        <f t="shared" si="46"/>
        <v>24</v>
      </c>
      <c r="AG87" s="511">
        <f t="shared" si="47"/>
        <v>14</v>
      </c>
      <c r="AH87" s="1731">
        <f t="shared" si="42"/>
        <v>0.125</v>
      </c>
      <c r="AI87" s="1731">
        <f t="shared" si="43"/>
        <v>8.3333333333333329E-2</v>
      </c>
      <c r="AJ87" s="1731">
        <f t="shared" si="44"/>
        <v>0.14285714285714285</v>
      </c>
    </row>
    <row r="88" spans="1:36" x14ac:dyDescent="0.3">
      <c r="A88" s="267" t="s">
        <v>211</v>
      </c>
      <c r="B88" s="205" t="s">
        <v>212</v>
      </c>
      <c r="C88" s="229" t="s">
        <v>254</v>
      </c>
      <c r="D88" s="448">
        <v>36</v>
      </c>
      <c r="E88" s="449">
        <v>12</v>
      </c>
      <c r="F88" s="449"/>
      <c r="G88" s="149">
        <f t="shared" si="30"/>
        <v>48</v>
      </c>
      <c r="H88" s="448">
        <v>2</v>
      </c>
      <c r="I88" s="449">
        <v>1</v>
      </c>
      <c r="J88" s="449"/>
      <c r="K88" s="149">
        <f t="shared" si="31"/>
        <v>3</v>
      </c>
      <c r="L88" s="448"/>
      <c r="M88" s="449"/>
      <c r="N88" s="449"/>
      <c r="O88" s="149">
        <f t="shared" si="32"/>
        <v>0</v>
      </c>
      <c r="P88" s="450">
        <f t="shared" si="33"/>
        <v>51</v>
      </c>
      <c r="Q88" s="564">
        <f t="shared" si="38"/>
        <v>38</v>
      </c>
      <c r="R88" s="564">
        <f t="shared" si="39"/>
        <v>13</v>
      </c>
      <c r="S88" s="564">
        <f t="shared" si="40"/>
        <v>0</v>
      </c>
      <c r="T88" s="450">
        <f t="shared" si="41"/>
        <v>51</v>
      </c>
      <c r="U88" s="451">
        <f t="shared" si="34"/>
        <v>5.2631578947368418E-2</v>
      </c>
      <c r="V88" s="452">
        <f t="shared" si="35"/>
        <v>7.6923076923076927E-2</v>
      </c>
      <c r="W88" s="453" t="str">
        <f t="shared" si="36"/>
        <v>NA</v>
      </c>
      <c r="X88" s="454">
        <f t="shared" si="37"/>
        <v>5.8823529411764705E-2</v>
      </c>
      <c r="Y88" s="511">
        <v>6</v>
      </c>
      <c r="Z88" s="511">
        <v>26</v>
      </c>
      <c r="AA88" s="511">
        <v>16</v>
      </c>
      <c r="AB88" s="511">
        <v>1</v>
      </c>
      <c r="AC88" s="511">
        <v>2</v>
      </c>
      <c r="AD88" s="511">
        <v>3</v>
      </c>
      <c r="AE88" s="511">
        <f t="shared" si="45"/>
        <v>7</v>
      </c>
      <c r="AF88" s="511">
        <f t="shared" si="46"/>
        <v>28</v>
      </c>
      <c r="AG88" s="511">
        <f t="shared" si="47"/>
        <v>19</v>
      </c>
      <c r="AH88" s="1731">
        <f t="shared" si="42"/>
        <v>0.14285714285714285</v>
      </c>
      <c r="AI88" s="1731">
        <f t="shared" si="43"/>
        <v>7.1428571428571425E-2</v>
      </c>
      <c r="AJ88" s="1731">
        <f t="shared" si="44"/>
        <v>0.15789473684210525</v>
      </c>
    </row>
    <row r="89" spans="1:36" x14ac:dyDescent="0.3">
      <c r="A89" s="267" t="s">
        <v>213</v>
      </c>
      <c r="B89" s="205" t="s">
        <v>214</v>
      </c>
      <c r="C89" s="229" t="s">
        <v>255</v>
      </c>
      <c r="D89" s="448">
        <v>48</v>
      </c>
      <c r="E89" s="449">
        <v>14</v>
      </c>
      <c r="F89" s="449"/>
      <c r="G89" s="149">
        <f t="shared" si="30"/>
        <v>62</v>
      </c>
      <c r="H89" s="448">
        <v>8</v>
      </c>
      <c r="I89" s="449">
        <v>3</v>
      </c>
      <c r="J89" s="449"/>
      <c r="K89" s="149">
        <f t="shared" si="31"/>
        <v>11</v>
      </c>
      <c r="L89" s="448"/>
      <c r="M89" s="449"/>
      <c r="N89" s="449"/>
      <c r="O89" s="149">
        <f t="shared" si="32"/>
        <v>0</v>
      </c>
      <c r="P89" s="450">
        <f t="shared" si="33"/>
        <v>73</v>
      </c>
      <c r="Q89" s="564">
        <f t="shared" si="38"/>
        <v>56</v>
      </c>
      <c r="R89" s="564">
        <f t="shared" si="39"/>
        <v>17</v>
      </c>
      <c r="S89" s="564">
        <f t="shared" si="40"/>
        <v>0</v>
      </c>
      <c r="T89" s="450">
        <f t="shared" si="41"/>
        <v>73</v>
      </c>
      <c r="U89" s="451">
        <f t="shared" si="34"/>
        <v>0.14285714285714285</v>
      </c>
      <c r="V89" s="452">
        <f t="shared" si="35"/>
        <v>0.17647058823529413</v>
      </c>
      <c r="W89" s="453" t="str">
        <f t="shared" si="36"/>
        <v>NA</v>
      </c>
      <c r="X89" s="454">
        <f t="shared" si="37"/>
        <v>0.15068493150684931</v>
      </c>
      <c r="Y89" s="511">
        <v>7</v>
      </c>
      <c r="Z89" s="511">
        <v>36</v>
      </c>
      <c r="AA89" s="511">
        <v>20</v>
      </c>
      <c r="AB89" s="511">
        <v>1</v>
      </c>
      <c r="AC89" s="511">
        <v>7</v>
      </c>
      <c r="AD89" s="511">
        <v>3</v>
      </c>
      <c r="AE89" s="511">
        <f t="shared" si="45"/>
        <v>8</v>
      </c>
      <c r="AF89" s="511">
        <f t="shared" si="46"/>
        <v>43</v>
      </c>
      <c r="AG89" s="511">
        <f t="shared" si="47"/>
        <v>23</v>
      </c>
      <c r="AH89" s="1731">
        <f t="shared" si="42"/>
        <v>0.125</v>
      </c>
      <c r="AI89" s="1731">
        <f t="shared" si="43"/>
        <v>0.16279069767441862</v>
      </c>
      <c r="AJ89" s="1731">
        <f t="shared" si="44"/>
        <v>0.13043478260869565</v>
      </c>
    </row>
    <row r="90" spans="1:36" x14ac:dyDescent="0.3">
      <c r="A90" s="267" t="s">
        <v>215</v>
      </c>
      <c r="B90" s="205" t="s">
        <v>216</v>
      </c>
      <c r="C90" s="229" t="s">
        <v>251</v>
      </c>
      <c r="D90" s="448">
        <v>19</v>
      </c>
      <c r="E90" s="449">
        <v>11</v>
      </c>
      <c r="F90" s="449"/>
      <c r="G90" s="149">
        <f t="shared" si="30"/>
        <v>30</v>
      </c>
      <c r="H90" s="448">
        <v>2</v>
      </c>
      <c r="I90" s="449"/>
      <c r="J90" s="449">
        <v>1</v>
      </c>
      <c r="K90" s="149">
        <f t="shared" si="31"/>
        <v>3</v>
      </c>
      <c r="L90" s="448"/>
      <c r="M90" s="449"/>
      <c r="N90" s="449"/>
      <c r="O90" s="149">
        <f t="shared" si="32"/>
        <v>0</v>
      </c>
      <c r="P90" s="450">
        <f t="shared" si="33"/>
        <v>33</v>
      </c>
      <c r="Q90" s="564">
        <f t="shared" si="38"/>
        <v>21</v>
      </c>
      <c r="R90" s="564">
        <f t="shared" si="39"/>
        <v>11</v>
      </c>
      <c r="S90" s="564">
        <f t="shared" si="40"/>
        <v>1</v>
      </c>
      <c r="T90" s="450">
        <f t="shared" si="41"/>
        <v>33</v>
      </c>
      <c r="U90" s="451">
        <f t="shared" si="34"/>
        <v>9.5238095238095233E-2</v>
      </c>
      <c r="V90" s="452">
        <f t="shared" si="35"/>
        <v>0</v>
      </c>
      <c r="W90" s="453">
        <f t="shared" si="36"/>
        <v>1</v>
      </c>
      <c r="X90" s="454">
        <f t="shared" si="37"/>
        <v>9.0909090909090912E-2</v>
      </c>
      <c r="Y90" s="511">
        <v>5</v>
      </c>
      <c r="Z90" s="511">
        <v>18</v>
      </c>
      <c r="AA90" s="511">
        <v>7</v>
      </c>
      <c r="AB90" s="511"/>
      <c r="AC90" s="511">
        <v>3</v>
      </c>
      <c r="AD90" s="511"/>
      <c r="AE90" s="511">
        <f t="shared" si="45"/>
        <v>5</v>
      </c>
      <c r="AF90" s="511">
        <f t="shared" si="46"/>
        <v>21</v>
      </c>
      <c r="AG90" s="511">
        <f t="shared" si="47"/>
        <v>7</v>
      </c>
      <c r="AH90" s="1731">
        <f t="shared" si="42"/>
        <v>0</v>
      </c>
      <c r="AI90" s="1731">
        <f t="shared" si="43"/>
        <v>0.14285714285714285</v>
      </c>
      <c r="AJ90" s="1731">
        <f t="shared" si="44"/>
        <v>0</v>
      </c>
    </row>
    <row r="91" spans="1:36" x14ac:dyDescent="0.3">
      <c r="A91" s="267" t="s">
        <v>217</v>
      </c>
      <c r="B91" s="205" t="s">
        <v>218</v>
      </c>
      <c r="C91" s="229" t="s">
        <v>254</v>
      </c>
      <c r="D91" s="448">
        <v>66</v>
      </c>
      <c r="E91" s="449">
        <v>37</v>
      </c>
      <c r="F91" s="449">
        <v>1</v>
      </c>
      <c r="G91" s="149">
        <f t="shared" si="30"/>
        <v>104</v>
      </c>
      <c r="H91" s="448">
        <v>12</v>
      </c>
      <c r="I91" s="449">
        <v>2</v>
      </c>
      <c r="J91" s="449"/>
      <c r="K91" s="149">
        <f t="shared" si="31"/>
        <v>14</v>
      </c>
      <c r="L91" s="448"/>
      <c r="M91" s="449"/>
      <c r="N91" s="449"/>
      <c r="O91" s="149">
        <f t="shared" si="32"/>
        <v>0</v>
      </c>
      <c r="P91" s="450">
        <f t="shared" si="33"/>
        <v>118</v>
      </c>
      <c r="Q91" s="564">
        <f t="shared" si="38"/>
        <v>78</v>
      </c>
      <c r="R91" s="564">
        <f t="shared" si="39"/>
        <v>39</v>
      </c>
      <c r="S91" s="564">
        <f t="shared" si="40"/>
        <v>1</v>
      </c>
      <c r="T91" s="450">
        <f t="shared" si="41"/>
        <v>118</v>
      </c>
      <c r="U91" s="451">
        <f t="shared" si="34"/>
        <v>0.15384615384615385</v>
      </c>
      <c r="V91" s="452">
        <f t="shared" si="35"/>
        <v>5.128205128205128E-2</v>
      </c>
      <c r="W91" s="453">
        <f t="shared" si="36"/>
        <v>0</v>
      </c>
      <c r="X91" s="454">
        <f t="shared" si="37"/>
        <v>0.11864406779661017</v>
      </c>
      <c r="Y91" s="511">
        <v>19</v>
      </c>
      <c r="Z91" s="511">
        <v>52</v>
      </c>
      <c r="AA91" s="511">
        <v>33</v>
      </c>
      <c r="AB91" s="511">
        <v>1</v>
      </c>
      <c r="AC91" s="511">
        <v>7</v>
      </c>
      <c r="AD91" s="511">
        <v>8</v>
      </c>
      <c r="AE91" s="511">
        <f t="shared" si="45"/>
        <v>20</v>
      </c>
      <c r="AF91" s="511">
        <f t="shared" si="46"/>
        <v>59</v>
      </c>
      <c r="AG91" s="511">
        <f t="shared" si="47"/>
        <v>41</v>
      </c>
      <c r="AH91" s="1731">
        <f t="shared" si="42"/>
        <v>0.05</v>
      </c>
      <c r="AI91" s="1731">
        <f t="shared" si="43"/>
        <v>0.11864406779661017</v>
      </c>
      <c r="AJ91" s="1731">
        <f t="shared" si="44"/>
        <v>0.1951219512195122</v>
      </c>
    </row>
    <row r="92" spans="1:36" x14ac:dyDescent="0.3">
      <c r="A92" s="267" t="s">
        <v>219</v>
      </c>
      <c r="B92" s="205" t="s">
        <v>220</v>
      </c>
      <c r="C92" s="229" t="s">
        <v>254</v>
      </c>
      <c r="D92" s="448">
        <v>50</v>
      </c>
      <c r="E92" s="449">
        <v>19</v>
      </c>
      <c r="F92" s="449">
        <v>1</v>
      </c>
      <c r="G92" s="149">
        <f t="shared" si="30"/>
        <v>70</v>
      </c>
      <c r="H92" s="448">
        <v>5</v>
      </c>
      <c r="I92" s="449">
        <v>3</v>
      </c>
      <c r="J92" s="449">
        <v>1</v>
      </c>
      <c r="K92" s="149">
        <f t="shared" si="31"/>
        <v>9</v>
      </c>
      <c r="L92" s="448"/>
      <c r="M92" s="449"/>
      <c r="N92" s="449"/>
      <c r="O92" s="149">
        <f t="shared" si="32"/>
        <v>0</v>
      </c>
      <c r="P92" s="450">
        <f t="shared" si="33"/>
        <v>79</v>
      </c>
      <c r="Q92" s="564">
        <f t="shared" si="38"/>
        <v>55</v>
      </c>
      <c r="R92" s="564">
        <f t="shared" si="39"/>
        <v>22</v>
      </c>
      <c r="S92" s="564">
        <f t="shared" si="40"/>
        <v>2</v>
      </c>
      <c r="T92" s="450">
        <f t="shared" si="41"/>
        <v>79</v>
      </c>
      <c r="U92" s="451">
        <f t="shared" si="34"/>
        <v>9.0909090909090912E-2</v>
      </c>
      <c r="V92" s="452">
        <f t="shared" si="35"/>
        <v>0.13636363636363635</v>
      </c>
      <c r="W92" s="453">
        <f t="shared" si="36"/>
        <v>0.5</v>
      </c>
      <c r="X92" s="454">
        <f t="shared" si="37"/>
        <v>0.11392405063291139</v>
      </c>
      <c r="Y92" s="511">
        <v>12</v>
      </c>
      <c r="Z92" s="511">
        <v>36</v>
      </c>
      <c r="AA92" s="511">
        <v>23</v>
      </c>
      <c r="AB92" s="511">
        <v>1</v>
      </c>
      <c r="AC92" s="511">
        <v>5</v>
      </c>
      <c r="AD92" s="511">
        <v>3</v>
      </c>
      <c r="AE92" s="511">
        <f t="shared" si="45"/>
        <v>13</v>
      </c>
      <c r="AF92" s="511">
        <f t="shared" si="46"/>
        <v>41</v>
      </c>
      <c r="AG92" s="511">
        <f t="shared" si="47"/>
        <v>26</v>
      </c>
      <c r="AH92" s="1731">
        <f t="shared" si="42"/>
        <v>7.6923076923076927E-2</v>
      </c>
      <c r="AI92" s="1731">
        <f t="shared" si="43"/>
        <v>0.12195121951219512</v>
      </c>
      <c r="AJ92" s="1731">
        <f t="shared" si="44"/>
        <v>0.11538461538461539</v>
      </c>
    </row>
    <row r="93" spans="1:36" x14ac:dyDescent="0.3">
      <c r="A93" s="267" t="s">
        <v>223</v>
      </c>
      <c r="B93" s="205" t="s">
        <v>224</v>
      </c>
      <c r="C93" s="229" t="s">
        <v>251</v>
      </c>
      <c r="D93" s="448">
        <v>13</v>
      </c>
      <c r="E93" s="449">
        <v>9</v>
      </c>
      <c r="F93" s="449"/>
      <c r="G93" s="149">
        <f t="shared" si="30"/>
        <v>22</v>
      </c>
      <c r="H93" s="448"/>
      <c r="I93" s="449">
        <v>1</v>
      </c>
      <c r="J93" s="449"/>
      <c r="K93" s="149">
        <f t="shared" si="31"/>
        <v>1</v>
      </c>
      <c r="L93" s="448"/>
      <c r="M93" s="449"/>
      <c r="N93" s="449"/>
      <c r="O93" s="149">
        <f t="shared" si="32"/>
        <v>0</v>
      </c>
      <c r="P93" s="450">
        <f t="shared" si="33"/>
        <v>23</v>
      </c>
      <c r="Q93" s="564">
        <f t="shared" si="38"/>
        <v>13</v>
      </c>
      <c r="R93" s="564">
        <f t="shared" si="39"/>
        <v>10</v>
      </c>
      <c r="S93" s="564">
        <f t="shared" si="40"/>
        <v>0</v>
      </c>
      <c r="T93" s="450">
        <f t="shared" si="41"/>
        <v>23</v>
      </c>
      <c r="U93" s="451">
        <f t="shared" si="34"/>
        <v>0</v>
      </c>
      <c r="V93" s="452">
        <f t="shared" si="35"/>
        <v>0.1</v>
      </c>
      <c r="W93" s="453" t="str">
        <f t="shared" si="36"/>
        <v>NA</v>
      </c>
      <c r="X93" s="454">
        <f t="shared" si="37"/>
        <v>4.3478260869565216E-2</v>
      </c>
      <c r="Y93" s="511">
        <v>5</v>
      </c>
      <c r="Z93" s="511">
        <v>11</v>
      </c>
      <c r="AA93" s="511">
        <v>6</v>
      </c>
      <c r="AB93" s="511">
        <v>1</v>
      </c>
      <c r="AC93" s="511"/>
      <c r="AD93" s="511"/>
      <c r="AE93" s="511">
        <f t="shared" si="45"/>
        <v>6</v>
      </c>
      <c r="AF93" s="511">
        <f t="shared" si="46"/>
        <v>11</v>
      </c>
      <c r="AG93" s="511">
        <f t="shared" si="47"/>
        <v>6</v>
      </c>
      <c r="AH93" s="1731">
        <f t="shared" si="42"/>
        <v>0.16666666666666666</v>
      </c>
      <c r="AI93" s="1731">
        <f t="shared" si="43"/>
        <v>0</v>
      </c>
      <c r="AJ93" s="1731">
        <f t="shared" si="44"/>
        <v>0</v>
      </c>
    </row>
    <row r="94" spans="1:36" x14ac:dyDescent="0.3">
      <c r="A94" s="267" t="s">
        <v>225</v>
      </c>
      <c r="B94" s="205" t="s">
        <v>226</v>
      </c>
      <c r="C94" s="229" t="s">
        <v>251</v>
      </c>
      <c r="D94" s="448">
        <v>16</v>
      </c>
      <c r="E94" s="449">
        <v>7</v>
      </c>
      <c r="F94" s="449"/>
      <c r="G94" s="149">
        <f t="shared" si="30"/>
        <v>23</v>
      </c>
      <c r="H94" s="448">
        <v>9</v>
      </c>
      <c r="I94" s="449">
        <v>3</v>
      </c>
      <c r="J94" s="449">
        <v>1</v>
      </c>
      <c r="K94" s="149">
        <f t="shared" si="31"/>
        <v>13</v>
      </c>
      <c r="L94" s="448"/>
      <c r="M94" s="449">
        <v>2</v>
      </c>
      <c r="N94" s="449"/>
      <c r="O94" s="149">
        <f t="shared" si="32"/>
        <v>2</v>
      </c>
      <c r="P94" s="450">
        <f t="shared" si="33"/>
        <v>38</v>
      </c>
      <c r="Q94" s="564">
        <f t="shared" si="38"/>
        <v>25</v>
      </c>
      <c r="R94" s="564">
        <f t="shared" si="39"/>
        <v>10</v>
      </c>
      <c r="S94" s="564">
        <f t="shared" si="40"/>
        <v>1</v>
      </c>
      <c r="T94" s="450">
        <f t="shared" si="41"/>
        <v>36</v>
      </c>
      <c r="U94" s="451">
        <f t="shared" si="34"/>
        <v>0.36</v>
      </c>
      <c r="V94" s="452">
        <f t="shared" si="35"/>
        <v>0.3</v>
      </c>
      <c r="W94" s="453">
        <f t="shared" si="36"/>
        <v>1</v>
      </c>
      <c r="X94" s="454">
        <f t="shared" si="37"/>
        <v>0.3611111111111111</v>
      </c>
      <c r="Y94" s="511">
        <v>4</v>
      </c>
      <c r="Z94" s="511">
        <v>13</v>
      </c>
      <c r="AA94" s="511">
        <v>6</v>
      </c>
      <c r="AB94" s="511">
        <v>4</v>
      </c>
      <c r="AC94" s="511">
        <v>5</v>
      </c>
      <c r="AD94" s="511">
        <v>6</v>
      </c>
      <c r="AE94" s="511">
        <f t="shared" si="45"/>
        <v>8</v>
      </c>
      <c r="AF94" s="511">
        <f t="shared" si="46"/>
        <v>18</v>
      </c>
      <c r="AG94" s="511">
        <f t="shared" si="47"/>
        <v>12</v>
      </c>
      <c r="AH94" s="1731">
        <f t="shared" si="42"/>
        <v>0.5</v>
      </c>
      <c r="AI94" s="1731">
        <f t="shared" si="43"/>
        <v>0.27777777777777779</v>
      </c>
      <c r="AJ94" s="1731">
        <f t="shared" si="44"/>
        <v>0.5</v>
      </c>
    </row>
    <row r="95" spans="1:36" x14ac:dyDescent="0.3">
      <c r="A95" s="267" t="s">
        <v>227</v>
      </c>
      <c r="B95" s="205" t="s">
        <v>228</v>
      </c>
      <c r="C95" s="229" t="s">
        <v>255</v>
      </c>
      <c r="D95" s="448">
        <v>54</v>
      </c>
      <c r="E95" s="449">
        <v>24</v>
      </c>
      <c r="F95" s="449"/>
      <c r="G95" s="149">
        <f t="shared" si="30"/>
        <v>78</v>
      </c>
      <c r="H95" s="448">
        <v>6</v>
      </c>
      <c r="I95" s="449">
        <v>2</v>
      </c>
      <c r="J95" s="449"/>
      <c r="K95" s="149">
        <f t="shared" si="31"/>
        <v>8</v>
      </c>
      <c r="L95" s="448"/>
      <c r="M95" s="449"/>
      <c r="N95" s="449"/>
      <c r="O95" s="149">
        <f t="shared" si="32"/>
        <v>0</v>
      </c>
      <c r="P95" s="450">
        <f t="shared" si="33"/>
        <v>86</v>
      </c>
      <c r="Q95" s="564">
        <f t="shared" si="38"/>
        <v>60</v>
      </c>
      <c r="R95" s="564">
        <f t="shared" si="39"/>
        <v>26</v>
      </c>
      <c r="S95" s="564">
        <f t="shared" si="40"/>
        <v>0</v>
      </c>
      <c r="T95" s="450">
        <f t="shared" si="41"/>
        <v>86</v>
      </c>
      <c r="U95" s="451">
        <f t="shared" si="34"/>
        <v>0.1</v>
      </c>
      <c r="V95" s="452">
        <f t="shared" si="35"/>
        <v>7.6923076923076927E-2</v>
      </c>
      <c r="W95" s="453" t="str">
        <f t="shared" si="36"/>
        <v>NA</v>
      </c>
      <c r="X95" s="454">
        <f t="shared" si="37"/>
        <v>9.3023255813953487E-2</v>
      </c>
      <c r="Y95" s="511">
        <v>17</v>
      </c>
      <c r="Z95" s="511">
        <v>37</v>
      </c>
      <c r="AA95" s="511">
        <v>24</v>
      </c>
      <c r="AB95" s="511">
        <v>2</v>
      </c>
      <c r="AC95" s="511">
        <v>3</v>
      </c>
      <c r="AD95" s="511">
        <v>3</v>
      </c>
      <c r="AE95" s="511">
        <f t="shared" si="45"/>
        <v>19</v>
      </c>
      <c r="AF95" s="511">
        <f t="shared" si="46"/>
        <v>40</v>
      </c>
      <c r="AG95" s="511">
        <f t="shared" si="47"/>
        <v>27</v>
      </c>
      <c r="AH95" s="1731">
        <f t="shared" si="42"/>
        <v>0.10526315789473684</v>
      </c>
      <c r="AI95" s="1731">
        <f t="shared" si="43"/>
        <v>7.4999999999999997E-2</v>
      </c>
      <c r="AJ95" s="1731">
        <f t="shared" si="44"/>
        <v>0.1111111111111111</v>
      </c>
    </row>
    <row r="96" spans="1:36" x14ac:dyDescent="0.3">
      <c r="A96" s="267" t="s">
        <v>231</v>
      </c>
      <c r="B96" s="205" t="s">
        <v>232</v>
      </c>
      <c r="C96" s="229" t="s">
        <v>254</v>
      </c>
      <c r="D96" s="448">
        <v>30</v>
      </c>
      <c r="E96" s="449">
        <v>9</v>
      </c>
      <c r="F96" s="449"/>
      <c r="G96" s="149">
        <f t="shared" si="30"/>
        <v>39</v>
      </c>
      <c r="H96" s="448">
        <v>8</v>
      </c>
      <c r="I96" s="449">
        <v>4</v>
      </c>
      <c r="J96" s="449"/>
      <c r="K96" s="149">
        <f t="shared" si="31"/>
        <v>12</v>
      </c>
      <c r="L96" s="448"/>
      <c r="M96" s="449"/>
      <c r="N96" s="449"/>
      <c r="O96" s="149">
        <f t="shared" si="32"/>
        <v>0</v>
      </c>
      <c r="P96" s="450">
        <f t="shared" si="33"/>
        <v>51</v>
      </c>
      <c r="Q96" s="564">
        <f t="shared" si="38"/>
        <v>38</v>
      </c>
      <c r="R96" s="564">
        <f t="shared" si="39"/>
        <v>13</v>
      </c>
      <c r="S96" s="564">
        <f t="shared" si="40"/>
        <v>0</v>
      </c>
      <c r="T96" s="450">
        <f t="shared" si="41"/>
        <v>51</v>
      </c>
      <c r="U96" s="451">
        <f t="shared" si="34"/>
        <v>0.21052631578947367</v>
      </c>
      <c r="V96" s="452">
        <f t="shared" si="35"/>
        <v>0.30769230769230771</v>
      </c>
      <c r="W96" s="453" t="str">
        <f t="shared" si="36"/>
        <v>NA</v>
      </c>
      <c r="X96" s="454">
        <f t="shared" si="37"/>
        <v>0.23529411764705882</v>
      </c>
      <c r="Y96" s="511">
        <v>7</v>
      </c>
      <c r="Z96" s="511">
        <v>21</v>
      </c>
      <c r="AA96" s="511">
        <v>11</v>
      </c>
      <c r="AB96" s="511">
        <v>1</v>
      </c>
      <c r="AC96" s="511">
        <v>7</v>
      </c>
      <c r="AD96" s="511">
        <v>4</v>
      </c>
      <c r="AE96" s="511">
        <f t="shared" si="45"/>
        <v>8</v>
      </c>
      <c r="AF96" s="511">
        <f t="shared" si="46"/>
        <v>28</v>
      </c>
      <c r="AG96" s="511">
        <f t="shared" si="47"/>
        <v>15</v>
      </c>
      <c r="AH96" s="1731">
        <f t="shared" si="42"/>
        <v>0.125</v>
      </c>
      <c r="AI96" s="1731">
        <f t="shared" si="43"/>
        <v>0.25</v>
      </c>
      <c r="AJ96" s="1731">
        <f t="shared" si="44"/>
        <v>0.26666666666666666</v>
      </c>
    </row>
    <row r="97" spans="1:36" x14ac:dyDescent="0.3">
      <c r="A97" s="267" t="s">
        <v>233</v>
      </c>
      <c r="B97" s="205" t="s">
        <v>234</v>
      </c>
      <c r="C97" s="229" t="s">
        <v>255</v>
      </c>
      <c r="D97" s="448">
        <v>65</v>
      </c>
      <c r="E97" s="449">
        <v>14</v>
      </c>
      <c r="F97" s="449">
        <v>1</v>
      </c>
      <c r="G97" s="149">
        <f t="shared" si="30"/>
        <v>80</v>
      </c>
      <c r="H97" s="448">
        <v>8</v>
      </c>
      <c r="I97" s="449">
        <v>1</v>
      </c>
      <c r="J97" s="449">
        <v>1</v>
      </c>
      <c r="K97" s="149">
        <f t="shared" si="31"/>
        <v>10</v>
      </c>
      <c r="L97" s="448"/>
      <c r="M97" s="449">
        <v>1</v>
      </c>
      <c r="N97" s="449"/>
      <c r="O97" s="149">
        <f t="shared" si="32"/>
        <v>1</v>
      </c>
      <c r="P97" s="450">
        <f t="shared" si="33"/>
        <v>91</v>
      </c>
      <c r="Q97" s="564">
        <f t="shared" si="38"/>
        <v>73</v>
      </c>
      <c r="R97" s="564">
        <f t="shared" si="39"/>
        <v>15</v>
      </c>
      <c r="S97" s="564">
        <f t="shared" si="40"/>
        <v>2</v>
      </c>
      <c r="T97" s="450">
        <f t="shared" si="41"/>
        <v>90</v>
      </c>
      <c r="U97" s="451">
        <f t="shared" si="34"/>
        <v>0.1095890410958904</v>
      </c>
      <c r="V97" s="452">
        <f t="shared" si="35"/>
        <v>6.6666666666666666E-2</v>
      </c>
      <c r="W97" s="453">
        <f t="shared" si="36"/>
        <v>0.5</v>
      </c>
      <c r="X97" s="454">
        <f t="shared" si="37"/>
        <v>0.1111111111111111</v>
      </c>
      <c r="Y97" s="511">
        <v>10</v>
      </c>
      <c r="Z97" s="511">
        <v>50</v>
      </c>
      <c r="AA97" s="511">
        <v>20</v>
      </c>
      <c r="AB97" s="511"/>
      <c r="AC97" s="511">
        <v>7</v>
      </c>
      <c r="AD97" s="511">
        <v>3</v>
      </c>
      <c r="AE97" s="511">
        <f t="shared" si="45"/>
        <v>10</v>
      </c>
      <c r="AF97" s="511">
        <f t="shared" si="46"/>
        <v>57</v>
      </c>
      <c r="AG97" s="511">
        <f t="shared" si="47"/>
        <v>23</v>
      </c>
      <c r="AH97" s="1731">
        <f t="shared" si="42"/>
        <v>0</v>
      </c>
      <c r="AI97" s="1731">
        <f t="shared" si="43"/>
        <v>0.12280701754385964</v>
      </c>
      <c r="AJ97" s="1731">
        <f t="shared" si="44"/>
        <v>0.13043478260869565</v>
      </c>
    </row>
    <row r="98" spans="1:36" x14ac:dyDescent="0.3">
      <c r="A98" s="267" t="s">
        <v>235</v>
      </c>
      <c r="B98" s="205" t="s">
        <v>236</v>
      </c>
      <c r="C98" s="229" t="s">
        <v>253</v>
      </c>
      <c r="D98" s="448">
        <v>20</v>
      </c>
      <c r="E98" s="449">
        <v>7</v>
      </c>
      <c r="F98" s="449"/>
      <c r="G98" s="149">
        <f t="shared" si="30"/>
        <v>27</v>
      </c>
      <c r="H98" s="448">
        <v>2</v>
      </c>
      <c r="I98" s="449">
        <v>1</v>
      </c>
      <c r="J98" s="449"/>
      <c r="K98" s="149">
        <f t="shared" si="31"/>
        <v>3</v>
      </c>
      <c r="L98" s="448"/>
      <c r="M98" s="449"/>
      <c r="N98" s="449"/>
      <c r="O98" s="149">
        <f t="shared" si="32"/>
        <v>0</v>
      </c>
      <c r="P98" s="450">
        <f t="shared" si="33"/>
        <v>30</v>
      </c>
      <c r="Q98" s="564">
        <f t="shared" si="38"/>
        <v>22</v>
      </c>
      <c r="R98" s="564">
        <f t="shared" si="39"/>
        <v>8</v>
      </c>
      <c r="S98" s="564">
        <f t="shared" si="40"/>
        <v>0</v>
      </c>
      <c r="T98" s="450">
        <f t="shared" si="41"/>
        <v>30</v>
      </c>
      <c r="U98" s="451">
        <f t="shared" si="34"/>
        <v>9.0909090909090912E-2</v>
      </c>
      <c r="V98" s="452">
        <f t="shared" si="35"/>
        <v>0.125</v>
      </c>
      <c r="W98" s="453" t="str">
        <f t="shared" si="36"/>
        <v>NA</v>
      </c>
      <c r="X98" s="454">
        <f t="shared" si="37"/>
        <v>0.1</v>
      </c>
      <c r="Y98" s="511">
        <v>5</v>
      </c>
      <c r="Z98" s="511">
        <v>15</v>
      </c>
      <c r="AA98" s="511">
        <v>7</v>
      </c>
      <c r="AB98" s="511">
        <v>1</v>
      </c>
      <c r="AC98" s="511">
        <v>1</v>
      </c>
      <c r="AD98" s="511">
        <v>1</v>
      </c>
      <c r="AE98" s="511">
        <f t="shared" si="45"/>
        <v>6</v>
      </c>
      <c r="AF98" s="511">
        <f t="shared" si="46"/>
        <v>16</v>
      </c>
      <c r="AG98" s="511">
        <f t="shared" si="47"/>
        <v>8</v>
      </c>
      <c r="AH98" s="1731">
        <f t="shared" si="42"/>
        <v>0.16666666666666666</v>
      </c>
      <c r="AI98" s="1731">
        <f t="shared" si="43"/>
        <v>6.25E-2</v>
      </c>
      <c r="AJ98" s="1731">
        <f t="shared" si="44"/>
        <v>0.125</v>
      </c>
    </row>
    <row r="99" spans="1:36" x14ac:dyDescent="0.3">
      <c r="A99" s="267" t="s">
        <v>241</v>
      </c>
      <c r="B99" s="205" t="s">
        <v>242</v>
      </c>
      <c r="C99" s="229" t="s">
        <v>255</v>
      </c>
      <c r="D99" s="448">
        <v>62</v>
      </c>
      <c r="E99" s="449">
        <v>16</v>
      </c>
      <c r="F99" s="449"/>
      <c r="G99" s="149">
        <f t="shared" si="30"/>
        <v>78</v>
      </c>
      <c r="H99" s="448">
        <v>15</v>
      </c>
      <c r="I99" s="449">
        <v>7</v>
      </c>
      <c r="J99" s="449">
        <v>1</v>
      </c>
      <c r="K99" s="149">
        <f t="shared" si="31"/>
        <v>23</v>
      </c>
      <c r="L99" s="448"/>
      <c r="M99" s="449"/>
      <c r="N99" s="449"/>
      <c r="O99" s="149">
        <f t="shared" si="32"/>
        <v>0</v>
      </c>
      <c r="P99" s="450">
        <f t="shared" si="33"/>
        <v>101</v>
      </c>
      <c r="Q99" s="564">
        <f t="shared" si="38"/>
        <v>77</v>
      </c>
      <c r="R99" s="564">
        <f t="shared" si="39"/>
        <v>23</v>
      </c>
      <c r="S99" s="564">
        <f t="shared" si="40"/>
        <v>1</v>
      </c>
      <c r="T99" s="450">
        <f t="shared" si="41"/>
        <v>101</v>
      </c>
      <c r="U99" s="451">
        <f t="shared" si="34"/>
        <v>0.19480519480519481</v>
      </c>
      <c r="V99" s="452">
        <f t="shared" si="35"/>
        <v>0.30434782608695654</v>
      </c>
      <c r="W99" s="453">
        <f t="shared" si="36"/>
        <v>1</v>
      </c>
      <c r="X99" s="454">
        <f t="shared" si="37"/>
        <v>0.22772277227722773</v>
      </c>
      <c r="Y99" s="511">
        <v>11</v>
      </c>
      <c r="Z99" s="511">
        <v>41</v>
      </c>
      <c r="AA99" s="511">
        <v>26</v>
      </c>
      <c r="AB99" s="511">
        <v>6</v>
      </c>
      <c r="AC99" s="511">
        <v>12</v>
      </c>
      <c r="AD99" s="511">
        <v>5</v>
      </c>
      <c r="AE99" s="511">
        <f t="shared" si="45"/>
        <v>17</v>
      </c>
      <c r="AF99" s="511">
        <f t="shared" si="46"/>
        <v>53</v>
      </c>
      <c r="AG99" s="511">
        <f t="shared" si="47"/>
        <v>31</v>
      </c>
      <c r="AH99" s="1731">
        <f t="shared" si="42"/>
        <v>0.35294117647058826</v>
      </c>
      <c r="AI99" s="1731">
        <f t="shared" si="43"/>
        <v>0.22641509433962265</v>
      </c>
      <c r="AJ99" s="1731">
        <f t="shared" si="44"/>
        <v>0.16129032258064516</v>
      </c>
    </row>
    <row r="100" spans="1:36" x14ac:dyDescent="0.3">
      <c r="A100" s="267" t="s">
        <v>243</v>
      </c>
      <c r="B100" s="205" t="s">
        <v>244</v>
      </c>
      <c r="C100" s="229" t="s">
        <v>255</v>
      </c>
      <c r="D100" s="448">
        <v>37</v>
      </c>
      <c r="E100" s="449">
        <v>12</v>
      </c>
      <c r="F100" s="449">
        <v>1</v>
      </c>
      <c r="G100" s="149">
        <f t="shared" si="30"/>
        <v>50</v>
      </c>
      <c r="H100" s="448">
        <v>1</v>
      </c>
      <c r="I100" s="449">
        <v>4</v>
      </c>
      <c r="J100" s="449"/>
      <c r="K100" s="149">
        <f t="shared" si="31"/>
        <v>5</v>
      </c>
      <c r="L100" s="448">
        <v>1</v>
      </c>
      <c r="M100" s="449"/>
      <c r="N100" s="449"/>
      <c r="O100" s="149">
        <f t="shared" si="32"/>
        <v>1</v>
      </c>
      <c r="P100" s="450">
        <f t="shared" si="33"/>
        <v>56</v>
      </c>
      <c r="Q100" s="564">
        <f t="shared" si="38"/>
        <v>38</v>
      </c>
      <c r="R100" s="564">
        <f t="shared" si="39"/>
        <v>16</v>
      </c>
      <c r="S100" s="564">
        <f t="shared" si="40"/>
        <v>1</v>
      </c>
      <c r="T100" s="450">
        <f t="shared" si="41"/>
        <v>55</v>
      </c>
      <c r="U100" s="451">
        <f t="shared" si="34"/>
        <v>2.6315789473684209E-2</v>
      </c>
      <c r="V100" s="452">
        <f t="shared" si="35"/>
        <v>0.25</v>
      </c>
      <c r="W100" s="453">
        <f t="shared" si="36"/>
        <v>0</v>
      </c>
      <c r="X100" s="454">
        <f t="shared" si="37"/>
        <v>9.0909090909090912E-2</v>
      </c>
      <c r="Y100" s="511">
        <v>9</v>
      </c>
      <c r="Z100" s="511">
        <v>26</v>
      </c>
      <c r="AA100" s="511">
        <v>15</v>
      </c>
      <c r="AB100" s="511">
        <v>3</v>
      </c>
      <c r="AC100" s="511">
        <v>2</v>
      </c>
      <c r="AD100" s="511"/>
      <c r="AE100" s="511">
        <f t="shared" si="45"/>
        <v>12</v>
      </c>
      <c r="AF100" s="511">
        <f t="shared" si="46"/>
        <v>28</v>
      </c>
      <c r="AG100" s="511">
        <f t="shared" si="47"/>
        <v>15</v>
      </c>
      <c r="AH100" s="1731">
        <f t="shared" si="42"/>
        <v>0.25</v>
      </c>
      <c r="AI100" s="1731">
        <f t="shared" si="43"/>
        <v>7.1428571428571425E-2</v>
      </c>
      <c r="AJ100" s="1731">
        <f t="shared" si="44"/>
        <v>0</v>
      </c>
    </row>
    <row r="101" spans="1:36" x14ac:dyDescent="0.3">
      <c r="A101" s="267" t="s">
        <v>245</v>
      </c>
      <c r="B101" s="205" t="s">
        <v>246</v>
      </c>
      <c r="C101" s="229" t="s">
        <v>251</v>
      </c>
      <c r="D101" s="448">
        <v>31</v>
      </c>
      <c r="E101" s="449">
        <v>28</v>
      </c>
      <c r="F101" s="449"/>
      <c r="G101" s="149">
        <f t="shared" si="30"/>
        <v>59</v>
      </c>
      <c r="H101" s="448">
        <v>22</v>
      </c>
      <c r="I101" s="449">
        <v>7</v>
      </c>
      <c r="J101" s="449"/>
      <c r="K101" s="149">
        <f t="shared" si="31"/>
        <v>29</v>
      </c>
      <c r="L101" s="448"/>
      <c r="M101" s="449"/>
      <c r="N101" s="449"/>
      <c r="O101" s="149">
        <f t="shared" si="32"/>
        <v>0</v>
      </c>
      <c r="P101" s="450">
        <f t="shared" si="33"/>
        <v>88</v>
      </c>
      <c r="Q101" s="564">
        <f t="shared" si="38"/>
        <v>53</v>
      </c>
      <c r="R101" s="564">
        <f t="shared" si="39"/>
        <v>35</v>
      </c>
      <c r="S101" s="564">
        <f t="shared" si="40"/>
        <v>0</v>
      </c>
      <c r="T101" s="450">
        <f t="shared" si="41"/>
        <v>88</v>
      </c>
      <c r="U101" s="451">
        <f t="shared" si="34"/>
        <v>0.41509433962264153</v>
      </c>
      <c r="V101" s="452">
        <f t="shared" si="35"/>
        <v>0.2</v>
      </c>
      <c r="W101" s="453" t="str">
        <f t="shared" si="36"/>
        <v>NA</v>
      </c>
      <c r="X101" s="454">
        <f t="shared" si="37"/>
        <v>0.32954545454545453</v>
      </c>
      <c r="Y101" s="511">
        <v>19</v>
      </c>
      <c r="Z101" s="511">
        <v>23</v>
      </c>
      <c r="AA101" s="511">
        <v>17</v>
      </c>
      <c r="AB101" s="511">
        <v>5</v>
      </c>
      <c r="AC101" s="511">
        <v>8</v>
      </c>
      <c r="AD101" s="511">
        <v>16</v>
      </c>
      <c r="AE101" s="511">
        <f t="shared" si="45"/>
        <v>24</v>
      </c>
      <c r="AF101" s="511">
        <f t="shared" si="46"/>
        <v>31</v>
      </c>
      <c r="AG101" s="511">
        <f t="shared" si="47"/>
        <v>33</v>
      </c>
      <c r="AH101" s="1731">
        <f t="shared" si="42"/>
        <v>0.20833333333333334</v>
      </c>
      <c r="AI101" s="1731">
        <f t="shared" si="43"/>
        <v>0.25806451612903225</v>
      </c>
      <c r="AJ101" s="1731">
        <f t="shared" si="44"/>
        <v>0.48484848484848486</v>
      </c>
    </row>
    <row r="102" spans="1:36" x14ac:dyDescent="0.3">
      <c r="A102" s="267" t="s">
        <v>13</v>
      </c>
      <c r="B102" s="205" t="s">
        <v>14</v>
      </c>
      <c r="C102" s="229" t="s">
        <v>254</v>
      </c>
      <c r="D102" s="448">
        <v>105</v>
      </c>
      <c r="E102" s="449">
        <v>92</v>
      </c>
      <c r="F102" s="449">
        <v>15</v>
      </c>
      <c r="G102" s="149">
        <f t="shared" ref="G102:G126" si="48">SUM(D102:F102)</f>
        <v>212</v>
      </c>
      <c r="H102" s="448">
        <v>17</v>
      </c>
      <c r="I102" s="449">
        <v>8</v>
      </c>
      <c r="J102" s="449">
        <v>10</v>
      </c>
      <c r="K102" s="149">
        <f t="shared" ref="K102:K126" si="49">SUM(H102:J102)</f>
        <v>35</v>
      </c>
      <c r="L102" s="448"/>
      <c r="M102" s="449">
        <v>2</v>
      </c>
      <c r="N102" s="449"/>
      <c r="O102" s="149">
        <f t="shared" ref="O102:O126" si="50">SUM(L102:N102)</f>
        <v>2</v>
      </c>
      <c r="P102" s="450">
        <f t="shared" ref="P102:P126" si="51">G102+K102+O102</f>
        <v>249</v>
      </c>
      <c r="Q102" s="564">
        <f t="shared" si="38"/>
        <v>122</v>
      </c>
      <c r="R102" s="564">
        <f t="shared" si="39"/>
        <v>100</v>
      </c>
      <c r="S102" s="564">
        <f t="shared" si="40"/>
        <v>25</v>
      </c>
      <c r="T102" s="450">
        <f t="shared" si="41"/>
        <v>247</v>
      </c>
      <c r="U102" s="451">
        <f t="shared" ref="U102:U126" si="52">IF((D102+H102)=0,"NA",(H102/(D102+H102)))</f>
        <v>0.13934426229508196</v>
      </c>
      <c r="V102" s="452">
        <f t="shared" ref="V102:V126" si="53">IF((E102+I102)=0,"NA",(I102/(E102+I102)))</f>
        <v>0.08</v>
      </c>
      <c r="W102" s="453">
        <f t="shared" ref="W102:W126" si="54">IF((F102+J102)=0,"NA",(J102/(F102+J102)))</f>
        <v>0.4</v>
      </c>
      <c r="X102" s="454">
        <f t="shared" ref="X102:X126" si="55">IF((G102+K102)=0,"NA",(K102/(G102+K102)))</f>
        <v>0.1417004048582996</v>
      </c>
      <c r="Y102" s="511">
        <v>67</v>
      </c>
      <c r="Z102" s="511">
        <v>75</v>
      </c>
      <c r="AA102" s="511">
        <v>70</v>
      </c>
      <c r="AB102" s="511">
        <v>7</v>
      </c>
      <c r="AC102" s="511">
        <v>9</v>
      </c>
      <c r="AD102" s="511">
        <v>20</v>
      </c>
      <c r="AE102" s="511">
        <f t="shared" si="45"/>
        <v>74</v>
      </c>
      <c r="AF102" s="511">
        <f t="shared" si="46"/>
        <v>84</v>
      </c>
      <c r="AG102" s="511">
        <f t="shared" si="47"/>
        <v>90</v>
      </c>
      <c r="AH102" s="1731">
        <f t="shared" si="42"/>
        <v>9.45945945945946E-2</v>
      </c>
      <c r="AI102" s="1731">
        <f t="shared" si="43"/>
        <v>0.10714285714285714</v>
      </c>
      <c r="AJ102" s="1731">
        <f t="shared" si="44"/>
        <v>0.22222222222222221</v>
      </c>
    </row>
    <row r="103" spans="1:36" x14ac:dyDescent="0.3">
      <c r="A103" s="267" t="s">
        <v>33</v>
      </c>
      <c r="B103" s="205" t="s">
        <v>34</v>
      </c>
      <c r="C103" s="229" t="s">
        <v>255</v>
      </c>
      <c r="D103" s="448">
        <v>29</v>
      </c>
      <c r="E103" s="449">
        <v>11</v>
      </c>
      <c r="F103" s="449"/>
      <c r="G103" s="149">
        <f t="shared" si="48"/>
        <v>40</v>
      </c>
      <c r="H103" s="448">
        <v>11</v>
      </c>
      <c r="I103" s="449">
        <v>1</v>
      </c>
      <c r="J103" s="449"/>
      <c r="K103" s="149">
        <f t="shared" si="49"/>
        <v>12</v>
      </c>
      <c r="L103" s="448">
        <v>1</v>
      </c>
      <c r="M103" s="449"/>
      <c r="N103" s="449"/>
      <c r="O103" s="149">
        <f t="shared" si="50"/>
        <v>1</v>
      </c>
      <c r="P103" s="450">
        <f t="shared" si="51"/>
        <v>53</v>
      </c>
      <c r="Q103" s="564">
        <f t="shared" si="38"/>
        <v>40</v>
      </c>
      <c r="R103" s="564">
        <f t="shared" si="39"/>
        <v>12</v>
      </c>
      <c r="S103" s="564">
        <f t="shared" si="40"/>
        <v>0</v>
      </c>
      <c r="T103" s="450">
        <f t="shared" ref="T103:T126" si="56">G103+K103</f>
        <v>52</v>
      </c>
      <c r="U103" s="451">
        <f t="shared" si="52"/>
        <v>0.27500000000000002</v>
      </c>
      <c r="V103" s="452">
        <f t="shared" si="53"/>
        <v>8.3333333333333329E-2</v>
      </c>
      <c r="W103" s="453" t="str">
        <f t="shared" si="54"/>
        <v>NA</v>
      </c>
      <c r="X103" s="454">
        <f t="shared" si="55"/>
        <v>0.23076923076923078</v>
      </c>
      <c r="Y103" s="511">
        <v>5</v>
      </c>
      <c r="Z103" s="511">
        <v>22</v>
      </c>
      <c r="AA103" s="511">
        <v>13</v>
      </c>
      <c r="AB103" s="511"/>
      <c r="AC103" s="511">
        <v>8</v>
      </c>
      <c r="AD103" s="511">
        <v>4</v>
      </c>
      <c r="AE103" s="511">
        <f t="shared" si="45"/>
        <v>5</v>
      </c>
      <c r="AF103" s="511">
        <f t="shared" si="46"/>
        <v>30</v>
      </c>
      <c r="AG103" s="511">
        <f t="shared" si="47"/>
        <v>17</v>
      </c>
      <c r="AH103" s="1731">
        <f t="shared" si="42"/>
        <v>0</v>
      </c>
      <c r="AI103" s="1731">
        <f t="shared" si="43"/>
        <v>0.26666666666666666</v>
      </c>
      <c r="AJ103" s="1731">
        <f t="shared" si="44"/>
        <v>0.23529411764705882</v>
      </c>
    </row>
    <row r="104" spans="1:36" x14ac:dyDescent="0.3">
      <c r="A104" s="267" t="s">
        <v>51</v>
      </c>
      <c r="B104" s="205" t="s">
        <v>52</v>
      </c>
      <c r="C104" s="229" t="s">
        <v>252</v>
      </c>
      <c r="D104" s="448">
        <v>71</v>
      </c>
      <c r="E104" s="449">
        <v>32</v>
      </c>
      <c r="F104" s="449"/>
      <c r="G104" s="149">
        <f t="shared" si="48"/>
        <v>103</v>
      </c>
      <c r="H104" s="448">
        <v>6</v>
      </c>
      <c r="I104" s="449">
        <v>2</v>
      </c>
      <c r="J104" s="449"/>
      <c r="K104" s="149">
        <f t="shared" si="49"/>
        <v>8</v>
      </c>
      <c r="L104" s="448"/>
      <c r="M104" s="449"/>
      <c r="N104" s="449"/>
      <c r="O104" s="149">
        <f t="shared" si="50"/>
        <v>0</v>
      </c>
      <c r="P104" s="450">
        <f t="shared" si="51"/>
        <v>111</v>
      </c>
      <c r="Q104" s="564">
        <f t="shared" si="38"/>
        <v>77</v>
      </c>
      <c r="R104" s="564">
        <f t="shared" si="39"/>
        <v>34</v>
      </c>
      <c r="S104" s="564">
        <f t="shared" si="40"/>
        <v>0</v>
      </c>
      <c r="T104" s="450">
        <f t="shared" si="56"/>
        <v>111</v>
      </c>
      <c r="U104" s="451">
        <f t="shared" si="52"/>
        <v>7.792207792207792E-2</v>
      </c>
      <c r="V104" s="452">
        <f t="shared" si="53"/>
        <v>5.8823529411764705E-2</v>
      </c>
      <c r="W104" s="453" t="str">
        <f t="shared" si="54"/>
        <v>NA</v>
      </c>
      <c r="X104" s="454">
        <f t="shared" si="55"/>
        <v>7.2072072072072071E-2</v>
      </c>
      <c r="Y104" s="511">
        <v>10</v>
      </c>
      <c r="Z104" s="511">
        <v>54</v>
      </c>
      <c r="AA104" s="511">
        <v>41</v>
      </c>
      <c r="AB104" s="511"/>
      <c r="AC104" s="511">
        <v>8</v>
      </c>
      <c r="AD104" s="511">
        <v>3</v>
      </c>
      <c r="AE104" s="511">
        <f t="shared" si="45"/>
        <v>10</v>
      </c>
      <c r="AF104" s="511">
        <f t="shared" si="46"/>
        <v>62</v>
      </c>
      <c r="AG104" s="511">
        <f t="shared" si="47"/>
        <v>44</v>
      </c>
      <c r="AH104" s="1731">
        <f t="shared" si="42"/>
        <v>0</v>
      </c>
      <c r="AI104" s="1731">
        <f t="shared" si="43"/>
        <v>0.12903225806451613</v>
      </c>
      <c r="AJ104" s="1731">
        <f t="shared" si="44"/>
        <v>6.8181818181818177E-2</v>
      </c>
    </row>
    <row r="105" spans="1:36" x14ac:dyDescent="0.3">
      <c r="A105" s="267" t="s">
        <v>53</v>
      </c>
      <c r="B105" s="205" t="s">
        <v>54</v>
      </c>
      <c r="C105" s="229" t="s">
        <v>251</v>
      </c>
      <c r="D105" s="448">
        <v>164</v>
      </c>
      <c r="E105" s="449">
        <v>81</v>
      </c>
      <c r="F105" s="449"/>
      <c r="G105" s="149">
        <f t="shared" si="48"/>
        <v>245</v>
      </c>
      <c r="H105" s="448">
        <v>18</v>
      </c>
      <c r="I105" s="449">
        <v>8</v>
      </c>
      <c r="J105" s="449">
        <v>1</v>
      </c>
      <c r="K105" s="149">
        <f t="shared" si="49"/>
        <v>27</v>
      </c>
      <c r="L105" s="448"/>
      <c r="M105" s="449"/>
      <c r="N105" s="449"/>
      <c r="O105" s="149">
        <f t="shared" si="50"/>
        <v>0</v>
      </c>
      <c r="P105" s="450">
        <f t="shared" si="51"/>
        <v>272</v>
      </c>
      <c r="Q105" s="564">
        <f t="shared" si="38"/>
        <v>182</v>
      </c>
      <c r="R105" s="564">
        <f t="shared" si="39"/>
        <v>89</v>
      </c>
      <c r="S105" s="564">
        <f t="shared" si="40"/>
        <v>1</v>
      </c>
      <c r="T105" s="450">
        <f t="shared" si="56"/>
        <v>272</v>
      </c>
      <c r="U105" s="451">
        <f t="shared" si="52"/>
        <v>9.8901098901098897E-2</v>
      </c>
      <c r="V105" s="452">
        <f t="shared" si="53"/>
        <v>8.98876404494382E-2</v>
      </c>
      <c r="W105" s="453">
        <f t="shared" si="54"/>
        <v>1</v>
      </c>
      <c r="X105" s="454">
        <f t="shared" si="55"/>
        <v>9.9264705882352935E-2</v>
      </c>
      <c r="Y105" s="511">
        <v>45</v>
      </c>
      <c r="Z105" s="511">
        <v>136</v>
      </c>
      <c r="AA105" s="511">
        <v>64</v>
      </c>
      <c r="AB105" s="511">
        <v>7</v>
      </c>
      <c r="AC105" s="511">
        <v>14</v>
      </c>
      <c r="AD105" s="511">
        <v>6</v>
      </c>
      <c r="AE105" s="511">
        <f t="shared" si="45"/>
        <v>52</v>
      </c>
      <c r="AF105" s="511">
        <f t="shared" si="46"/>
        <v>150</v>
      </c>
      <c r="AG105" s="511">
        <f t="shared" si="47"/>
        <v>70</v>
      </c>
      <c r="AH105" s="1731">
        <f t="shared" si="42"/>
        <v>0.13461538461538461</v>
      </c>
      <c r="AI105" s="1731">
        <f t="shared" si="43"/>
        <v>9.3333333333333338E-2</v>
      </c>
      <c r="AJ105" s="1731">
        <f t="shared" si="44"/>
        <v>8.5714285714285715E-2</v>
      </c>
    </row>
    <row r="106" spans="1:36" x14ac:dyDescent="0.3">
      <c r="A106" s="267" t="s">
        <v>65</v>
      </c>
      <c r="B106" s="205" t="s">
        <v>66</v>
      </c>
      <c r="C106" s="229" t="s">
        <v>252</v>
      </c>
      <c r="D106" s="448">
        <v>65</v>
      </c>
      <c r="E106" s="449">
        <v>28</v>
      </c>
      <c r="F106" s="449"/>
      <c r="G106" s="149">
        <f t="shared" si="48"/>
        <v>93</v>
      </c>
      <c r="H106" s="448">
        <v>5</v>
      </c>
      <c r="I106" s="449">
        <v>2</v>
      </c>
      <c r="J106" s="449"/>
      <c r="K106" s="149">
        <f t="shared" si="49"/>
        <v>7</v>
      </c>
      <c r="L106" s="448">
        <v>1</v>
      </c>
      <c r="M106" s="449"/>
      <c r="N106" s="449"/>
      <c r="O106" s="149">
        <f t="shared" si="50"/>
        <v>1</v>
      </c>
      <c r="P106" s="450">
        <f t="shared" si="51"/>
        <v>101</v>
      </c>
      <c r="Q106" s="564">
        <f t="shared" si="38"/>
        <v>70</v>
      </c>
      <c r="R106" s="564">
        <f t="shared" si="39"/>
        <v>30</v>
      </c>
      <c r="S106" s="564">
        <f t="shared" si="40"/>
        <v>0</v>
      </c>
      <c r="T106" s="450">
        <f t="shared" si="56"/>
        <v>100</v>
      </c>
      <c r="U106" s="451">
        <f t="shared" si="52"/>
        <v>7.1428571428571425E-2</v>
      </c>
      <c r="V106" s="452">
        <f t="shared" si="53"/>
        <v>6.6666666666666666E-2</v>
      </c>
      <c r="W106" s="453" t="str">
        <f t="shared" si="54"/>
        <v>NA</v>
      </c>
      <c r="X106" s="454">
        <f t="shared" si="55"/>
        <v>7.0000000000000007E-2</v>
      </c>
      <c r="Y106" s="511">
        <v>19</v>
      </c>
      <c r="Z106" s="511">
        <v>51</v>
      </c>
      <c r="AA106" s="511">
        <v>23</v>
      </c>
      <c r="AB106" s="511">
        <v>1</v>
      </c>
      <c r="AC106" s="511">
        <v>4</v>
      </c>
      <c r="AD106" s="511">
        <v>2</v>
      </c>
      <c r="AE106" s="511">
        <f t="shared" si="45"/>
        <v>20</v>
      </c>
      <c r="AF106" s="511">
        <f t="shared" si="46"/>
        <v>55</v>
      </c>
      <c r="AG106" s="511">
        <f t="shared" si="47"/>
        <v>25</v>
      </c>
      <c r="AH106" s="1731">
        <f t="shared" si="42"/>
        <v>0.05</v>
      </c>
      <c r="AI106" s="1731">
        <f t="shared" si="43"/>
        <v>7.2727272727272724E-2</v>
      </c>
      <c r="AJ106" s="1731">
        <f t="shared" si="44"/>
        <v>0.08</v>
      </c>
    </row>
    <row r="107" spans="1:36" x14ac:dyDescent="0.3">
      <c r="A107" s="267" t="s">
        <v>81</v>
      </c>
      <c r="B107" s="205" t="s">
        <v>284</v>
      </c>
      <c r="C107" s="229" t="s">
        <v>251</v>
      </c>
      <c r="D107" s="448">
        <v>13</v>
      </c>
      <c r="E107" s="449">
        <v>5</v>
      </c>
      <c r="F107" s="449"/>
      <c r="G107" s="149">
        <f t="shared" si="48"/>
        <v>18</v>
      </c>
      <c r="H107" s="448">
        <v>3</v>
      </c>
      <c r="I107" s="449">
        <v>2</v>
      </c>
      <c r="J107" s="449"/>
      <c r="K107" s="149">
        <f t="shared" si="49"/>
        <v>5</v>
      </c>
      <c r="L107" s="448">
        <v>1</v>
      </c>
      <c r="M107" s="449"/>
      <c r="N107" s="449"/>
      <c r="O107" s="149">
        <f t="shared" si="50"/>
        <v>1</v>
      </c>
      <c r="P107" s="450">
        <f t="shared" si="51"/>
        <v>24</v>
      </c>
      <c r="Q107" s="564">
        <f t="shared" si="38"/>
        <v>16</v>
      </c>
      <c r="R107" s="564">
        <f t="shared" si="39"/>
        <v>7</v>
      </c>
      <c r="S107" s="564">
        <f t="shared" si="40"/>
        <v>0</v>
      </c>
      <c r="T107" s="450">
        <f t="shared" si="56"/>
        <v>23</v>
      </c>
      <c r="U107" s="451">
        <f t="shared" si="52"/>
        <v>0.1875</v>
      </c>
      <c r="V107" s="452">
        <f t="shared" si="53"/>
        <v>0.2857142857142857</v>
      </c>
      <c r="W107" s="453" t="str">
        <f t="shared" si="54"/>
        <v>NA</v>
      </c>
      <c r="X107" s="454">
        <f t="shared" si="55"/>
        <v>0.21739130434782608</v>
      </c>
      <c r="Y107" s="511">
        <v>4</v>
      </c>
      <c r="Z107" s="511">
        <v>9</v>
      </c>
      <c r="AA107" s="511">
        <v>5</v>
      </c>
      <c r="AB107" s="511"/>
      <c r="AC107" s="511">
        <v>3</v>
      </c>
      <c r="AD107" s="511">
        <v>2</v>
      </c>
      <c r="AE107" s="511">
        <f t="shared" si="45"/>
        <v>4</v>
      </c>
      <c r="AF107" s="511">
        <f t="shared" si="46"/>
        <v>12</v>
      </c>
      <c r="AG107" s="511">
        <f t="shared" si="47"/>
        <v>7</v>
      </c>
      <c r="AH107" s="1731">
        <f t="shared" si="42"/>
        <v>0</v>
      </c>
      <c r="AI107" s="1731">
        <f t="shared" si="43"/>
        <v>0.25</v>
      </c>
      <c r="AJ107" s="1731">
        <f t="shared" si="44"/>
        <v>0.2857142857142857</v>
      </c>
    </row>
    <row r="108" spans="1:36" x14ac:dyDescent="0.3">
      <c r="A108" s="267" t="s">
        <v>87</v>
      </c>
      <c r="B108" s="205" t="s">
        <v>88</v>
      </c>
      <c r="C108" s="229" t="s">
        <v>254</v>
      </c>
      <c r="D108" s="448">
        <v>28</v>
      </c>
      <c r="E108" s="449">
        <v>11</v>
      </c>
      <c r="F108" s="449"/>
      <c r="G108" s="149">
        <f t="shared" si="48"/>
        <v>39</v>
      </c>
      <c r="H108" s="448">
        <v>2</v>
      </c>
      <c r="I108" s="449">
        <v>2</v>
      </c>
      <c r="J108" s="449">
        <v>1</v>
      </c>
      <c r="K108" s="149">
        <f t="shared" si="49"/>
        <v>5</v>
      </c>
      <c r="L108" s="448"/>
      <c r="M108" s="449"/>
      <c r="N108" s="449"/>
      <c r="O108" s="149">
        <f t="shared" si="50"/>
        <v>0</v>
      </c>
      <c r="P108" s="450">
        <f t="shared" si="51"/>
        <v>44</v>
      </c>
      <c r="Q108" s="564">
        <f t="shared" si="38"/>
        <v>30</v>
      </c>
      <c r="R108" s="564">
        <f t="shared" si="39"/>
        <v>13</v>
      </c>
      <c r="S108" s="564">
        <f t="shared" si="40"/>
        <v>1</v>
      </c>
      <c r="T108" s="450">
        <f t="shared" si="56"/>
        <v>44</v>
      </c>
      <c r="U108" s="451">
        <f t="shared" si="52"/>
        <v>6.6666666666666666E-2</v>
      </c>
      <c r="V108" s="452">
        <f t="shared" si="53"/>
        <v>0.15384615384615385</v>
      </c>
      <c r="W108" s="453">
        <f t="shared" si="54"/>
        <v>1</v>
      </c>
      <c r="X108" s="454">
        <f t="shared" si="55"/>
        <v>0.11363636363636363</v>
      </c>
      <c r="Y108" s="511">
        <v>8</v>
      </c>
      <c r="Z108" s="511">
        <v>21</v>
      </c>
      <c r="AA108" s="511">
        <v>10</v>
      </c>
      <c r="AB108" s="511"/>
      <c r="AC108" s="511">
        <v>2</v>
      </c>
      <c r="AD108" s="511">
        <v>3</v>
      </c>
      <c r="AE108" s="511">
        <f t="shared" si="45"/>
        <v>8</v>
      </c>
      <c r="AF108" s="511">
        <f t="shared" si="46"/>
        <v>23</v>
      </c>
      <c r="AG108" s="511">
        <f t="shared" si="47"/>
        <v>13</v>
      </c>
      <c r="AH108" s="1731">
        <f t="shared" si="42"/>
        <v>0</v>
      </c>
      <c r="AI108" s="1731">
        <f t="shared" si="43"/>
        <v>8.6956521739130432E-2</v>
      </c>
      <c r="AJ108" s="1731">
        <f t="shared" si="44"/>
        <v>0.23076923076923078</v>
      </c>
    </row>
    <row r="109" spans="1:36" x14ac:dyDescent="0.3">
      <c r="A109" s="267" t="s">
        <v>89</v>
      </c>
      <c r="B109" s="205" t="s">
        <v>90</v>
      </c>
      <c r="C109" s="229" t="s">
        <v>255</v>
      </c>
      <c r="D109" s="448">
        <v>14</v>
      </c>
      <c r="E109" s="449">
        <v>8</v>
      </c>
      <c r="F109" s="449"/>
      <c r="G109" s="149">
        <f t="shared" si="48"/>
        <v>22</v>
      </c>
      <c r="H109" s="448">
        <v>2</v>
      </c>
      <c r="I109" s="449">
        <v>1</v>
      </c>
      <c r="J109" s="449"/>
      <c r="K109" s="149">
        <f t="shared" si="49"/>
        <v>3</v>
      </c>
      <c r="L109" s="448"/>
      <c r="M109" s="449"/>
      <c r="N109" s="449"/>
      <c r="O109" s="149">
        <f t="shared" si="50"/>
        <v>0</v>
      </c>
      <c r="P109" s="450">
        <f t="shared" si="51"/>
        <v>25</v>
      </c>
      <c r="Q109" s="564">
        <f t="shared" si="38"/>
        <v>16</v>
      </c>
      <c r="R109" s="564">
        <f t="shared" si="39"/>
        <v>9</v>
      </c>
      <c r="S109" s="564">
        <f t="shared" si="40"/>
        <v>0</v>
      </c>
      <c r="T109" s="450">
        <f t="shared" si="56"/>
        <v>25</v>
      </c>
      <c r="U109" s="451">
        <f t="shared" si="52"/>
        <v>0.125</v>
      </c>
      <c r="V109" s="452">
        <f t="shared" si="53"/>
        <v>0.1111111111111111</v>
      </c>
      <c r="W109" s="453" t="str">
        <f t="shared" si="54"/>
        <v>NA</v>
      </c>
      <c r="X109" s="454">
        <f t="shared" si="55"/>
        <v>0.12</v>
      </c>
      <c r="Y109" s="511">
        <v>5</v>
      </c>
      <c r="Z109" s="511">
        <v>9</v>
      </c>
      <c r="AA109" s="511">
        <v>8</v>
      </c>
      <c r="AB109" s="511"/>
      <c r="AC109" s="511">
        <v>2</v>
      </c>
      <c r="AD109" s="511">
        <v>1</v>
      </c>
      <c r="AE109" s="511">
        <f t="shared" si="45"/>
        <v>5</v>
      </c>
      <c r="AF109" s="511">
        <f t="shared" si="46"/>
        <v>11</v>
      </c>
      <c r="AG109" s="511">
        <f t="shared" si="47"/>
        <v>9</v>
      </c>
      <c r="AH109" s="1731">
        <f t="shared" si="42"/>
        <v>0</v>
      </c>
      <c r="AI109" s="1731">
        <f t="shared" si="43"/>
        <v>0.18181818181818182</v>
      </c>
      <c r="AJ109" s="1731">
        <f t="shared" si="44"/>
        <v>0.1111111111111111</v>
      </c>
    </row>
    <row r="110" spans="1:36" x14ac:dyDescent="0.3">
      <c r="A110" s="267" t="s">
        <v>105</v>
      </c>
      <c r="B110" s="205" t="s">
        <v>106</v>
      </c>
      <c r="C110" s="229" t="s">
        <v>251</v>
      </c>
      <c r="D110" s="448">
        <v>146</v>
      </c>
      <c r="E110" s="449">
        <v>42</v>
      </c>
      <c r="F110" s="449"/>
      <c r="G110" s="149">
        <f t="shared" si="48"/>
        <v>188</v>
      </c>
      <c r="H110" s="448">
        <v>28</v>
      </c>
      <c r="I110" s="449">
        <v>12</v>
      </c>
      <c r="J110" s="449"/>
      <c r="K110" s="149">
        <f t="shared" si="49"/>
        <v>40</v>
      </c>
      <c r="L110" s="448"/>
      <c r="M110" s="449"/>
      <c r="N110" s="449"/>
      <c r="O110" s="149">
        <f t="shared" si="50"/>
        <v>0</v>
      </c>
      <c r="P110" s="450">
        <f t="shared" si="51"/>
        <v>228</v>
      </c>
      <c r="Q110" s="564">
        <f t="shared" si="38"/>
        <v>174</v>
      </c>
      <c r="R110" s="564">
        <f t="shared" si="39"/>
        <v>54</v>
      </c>
      <c r="S110" s="564">
        <f t="shared" si="40"/>
        <v>0</v>
      </c>
      <c r="T110" s="450">
        <f t="shared" si="56"/>
        <v>228</v>
      </c>
      <c r="U110" s="451">
        <f t="shared" si="52"/>
        <v>0.16091954022988506</v>
      </c>
      <c r="V110" s="452">
        <f t="shared" si="53"/>
        <v>0.22222222222222221</v>
      </c>
      <c r="W110" s="453" t="str">
        <f t="shared" si="54"/>
        <v>NA</v>
      </c>
      <c r="X110" s="454">
        <f t="shared" si="55"/>
        <v>0.17543859649122806</v>
      </c>
      <c r="Y110" s="511">
        <v>32</v>
      </c>
      <c r="Z110" s="511">
        <v>108</v>
      </c>
      <c r="AA110" s="511">
        <v>48</v>
      </c>
      <c r="AB110" s="511">
        <v>11</v>
      </c>
      <c r="AC110" s="511">
        <v>19</v>
      </c>
      <c r="AD110" s="511">
        <v>10</v>
      </c>
      <c r="AE110" s="511">
        <f t="shared" si="45"/>
        <v>43</v>
      </c>
      <c r="AF110" s="511">
        <f t="shared" si="46"/>
        <v>127</v>
      </c>
      <c r="AG110" s="511">
        <f t="shared" si="47"/>
        <v>58</v>
      </c>
      <c r="AH110" s="1731">
        <f t="shared" si="42"/>
        <v>0.2558139534883721</v>
      </c>
      <c r="AI110" s="1731">
        <f t="shared" si="43"/>
        <v>0.14960629921259844</v>
      </c>
      <c r="AJ110" s="1731">
        <f t="shared" si="44"/>
        <v>0.17241379310344829</v>
      </c>
    </row>
    <row r="111" spans="1:36" x14ac:dyDescent="0.3">
      <c r="A111" s="267" t="s">
        <v>115</v>
      </c>
      <c r="B111" s="205" t="s">
        <v>116</v>
      </c>
      <c r="C111" s="229" t="s">
        <v>253</v>
      </c>
      <c r="D111" s="448">
        <v>39</v>
      </c>
      <c r="E111" s="449">
        <v>14</v>
      </c>
      <c r="F111" s="449"/>
      <c r="G111" s="149">
        <f t="shared" si="48"/>
        <v>53</v>
      </c>
      <c r="H111" s="448">
        <v>3</v>
      </c>
      <c r="I111" s="449">
        <v>3</v>
      </c>
      <c r="J111" s="449"/>
      <c r="K111" s="149">
        <f t="shared" si="49"/>
        <v>6</v>
      </c>
      <c r="L111" s="448"/>
      <c r="M111" s="449"/>
      <c r="N111" s="449"/>
      <c r="O111" s="149">
        <f t="shared" si="50"/>
        <v>0</v>
      </c>
      <c r="P111" s="450">
        <f t="shared" si="51"/>
        <v>59</v>
      </c>
      <c r="Q111" s="564">
        <f t="shared" si="38"/>
        <v>42</v>
      </c>
      <c r="R111" s="564">
        <f t="shared" si="39"/>
        <v>17</v>
      </c>
      <c r="S111" s="564">
        <f t="shared" si="40"/>
        <v>0</v>
      </c>
      <c r="T111" s="450">
        <f t="shared" si="56"/>
        <v>59</v>
      </c>
      <c r="U111" s="451">
        <f t="shared" si="52"/>
        <v>7.1428571428571425E-2</v>
      </c>
      <c r="V111" s="452">
        <f t="shared" si="53"/>
        <v>0.17647058823529413</v>
      </c>
      <c r="W111" s="453" t="str">
        <f t="shared" si="54"/>
        <v>NA</v>
      </c>
      <c r="X111" s="454">
        <f t="shared" si="55"/>
        <v>0.10169491525423729</v>
      </c>
      <c r="Y111" s="511">
        <v>7</v>
      </c>
      <c r="Z111" s="511">
        <v>33</v>
      </c>
      <c r="AA111" s="511">
        <v>14</v>
      </c>
      <c r="AB111" s="511"/>
      <c r="AC111" s="511">
        <v>5</v>
      </c>
      <c r="AD111" s="511">
        <v>1</v>
      </c>
      <c r="AE111" s="511">
        <f t="shared" si="45"/>
        <v>7</v>
      </c>
      <c r="AF111" s="511">
        <f t="shared" si="46"/>
        <v>38</v>
      </c>
      <c r="AG111" s="511">
        <f t="shared" si="47"/>
        <v>15</v>
      </c>
      <c r="AH111" s="1731">
        <f t="shared" si="42"/>
        <v>0</v>
      </c>
      <c r="AI111" s="1731">
        <f t="shared" si="43"/>
        <v>0.13157894736842105</v>
      </c>
      <c r="AJ111" s="1731">
        <f t="shared" si="44"/>
        <v>6.6666666666666666E-2</v>
      </c>
    </row>
    <row r="112" spans="1:36" x14ac:dyDescent="0.3">
      <c r="A112" s="267" t="s">
        <v>137</v>
      </c>
      <c r="B112" s="205" t="s">
        <v>138</v>
      </c>
      <c r="C112" s="229" t="s">
        <v>252</v>
      </c>
      <c r="D112" s="448">
        <v>100</v>
      </c>
      <c r="E112" s="449">
        <v>37</v>
      </c>
      <c r="F112" s="449"/>
      <c r="G112" s="149">
        <f t="shared" si="48"/>
        <v>137</v>
      </c>
      <c r="H112" s="448">
        <v>21</v>
      </c>
      <c r="I112" s="449">
        <v>7</v>
      </c>
      <c r="J112" s="449"/>
      <c r="K112" s="149">
        <f t="shared" si="49"/>
        <v>28</v>
      </c>
      <c r="L112" s="448"/>
      <c r="M112" s="449"/>
      <c r="N112" s="449">
        <v>1</v>
      </c>
      <c r="O112" s="149">
        <f t="shared" si="50"/>
        <v>1</v>
      </c>
      <c r="P112" s="450">
        <f t="shared" si="51"/>
        <v>166</v>
      </c>
      <c r="Q112" s="564">
        <f t="shared" si="38"/>
        <v>121</v>
      </c>
      <c r="R112" s="564">
        <f t="shared" si="39"/>
        <v>44</v>
      </c>
      <c r="S112" s="564">
        <f t="shared" si="40"/>
        <v>0</v>
      </c>
      <c r="T112" s="450">
        <f t="shared" si="56"/>
        <v>165</v>
      </c>
      <c r="U112" s="451">
        <f t="shared" si="52"/>
        <v>0.17355371900826447</v>
      </c>
      <c r="V112" s="452">
        <f t="shared" si="53"/>
        <v>0.15909090909090909</v>
      </c>
      <c r="W112" s="453" t="str">
        <f t="shared" si="54"/>
        <v>NA</v>
      </c>
      <c r="X112" s="454">
        <f t="shared" si="55"/>
        <v>0.16969696969696971</v>
      </c>
      <c r="Y112" s="511">
        <v>25</v>
      </c>
      <c r="Z112" s="511">
        <v>66</v>
      </c>
      <c r="AA112" s="511">
        <v>46</v>
      </c>
      <c r="AB112" s="511">
        <v>8</v>
      </c>
      <c r="AC112" s="511">
        <v>13</v>
      </c>
      <c r="AD112" s="511">
        <v>7</v>
      </c>
      <c r="AE112" s="511">
        <f t="shared" si="45"/>
        <v>33</v>
      </c>
      <c r="AF112" s="511">
        <f t="shared" si="46"/>
        <v>79</v>
      </c>
      <c r="AG112" s="511">
        <f t="shared" si="47"/>
        <v>53</v>
      </c>
      <c r="AH112" s="1731">
        <f t="shared" si="42"/>
        <v>0.24242424242424243</v>
      </c>
      <c r="AI112" s="1731">
        <f t="shared" si="43"/>
        <v>0.16455696202531644</v>
      </c>
      <c r="AJ112" s="1731">
        <f t="shared" si="44"/>
        <v>0.13207547169811321</v>
      </c>
    </row>
    <row r="113" spans="1:36" x14ac:dyDescent="0.3">
      <c r="A113" s="267" t="s">
        <v>141</v>
      </c>
      <c r="B113" s="205" t="s">
        <v>142</v>
      </c>
      <c r="C113" s="229" t="s">
        <v>254</v>
      </c>
      <c r="D113" s="448">
        <v>25</v>
      </c>
      <c r="E113" s="449">
        <v>12</v>
      </c>
      <c r="F113" s="449">
        <v>6</v>
      </c>
      <c r="G113" s="149">
        <f t="shared" si="48"/>
        <v>43</v>
      </c>
      <c r="H113" s="448">
        <v>4</v>
      </c>
      <c r="I113" s="449"/>
      <c r="J113" s="449">
        <v>1</v>
      </c>
      <c r="K113" s="149">
        <f t="shared" si="49"/>
        <v>5</v>
      </c>
      <c r="L113" s="448"/>
      <c r="M113" s="449"/>
      <c r="N113" s="449"/>
      <c r="O113" s="149">
        <f t="shared" si="50"/>
        <v>0</v>
      </c>
      <c r="P113" s="450">
        <f t="shared" si="51"/>
        <v>48</v>
      </c>
      <c r="Q113" s="564">
        <f t="shared" si="38"/>
        <v>29</v>
      </c>
      <c r="R113" s="564">
        <f t="shared" si="39"/>
        <v>12</v>
      </c>
      <c r="S113" s="564">
        <f t="shared" si="40"/>
        <v>7</v>
      </c>
      <c r="T113" s="450">
        <f t="shared" si="56"/>
        <v>48</v>
      </c>
      <c r="U113" s="451">
        <f t="shared" si="52"/>
        <v>0.13793103448275862</v>
      </c>
      <c r="V113" s="452">
        <f t="shared" si="53"/>
        <v>0</v>
      </c>
      <c r="W113" s="453">
        <f t="shared" si="54"/>
        <v>0.14285714285714285</v>
      </c>
      <c r="X113" s="454">
        <f t="shared" si="55"/>
        <v>0.10416666666666667</v>
      </c>
      <c r="Y113" s="511">
        <v>6</v>
      </c>
      <c r="Z113" s="511">
        <v>28</v>
      </c>
      <c r="AA113" s="511">
        <v>9</v>
      </c>
      <c r="AB113" s="511"/>
      <c r="AC113" s="511">
        <v>2</v>
      </c>
      <c r="AD113" s="511">
        <v>3</v>
      </c>
      <c r="AE113" s="511">
        <f t="shared" si="45"/>
        <v>6</v>
      </c>
      <c r="AF113" s="511">
        <f t="shared" si="46"/>
        <v>30</v>
      </c>
      <c r="AG113" s="511">
        <f t="shared" si="47"/>
        <v>12</v>
      </c>
      <c r="AH113" s="1731">
        <f t="shared" si="42"/>
        <v>0</v>
      </c>
      <c r="AI113" s="1731">
        <f t="shared" si="43"/>
        <v>6.6666666666666666E-2</v>
      </c>
      <c r="AJ113" s="1731">
        <f t="shared" si="44"/>
        <v>0.25</v>
      </c>
    </row>
    <row r="114" spans="1:36" x14ac:dyDescent="0.3">
      <c r="A114" s="267" t="s">
        <v>143</v>
      </c>
      <c r="B114" s="205" t="s">
        <v>144</v>
      </c>
      <c r="C114" s="229" t="s">
        <v>254</v>
      </c>
      <c r="D114" s="448">
        <v>10</v>
      </c>
      <c r="E114" s="449">
        <v>7</v>
      </c>
      <c r="F114" s="449"/>
      <c r="G114" s="149">
        <f t="shared" si="48"/>
        <v>17</v>
      </c>
      <c r="H114" s="448">
        <v>2</v>
      </c>
      <c r="I114" s="449"/>
      <c r="J114" s="449"/>
      <c r="K114" s="149">
        <f t="shared" si="49"/>
        <v>2</v>
      </c>
      <c r="L114" s="448"/>
      <c r="M114" s="449"/>
      <c r="N114" s="449"/>
      <c r="O114" s="149">
        <f t="shared" si="50"/>
        <v>0</v>
      </c>
      <c r="P114" s="450">
        <f t="shared" si="51"/>
        <v>19</v>
      </c>
      <c r="Q114" s="564">
        <f t="shared" si="38"/>
        <v>12</v>
      </c>
      <c r="R114" s="564">
        <f t="shared" si="39"/>
        <v>7</v>
      </c>
      <c r="S114" s="564">
        <f t="shared" si="40"/>
        <v>0</v>
      </c>
      <c r="T114" s="450">
        <f t="shared" si="56"/>
        <v>19</v>
      </c>
      <c r="U114" s="451">
        <f t="shared" si="52"/>
        <v>0.16666666666666666</v>
      </c>
      <c r="V114" s="452">
        <f t="shared" si="53"/>
        <v>0</v>
      </c>
      <c r="W114" s="453" t="str">
        <f t="shared" si="54"/>
        <v>NA</v>
      </c>
      <c r="X114" s="454">
        <f t="shared" si="55"/>
        <v>0.10526315789473684</v>
      </c>
      <c r="Y114" s="511">
        <v>4</v>
      </c>
      <c r="Z114" s="511">
        <v>9</v>
      </c>
      <c r="AA114" s="511">
        <v>5</v>
      </c>
      <c r="AB114" s="511"/>
      <c r="AC114" s="511">
        <v>1</v>
      </c>
      <c r="AD114" s="511">
        <v>1</v>
      </c>
      <c r="AE114" s="511">
        <f t="shared" si="45"/>
        <v>4</v>
      </c>
      <c r="AF114" s="511">
        <f t="shared" si="46"/>
        <v>10</v>
      </c>
      <c r="AG114" s="511">
        <f t="shared" si="47"/>
        <v>6</v>
      </c>
      <c r="AH114" s="1731">
        <f t="shared" si="42"/>
        <v>0</v>
      </c>
      <c r="AI114" s="1731">
        <f t="shared" si="43"/>
        <v>0.1</v>
      </c>
      <c r="AJ114" s="1731">
        <f t="shared" si="44"/>
        <v>0.16666666666666666</v>
      </c>
    </row>
    <row r="115" spans="1:36" x14ac:dyDescent="0.3">
      <c r="A115" s="267" t="s">
        <v>157</v>
      </c>
      <c r="B115" s="205" t="s">
        <v>158</v>
      </c>
      <c r="C115" s="229" t="s">
        <v>251</v>
      </c>
      <c r="D115" s="448">
        <v>183</v>
      </c>
      <c r="E115" s="449">
        <v>121</v>
      </c>
      <c r="F115" s="449">
        <v>6</v>
      </c>
      <c r="G115" s="149">
        <f t="shared" si="48"/>
        <v>310</v>
      </c>
      <c r="H115" s="448">
        <v>46</v>
      </c>
      <c r="I115" s="449">
        <v>32</v>
      </c>
      <c r="J115" s="449">
        <v>4</v>
      </c>
      <c r="K115" s="149">
        <f t="shared" si="49"/>
        <v>82</v>
      </c>
      <c r="L115" s="448"/>
      <c r="M115" s="449">
        <v>1</v>
      </c>
      <c r="N115" s="449"/>
      <c r="O115" s="149">
        <f t="shared" si="50"/>
        <v>1</v>
      </c>
      <c r="P115" s="450">
        <f t="shared" si="51"/>
        <v>393</v>
      </c>
      <c r="Q115" s="564">
        <f t="shared" si="38"/>
        <v>229</v>
      </c>
      <c r="R115" s="564">
        <f t="shared" si="39"/>
        <v>153</v>
      </c>
      <c r="S115" s="564">
        <f t="shared" si="40"/>
        <v>10</v>
      </c>
      <c r="T115" s="450">
        <f t="shared" si="56"/>
        <v>392</v>
      </c>
      <c r="U115" s="451">
        <f t="shared" si="52"/>
        <v>0.20087336244541484</v>
      </c>
      <c r="V115" s="452">
        <f t="shared" si="53"/>
        <v>0.20915032679738563</v>
      </c>
      <c r="W115" s="453">
        <f t="shared" si="54"/>
        <v>0.4</v>
      </c>
      <c r="X115" s="454">
        <f t="shared" si="55"/>
        <v>0.20918367346938777</v>
      </c>
      <c r="Y115" s="511">
        <v>82</v>
      </c>
      <c r="Z115" s="511">
        <v>125</v>
      </c>
      <c r="AA115" s="511">
        <v>103</v>
      </c>
      <c r="AB115" s="511">
        <v>34</v>
      </c>
      <c r="AC115" s="511">
        <v>26</v>
      </c>
      <c r="AD115" s="511">
        <v>22</v>
      </c>
      <c r="AE115" s="511">
        <f t="shared" si="45"/>
        <v>116</v>
      </c>
      <c r="AF115" s="511">
        <f t="shared" si="46"/>
        <v>151</v>
      </c>
      <c r="AG115" s="511">
        <f t="shared" si="47"/>
        <v>125</v>
      </c>
      <c r="AH115" s="1731">
        <f t="shared" si="42"/>
        <v>0.29310344827586204</v>
      </c>
      <c r="AI115" s="1731">
        <f t="shared" si="43"/>
        <v>0.17218543046357615</v>
      </c>
      <c r="AJ115" s="1731">
        <f t="shared" si="44"/>
        <v>0.17599999999999999</v>
      </c>
    </row>
    <row r="116" spans="1:36" x14ac:dyDescent="0.3">
      <c r="A116" s="267" t="s">
        <v>159</v>
      </c>
      <c r="B116" s="205" t="s">
        <v>160</v>
      </c>
      <c r="C116" s="229" t="s">
        <v>251</v>
      </c>
      <c r="D116" s="448">
        <v>253</v>
      </c>
      <c r="E116" s="449">
        <v>120</v>
      </c>
      <c r="F116" s="449">
        <v>3</v>
      </c>
      <c r="G116" s="149">
        <f t="shared" si="48"/>
        <v>376</v>
      </c>
      <c r="H116" s="448">
        <v>134</v>
      </c>
      <c r="I116" s="449">
        <v>51</v>
      </c>
      <c r="J116" s="449">
        <v>6</v>
      </c>
      <c r="K116" s="149">
        <f t="shared" si="49"/>
        <v>191</v>
      </c>
      <c r="L116" s="448"/>
      <c r="M116" s="449"/>
      <c r="N116" s="449"/>
      <c r="O116" s="149">
        <f t="shared" si="50"/>
        <v>0</v>
      </c>
      <c r="P116" s="450">
        <f t="shared" si="51"/>
        <v>567</v>
      </c>
      <c r="Q116" s="564">
        <f t="shared" si="38"/>
        <v>387</v>
      </c>
      <c r="R116" s="564">
        <f t="shared" si="39"/>
        <v>171</v>
      </c>
      <c r="S116" s="564">
        <f t="shared" si="40"/>
        <v>9</v>
      </c>
      <c r="T116" s="450">
        <f t="shared" si="56"/>
        <v>567</v>
      </c>
      <c r="U116" s="451">
        <f t="shared" si="52"/>
        <v>0.34625322997416019</v>
      </c>
      <c r="V116" s="452">
        <f t="shared" si="53"/>
        <v>0.2982456140350877</v>
      </c>
      <c r="W116" s="453">
        <f t="shared" si="54"/>
        <v>0.66666666666666663</v>
      </c>
      <c r="X116" s="454">
        <f t="shared" si="55"/>
        <v>0.33686067019400351</v>
      </c>
      <c r="Y116" s="511">
        <v>71</v>
      </c>
      <c r="Z116" s="511">
        <v>215</v>
      </c>
      <c r="AA116" s="511">
        <v>93</v>
      </c>
      <c r="AB116" s="511">
        <v>35</v>
      </c>
      <c r="AC116" s="511">
        <v>115</v>
      </c>
      <c r="AD116" s="511">
        <v>58</v>
      </c>
      <c r="AE116" s="511">
        <f t="shared" si="45"/>
        <v>106</v>
      </c>
      <c r="AF116" s="511">
        <f t="shared" si="46"/>
        <v>330</v>
      </c>
      <c r="AG116" s="511">
        <f t="shared" si="47"/>
        <v>151</v>
      </c>
      <c r="AH116" s="1731">
        <f t="shared" si="42"/>
        <v>0.330188679245283</v>
      </c>
      <c r="AI116" s="1731">
        <f t="shared" si="43"/>
        <v>0.34848484848484851</v>
      </c>
      <c r="AJ116" s="1731">
        <f t="shared" si="44"/>
        <v>0.38410596026490068</v>
      </c>
    </row>
    <row r="117" spans="1:36" x14ac:dyDescent="0.3">
      <c r="A117" s="267" t="s">
        <v>165</v>
      </c>
      <c r="B117" s="205" t="s">
        <v>166</v>
      </c>
      <c r="C117" s="229" t="s">
        <v>255</v>
      </c>
      <c r="D117" s="448">
        <v>10</v>
      </c>
      <c r="E117" s="449">
        <v>6</v>
      </c>
      <c r="F117" s="449">
        <v>1</v>
      </c>
      <c r="G117" s="149">
        <f t="shared" si="48"/>
        <v>17</v>
      </c>
      <c r="H117" s="448"/>
      <c r="I117" s="449"/>
      <c r="J117" s="449"/>
      <c r="K117" s="149">
        <f t="shared" si="49"/>
        <v>0</v>
      </c>
      <c r="L117" s="448"/>
      <c r="M117" s="449"/>
      <c r="N117" s="449"/>
      <c r="O117" s="149">
        <f t="shared" si="50"/>
        <v>0</v>
      </c>
      <c r="P117" s="450">
        <f t="shared" si="51"/>
        <v>17</v>
      </c>
      <c r="Q117" s="564">
        <f t="shared" si="38"/>
        <v>10</v>
      </c>
      <c r="R117" s="564">
        <f t="shared" si="39"/>
        <v>6</v>
      </c>
      <c r="S117" s="564">
        <f t="shared" si="40"/>
        <v>1</v>
      </c>
      <c r="T117" s="450">
        <f t="shared" si="56"/>
        <v>17</v>
      </c>
      <c r="U117" s="451">
        <f t="shared" si="52"/>
        <v>0</v>
      </c>
      <c r="V117" s="452">
        <f t="shared" si="53"/>
        <v>0</v>
      </c>
      <c r="W117" s="453">
        <f t="shared" si="54"/>
        <v>0</v>
      </c>
      <c r="X117" s="454">
        <f t="shared" si="55"/>
        <v>0</v>
      </c>
      <c r="Y117" s="511">
        <v>4</v>
      </c>
      <c r="Z117" s="511">
        <v>9</v>
      </c>
      <c r="AA117" s="511">
        <v>4</v>
      </c>
      <c r="AB117" s="511"/>
      <c r="AC117" s="511"/>
      <c r="AD117" s="511"/>
      <c r="AE117" s="511">
        <f t="shared" si="45"/>
        <v>4</v>
      </c>
      <c r="AF117" s="511">
        <f t="shared" si="46"/>
        <v>9</v>
      </c>
      <c r="AG117" s="511">
        <f t="shared" si="47"/>
        <v>4</v>
      </c>
      <c r="AH117" s="1731">
        <f t="shared" si="42"/>
        <v>0</v>
      </c>
      <c r="AI117" s="1731">
        <f t="shared" si="43"/>
        <v>0</v>
      </c>
      <c r="AJ117" s="1731">
        <f t="shared" si="44"/>
        <v>0</v>
      </c>
    </row>
    <row r="118" spans="1:36" x14ac:dyDescent="0.3">
      <c r="A118" s="267" t="s">
        <v>175</v>
      </c>
      <c r="B118" s="205" t="s">
        <v>176</v>
      </c>
      <c r="C118" s="229" t="s">
        <v>253</v>
      </c>
      <c r="D118" s="448">
        <v>64</v>
      </c>
      <c r="E118" s="449">
        <v>32</v>
      </c>
      <c r="F118" s="449"/>
      <c r="G118" s="149">
        <f t="shared" si="48"/>
        <v>96</v>
      </c>
      <c r="H118" s="448">
        <v>28</v>
      </c>
      <c r="I118" s="449">
        <v>28</v>
      </c>
      <c r="J118" s="449"/>
      <c r="K118" s="149">
        <f t="shared" si="49"/>
        <v>56</v>
      </c>
      <c r="L118" s="448"/>
      <c r="M118" s="449"/>
      <c r="N118" s="449"/>
      <c r="O118" s="149">
        <f t="shared" si="50"/>
        <v>0</v>
      </c>
      <c r="P118" s="450">
        <f t="shared" si="51"/>
        <v>152</v>
      </c>
      <c r="Q118" s="564">
        <f t="shared" si="38"/>
        <v>92</v>
      </c>
      <c r="R118" s="564">
        <f t="shared" si="39"/>
        <v>60</v>
      </c>
      <c r="S118" s="564">
        <f t="shared" si="40"/>
        <v>0</v>
      </c>
      <c r="T118" s="450">
        <f t="shared" si="56"/>
        <v>152</v>
      </c>
      <c r="U118" s="451">
        <f t="shared" si="52"/>
        <v>0.30434782608695654</v>
      </c>
      <c r="V118" s="452">
        <f t="shared" si="53"/>
        <v>0.46666666666666667</v>
      </c>
      <c r="W118" s="453" t="str">
        <f t="shared" si="54"/>
        <v>NA</v>
      </c>
      <c r="X118" s="454">
        <f t="shared" si="55"/>
        <v>0.36842105263157893</v>
      </c>
      <c r="Y118" s="511">
        <v>18</v>
      </c>
      <c r="Z118" s="511">
        <v>50</v>
      </c>
      <c r="AA118" s="511">
        <v>28</v>
      </c>
      <c r="AB118" s="511">
        <v>25</v>
      </c>
      <c r="AC118" s="511">
        <v>19</v>
      </c>
      <c r="AD118" s="511">
        <v>12</v>
      </c>
      <c r="AE118" s="511">
        <f t="shared" si="45"/>
        <v>43</v>
      </c>
      <c r="AF118" s="511">
        <f t="shared" si="46"/>
        <v>69</v>
      </c>
      <c r="AG118" s="511">
        <f t="shared" si="47"/>
        <v>40</v>
      </c>
      <c r="AH118" s="1731">
        <f t="shared" si="42"/>
        <v>0.58139534883720934</v>
      </c>
      <c r="AI118" s="1731">
        <f t="shared" si="43"/>
        <v>0.27536231884057971</v>
      </c>
      <c r="AJ118" s="1731">
        <f t="shared" si="44"/>
        <v>0.3</v>
      </c>
    </row>
    <row r="119" spans="1:36" x14ac:dyDescent="0.3">
      <c r="A119" s="267" t="s">
        <v>179</v>
      </c>
      <c r="B119" s="205" t="s">
        <v>180</v>
      </c>
      <c r="C119" s="229" t="s">
        <v>251</v>
      </c>
      <c r="D119" s="448">
        <v>108</v>
      </c>
      <c r="E119" s="449">
        <v>62</v>
      </c>
      <c r="F119" s="449"/>
      <c r="G119" s="149">
        <f t="shared" si="48"/>
        <v>170</v>
      </c>
      <c r="H119" s="448">
        <v>22</v>
      </c>
      <c r="I119" s="449">
        <v>7</v>
      </c>
      <c r="J119" s="449"/>
      <c r="K119" s="149">
        <f t="shared" si="49"/>
        <v>29</v>
      </c>
      <c r="L119" s="448"/>
      <c r="M119" s="449"/>
      <c r="N119" s="449"/>
      <c r="O119" s="149">
        <f t="shared" si="50"/>
        <v>0</v>
      </c>
      <c r="P119" s="450">
        <f t="shared" si="51"/>
        <v>199</v>
      </c>
      <c r="Q119" s="564">
        <f t="shared" si="38"/>
        <v>130</v>
      </c>
      <c r="R119" s="564">
        <f t="shared" si="39"/>
        <v>69</v>
      </c>
      <c r="S119" s="564">
        <f t="shared" si="40"/>
        <v>0</v>
      </c>
      <c r="T119" s="450">
        <f t="shared" si="56"/>
        <v>199</v>
      </c>
      <c r="U119" s="451">
        <f t="shared" si="52"/>
        <v>0.16923076923076924</v>
      </c>
      <c r="V119" s="452">
        <f t="shared" si="53"/>
        <v>0.10144927536231885</v>
      </c>
      <c r="W119" s="453" t="str">
        <f t="shared" si="54"/>
        <v>NA</v>
      </c>
      <c r="X119" s="454">
        <f t="shared" si="55"/>
        <v>0.14572864321608039</v>
      </c>
      <c r="Y119" s="511">
        <v>41</v>
      </c>
      <c r="Z119" s="511">
        <v>78</v>
      </c>
      <c r="AA119" s="511">
        <v>51</v>
      </c>
      <c r="AB119" s="511">
        <v>3</v>
      </c>
      <c r="AC119" s="511">
        <v>15</v>
      </c>
      <c r="AD119" s="511">
        <v>11</v>
      </c>
      <c r="AE119" s="511">
        <f t="shared" si="45"/>
        <v>44</v>
      </c>
      <c r="AF119" s="511">
        <f t="shared" si="46"/>
        <v>93</v>
      </c>
      <c r="AG119" s="511">
        <f t="shared" si="47"/>
        <v>62</v>
      </c>
      <c r="AH119" s="1731">
        <f t="shared" si="42"/>
        <v>6.8181818181818177E-2</v>
      </c>
      <c r="AI119" s="1731">
        <f t="shared" si="43"/>
        <v>0.16129032258064516</v>
      </c>
      <c r="AJ119" s="1731">
        <f t="shared" si="44"/>
        <v>0.17741935483870969</v>
      </c>
    </row>
    <row r="120" spans="1:36" x14ac:dyDescent="0.3">
      <c r="A120" s="267" t="s">
        <v>191</v>
      </c>
      <c r="B120" s="205" t="s">
        <v>192</v>
      </c>
      <c r="C120" s="229" t="s">
        <v>255</v>
      </c>
      <c r="D120" s="448">
        <v>14</v>
      </c>
      <c r="E120" s="449">
        <v>6</v>
      </c>
      <c r="F120" s="449"/>
      <c r="G120" s="149">
        <f t="shared" si="48"/>
        <v>20</v>
      </c>
      <c r="H120" s="448">
        <v>1</v>
      </c>
      <c r="I120" s="449"/>
      <c r="J120" s="449"/>
      <c r="K120" s="149">
        <f t="shared" si="49"/>
        <v>1</v>
      </c>
      <c r="L120" s="448"/>
      <c r="M120" s="449"/>
      <c r="N120" s="449"/>
      <c r="O120" s="149">
        <f t="shared" si="50"/>
        <v>0</v>
      </c>
      <c r="P120" s="450">
        <f t="shared" si="51"/>
        <v>21</v>
      </c>
      <c r="Q120" s="564">
        <f t="shared" si="38"/>
        <v>15</v>
      </c>
      <c r="R120" s="564">
        <f t="shared" si="39"/>
        <v>6</v>
      </c>
      <c r="S120" s="564">
        <f t="shared" si="40"/>
        <v>0</v>
      </c>
      <c r="T120" s="450">
        <f t="shared" si="56"/>
        <v>21</v>
      </c>
      <c r="U120" s="451">
        <f t="shared" si="52"/>
        <v>6.6666666666666666E-2</v>
      </c>
      <c r="V120" s="452">
        <f t="shared" si="53"/>
        <v>0</v>
      </c>
      <c r="W120" s="453" t="str">
        <f t="shared" si="54"/>
        <v>NA</v>
      </c>
      <c r="X120" s="454">
        <f t="shared" si="55"/>
        <v>4.7619047619047616E-2</v>
      </c>
      <c r="Y120" s="511">
        <v>4</v>
      </c>
      <c r="Z120" s="511">
        <v>10</v>
      </c>
      <c r="AA120" s="511">
        <v>6</v>
      </c>
      <c r="AB120" s="511"/>
      <c r="AC120" s="511">
        <v>1</v>
      </c>
      <c r="AD120" s="511"/>
      <c r="AE120" s="511">
        <f t="shared" si="45"/>
        <v>4</v>
      </c>
      <c r="AF120" s="511">
        <f t="shared" si="46"/>
        <v>11</v>
      </c>
      <c r="AG120" s="511">
        <f t="shared" si="47"/>
        <v>6</v>
      </c>
      <c r="AH120" s="1731">
        <f t="shared" si="42"/>
        <v>0</v>
      </c>
      <c r="AI120" s="1731">
        <f t="shared" si="43"/>
        <v>9.0909090909090912E-2</v>
      </c>
      <c r="AJ120" s="1731">
        <f t="shared" si="44"/>
        <v>0</v>
      </c>
    </row>
    <row r="121" spans="1:36" x14ac:dyDescent="0.3">
      <c r="A121" s="267" t="s">
        <v>195</v>
      </c>
      <c r="B121" s="205" t="s">
        <v>285</v>
      </c>
      <c r="C121" s="229" t="s">
        <v>253</v>
      </c>
      <c r="D121" s="448">
        <v>169</v>
      </c>
      <c r="E121" s="449">
        <v>141</v>
      </c>
      <c r="F121" s="449">
        <v>13</v>
      </c>
      <c r="G121" s="149">
        <f t="shared" si="48"/>
        <v>323</v>
      </c>
      <c r="H121" s="448">
        <v>129</v>
      </c>
      <c r="I121" s="449">
        <v>55</v>
      </c>
      <c r="J121" s="449">
        <v>4</v>
      </c>
      <c r="K121" s="149">
        <f t="shared" si="49"/>
        <v>188</v>
      </c>
      <c r="L121" s="448"/>
      <c r="M121" s="449"/>
      <c r="N121" s="449">
        <v>1</v>
      </c>
      <c r="O121" s="149">
        <f t="shared" si="50"/>
        <v>1</v>
      </c>
      <c r="P121" s="450">
        <f t="shared" si="51"/>
        <v>512</v>
      </c>
      <c r="Q121" s="564">
        <f t="shared" si="38"/>
        <v>298</v>
      </c>
      <c r="R121" s="564">
        <f t="shared" si="39"/>
        <v>196</v>
      </c>
      <c r="S121" s="564">
        <f t="shared" si="40"/>
        <v>17</v>
      </c>
      <c r="T121" s="450">
        <f t="shared" si="56"/>
        <v>511</v>
      </c>
      <c r="U121" s="451">
        <f t="shared" si="52"/>
        <v>0.43288590604026844</v>
      </c>
      <c r="V121" s="452">
        <f t="shared" si="53"/>
        <v>0.28061224489795916</v>
      </c>
      <c r="W121" s="453">
        <f t="shared" si="54"/>
        <v>0.23529411764705882</v>
      </c>
      <c r="X121" s="454">
        <f t="shared" si="55"/>
        <v>0.3679060665362035</v>
      </c>
      <c r="Y121" s="511">
        <v>76</v>
      </c>
      <c r="Z121" s="511">
        <v>134</v>
      </c>
      <c r="AA121" s="511">
        <v>113</v>
      </c>
      <c r="AB121" s="511">
        <v>35</v>
      </c>
      <c r="AC121" s="511">
        <v>120</v>
      </c>
      <c r="AD121" s="511">
        <v>33</v>
      </c>
      <c r="AE121" s="511">
        <f t="shared" si="45"/>
        <v>111</v>
      </c>
      <c r="AF121" s="511">
        <f t="shared" si="46"/>
        <v>254</v>
      </c>
      <c r="AG121" s="511">
        <f t="shared" si="47"/>
        <v>146</v>
      </c>
      <c r="AH121" s="1731">
        <f t="shared" si="42"/>
        <v>0.31531531531531531</v>
      </c>
      <c r="AI121" s="1731">
        <f t="shared" si="43"/>
        <v>0.47244094488188976</v>
      </c>
      <c r="AJ121" s="1731">
        <f t="shared" si="44"/>
        <v>0.22602739726027396</v>
      </c>
    </row>
    <row r="122" spans="1:36" x14ac:dyDescent="0.3">
      <c r="A122" s="267" t="s">
        <v>199</v>
      </c>
      <c r="B122" s="205" t="s">
        <v>286</v>
      </c>
      <c r="C122" s="229" t="s">
        <v>252</v>
      </c>
      <c r="D122" s="448">
        <v>132</v>
      </c>
      <c r="E122" s="449">
        <v>72</v>
      </c>
      <c r="F122" s="449"/>
      <c r="G122" s="149">
        <f t="shared" si="48"/>
        <v>204</v>
      </c>
      <c r="H122" s="448">
        <v>32</v>
      </c>
      <c r="I122" s="449">
        <v>13</v>
      </c>
      <c r="J122" s="449">
        <v>9</v>
      </c>
      <c r="K122" s="149">
        <f t="shared" si="49"/>
        <v>54</v>
      </c>
      <c r="L122" s="448"/>
      <c r="M122" s="449"/>
      <c r="N122" s="449"/>
      <c r="O122" s="149">
        <f t="shared" si="50"/>
        <v>0</v>
      </c>
      <c r="P122" s="450">
        <f t="shared" si="51"/>
        <v>258</v>
      </c>
      <c r="Q122" s="564">
        <f t="shared" si="38"/>
        <v>164</v>
      </c>
      <c r="R122" s="564">
        <f t="shared" si="39"/>
        <v>85</v>
      </c>
      <c r="S122" s="564">
        <f t="shared" si="40"/>
        <v>9</v>
      </c>
      <c r="T122" s="450">
        <f t="shared" si="56"/>
        <v>258</v>
      </c>
      <c r="U122" s="451">
        <f t="shared" si="52"/>
        <v>0.1951219512195122</v>
      </c>
      <c r="V122" s="452">
        <f t="shared" si="53"/>
        <v>0.15294117647058825</v>
      </c>
      <c r="W122" s="453">
        <f t="shared" si="54"/>
        <v>1</v>
      </c>
      <c r="X122" s="454">
        <f t="shared" si="55"/>
        <v>0.20930232558139536</v>
      </c>
      <c r="Y122" s="511">
        <v>41</v>
      </c>
      <c r="Z122" s="511">
        <v>86</v>
      </c>
      <c r="AA122" s="511">
        <v>77</v>
      </c>
      <c r="AB122" s="511">
        <v>9</v>
      </c>
      <c r="AC122" s="511">
        <v>31</v>
      </c>
      <c r="AD122" s="511">
        <v>14</v>
      </c>
      <c r="AE122" s="511">
        <f t="shared" si="45"/>
        <v>50</v>
      </c>
      <c r="AF122" s="511">
        <f t="shared" si="46"/>
        <v>117</v>
      </c>
      <c r="AG122" s="511">
        <f t="shared" si="47"/>
        <v>91</v>
      </c>
      <c r="AH122" s="1731">
        <f t="shared" si="42"/>
        <v>0.18</v>
      </c>
      <c r="AI122" s="1731">
        <f t="shared" si="43"/>
        <v>0.26495726495726496</v>
      </c>
      <c r="AJ122" s="1731">
        <f t="shared" si="44"/>
        <v>0.15384615384615385</v>
      </c>
    </row>
    <row r="123" spans="1:36" x14ac:dyDescent="0.3">
      <c r="A123" s="267" t="s">
        <v>221</v>
      </c>
      <c r="B123" s="205" t="s">
        <v>222</v>
      </c>
      <c r="C123" s="229" t="s">
        <v>251</v>
      </c>
      <c r="D123" s="448">
        <v>74</v>
      </c>
      <c r="E123" s="449">
        <v>34</v>
      </c>
      <c r="F123" s="449">
        <v>1</v>
      </c>
      <c r="G123" s="149">
        <f t="shared" si="48"/>
        <v>109</v>
      </c>
      <c r="H123" s="448">
        <v>11</v>
      </c>
      <c r="I123" s="449">
        <v>1</v>
      </c>
      <c r="J123" s="449">
        <v>2</v>
      </c>
      <c r="K123" s="149">
        <f t="shared" si="49"/>
        <v>14</v>
      </c>
      <c r="L123" s="448"/>
      <c r="M123" s="449"/>
      <c r="N123" s="449"/>
      <c r="O123" s="149">
        <f t="shared" si="50"/>
        <v>0</v>
      </c>
      <c r="P123" s="450">
        <f t="shared" si="51"/>
        <v>123</v>
      </c>
      <c r="Q123" s="564">
        <f t="shared" si="38"/>
        <v>85</v>
      </c>
      <c r="R123" s="564">
        <f t="shared" si="39"/>
        <v>35</v>
      </c>
      <c r="S123" s="564">
        <f t="shared" si="40"/>
        <v>3</v>
      </c>
      <c r="T123" s="450">
        <f t="shared" si="56"/>
        <v>123</v>
      </c>
      <c r="U123" s="451">
        <f t="shared" si="52"/>
        <v>0.12941176470588237</v>
      </c>
      <c r="V123" s="452">
        <f t="shared" si="53"/>
        <v>2.8571428571428571E-2</v>
      </c>
      <c r="W123" s="453">
        <f t="shared" si="54"/>
        <v>0.66666666666666663</v>
      </c>
      <c r="X123" s="454">
        <f t="shared" si="55"/>
        <v>0.11382113821138211</v>
      </c>
      <c r="Y123" s="511">
        <v>13</v>
      </c>
      <c r="Z123" s="511">
        <v>67</v>
      </c>
      <c r="AA123" s="511">
        <v>29</v>
      </c>
      <c r="AB123" s="511"/>
      <c r="AC123" s="511">
        <v>7</v>
      </c>
      <c r="AD123" s="511">
        <v>7</v>
      </c>
      <c r="AE123" s="511">
        <f t="shared" si="45"/>
        <v>13</v>
      </c>
      <c r="AF123" s="511">
        <f t="shared" si="46"/>
        <v>74</v>
      </c>
      <c r="AG123" s="511">
        <f t="shared" si="47"/>
        <v>36</v>
      </c>
      <c r="AH123" s="1731">
        <f t="shared" si="42"/>
        <v>0</v>
      </c>
      <c r="AI123" s="1731">
        <f t="shared" si="43"/>
        <v>9.45945945945946E-2</v>
      </c>
      <c r="AJ123" s="1731">
        <f t="shared" si="44"/>
        <v>0.19444444444444445</v>
      </c>
    </row>
    <row r="124" spans="1:36" x14ac:dyDescent="0.3">
      <c r="A124" s="267" t="s">
        <v>229</v>
      </c>
      <c r="B124" s="205" t="s">
        <v>230</v>
      </c>
      <c r="C124" s="229" t="s">
        <v>251</v>
      </c>
      <c r="D124" s="448">
        <v>235</v>
      </c>
      <c r="E124" s="449">
        <v>134</v>
      </c>
      <c r="F124" s="449"/>
      <c r="G124" s="149">
        <f t="shared" si="48"/>
        <v>369</v>
      </c>
      <c r="H124" s="448">
        <v>50</v>
      </c>
      <c r="I124" s="449">
        <v>56</v>
      </c>
      <c r="J124" s="449"/>
      <c r="K124" s="149">
        <f t="shared" si="49"/>
        <v>106</v>
      </c>
      <c r="L124" s="448">
        <v>3</v>
      </c>
      <c r="M124" s="449">
        <v>2</v>
      </c>
      <c r="N124" s="449"/>
      <c r="O124" s="149">
        <f t="shared" si="50"/>
        <v>5</v>
      </c>
      <c r="P124" s="450">
        <f t="shared" si="51"/>
        <v>480</v>
      </c>
      <c r="Q124" s="564">
        <f t="shared" si="38"/>
        <v>285</v>
      </c>
      <c r="R124" s="564">
        <f t="shared" si="39"/>
        <v>190</v>
      </c>
      <c r="S124" s="564">
        <f t="shared" si="40"/>
        <v>0</v>
      </c>
      <c r="T124" s="450">
        <f t="shared" si="56"/>
        <v>475</v>
      </c>
      <c r="U124" s="451">
        <f t="shared" si="52"/>
        <v>0.17543859649122806</v>
      </c>
      <c r="V124" s="452">
        <f t="shared" si="53"/>
        <v>0.29473684210526313</v>
      </c>
      <c r="W124" s="453" t="str">
        <f t="shared" si="54"/>
        <v>NA</v>
      </c>
      <c r="X124" s="454">
        <f t="shared" si="55"/>
        <v>0.22315789473684211</v>
      </c>
      <c r="Y124" s="511">
        <v>83</v>
      </c>
      <c r="Z124" s="511">
        <v>136</v>
      </c>
      <c r="AA124" s="511">
        <v>150</v>
      </c>
      <c r="AB124" s="511">
        <v>43</v>
      </c>
      <c r="AC124" s="511">
        <v>39</v>
      </c>
      <c r="AD124" s="511">
        <v>24</v>
      </c>
      <c r="AE124" s="511">
        <f t="shared" si="45"/>
        <v>126</v>
      </c>
      <c r="AF124" s="511">
        <f t="shared" si="46"/>
        <v>175</v>
      </c>
      <c r="AG124" s="511">
        <f t="shared" si="47"/>
        <v>174</v>
      </c>
      <c r="AH124" s="1731">
        <f t="shared" si="42"/>
        <v>0.34126984126984128</v>
      </c>
      <c r="AI124" s="1731">
        <f t="shared" si="43"/>
        <v>0.22285714285714286</v>
      </c>
      <c r="AJ124" s="1731">
        <f t="shared" si="44"/>
        <v>0.13793103448275862</v>
      </c>
    </row>
    <row r="125" spans="1:36" x14ac:dyDescent="0.3">
      <c r="A125" s="267" t="s">
        <v>237</v>
      </c>
      <c r="B125" s="205" t="s">
        <v>238</v>
      </c>
      <c r="C125" s="229" t="s">
        <v>251</v>
      </c>
      <c r="D125" s="448">
        <v>11</v>
      </c>
      <c r="E125" s="449">
        <v>4</v>
      </c>
      <c r="F125" s="449"/>
      <c r="G125" s="149">
        <f t="shared" si="48"/>
        <v>15</v>
      </c>
      <c r="H125" s="448">
        <v>2</v>
      </c>
      <c r="I125" s="449">
        <v>1</v>
      </c>
      <c r="J125" s="449"/>
      <c r="K125" s="149">
        <f t="shared" si="49"/>
        <v>3</v>
      </c>
      <c r="L125" s="448"/>
      <c r="M125" s="449"/>
      <c r="N125" s="449"/>
      <c r="O125" s="149">
        <f t="shared" si="50"/>
        <v>0</v>
      </c>
      <c r="P125" s="450">
        <f t="shared" si="51"/>
        <v>18</v>
      </c>
      <c r="Q125" s="564">
        <f t="shared" si="38"/>
        <v>13</v>
      </c>
      <c r="R125" s="564">
        <f t="shared" si="39"/>
        <v>5</v>
      </c>
      <c r="S125" s="564">
        <f t="shared" si="40"/>
        <v>0</v>
      </c>
      <c r="T125" s="450">
        <f t="shared" si="56"/>
        <v>18</v>
      </c>
      <c r="U125" s="451">
        <f t="shared" si="52"/>
        <v>0.15384615384615385</v>
      </c>
      <c r="V125" s="452">
        <f t="shared" si="53"/>
        <v>0.2</v>
      </c>
      <c r="W125" s="453" t="str">
        <f t="shared" si="54"/>
        <v>NA</v>
      </c>
      <c r="X125" s="454">
        <f t="shared" si="55"/>
        <v>0.16666666666666666</v>
      </c>
      <c r="Y125" s="511">
        <v>4</v>
      </c>
      <c r="Z125" s="511">
        <v>5</v>
      </c>
      <c r="AA125" s="511">
        <v>6</v>
      </c>
      <c r="AB125" s="511"/>
      <c r="AC125" s="511">
        <v>2</v>
      </c>
      <c r="AD125" s="511">
        <v>1</v>
      </c>
      <c r="AE125" s="511">
        <f t="shared" si="45"/>
        <v>4</v>
      </c>
      <c r="AF125" s="511">
        <f t="shared" si="46"/>
        <v>7</v>
      </c>
      <c r="AG125" s="511">
        <f t="shared" si="47"/>
        <v>7</v>
      </c>
      <c r="AH125" s="1731">
        <f t="shared" si="42"/>
        <v>0</v>
      </c>
      <c r="AI125" s="1731">
        <f t="shared" si="43"/>
        <v>0.2857142857142857</v>
      </c>
      <c r="AJ125" s="1731">
        <f t="shared" si="44"/>
        <v>0.14285714285714285</v>
      </c>
    </row>
    <row r="126" spans="1:36" x14ac:dyDescent="0.3">
      <c r="A126" s="456" t="s">
        <v>239</v>
      </c>
      <c r="B126" s="457" t="s">
        <v>240</v>
      </c>
      <c r="C126" s="458" t="s">
        <v>254</v>
      </c>
      <c r="D126" s="517">
        <v>31</v>
      </c>
      <c r="E126" s="518">
        <v>16</v>
      </c>
      <c r="F126" s="518"/>
      <c r="G126" s="519">
        <f t="shared" si="48"/>
        <v>47</v>
      </c>
      <c r="H126" s="517">
        <v>5</v>
      </c>
      <c r="I126" s="518">
        <v>2</v>
      </c>
      <c r="J126" s="518"/>
      <c r="K126" s="519">
        <f t="shared" si="49"/>
        <v>7</v>
      </c>
      <c r="L126" s="517"/>
      <c r="M126" s="518"/>
      <c r="N126" s="518"/>
      <c r="O126" s="519">
        <f t="shared" si="50"/>
        <v>0</v>
      </c>
      <c r="P126" s="520">
        <f t="shared" si="51"/>
        <v>54</v>
      </c>
      <c r="Q126" s="566">
        <f t="shared" si="38"/>
        <v>36</v>
      </c>
      <c r="R126" s="566">
        <f t="shared" si="39"/>
        <v>18</v>
      </c>
      <c r="S126" s="566">
        <f t="shared" si="40"/>
        <v>0</v>
      </c>
      <c r="T126" s="520">
        <f t="shared" si="56"/>
        <v>54</v>
      </c>
      <c r="U126" s="521">
        <f t="shared" si="52"/>
        <v>0.1388888888888889</v>
      </c>
      <c r="V126" s="522">
        <f t="shared" si="53"/>
        <v>0.1111111111111111</v>
      </c>
      <c r="W126" s="523" t="str">
        <f t="shared" si="54"/>
        <v>NA</v>
      </c>
      <c r="X126" s="524">
        <f t="shared" si="55"/>
        <v>0.12962962962962962</v>
      </c>
      <c r="Y126" s="511">
        <v>6</v>
      </c>
      <c r="Z126" s="511">
        <v>23</v>
      </c>
      <c r="AA126" s="511">
        <v>18</v>
      </c>
      <c r="AB126" s="511">
        <v>1</v>
      </c>
      <c r="AC126" s="511">
        <v>5</v>
      </c>
      <c r="AD126" s="511">
        <v>2</v>
      </c>
      <c r="AE126" s="511">
        <f t="shared" si="45"/>
        <v>7</v>
      </c>
      <c r="AF126" s="511">
        <f t="shared" si="46"/>
        <v>28</v>
      </c>
      <c r="AG126" s="511">
        <f t="shared" si="47"/>
        <v>20</v>
      </c>
      <c r="AH126" s="1731">
        <f t="shared" si="42"/>
        <v>0.14285714285714285</v>
      </c>
      <c r="AI126" s="1731">
        <f t="shared" si="43"/>
        <v>0.17857142857142858</v>
      </c>
      <c r="AJ126" s="1731">
        <f t="shared" si="44"/>
        <v>0.1</v>
      </c>
    </row>
    <row r="127" spans="1:36" x14ac:dyDescent="0.3">
      <c r="A127" s="254"/>
      <c r="B127" s="254"/>
      <c r="C127" s="254"/>
    </row>
    <row r="128" spans="1:36" ht="16.5" customHeight="1" x14ac:dyDescent="0.3">
      <c r="A128" s="558" t="s">
        <v>891</v>
      </c>
      <c r="B128" s="254"/>
      <c r="C128" s="254"/>
      <c r="D128" s="254"/>
    </row>
    <row r="129" spans="1:4" x14ac:dyDescent="0.3">
      <c r="A129" s="460" t="s">
        <v>507</v>
      </c>
      <c r="B129" s="460"/>
      <c r="C129" s="460"/>
      <c r="D129" s="460"/>
    </row>
    <row r="130" spans="1:4" x14ac:dyDescent="0.3">
      <c r="A130" s="459" t="s">
        <v>435</v>
      </c>
      <c r="B130" s="254"/>
      <c r="C130" s="254"/>
      <c r="D130" s="254"/>
    </row>
    <row r="131" spans="1:4" x14ac:dyDescent="0.3">
      <c r="A131" s="459" t="s">
        <v>892</v>
      </c>
      <c r="B131" s="254"/>
      <c r="C131" s="254"/>
      <c r="D131" s="254"/>
    </row>
    <row r="132" spans="1:4" x14ac:dyDescent="0.3">
      <c r="A132" s="105" t="s">
        <v>247</v>
      </c>
      <c r="B132" s="461"/>
      <c r="C132" s="461"/>
    </row>
    <row r="133" spans="1:4" x14ac:dyDescent="0.3">
      <c r="A133" s="105" t="s">
        <v>248</v>
      </c>
      <c r="B133" s="195" t="s">
        <v>249</v>
      </c>
      <c r="C133" s="462"/>
    </row>
  </sheetData>
  <autoFilter ref="A5:C5"/>
  <mergeCells count="11">
    <mergeCell ref="Y4:AA4"/>
    <mergeCell ref="AB4:AD4"/>
    <mergeCell ref="AE4:AG4"/>
    <mergeCell ref="AH4:AJ4"/>
    <mergeCell ref="U4:X4"/>
    <mergeCell ref="D4:G4"/>
    <mergeCell ref="H4:K4"/>
    <mergeCell ref="L4:O4"/>
    <mergeCell ref="P4:P5"/>
    <mergeCell ref="T4:T5"/>
    <mergeCell ref="Q4:S4"/>
  </mergeCells>
  <hyperlinks>
    <hyperlink ref="B133"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ColWidth="9" defaultRowHeight="15.6" x14ac:dyDescent="0.3"/>
  <cols>
    <col min="1" max="1" width="8.09765625" style="525" bestFit="1" customWidth="1"/>
    <col min="2" max="2" width="6.09765625" style="525" customWidth="1"/>
    <col min="3" max="3" width="11.19921875" style="525" customWidth="1"/>
    <col min="4" max="4" width="34.296875" style="526" customWidth="1"/>
    <col min="5" max="5" width="9.19921875" style="526" customWidth="1"/>
    <col min="6" max="6" width="14.296875" style="525" customWidth="1"/>
    <col min="7" max="16384" width="9" style="525"/>
  </cols>
  <sheetData>
    <row r="2" spans="2:6" x14ac:dyDescent="0.3">
      <c r="B2" s="525">
        <v>1</v>
      </c>
      <c r="D2" s="526">
        <f>+B2+1</f>
        <v>2</v>
      </c>
      <c r="E2" s="526">
        <f>+D2+1</f>
        <v>3</v>
      </c>
      <c r="F2" s="525">
        <v>4</v>
      </c>
    </row>
    <row r="3" spans="2:6" x14ac:dyDescent="0.3">
      <c r="B3" s="527"/>
      <c r="C3" s="527"/>
      <c r="D3" s="530"/>
      <c r="E3" s="531"/>
    </row>
    <row r="4" spans="2:6" x14ac:dyDescent="0.3">
      <c r="B4" s="532"/>
      <c r="C4" s="532"/>
      <c r="D4" s="528"/>
      <c r="E4" s="529"/>
    </row>
    <row r="5" spans="2:6" x14ac:dyDescent="0.3">
      <c r="B5" s="532"/>
      <c r="C5" s="532"/>
      <c r="D5" s="533"/>
      <c r="E5" s="533"/>
    </row>
    <row r="7" spans="2:6" x14ac:dyDescent="0.3">
      <c r="B7" s="534" t="s">
        <v>4</v>
      </c>
      <c r="C7" s="534"/>
      <c r="D7" s="535" t="s">
        <v>5</v>
      </c>
      <c r="E7" s="535"/>
      <c r="F7" s="536" t="s">
        <v>250</v>
      </c>
    </row>
    <row r="8" spans="2:6" x14ac:dyDescent="0.3">
      <c r="B8" s="714" t="s">
        <v>7</v>
      </c>
      <c r="C8" s="713" t="s">
        <v>278</v>
      </c>
      <c r="D8" s="715" t="s">
        <v>8</v>
      </c>
      <c r="E8" s="715"/>
    </row>
    <row r="9" spans="2:6" x14ac:dyDescent="0.3">
      <c r="B9" s="537" t="s">
        <v>9</v>
      </c>
      <c r="C9" s="539">
        <v>1</v>
      </c>
      <c r="D9" s="526" t="s">
        <v>10</v>
      </c>
      <c r="E9" s="540" t="s">
        <v>9</v>
      </c>
      <c r="F9" s="257" t="s">
        <v>251</v>
      </c>
    </row>
    <row r="10" spans="2:6" x14ac:dyDescent="0.3">
      <c r="B10" s="538" t="s">
        <v>11</v>
      </c>
      <c r="C10" s="539">
        <v>3</v>
      </c>
      <c r="D10" s="526" t="s">
        <v>12</v>
      </c>
      <c r="E10" s="541" t="s">
        <v>11</v>
      </c>
      <c r="F10" s="257" t="s">
        <v>252</v>
      </c>
    </row>
    <row r="11" spans="2:6" x14ac:dyDescent="0.3">
      <c r="B11" s="538" t="s">
        <v>13</v>
      </c>
      <c r="C11" s="539">
        <v>510</v>
      </c>
      <c r="D11" s="526" t="s">
        <v>14</v>
      </c>
      <c r="E11" s="541" t="s">
        <v>13</v>
      </c>
      <c r="F11" s="257" t="s">
        <v>254</v>
      </c>
    </row>
    <row r="12" spans="2:6" x14ac:dyDescent="0.3">
      <c r="B12" s="538" t="s">
        <v>15</v>
      </c>
      <c r="C12" s="539">
        <v>5</v>
      </c>
      <c r="D12" s="526" t="s">
        <v>16</v>
      </c>
      <c r="E12" s="541" t="s">
        <v>15</v>
      </c>
      <c r="F12" s="257" t="s">
        <v>252</v>
      </c>
    </row>
    <row r="13" spans="2:6" x14ac:dyDescent="0.3">
      <c r="B13" s="538" t="s">
        <v>17</v>
      </c>
      <c r="C13" s="539">
        <v>7</v>
      </c>
      <c r="D13" s="526" t="s">
        <v>18</v>
      </c>
      <c r="E13" s="541" t="s">
        <v>17</v>
      </c>
      <c r="F13" s="257" t="s">
        <v>253</v>
      </c>
    </row>
    <row r="14" spans="2:6" x14ac:dyDescent="0.3">
      <c r="B14" s="538" t="s">
        <v>19</v>
      </c>
      <c r="C14" s="539">
        <v>9</v>
      </c>
      <c r="D14" s="526" t="s">
        <v>20</v>
      </c>
      <c r="E14" s="541" t="s">
        <v>19</v>
      </c>
      <c r="F14" s="257" t="s">
        <v>252</v>
      </c>
    </row>
    <row r="15" spans="2:6" x14ac:dyDescent="0.3">
      <c r="B15" s="538" t="s">
        <v>21</v>
      </c>
      <c r="C15" s="539">
        <v>11</v>
      </c>
      <c r="D15" s="526" t="s">
        <v>22</v>
      </c>
      <c r="E15" s="541" t="s">
        <v>21</v>
      </c>
      <c r="F15" s="257" t="s">
        <v>252</v>
      </c>
    </row>
    <row r="16" spans="2:6" x14ac:dyDescent="0.3">
      <c r="B16" s="538" t="s">
        <v>23</v>
      </c>
      <c r="C16" s="539">
        <v>13</v>
      </c>
      <c r="D16" s="526" t="s">
        <v>24</v>
      </c>
      <c r="E16" s="541" t="s">
        <v>23</v>
      </c>
      <c r="F16" s="257" t="s">
        <v>254</v>
      </c>
    </row>
    <row r="17" spans="2:6" x14ac:dyDescent="0.3">
      <c r="B17" s="538" t="s">
        <v>25</v>
      </c>
      <c r="C17" s="539">
        <v>15</v>
      </c>
      <c r="D17" s="526" t="s">
        <v>444</v>
      </c>
      <c r="E17" s="541" t="s">
        <v>25</v>
      </c>
      <c r="F17" s="257" t="s">
        <v>252</v>
      </c>
    </row>
    <row r="18" spans="2:6" x14ac:dyDescent="0.3">
      <c r="B18" s="538" t="s">
        <v>26</v>
      </c>
      <c r="C18" s="539">
        <v>17</v>
      </c>
      <c r="D18" s="526" t="s">
        <v>27</v>
      </c>
      <c r="E18" s="541" t="s">
        <v>26</v>
      </c>
      <c r="F18" s="257" t="s">
        <v>252</v>
      </c>
    </row>
    <row r="19" spans="2:6" x14ac:dyDescent="0.3">
      <c r="B19" s="538" t="s">
        <v>28</v>
      </c>
      <c r="C19" s="539">
        <v>19</v>
      </c>
      <c r="D19" s="526" t="s">
        <v>568</v>
      </c>
      <c r="E19" s="541" t="s">
        <v>28</v>
      </c>
      <c r="F19" s="257" t="s">
        <v>255</v>
      </c>
    </row>
    <row r="20" spans="2:6" x14ac:dyDescent="0.3">
      <c r="B20" s="538" t="s">
        <v>29</v>
      </c>
      <c r="C20" s="539">
        <v>21</v>
      </c>
      <c r="D20" s="526" t="s">
        <v>30</v>
      </c>
      <c r="E20" s="541" t="s">
        <v>29</v>
      </c>
      <c r="F20" s="257" t="s">
        <v>252</v>
      </c>
    </row>
    <row r="21" spans="2:6" x14ac:dyDescent="0.3">
      <c r="B21" s="538" t="s">
        <v>31</v>
      </c>
      <c r="C21" s="539">
        <v>23</v>
      </c>
      <c r="D21" s="526" t="s">
        <v>32</v>
      </c>
      <c r="E21" s="541" t="s">
        <v>31</v>
      </c>
      <c r="F21" s="257" t="s">
        <v>255</v>
      </c>
    </row>
    <row r="22" spans="2:6" x14ac:dyDescent="0.3">
      <c r="B22" s="538" t="s">
        <v>33</v>
      </c>
      <c r="C22" s="539">
        <v>520</v>
      </c>
      <c r="D22" s="526" t="s">
        <v>34</v>
      </c>
      <c r="E22" s="541" t="s">
        <v>33</v>
      </c>
      <c r="F22" s="257" t="s">
        <v>251</v>
      </c>
    </row>
    <row r="23" spans="2:6" x14ac:dyDescent="0.3">
      <c r="B23" s="538" t="s">
        <v>35</v>
      </c>
      <c r="C23" s="539">
        <v>25</v>
      </c>
      <c r="D23" s="526" t="s">
        <v>36</v>
      </c>
      <c r="E23" s="541" t="s">
        <v>35</v>
      </c>
      <c r="F23" s="257" t="s">
        <v>255</v>
      </c>
    </row>
    <row r="24" spans="2:6" x14ac:dyDescent="0.3">
      <c r="B24" s="538" t="s">
        <v>37</v>
      </c>
      <c r="C24" s="539">
        <v>27</v>
      </c>
      <c r="D24" s="526" t="s">
        <v>38</v>
      </c>
      <c r="E24" s="541" t="s">
        <v>37</v>
      </c>
      <c r="F24" s="257" t="s">
        <v>253</v>
      </c>
    </row>
    <row r="25" spans="2:6" x14ac:dyDescent="0.3">
      <c r="B25" s="538" t="s">
        <v>39</v>
      </c>
      <c r="C25" s="539">
        <v>29</v>
      </c>
      <c r="D25" s="526" t="s">
        <v>40</v>
      </c>
      <c r="E25" s="541" t="s">
        <v>39</v>
      </c>
      <c r="F25" s="257" t="s">
        <v>252</v>
      </c>
    </row>
    <row r="26" spans="2:6" x14ac:dyDescent="0.3">
      <c r="B26" s="538" t="s">
        <v>41</v>
      </c>
      <c r="C26" s="539">
        <v>31</v>
      </c>
      <c r="D26" s="526" t="s">
        <v>42</v>
      </c>
      <c r="E26" s="541" t="s">
        <v>41</v>
      </c>
      <c r="F26" s="257" t="s">
        <v>253</v>
      </c>
    </row>
    <row r="27" spans="2:6" x14ac:dyDescent="0.3">
      <c r="B27" s="538" t="s">
        <v>43</v>
      </c>
      <c r="C27" s="539">
        <v>33</v>
      </c>
      <c r="D27" s="526" t="s">
        <v>44</v>
      </c>
      <c r="E27" s="541" t="s">
        <v>43</v>
      </c>
      <c r="F27" s="257" t="s">
        <v>255</v>
      </c>
    </row>
    <row r="28" spans="2:6" x14ac:dyDescent="0.3">
      <c r="B28" s="538" t="s">
        <v>45</v>
      </c>
      <c r="C28" s="539">
        <v>35</v>
      </c>
      <c r="D28" s="526" t="s">
        <v>46</v>
      </c>
      <c r="E28" s="541" t="s">
        <v>45</v>
      </c>
      <c r="F28" s="257" t="s">
        <v>253</v>
      </c>
    </row>
    <row r="29" spans="2:6" x14ac:dyDescent="0.3">
      <c r="B29" s="538" t="s">
        <v>47</v>
      </c>
      <c r="C29" s="539">
        <v>36</v>
      </c>
      <c r="D29" s="526" t="s">
        <v>256</v>
      </c>
      <c r="E29" s="541" t="s">
        <v>47</v>
      </c>
      <c r="F29" s="257" t="s">
        <v>252</v>
      </c>
    </row>
    <row r="30" spans="2:6" x14ac:dyDescent="0.3">
      <c r="B30" s="538" t="s">
        <v>49</v>
      </c>
      <c r="C30" s="539">
        <v>37</v>
      </c>
      <c r="D30" s="526" t="s">
        <v>50</v>
      </c>
      <c r="E30" s="541" t="s">
        <v>49</v>
      </c>
      <c r="F30" s="257" t="s">
        <v>252</v>
      </c>
    </row>
    <row r="31" spans="2:6" x14ac:dyDescent="0.3">
      <c r="B31" s="538" t="s">
        <v>51</v>
      </c>
      <c r="C31" s="539">
        <v>540</v>
      </c>
      <c r="D31" s="526" t="s">
        <v>52</v>
      </c>
      <c r="E31" s="541" t="s">
        <v>51</v>
      </c>
      <c r="F31" s="257" t="s">
        <v>251</v>
      </c>
    </row>
    <row r="32" spans="2:6" x14ac:dyDescent="0.3">
      <c r="B32" s="538" t="s">
        <v>53</v>
      </c>
      <c r="C32" s="539">
        <v>550</v>
      </c>
      <c r="D32" s="526" t="s">
        <v>54</v>
      </c>
      <c r="E32" s="541" t="s">
        <v>53</v>
      </c>
      <c r="F32" s="257" t="s">
        <v>253</v>
      </c>
    </row>
    <row r="33" spans="2:6" x14ac:dyDescent="0.3">
      <c r="B33" s="538" t="s">
        <v>55</v>
      </c>
      <c r="C33" s="539">
        <v>41</v>
      </c>
      <c r="D33" s="526" t="s">
        <v>56</v>
      </c>
      <c r="E33" s="541" t="s">
        <v>55</v>
      </c>
      <c r="F33" s="257" t="s">
        <v>254</v>
      </c>
    </row>
    <row r="34" spans="2:6" x14ac:dyDescent="0.3">
      <c r="B34" s="538" t="s">
        <v>57</v>
      </c>
      <c r="C34" s="539">
        <v>43</v>
      </c>
      <c r="D34" s="526" t="s">
        <v>58</v>
      </c>
      <c r="E34" s="541" t="s">
        <v>57</v>
      </c>
      <c r="F34" s="257" t="s">
        <v>252</v>
      </c>
    </row>
    <row r="35" spans="2:6" x14ac:dyDescent="0.3">
      <c r="B35" s="538" t="s">
        <v>59</v>
      </c>
      <c r="C35" s="539">
        <v>45</v>
      </c>
      <c r="D35" s="526" t="s">
        <v>60</v>
      </c>
      <c r="E35" s="541" t="s">
        <v>59</v>
      </c>
      <c r="F35" s="257" t="s">
        <v>254</v>
      </c>
    </row>
    <row r="36" spans="2:6" x14ac:dyDescent="0.3">
      <c r="B36" s="538" t="s">
        <v>61</v>
      </c>
      <c r="C36" s="539">
        <v>47</v>
      </c>
      <c r="D36" s="526" t="s">
        <v>62</v>
      </c>
      <c r="E36" s="541" t="s">
        <v>61</v>
      </c>
      <c r="F36" s="257" t="s">
        <v>253</v>
      </c>
    </row>
    <row r="37" spans="2:6" x14ac:dyDescent="0.3">
      <c r="B37" s="538" t="s">
        <v>63</v>
      </c>
      <c r="C37" s="539">
        <v>49</v>
      </c>
      <c r="D37" s="526" t="s">
        <v>64</v>
      </c>
      <c r="E37" s="541" t="s">
        <v>63</v>
      </c>
      <c r="F37" s="257" t="s">
        <v>252</v>
      </c>
    </row>
    <row r="38" spans="2:6" x14ac:dyDescent="0.3">
      <c r="B38" s="538" t="s">
        <v>65</v>
      </c>
      <c r="C38" s="539">
        <v>590</v>
      </c>
      <c r="D38" s="526" t="s">
        <v>66</v>
      </c>
      <c r="E38" s="541" t="s">
        <v>65</v>
      </c>
      <c r="F38" s="257" t="s">
        <v>255</v>
      </c>
    </row>
    <row r="39" spans="2:6" x14ac:dyDescent="0.3">
      <c r="B39" s="538" t="s">
        <v>67</v>
      </c>
      <c r="C39" s="539">
        <v>51</v>
      </c>
      <c r="D39" s="526" t="s">
        <v>68</v>
      </c>
      <c r="E39" s="541" t="s">
        <v>67</v>
      </c>
      <c r="F39" s="257" t="s">
        <v>251</v>
      </c>
    </row>
    <row r="40" spans="2:6" x14ac:dyDescent="0.3">
      <c r="B40" s="538" t="s">
        <v>69</v>
      </c>
      <c r="C40" s="539">
        <v>53</v>
      </c>
      <c r="D40" s="526" t="s">
        <v>70</v>
      </c>
      <c r="E40" s="541" t="s">
        <v>69</v>
      </c>
      <c r="F40" s="257" t="s">
        <v>253</v>
      </c>
    </row>
    <row r="41" spans="2:6" x14ac:dyDescent="0.3">
      <c r="B41" s="538" t="s">
        <v>71</v>
      </c>
      <c r="C41" s="539">
        <v>57</v>
      </c>
      <c r="D41" s="526" t="s">
        <v>72</v>
      </c>
      <c r="E41" s="541" t="s">
        <v>71</v>
      </c>
      <c r="F41" s="257" t="s">
        <v>254</v>
      </c>
    </row>
    <row r="42" spans="2:6" x14ac:dyDescent="0.3">
      <c r="B42" s="538" t="s">
        <v>73</v>
      </c>
      <c r="C42" s="539">
        <v>59</v>
      </c>
      <c r="D42" s="526" t="s">
        <v>430</v>
      </c>
      <c r="E42" s="541" t="s">
        <v>73</v>
      </c>
      <c r="F42" s="257" t="s">
        <v>254</v>
      </c>
    </row>
    <row r="43" spans="2:6" x14ac:dyDescent="0.3">
      <c r="B43" s="538" t="s">
        <v>75</v>
      </c>
      <c r="C43" s="539">
        <v>61</v>
      </c>
      <c r="D43" s="526" t="s">
        <v>76</v>
      </c>
      <c r="E43" s="541" t="s">
        <v>75</v>
      </c>
      <c r="F43" s="257" t="s">
        <v>255</v>
      </c>
    </row>
    <row r="44" spans="2:6" x14ac:dyDescent="0.3">
      <c r="B44" s="538" t="s">
        <v>77</v>
      </c>
      <c r="C44" s="539">
        <v>63</v>
      </c>
      <c r="D44" s="526" t="s">
        <v>78</v>
      </c>
      <c r="E44" s="541" t="s">
        <v>77</v>
      </c>
      <c r="F44" s="257" t="s">
        <v>253</v>
      </c>
    </row>
    <row r="45" spans="2:6" x14ac:dyDescent="0.3">
      <c r="B45" s="538" t="s">
        <v>79</v>
      </c>
      <c r="C45" s="539">
        <v>65</v>
      </c>
      <c r="D45" s="526" t="s">
        <v>80</v>
      </c>
      <c r="E45" s="541" t="s">
        <v>79</v>
      </c>
      <c r="F45" s="257" t="s">
        <v>251</v>
      </c>
    </row>
    <row r="46" spans="2:6" x14ac:dyDescent="0.3">
      <c r="B46" s="538" t="s">
        <v>81</v>
      </c>
      <c r="C46" s="539">
        <v>620</v>
      </c>
      <c r="D46" s="526" t="s">
        <v>82</v>
      </c>
      <c r="E46" s="541" t="s">
        <v>81</v>
      </c>
      <c r="F46" s="257" t="s">
        <v>252</v>
      </c>
    </row>
    <row r="47" spans="2:6" x14ac:dyDescent="0.3">
      <c r="B47" s="538" t="s">
        <v>83</v>
      </c>
      <c r="C47" s="539">
        <v>67</v>
      </c>
      <c r="D47" s="526" t="s">
        <v>84</v>
      </c>
      <c r="E47" s="541" t="s">
        <v>83</v>
      </c>
      <c r="F47" s="257" t="s">
        <v>254</v>
      </c>
    </row>
    <row r="48" spans="2:6" x14ac:dyDescent="0.3">
      <c r="B48" s="538" t="s">
        <v>85</v>
      </c>
      <c r="C48" s="539">
        <v>69</v>
      </c>
      <c r="D48" s="526" t="s">
        <v>86</v>
      </c>
      <c r="E48" s="541" t="s">
        <v>85</v>
      </c>
      <c r="F48" s="257" t="s">
        <v>254</v>
      </c>
    </row>
    <row r="49" spans="2:6" x14ac:dyDescent="0.3">
      <c r="B49" s="538" t="s">
        <v>87</v>
      </c>
      <c r="C49" s="539">
        <v>630</v>
      </c>
      <c r="D49" s="526" t="s">
        <v>88</v>
      </c>
      <c r="E49" s="541" t="s">
        <v>87</v>
      </c>
      <c r="F49" s="257" t="s">
        <v>255</v>
      </c>
    </row>
    <row r="50" spans="2:6" x14ac:dyDescent="0.3">
      <c r="B50" s="538" t="s">
        <v>89</v>
      </c>
      <c r="C50" s="539">
        <v>640</v>
      </c>
      <c r="D50" s="526" t="s">
        <v>90</v>
      </c>
      <c r="E50" s="541" t="s">
        <v>89</v>
      </c>
      <c r="F50" s="257" t="s">
        <v>255</v>
      </c>
    </row>
    <row r="51" spans="2:6" x14ac:dyDescent="0.3">
      <c r="B51" s="538" t="s">
        <v>91</v>
      </c>
      <c r="C51" s="539">
        <v>71</v>
      </c>
      <c r="D51" s="526" t="s">
        <v>92</v>
      </c>
      <c r="E51" s="541" t="s">
        <v>91</v>
      </c>
      <c r="F51" s="257" t="s">
        <v>251</v>
      </c>
    </row>
    <row r="52" spans="2:6" x14ac:dyDescent="0.3">
      <c r="B52" s="538" t="s">
        <v>93</v>
      </c>
      <c r="C52" s="539">
        <v>73</v>
      </c>
      <c r="D52" s="526" t="s">
        <v>94</v>
      </c>
      <c r="E52" s="541" t="s">
        <v>93</v>
      </c>
      <c r="F52" s="257" t="s">
        <v>253</v>
      </c>
    </row>
    <row r="53" spans="2:6" x14ac:dyDescent="0.3">
      <c r="B53" s="538" t="s">
        <v>95</v>
      </c>
      <c r="C53" s="539">
        <v>75</v>
      </c>
      <c r="D53" s="526" t="s">
        <v>96</v>
      </c>
      <c r="E53" s="541" t="s">
        <v>95</v>
      </c>
      <c r="F53" s="257" t="s">
        <v>255</v>
      </c>
    </row>
    <row r="54" spans="2:6" x14ac:dyDescent="0.3">
      <c r="B54" s="538" t="s">
        <v>97</v>
      </c>
      <c r="C54" s="539">
        <v>77</v>
      </c>
      <c r="D54" s="526" t="s">
        <v>98</v>
      </c>
      <c r="E54" s="541" t="s">
        <v>97</v>
      </c>
      <c r="F54" s="257" t="s">
        <v>254</v>
      </c>
    </row>
    <row r="55" spans="2:6" x14ac:dyDescent="0.3">
      <c r="B55" s="538" t="s">
        <v>99</v>
      </c>
      <c r="C55" s="539">
        <v>79</v>
      </c>
      <c r="D55" s="526" t="s">
        <v>100</v>
      </c>
      <c r="E55" s="541" t="s">
        <v>99</v>
      </c>
      <c r="F55" s="257" t="s">
        <v>251</v>
      </c>
    </row>
    <row r="56" spans="2:6" x14ac:dyDescent="0.3">
      <c r="B56" s="538" t="s">
        <v>101</v>
      </c>
      <c r="C56" s="539">
        <v>81</v>
      </c>
      <c r="D56" s="526" t="s">
        <v>102</v>
      </c>
      <c r="E56" s="541" t="s">
        <v>101</v>
      </c>
      <c r="F56" s="257" t="s">
        <v>252</v>
      </c>
    </row>
    <row r="57" spans="2:6" x14ac:dyDescent="0.3">
      <c r="B57" s="538" t="s">
        <v>103</v>
      </c>
      <c r="C57" s="539">
        <v>83</v>
      </c>
      <c r="D57" s="526" t="s">
        <v>104</v>
      </c>
      <c r="E57" s="541" t="s">
        <v>103</v>
      </c>
      <c r="F57" s="257" t="s">
        <v>251</v>
      </c>
    </row>
    <row r="58" spans="2:6" x14ac:dyDescent="0.3">
      <c r="B58" s="538" t="s">
        <v>105</v>
      </c>
      <c r="C58" s="539">
        <v>650</v>
      </c>
      <c r="D58" s="526" t="s">
        <v>106</v>
      </c>
      <c r="E58" s="541" t="s">
        <v>105</v>
      </c>
      <c r="F58" s="257" t="s">
        <v>253</v>
      </c>
    </row>
    <row r="59" spans="2:6" x14ac:dyDescent="0.3">
      <c r="B59" s="538" t="s">
        <v>107</v>
      </c>
      <c r="C59" s="539">
        <v>85</v>
      </c>
      <c r="D59" s="526" t="s">
        <v>108</v>
      </c>
      <c r="E59" s="541" t="s">
        <v>107</v>
      </c>
      <c r="F59" s="257" t="s">
        <v>254</v>
      </c>
    </row>
    <row r="60" spans="2:6" x14ac:dyDescent="0.3">
      <c r="B60" s="538" t="s">
        <v>109</v>
      </c>
      <c r="C60" s="539">
        <v>87</v>
      </c>
      <c r="D60" s="526" t="s">
        <v>110</v>
      </c>
      <c r="E60" s="541" t="s">
        <v>109</v>
      </c>
      <c r="F60" s="257" t="s">
        <v>253</v>
      </c>
    </row>
    <row r="61" spans="2:6" x14ac:dyDescent="0.3">
      <c r="B61" s="538" t="s">
        <v>111</v>
      </c>
      <c r="C61" s="539">
        <v>89</v>
      </c>
      <c r="D61" s="526" t="s">
        <v>112</v>
      </c>
      <c r="E61" s="541" t="s">
        <v>111</v>
      </c>
      <c r="F61" s="257" t="s">
        <v>252</v>
      </c>
    </row>
    <row r="62" spans="2:6" x14ac:dyDescent="0.3">
      <c r="B62" s="538" t="s">
        <v>113</v>
      </c>
      <c r="C62" s="539">
        <v>91</v>
      </c>
      <c r="D62" s="526" t="s">
        <v>114</v>
      </c>
      <c r="E62" s="541" t="s">
        <v>113</v>
      </c>
      <c r="F62" s="257" t="s">
        <v>252</v>
      </c>
    </row>
    <row r="63" spans="2:6" x14ac:dyDescent="0.3">
      <c r="B63" s="538" t="s">
        <v>115</v>
      </c>
      <c r="C63" s="539">
        <v>670</v>
      </c>
      <c r="D63" s="526" t="s">
        <v>116</v>
      </c>
      <c r="E63" s="541" t="s">
        <v>115</v>
      </c>
      <c r="F63" s="257" t="s">
        <v>253</v>
      </c>
    </row>
    <row r="64" spans="2:6" x14ac:dyDescent="0.3">
      <c r="B64" s="538" t="s">
        <v>117</v>
      </c>
      <c r="C64" s="539">
        <v>93</v>
      </c>
      <c r="D64" s="526" t="s">
        <v>118</v>
      </c>
      <c r="E64" s="541" t="s">
        <v>117</v>
      </c>
      <c r="F64" s="257" t="s">
        <v>251</v>
      </c>
    </row>
    <row r="65" spans="2:6" x14ac:dyDescent="0.3">
      <c r="B65" s="538" t="s">
        <v>119</v>
      </c>
      <c r="C65" s="539">
        <v>95</v>
      </c>
      <c r="D65" s="526" t="s">
        <v>120</v>
      </c>
      <c r="E65" s="541" t="s">
        <v>119</v>
      </c>
      <c r="F65" s="257" t="s">
        <v>251</v>
      </c>
    </row>
    <row r="66" spans="2:6" x14ac:dyDescent="0.3">
      <c r="B66" s="538" t="s">
        <v>121</v>
      </c>
      <c r="C66" s="539">
        <v>97</v>
      </c>
      <c r="D66" s="526" t="s">
        <v>122</v>
      </c>
      <c r="E66" s="541" t="s">
        <v>121</v>
      </c>
      <c r="F66" s="257" t="s">
        <v>253</v>
      </c>
    </row>
    <row r="67" spans="2:6" x14ac:dyDescent="0.3">
      <c r="B67" s="538" t="s">
        <v>123</v>
      </c>
      <c r="C67" s="539">
        <v>99</v>
      </c>
      <c r="D67" s="526" t="s">
        <v>124</v>
      </c>
      <c r="E67" s="541" t="s">
        <v>123</v>
      </c>
      <c r="F67" s="257" t="s">
        <v>254</v>
      </c>
    </row>
    <row r="68" spans="2:6" x14ac:dyDescent="0.3">
      <c r="B68" s="538" t="s">
        <v>125</v>
      </c>
      <c r="C68" s="539">
        <v>101</v>
      </c>
      <c r="D68" s="526" t="s">
        <v>126</v>
      </c>
      <c r="E68" s="541" t="s">
        <v>125</v>
      </c>
      <c r="F68" s="257" t="s">
        <v>253</v>
      </c>
    </row>
    <row r="69" spans="2:6" x14ac:dyDescent="0.3">
      <c r="B69" s="538" t="s">
        <v>127</v>
      </c>
      <c r="C69" s="539">
        <v>103</v>
      </c>
      <c r="D69" s="526" t="s">
        <v>128</v>
      </c>
      <c r="E69" s="541" t="s">
        <v>127</v>
      </c>
      <c r="F69" s="257" t="s">
        <v>253</v>
      </c>
    </row>
    <row r="70" spans="2:6" x14ac:dyDescent="0.3">
      <c r="B70" s="538" t="s">
        <v>129</v>
      </c>
      <c r="C70" s="539">
        <v>105</v>
      </c>
      <c r="D70" s="526" t="s">
        <v>130</v>
      </c>
      <c r="E70" s="541" t="s">
        <v>129</v>
      </c>
      <c r="F70" s="257" t="s">
        <v>255</v>
      </c>
    </row>
    <row r="71" spans="2:6" x14ac:dyDescent="0.3">
      <c r="B71" s="538" t="s">
        <v>131</v>
      </c>
      <c r="C71" s="539">
        <v>107</v>
      </c>
      <c r="D71" s="526" t="s">
        <v>132</v>
      </c>
      <c r="E71" s="541" t="s">
        <v>131</v>
      </c>
      <c r="F71" s="257" t="s">
        <v>254</v>
      </c>
    </row>
    <row r="72" spans="2:6" x14ac:dyDescent="0.3">
      <c r="B72" s="538" t="s">
        <v>133</v>
      </c>
      <c r="C72" s="539">
        <v>109</v>
      </c>
      <c r="D72" s="526" t="s">
        <v>134</v>
      </c>
      <c r="E72" s="541" t="s">
        <v>133</v>
      </c>
      <c r="F72" s="257" t="s">
        <v>254</v>
      </c>
    </row>
    <row r="73" spans="2:6" x14ac:dyDescent="0.3">
      <c r="B73" s="538" t="s">
        <v>135</v>
      </c>
      <c r="C73" s="539">
        <v>111</v>
      </c>
      <c r="D73" s="526" t="s">
        <v>136</v>
      </c>
      <c r="E73" s="541" t="s">
        <v>135</v>
      </c>
      <c r="F73" s="257" t="s">
        <v>253</v>
      </c>
    </row>
    <row r="74" spans="2:6" x14ac:dyDescent="0.3">
      <c r="B74" s="538" t="s">
        <v>137</v>
      </c>
      <c r="C74" s="539">
        <v>680</v>
      </c>
      <c r="D74" s="526" t="s">
        <v>138</v>
      </c>
      <c r="E74" s="541" t="s">
        <v>137</v>
      </c>
      <c r="F74" s="257" t="s">
        <v>252</v>
      </c>
    </row>
    <row r="75" spans="2:6" x14ac:dyDescent="0.3">
      <c r="B75" s="538" t="s">
        <v>139</v>
      </c>
      <c r="C75" s="539">
        <v>113</v>
      </c>
      <c r="D75" s="526" t="s">
        <v>140</v>
      </c>
      <c r="E75" s="541" t="s">
        <v>139</v>
      </c>
      <c r="F75" s="257" t="s">
        <v>254</v>
      </c>
    </row>
    <row r="76" spans="2:6" x14ac:dyDescent="0.3">
      <c r="B76" s="538" t="s">
        <v>141</v>
      </c>
      <c r="C76" s="539">
        <v>683</v>
      </c>
      <c r="D76" s="526" t="s">
        <v>142</v>
      </c>
      <c r="E76" s="541" t="s">
        <v>141</v>
      </c>
      <c r="F76" s="257" t="s">
        <v>254</v>
      </c>
    </row>
    <row r="77" spans="2:6" x14ac:dyDescent="0.3">
      <c r="B77" s="538" t="s">
        <v>143</v>
      </c>
      <c r="C77" s="539">
        <v>685</v>
      </c>
      <c r="D77" s="526" t="s">
        <v>144</v>
      </c>
      <c r="E77" s="541" t="s">
        <v>143</v>
      </c>
      <c r="F77" s="257" t="s">
        <v>254</v>
      </c>
    </row>
    <row r="78" spans="2:6" x14ac:dyDescent="0.3">
      <c r="B78" s="538" t="s">
        <v>145</v>
      </c>
      <c r="C78" s="539">
        <v>115</v>
      </c>
      <c r="D78" s="526" t="s">
        <v>146</v>
      </c>
      <c r="E78" s="541" t="s">
        <v>145</v>
      </c>
      <c r="F78" s="257" t="s">
        <v>251</v>
      </c>
    </row>
    <row r="79" spans="2:6" x14ac:dyDescent="0.3">
      <c r="B79" s="538" t="s">
        <v>147</v>
      </c>
      <c r="C79" s="539">
        <v>117</v>
      </c>
      <c r="D79" s="526" t="s">
        <v>148</v>
      </c>
      <c r="E79" s="541" t="s">
        <v>147</v>
      </c>
      <c r="F79" s="257" t="s">
        <v>252</v>
      </c>
    </row>
    <row r="80" spans="2:6" x14ac:dyDescent="0.3">
      <c r="B80" s="538" t="s">
        <v>149</v>
      </c>
      <c r="C80" s="539">
        <v>119</v>
      </c>
      <c r="D80" s="526" t="s">
        <v>150</v>
      </c>
      <c r="E80" s="541" t="s">
        <v>149</v>
      </c>
      <c r="F80" s="257" t="s">
        <v>253</v>
      </c>
    </row>
    <row r="81" spans="2:6" x14ac:dyDescent="0.3">
      <c r="B81" s="538" t="s">
        <v>151</v>
      </c>
      <c r="C81" s="539">
        <v>121</v>
      </c>
      <c r="D81" s="526" t="s">
        <v>152</v>
      </c>
      <c r="E81" s="541" t="s">
        <v>151</v>
      </c>
      <c r="F81" s="257" t="s">
        <v>255</v>
      </c>
    </row>
    <row r="82" spans="2:6" x14ac:dyDescent="0.3">
      <c r="B82" s="538" t="s">
        <v>153</v>
      </c>
      <c r="C82" s="539">
        <v>125</v>
      </c>
      <c r="D82" s="526" t="s">
        <v>154</v>
      </c>
      <c r="E82" s="541" t="s">
        <v>153</v>
      </c>
      <c r="F82" s="257" t="s">
        <v>252</v>
      </c>
    </row>
    <row r="83" spans="2:6" x14ac:dyDescent="0.3">
      <c r="B83" s="538" t="s">
        <v>155</v>
      </c>
      <c r="C83" s="539">
        <v>127</v>
      </c>
      <c r="D83" s="526" t="s">
        <v>156</v>
      </c>
      <c r="E83" s="541" t="s">
        <v>155</v>
      </c>
      <c r="F83" s="257" t="s">
        <v>253</v>
      </c>
    </row>
    <row r="84" spans="2:6" x14ac:dyDescent="0.3">
      <c r="B84" s="542" t="s">
        <v>157</v>
      </c>
      <c r="C84" s="543">
        <v>700</v>
      </c>
      <c r="D84" s="526" t="s">
        <v>158</v>
      </c>
      <c r="E84" s="543" t="s">
        <v>157</v>
      </c>
      <c r="F84" s="257" t="s">
        <v>251</v>
      </c>
    </row>
    <row r="85" spans="2:6" x14ac:dyDescent="0.3">
      <c r="B85" s="538" t="s">
        <v>159</v>
      </c>
      <c r="C85" s="539">
        <v>710</v>
      </c>
      <c r="D85" s="526" t="s">
        <v>160</v>
      </c>
      <c r="E85" s="541" t="s">
        <v>159</v>
      </c>
      <c r="F85" s="257" t="s">
        <v>251</v>
      </c>
    </row>
    <row r="86" spans="2:6" x14ac:dyDescent="0.3">
      <c r="B86" s="538" t="s">
        <v>161</v>
      </c>
      <c r="C86" s="539">
        <v>131</v>
      </c>
      <c r="D86" s="526" t="s">
        <v>162</v>
      </c>
      <c r="E86" s="541" t="s">
        <v>161</v>
      </c>
      <c r="F86" s="257" t="s">
        <v>251</v>
      </c>
    </row>
    <row r="87" spans="2:6" x14ac:dyDescent="0.3">
      <c r="B87" s="538" t="s">
        <v>163</v>
      </c>
      <c r="C87" s="539">
        <v>133</v>
      </c>
      <c r="D87" s="526" t="s">
        <v>164</v>
      </c>
      <c r="E87" s="541" t="s">
        <v>163</v>
      </c>
      <c r="F87" s="257" t="s">
        <v>253</v>
      </c>
    </row>
    <row r="88" spans="2:6" x14ac:dyDescent="0.3">
      <c r="B88" s="538" t="s">
        <v>165</v>
      </c>
      <c r="C88" s="539">
        <v>720</v>
      </c>
      <c r="D88" s="526" t="s">
        <v>166</v>
      </c>
      <c r="E88" s="541" t="s">
        <v>165</v>
      </c>
      <c r="F88" s="257" t="s">
        <v>255</v>
      </c>
    </row>
    <row r="89" spans="2:6" x14ac:dyDescent="0.3">
      <c r="B89" s="538" t="s">
        <v>167</v>
      </c>
      <c r="C89" s="539">
        <v>135</v>
      </c>
      <c r="D89" s="526" t="s">
        <v>168</v>
      </c>
      <c r="E89" s="541" t="s">
        <v>167</v>
      </c>
      <c r="F89" s="257" t="s">
        <v>253</v>
      </c>
    </row>
    <row r="90" spans="2:6" x14ac:dyDescent="0.3">
      <c r="B90" s="538" t="s">
        <v>169</v>
      </c>
      <c r="C90" s="539">
        <v>137</v>
      </c>
      <c r="D90" s="526" t="s">
        <v>170</v>
      </c>
      <c r="E90" s="541" t="s">
        <v>169</v>
      </c>
      <c r="F90" s="257" t="s">
        <v>254</v>
      </c>
    </row>
    <row r="91" spans="2:6" x14ac:dyDescent="0.3">
      <c r="B91" s="538" t="s">
        <v>171</v>
      </c>
      <c r="C91" s="539">
        <v>139</v>
      </c>
      <c r="D91" s="526" t="s">
        <v>172</v>
      </c>
      <c r="E91" s="541" t="s">
        <v>171</v>
      </c>
      <c r="F91" s="257" t="s">
        <v>254</v>
      </c>
    </row>
    <row r="92" spans="2:6" x14ac:dyDescent="0.3">
      <c r="B92" s="538" t="s">
        <v>173</v>
      </c>
      <c r="C92" s="539">
        <v>141</v>
      </c>
      <c r="D92" s="526" t="s">
        <v>174</v>
      </c>
      <c r="E92" s="541" t="s">
        <v>173</v>
      </c>
      <c r="F92" s="257" t="s">
        <v>255</v>
      </c>
    </row>
    <row r="93" spans="2:6" x14ac:dyDescent="0.3">
      <c r="B93" s="538" t="s">
        <v>175</v>
      </c>
      <c r="C93" s="539">
        <v>730</v>
      </c>
      <c r="D93" s="526" t="s">
        <v>176</v>
      </c>
      <c r="E93" s="541" t="s">
        <v>175</v>
      </c>
      <c r="F93" s="257" t="s">
        <v>253</v>
      </c>
    </row>
    <row r="94" spans="2:6" x14ac:dyDescent="0.3">
      <c r="B94" s="538" t="s">
        <v>177</v>
      </c>
      <c r="C94" s="539">
        <v>143</v>
      </c>
      <c r="D94" s="526" t="s">
        <v>178</v>
      </c>
      <c r="E94" s="541" t="s">
        <v>177</v>
      </c>
      <c r="F94" s="257" t="s">
        <v>252</v>
      </c>
    </row>
    <row r="95" spans="2:6" x14ac:dyDescent="0.3">
      <c r="B95" s="538" t="s">
        <v>179</v>
      </c>
      <c r="C95" s="539">
        <v>740</v>
      </c>
      <c r="D95" s="526" t="s">
        <v>180</v>
      </c>
      <c r="E95" s="541" t="s">
        <v>179</v>
      </c>
      <c r="F95" s="257" t="s">
        <v>251</v>
      </c>
    </row>
    <row r="96" spans="2:6" x14ac:dyDescent="0.3">
      <c r="B96" s="538" t="s">
        <v>181</v>
      </c>
      <c r="C96" s="539">
        <v>145</v>
      </c>
      <c r="D96" s="526" t="s">
        <v>182</v>
      </c>
      <c r="E96" s="541" t="s">
        <v>181</v>
      </c>
      <c r="F96" s="257" t="s">
        <v>253</v>
      </c>
    </row>
    <row r="97" spans="2:6" x14ac:dyDescent="0.3">
      <c r="B97" s="538" t="s">
        <v>183</v>
      </c>
      <c r="C97" s="539">
        <v>147</v>
      </c>
      <c r="D97" s="526" t="s">
        <v>184</v>
      </c>
      <c r="E97" s="541" t="s">
        <v>183</v>
      </c>
      <c r="F97" s="257" t="s">
        <v>253</v>
      </c>
    </row>
    <row r="98" spans="2:6" x14ac:dyDescent="0.3">
      <c r="B98" s="538" t="s">
        <v>185</v>
      </c>
      <c r="C98" s="539">
        <v>149</v>
      </c>
      <c r="D98" s="526" t="s">
        <v>186</v>
      </c>
      <c r="E98" s="541" t="s">
        <v>185</v>
      </c>
      <c r="F98" s="257" t="s">
        <v>251</v>
      </c>
    </row>
    <row r="99" spans="2:6" x14ac:dyDescent="0.3">
      <c r="B99" s="538" t="s">
        <v>187</v>
      </c>
      <c r="C99" s="539">
        <v>153</v>
      </c>
      <c r="D99" s="526" t="s">
        <v>188</v>
      </c>
      <c r="E99" s="541" t="s">
        <v>187</v>
      </c>
      <c r="F99" s="257" t="s">
        <v>254</v>
      </c>
    </row>
    <row r="100" spans="2:6" x14ac:dyDescent="0.3">
      <c r="B100" s="538" t="s">
        <v>189</v>
      </c>
      <c r="C100" s="539">
        <v>155</v>
      </c>
      <c r="D100" s="526" t="s">
        <v>190</v>
      </c>
      <c r="E100" s="541" t="s">
        <v>189</v>
      </c>
      <c r="F100" s="257" t="s">
        <v>255</v>
      </c>
    </row>
    <row r="101" spans="2:6" x14ac:dyDescent="0.3">
      <c r="B101" s="538" t="s">
        <v>191</v>
      </c>
      <c r="C101" s="539">
        <v>750</v>
      </c>
      <c r="D101" s="526" t="s">
        <v>192</v>
      </c>
      <c r="E101" s="541" t="s">
        <v>191</v>
      </c>
      <c r="F101" s="257" t="s">
        <v>255</v>
      </c>
    </row>
    <row r="102" spans="2:6" x14ac:dyDescent="0.3">
      <c r="B102" s="538" t="s">
        <v>193</v>
      </c>
      <c r="C102" s="539">
        <v>157</v>
      </c>
      <c r="D102" s="526" t="s">
        <v>194</v>
      </c>
      <c r="E102" s="541" t="s">
        <v>193</v>
      </c>
      <c r="F102" s="257" t="s">
        <v>254</v>
      </c>
    </row>
    <row r="103" spans="2:6" x14ac:dyDescent="0.3">
      <c r="B103" s="538" t="s">
        <v>195</v>
      </c>
      <c r="C103" s="539">
        <v>760</v>
      </c>
      <c r="D103" s="526" t="s">
        <v>196</v>
      </c>
      <c r="E103" s="541" t="s">
        <v>195</v>
      </c>
      <c r="F103" s="257" t="s">
        <v>253</v>
      </c>
    </row>
    <row r="104" spans="2:6" x14ac:dyDescent="0.3">
      <c r="B104" s="538" t="s">
        <v>197</v>
      </c>
      <c r="C104" s="539">
        <v>159</v>
      </c>
      <c r="D104" s="526" t="s">
        <v>259</v>
      </c>
      <c r="E104" s="541" t="s">
        <v>197</v>
      </c>
      <c r="F104" s="257" t="s">
        <v>253</v>
      </c>
    </row>
    <row r="105" spans="2:6" x14ac:dyDescent="0.3">
      <c r="B105" s="538" t="s">
        <v>199</v>
      </c>
      <c r="C105" s="539">
        <v>770</v>
      </c>
      <c r="D105" s="526" t="s">
        <v>200</v>
      </c>
      <c r="E105" s="541" t="s">
        <v>199</v>
      </c>
      <c r="F105" s="257" t="s">
        <v>252</v>
      </c>
    </row>
    <row r="106" spans="2:6" x14ac:dyDescent="0.3">
      <c r="B106" s="538" t="s">
        <v>201</v>
      </c>
      <c r="C106" s="539">
        <v>161</v>
      </c>
      <c r="D106" s="526" t="s">
        <v>202</v>
      </c>
      <c r="E106" s="541" t="s">
        <v>201</v>
      </c>
      <c r="F106" s="257" t="s">
        <v>252</v>
      </c>
    </row>
    <row r="107" spans="2:6" x14ac:dyDescent="0.3">
      <c r="B107" s="538" t="s">
        <v>203</v>
      </c>
      <c r="C107" s="539">
        <v>163</v>
      </c>
      <c r="D107" s="526" t="s">
        <v>204</v>
      </c>
      <c r="E107" s="541" t="s">
        <v>203</v>
      </c>
      <c r="F107" s="257" t="s">
        <v>252</v>
      </c>
    </row>
    <row r="108" spans="2:6" x14ac:dyDescent="0.3">
      <c r="B108" s="538" t="s">
        <v>205</v>
      </c>
      <c r="C108" s="539">
        <v>165</v>
      </c>
      <c r="D108" s="526" t="s">
        <v>206</v>
      </c>
      <c r="E108" s="541" t="s">
        <v>205</v>
      </c>
      <c r="F108" s="257" t="s">
        <v>255</v>
      </c>
    </row>
    <row r="109" spans="2:6" x14ac:dyDescent="0.3">
      <c r="B109" s="538" t="s">
        <v>207</v>
      </c>
      <c r="C109" s="539">
        <v>167</v>
      </c>
      <c r="D109" s="526" t="s">
        <v>208</v>
      </c>
      <c r="E109" s="541" t="s">
        <v>207</v>
      </c>
      <c r="F109" s="257" t="s">
        <v>255</v>
      </c>
    </row>
    <row r="110" spans="2:6" x14ac:dyDescent="0.3">
      <c r="B110" s="538" t="s">
        <v>209</v>
      </c>
      <c r="C110" s="539">
        <v>169</v>
      </c>
      <c r="D110" s="526" t="s">
        <v>210</v>
      </c>
      <c r="E110" s="541" t="s">
        <v>209</v>
      </c>
      <c r="F110" s="257" t="s">
        <v>254</v>
      </c>
    </row>
    <row r="111" spans="2:6" x14ac:dyDescent="0.3">
      <c r="B111" s="538" t="s">
        <v>211</v>
      </c>
      <c r="C111" s="539">
        <v>171</v>
      </c>
      <c r="D111" s="526" t="s">
        <v>212</v>
      </c>
      <c r="E111" s="541" t="s">
        <v>211</v>
      </c>
      <c r="F111" s="257" t="s">
        <v>252</v>
      </c>
    </row>
    <row r="112" spans="2:6" x14ac:dyDescent="0.3">
      <c r="B112" s="538" t="s">
        <v>213</v>
      </c>
      <c r="C112" s="539">
        <v>173</v>
      </c>
      <c r="D112" s="526" t="s">
        <v>214</v>
      </c>
      <c r="E112" s="541" t="s">
        <v>213</v>
      </c>
      <c r="F112" s="257" t="s">
        <v>255</v>
      </c>
    </row>
    <row r="113" spans="2:6" x14ac:dyDescent="0.3">
      <c r="B113" s="538" t="s">
        <v>215</v>
      </c>
      <c r="C113" s="539">
        <v>175</v>
      </c>
      <c r="D113" s="526" t="s">
        <v>216</v>
      </c>
      <c r="E113" s="541" t="s">
        <v>215</v>
      </c>
      <c r="F113" s="257" t="s">
        <v>251</v>
      </c>
    </row>
    <row r="114" spans="2:6" x14ac:dyDescent="0.3">
      <c r="B114" s="538" t="s">
        <v>217</v>
      </c>
      <c r="C114" s="539">
        <v>177</v>
      </c>
      <c r="D114" s="526" t="s">
        <v>218</v>
      </c>
      <c r="E114" s="541" t="s">
        <v>217</v>
      </c>
      <c r="F114" s="257" t="s">
        <v>254</v>
      </c>
    </row>
    <row r="115" spans="2:6" x14ac:dyDescent="0.3">
      <c r="B115" s="538" t="s">
        <v>219</v>
      </c>
      <c r="C115" s="539">
        <v>179</v>
      </c>
      <c r="D115" s="526" t="s">
        <v>220</v>
      </c>
      <c r="E115" s="541" t="s">
        <v>219</v>
      </c>
      <c r="F115" s="257" t="s">
        <v>254</v>
      </c>
    </row>
    <row r="116" spans="2:6" x14ac:dyDescent="0.3">
      <c r="B116" s="538" t="s">
        <v>221</v>
      </c>
      <c r="C116" s="539">
        <v>800</v>
      </c>
      <c r="D116" s="526" t="s">
        <v>222</v>
      </c>
      <c r="E116" s="541" t="s">
        <v>221</v>
      </c>
      <c r="F116" s="257" t="s">
        <v>251</v>
      </c>
    </row>
    <row r="117" spans="2:6" x14ac:dyDescent="0.3">
      <c r="B117" s="538" t="s">
        <v>223</v>
      </c>
      <c r="C117" s="539">
        <v>181</v>
      </c>
      <c r="D117" s="526" t="s">
        <v>224</v>
      </c>
      <c r="E117" s="541" t="s">
        <v>223</v>
      </c>
      <c r="F117" s="257" t="s">
        <v>251</v>
      </c>
    </row>
    <row r="118" spans="2:6" x14ac:dyDescent="0.3">
      <c r="B118" s="538" t="s">
        <v>225</v>
      </c>
      <c r="C118" s="539">
        <v>183</v>
      </c>
      <c r="D118" s="526" t="s">
        <v>226</v>
      </c>
      <c r="E118" s="541" t="s">
        <v>225</v>
      </c>
      <c r="F118" s="257" t="s">
        <v>251</v>
      </c>
    </row>
    <row r="119" spans="2:6" x14ac:dyDescent="0.3">
      <c r="B119" s="538" t="s">
        <v>227</v>
      </c>
      <c r="C119" s="539">
        <v>185</v>
      </c>
      <c r="D119" s="526" t="s">
        <v>228</v>
      </c>
      <c r="E119" s="541" t="s">
        <v>227</v>
      </c>
      <c r="F119" s="257" t="s">
        <v>255</v>
      </c>
    </row>
    <row r="120" spans="2:6" x14ac:dyDescent="0.3">
      <c r="B120" s="538" t="s">
        <v>229</v>
      </c>
      <c r="C120" s="539">
        <v>810</v>
      </c>
      <c r="D120" s="526" t="s">
        <v>230</v>
      </c>
      <c r="E120" s="541" t="s">
        <v>229</v>
      </c>
      <c r="F120" s="257" t="s">
        <v>251</v>
      </c>
    </row>
    <row r="121" spans="2:6" x14ac:dyDescent="0.3">
      <c r="B121" s="538" t="s">
        <v>231</v>
      </c>
      <c r="C121" s="539">
        <v>187</v>
      </c>
      <c r="D121" s="526" t="s">
        <v>232</v>
      </c>
      <c r="E121" s="541" t="s">
        <v>231</v>
      </c>
      <c r="F121" s="257" t="s">
        <v>254</v>
      </c>
    </row>
    <row r="122" spans="2:6" x14ac:dyDescent="0.3">
      <c r="B122" s="538" t="s">
        <v>233</v>
      </c>
      <c r="C122" s="539">
        <v>191</v>
      </c>
      <c r="D122" s="526" t="s">
        <v>234</v>
      </c>
      <c r="E122" s="541" t="s">
        <v>233</v>
      </c>
      <c r="F122" s="257" t="s">
        <v>255</v>
      </c>
    </row>
    <row r="123" spans="2:6" x14ac:dyDescent="0.3">
      <c r="B123" s="538" t="s">
        <v>235</v>
      </c>
      <c r="C123" s="539">
        <v>193</v>
      </c>
      <c r="D123" s="526" t="s">
        <v>236</v>
      </c>
      <c r="E123" s="541" t="s">
        <v>235</v>
      </c>
      <c r="F123" s="257" t="s">
        <v>253</v>
      </c>
    </row>
    <row r="124" spans="2:6" x14ac:dyDescent="0.3">
      <c r="B124" s="538" t="s">
        <v>237</v>
      </c>
      <c r="C124" s="539">
        <v>830</v>
      </c>
      <c r="D124" s="526" t="s">
        <v>238</v>
      </c>
      <c r="E124" s="541" t="s">
        <v>237</v>
      </c>
      <c r="F124" s="257" t="s">
        <v>251</v>
      </c>
    </row>
    <row r="125" spans="2:6" x14ac:dyDescent="0.3">
      <c r="B125" s="538" t="s">
        <v>239</v>
      </c>
      <c r="C125" s="539">
        <v>840</v>
      </c>
      <c r="D125" s="526" t="s">
        <v>240</v>
      </c>
      <c r="E125" s="541" t="s">
        <v>239</v>
      </c>
      <c r="F125" s="257" t="s">
        <v>254</v>
      </c>
    </row>
    <row r="126" spans="2:6" x14ac:dyDescent="0.3">
      <c r="B126" s="538" t="s">
        <v>241</v>
      </c>
      <c r="C126" s="539">
        <v>195</v>
      </c>
      <c r="D126" s="526" t="s">
        <v>242</v>
      </c>
      <c r="E126" s="541" t="s">
        <v>241</v>
      </c>
      <c r="F126" s="257" t="s">
        <v>255</v>
      </c>
    </row>
    <row r="127" spans="2:6" x14ac:dyDescent="0.3">
      <c r="B127" s="538" t="s">
        <v>243</v>
      </c>
      <c r="C127" s="539">
        <v>197</v>
      </c>
      <c r="D127" s="526" t="s">
        <v>244</v>
      </c>
      <c r="E127" s="541" t="s">
        <v>243</v>
      </c>
      <c r="F127" s="257" t="s">
        <v>255</v>
      </c>
    </row>
    <row r="128" spans="2:6" x14ac:dyDescent="0.3">
      <c r="B128" s="544" t="s">
        <v>245</v>
      </c>
      <c r="C128" s="545">
        <v>199</v>
      </c>
      <c r="D128" s="546" t="s">
        <v>283</v>
      </c>
      <c r="E128" s="547" t="s">
        <v>245</v>
      </c>
      <c r="F128" s="257" t="s">
        <v>251</v>
      </c>
    </row>
    <row r="129" spans="2:5" x14ac:dyDescent="0.3">
      <c r="B129" s="2584" t="s">
        <v>509</v>
      </c>
      <c r="C129" s="2584"/>
      <c r="D129" s="2584"/>
      <c r="E129" s="2584"/>
    </row>
    <row r="130" spans="2:5" x14ac:dyDescent="0.3">
      <c r="B130" s="537"/>
      <c r="C130" s="537"/>
    </row>
    <row r="131" spans="2:5" x14ac:dyDescent="0.3">
      <c r="B131" s="2585" t="s">
        <v>247</v>
      </c>
      <c r="C131" s="2585"/>
      <c r="D131" s="2585"/>
      <c r="E131" s="2585"/>
    </row>
    <row r="132" spans="2:5" x14ac:dyDescent="0.3">
      <c r="B132" s="548" t="s">
        <v>248</v>
      </c>
      <c r="C132" s="548"/>
      <c r="D132" s="195" t="s">
        <v>249</v>
      </c>
      <c r="E132" s="549"/>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6" x14ac:dyDescent="0.3"/>
  <sheetData>
    <row r="1" spans="1:1" x14ac:dyDescent="0.3">
      <c r="A1" t="s">
        <v>253</v>
      </c>
    </row>
    <row r="2" spans="1:1" x14ac:dyDescent="0.3">
      <c r="A2" t="s">
        <v>251</v>
      </c>
    </row>
    <row r="3" spans="1:1" x14ac:dyDescent="0.3">
      <c r="A3" t="s">
        <v>254</v>
      </c>
    </row>
    <row r="4" spans="1:1" x14ac:dyDescent="0.3">
      <c r="A4" t="s">
        <v>252</v>
      </c>
    </row>
    <row r="5" spans="1:1" x14ac:dyDescent="0.3">
      <c r="A5" t="s">
        <v>255</v>
      </c>
    </row>
    <row r="6" spans="1:1" x14ac:dyDescent="0.3">
      <c r="A6" t="s">
        <v>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9"/>
  <sheetViews>
    <sheetView zoomScaleNormal="100" workbookViewId="0">
      <pane xSplit="3" ySplit="5" topLeftCell="D6" activePane="bottomRight" state="frozen"/>
      <selection pane="topRight" activeCell="D1" sqref="D1"/>
      <selection pane="bottomLeft" activeCell="A5" sqref="A5"/>
      <selection pane="bottomRight" activeCell="E127" sqref="E127:E131"/>
    </sheetView>
  </sheetViews>
  <sheetFormatPr defaultColWidth="9" defaultRowHeight="15.6" x14ac:dyDescent="0.3"/>
  <cols>
    <col min="1" max="1" width="9" style="105"/>
    <col min="2" max="2" width="22.296875" style="105" customWidth="1"/>
    <col min="3" max="3" width="14.09765625" style="105" customWidth="1"/>
    <col min="4" max="4" width="12.5" style="105" customWidth="1"/>
    <col min="5" max="5" width="9" style="105"/>
    <col min="6" max="7" width="11" style="105" customWidth="1"/>
    <col min="8" max="8" width="9.69921875" style="105" customWidth="1"/>
    <col min="9" max="12" width="9" style="105"/>
    <col min="13" max="13" width="11.796875" style="105" customWidth="1"/>
    <col min="14" max="23" width="9" style="105"/>
    <col min="24" max="28" width="10.19921875" style="105" customWidth="1"/>
    <col min="29" max="31" width="9.796875" style="105" customWidth="1"/>
    <col min="32" max="16384" width="9" style="105"/>
  </cols>
  <sheetData>
    <row r="1" spans="1:33" x14ac:dyDescent="0.3">
      <c r="A1" s="79" t="s">
        <v>1031</v>
      </c>
    </row>
    <row r="2" spans="1:33" x14ac:dyDescent="0.3">
      <c r="A2" s="79"/>
    </row>
    <row r="3" spans="1:33" ht="32.25" customHeight="1" x14ac:dyDescent="0.3">
      <c r="E3" s="1989"/>
      <c r="F3" s="2489" t="s">
        <v>745</v>
      </c>
      <c r="G3" s="2491"/>
      <c r="H3" s="2490" t="s">
        <v>844</v>
      </c>
      <c r="I3" s="2490"/>
      <c r="J3" s="2490"/>
      <c r="K3" s="2490"/>
      <c r="L3" s="2491"/>
      <c r="M3" s="2489" t="s">
        <v>411</v>
      </c>
      <c r="N3" s="2490"/>
      <c r="O3" s="2491"/>
      <c r="P3" s="2489" t="s">
        <v>380</v>
      </c>
      <c r="Q3" s="2490"/>
      <c r="R3" s="2490"/>
      <c r="S3" s="2489" t="s">
        <v>381</v>
      </c>
      <c r="T3" s="2490"/>
      <c r="U3" s="2491"/>
      <c r="V3" s="2492" t="s">
        <v>749</v>
      </c>
      <c r="W3" s="2493"/>
      <c r="X3" s="2489" t="s">
        <v>750</v>
      </c>
      <c r="Y3" s="2490"/>
      <c r="Z3" s="2490"/>
      <c r="AA3" s="2490"/>
      <c r="AB3" s="2491"/>
      <c r="AC3" s="2494" t="s">
        <v>751</v>
      </c>
      <c r="AD3" s="2495"/>
      <c r="AE3" s="2496"/>
      <c r="AF3" s="1985" t="s">
        <v>383</v>
      </c>
      <c r="AG3" s="2" t="s">
        <v>473</v>
      </c>
    </row>
    <row r="4" spans="1:33" ht="46.8" x14ac:dyDescent="0.3">
      <c r="A4" s="2" t="s">
        <v>4</v>
      </c>
      <c r="B4" s="2" t="s">
        <v>5</v>
      </c>
      <c r="C4" s="2" t="s">
        <v>250</v>
      </c>
      <c r="D4" s="2" t="s">
        <v>470</v>
      </c>
      <c r="E4" s="1990" t="s">
        <v>262</v>
      </c>
      <c r="F4" s="1990" t="s">
        <v>380</v>
      </c>
      <c r="G4" s="1425" t="s">
        <v>381</v>
      </c>
      <c r="H4" s="1428" t="s">
        <v>747</v>
      </c>
      <c r="I4" s="1428" t="s">
        <v>748</v>
      </c>
      <c r="J4" s="1428" t="s">
        <v>845</v>
      </c>
      <c r="K4" s="1428" t="s">
        <v>388</v>
      </c>
      <c r="L4" s="1429" t="s">
        <v>746</v>
      </c>
      <c r="M4" s="1991" t="s">
        <v>739</v>
      </c>
      <c r="N4" s="1428" t="s">
        <v>469</v>
      </c>
      <c r="O4" s="1429" t="s">
        <v>744</v>
      </c>
      <c r="P4" s="1991" t="s">
        <v>739</v>
      </c>
      <c r="Q4" s="1428" t="s">
        <v>469</v>
      </c>
      <c r="R4" s="1428" t="s">
        <v>744</v>
      </c>
      <c r="S4" s="1991" t="s">
        <v>739</v>
      </c>
      <c r="T4" s="1428" t="s">
        <v>469</v>
      </c>
      <c r="U4" s="1429" t="s">
        <v>744</v>
      </c>
      <c r="V4" s="1428" t="s">
        <v>380</v>
      </c>
      <c r="W4" s="1428" t="s">
        <v>381</v>
      </c>
      <c r="X4" s="1992" t="s">
        <v>754</v>
      </c>
      <c r="Y4" s="1985" t="s">
        <v>753</v>
      </c>
      <c r="Z4" s="1428" t="s">
        <v>752</v>
      </c>
      <c r="AA4" s="1428" t="s">
        <v>300</v>
      </c>
      <c r="AB4" s="1987" t="s">
        <v>746</v>
      </c>
      <c r="AC4" s="1992" t="s">
        <v>739</v>
      </c>
      <c r="AD4" s="1986" t="s">
        <v>469</v>
      </c>
      <c r="AE4" s="1987" t="s">
        <v>744</v>
      </c>
      <c r="AF4" s="1990" t="s">
        <v>262</v>
      </c>
      <c r="AG4" s="2" t="s">
        <v>383</v>
      </c>
    </row>
    <row r="5" spans="1:33" x14ac:dyDescent="0.3">
      <c r="A5" s="333">
        <v>999</v>
      </c>
      <c r="B5" s="334" t="s">
        <v>8</v>
      </c>
      <c r="C5" s="334"/>
      <c r="D5" s="334"/>
      <c r="E5" s="1993">
        <f t="shared" ref="E5" si="0">SUM(E6:E125)</f>
        <v>8535519</v>
      </c>
      <c r="F5" s="1993">
        <f>SUM(F6:F125)</f>
        <v>4200257</v>
      </c>
      <c r="G5" s="1993">
        <f>SUM(G6:G125)</f>
        <v>4335262</v>
      </c>
      <c r="H5" s="336">
        <f t="shared" ref="H5:M5" si="1">SUM(H6:H125)</f>
        <v>5922648</v>
      </c>
      <c r="I5" s="336">
        <f t="shared" si="1"/>
        <v>1696911</v>
      </c>
      <c r="J5" s="336">
        <f t="shared" si="1"/>
        <v>589710</v>
      </c>
      <c r="K5" s="336">
        <f t="shared" si="1"/>
        <v>56694</v>
      </c>
      <c r="L5" s="1426">
        <f t="shared" si="1"/>
        <v>269556</v>
      </c>
      <c r="M5" s="1993">
        <f t="shared" si="1"/>
        <v>1860848</v>
      </c>
      <c r="N5" s="336">
        <f>SUM(N6:N125)</f>
        <v>5315765</v>
      </c>
      <c r="O5" s="1426">
        <f t="shared" ref="O5:U5" si="2">SUM(O6:O125)</f>
        <v>1358906</v>
      </c>
      <c r="P5" s="1993">
        <f t="shared" si="2"/>
        <v>950838</v>
      </c>
      <c r="Q5" s="336">
        <f t="shared" si="2"/>
        <v>2646494</v>
      </c>
      <c r="R5" s="336">
        <f t="shared" si="2"/>
        <v>602925</v>
      </c>
      <c r="S5" s="1993">
        <f t="shared" si="2"/>
        <v>910010</v>
      </c>
      <c r="T5" s="336">
        <f t="shared" si="2"/>
        <v>2669271</v>
      </c>
      <c r="U5" s="1426">
        <f t="shared" si="2"/>
        <v>755981</v>
      </c>
      <c r="V5" s="1432">
        <f t="shared" ref="V5" si="3">F5/E5</f>
        <v>0.49209157638803219</v>
      </c>
      <c r="W5" s="1432">
        <f t="shared" ref="W5" si="4">G5/E5</f>
        <v>0.50790842361196786</v>
      </c>
      <c r="X5" s="1994">
        <f t="shared" ref="X5" si="5">H5/E5</f>
        <v>0.69388258640160017</v>
      </c>
      <c r="Y5" s="1432">
        <f t="shared" ref="Y5" si="6">I5/E5</f>
        <v>0.1988058371142985</v>
      </c>
      <c r="Z5" s="1432">
        <f t="shared" ref="Z5" si="7">J5/E5</f>
        <v>6.908894467928664E-2</v>
      </c>
      <c r="AA5" s="1432">
        <f t="shared" ref="AA5" si="8">K5/E5</f>
        <v>6.6421268583667847E-3</v>
      </c>
      <c r="AB5" s="1995">
        <f t="shared" ref="AB5" si="9">L5/E5</f>
        <v>3.1580504946447895E-2</v>
      </c>
      <c r="AC5" s="1996">
        <f t="shared" ref="AC5" si="10">M5/E5</f>
        <v>0.21801228490030894</v>
      </c>
      <c r="AD5" s="339">
        <f t="shared" ref="AD5" si="11">N5/E5</f>
        <v>0.62278169611010181</v>
      </c>
      <c r="AE5" s="1997">
        <f t="shared" ref="AE5" si="12">O5/E5</f>
        <v>0.15920601898958928</v>
      </c>
      <c r="AF5" s="1993">
        <f t="shared" ref="AF5" si="13">SUM(AF6:AF125)</f>
        <v>834422</v>
      </c>
      <c r="AG5" s="1998">
        <f t="shared" ref="AG5" si="14">AF5/E5</f>
        <v>9.7758788891454632E-2</v>
      </c>
    </row>
    <row r="6" spans="1:33" x14ac:dyDescent="0.3">
      <c r="A6" s="105" t="s">
        <v>9</v>
      </c>
      <c r="B6" s="105" t="s">
        <v>10</v>
      </c>
      <c r="C6" s="105" t="s">
        <v>251</v>
      </c>
      <c r="D6" s="105">
        <v>2</v>
      </c>
      <c r="E6" s="1999">
        <v>32316</v>
      </c>
      <c r="F6" s="1999">
        <f>SUM(P6:R6)</f>
        <v>15728</v>
      </c>
      <c r="G6" s="1427">
        <f>SUM(S6:U6)</f>
        <v>16588</v>
      </c>
      <c r="H6" s="338">
        <v>21899</v>
      </c>
      <c r="I6" s="338">
        <v>9304</v>
      </c>
      <c r="J6" s="338">
        <v>257</v>
      </c>
      <c r="K6" s="338">
        <v>293</v>
      </c>
      <c r="L6" s="1427">
        <v>563</v>
      </c>
      <c r="M6" s="1999">
        <f t="shared" ref="M6:M37" si="15">P6+S6</f>
        <v>6690</v>
      </c>
      <c r="N6" s="338">
        <f t="shared" ref="N6:N37" si="16">Q6+T6</f>
        <v>17692</v>
      </c>
      <c r="O6" s="1427">
        <f t="shared" ref="O6:O37" si="17">R6+U6</f>
        <v>7934</v>
      </c>
      <c r="P6" s="1999">
        <v>3494</v>
      </c>
      <c r="Q6" s="338">
        <v>8606</v>
      </c>
      <c r="R6" s="338">
        <v>3628</v>
      </c>
      <c r="S6" s="1999">
        <v>3196</v>
      </c>
      <c r="T6" s="338">
        <v>9086</v>
      </c>
      <c r="U6" s="1427">
        <v>4306</v>
      </c>
      <c r="V6" s="790">
        <f t="shared" ref="V6:V37" si="18">F6/E6</f>
        <v>0.48669389775962374</v>
      </c>
      <c r="W6" s="790">
        <f t="shared" ref="W6:W37" si="19">G6/E6</f>
        <v>0.51330610224037632</v>
      </c>
      <c r="X6" s="2000">
        <f t="shared" ref="X6:X37" si="20">H6/E6</f>
        <v>0.67765193712093086</v>
      </c>
      <c r="Y6" s="790">
        <f t="shared" ref="Y6:Y37" si="21">I6/E6</f>
        <v>0.28790691917316502</v>
      </c>
      <c r="Z6" s="790">
        <f t="shared" ref="Z6:Z37" si="22">J6/E6</f>
        <v>7.9527169204109422E-3</v>
      </c>
      <c r="AA6" s="790">
        <f t="shared" ref="AA6:AA37" si="23">K6/E6</f>
        <v>9.066716177744771E-3</v>
      </c>
      <c r="AB6" s="2001">
        <f t="shared" ref="AB6:AB37" si="24">L6/E6</f>
        <v>1.7421710607748483E-2</v>
      </c>
      <c r="AC6" s="2002">
        <f t="shared" ref="AC6:AC37" si="25">M6/E6</f>
        <v>0.20701819532120311</v>
      </c>
      <c r="AD6" s="341">
        <f t="shared" ref="AD6:AD37" si="26">N6/E6</f>
        <v>0.54746874613194707</v>
      </c>
      <c r="AE6" s="2003">
        <f t="shared" ref="AE6:AE37" si="27">O6/E6</f>
        <v>0.24551305854684985</v>
      </c>
      <c r="AF6" s="1999">
        <v>2955</v>
      </c>
      <c r="AG6" s="107">
        <f t="shared" ref="AG6:AG37" si="28">AF6/E6</f>
        <v>9.1440772372818419E-2</v>
      </c>
    </row>
    <row r="7" spans="1:33" x14ac:dyDescent="0.3">
      <c r="A7" s="105" t="s">
        <v>11</v>
      </c>
      <c r="B7" s="105" t="s">
        <v>12</v>
      </c>
      <c r="C7" s="105" t="s">
        <v>252</v>
      </c>
      <c r="D7" s="105">
        <v>3</v>
      </c>
      <c r="E7" s="1999">
        <v>109330</v>
      </c>
      <c r="F7" s="1999">
        <f t="shared" ref="F7:F70" si="29">SUM(P7:R7)</f>
        <v>52319</v>
      </c>
      <c r="G7" s="1427">
        <f t="shared" ref="G7:G70" si="30">SUM(S7:U7)</f>
        <v>57011</v>
      </c>
      <c r="H7" s="338">
        <v>89388</v>
      </c>
      <c r="I7" s="338">
        <v>10600</v>
      </c>
      <c r="J7" s="338">
        <v>6051</v>
      </c>
      <c r="K7" s="338">
        <v>483</v>
      </c>
      <c r="L7" s="1427">
        <v>2808</v>
      </c>
      <c r="M7" s="1999">
        <f t="shared" si="15"/>
        <v>21553</v>
      </c>
      <c r="N7" s="338">
        <f t="shared" si="16"/>
        <v>66622</v>
      </c>
      <c r="O7" s="1427">
        <f t="shared" si="17"/>
        <v>21155</v>
      </c>
      <c r="P7" s="1999">
        <v>10988</v>
      </c>
      <c r="Q7" s="338">
        <v>32014</v>
      </c>
      <c r="R7" s="338">
        <v>9317</v>
      </c>
      <c r="S7" s="1999">
        <v>10565</v>
      </c>
      <c r="T7" s="338">
        <v>34608</v>
      </c>
      <c r="U7" s="1427">
        <v>11838</v>
      </c>
      <c r="V7" s="790">
        <f t="shared" si="18"/>
        <v>0.47854202872038781</v>
      </c>
      <c r="W7" s="790">
        <f t="shared" si="19"/>
        <v>0.52145797127961213</v>
      </c>
      <c r="X7" s="2000">
        <f t="shared" si="20"/>
        <v>0.81759809750297263</v>
      </c>
      <c r="Y7" s="790">
        <f t="shared" si="21"/>
        <v>9.6954175432177811E-2</v>
      </c>
      <c r="Z7" s="790">
        <f t="shared" si="22"/>
        <v>5.5346199579255462E-2</v>
      </c>
      <c r="AA7" s="790">
        <f t="shared" si="23"/>
        <v>4.4178176163907432E-3</v>
      </c>
      <c r="AB7" s="2001">
        <f t="shared" si="24"/>
        <v>2.568370986920333E-2</v>
      </c>
      <c r="AC7" s="2002">
        <f t="shared" si="25"/>
        <v>0.19713710783865362</v>
      </c>
      <c r="AD7" s="341">
        <f t="shared" si="26"/>
        <v>0.60936613921156135</v>
      </c>
      <c r="AE7" s="2003">
        <f t="shared" si="27"/>
        <v>0.19349675294978505</v>
      </c>
      <c r="AF7" s="1999">
        <v>6313</v>
      </c>
      <c r="AG7" s="107">
        <f t="shared" si="28"/>
        <v>5.7742614104088541E-2</v>
      </c>
    </row>
    <row r="8" spans="1:33" x14ac:dyDescent="0.3">
      <c r="A8" s="105" t="s">
        <v>15</v>
      </c>
      <c r="B8" s="105" t="s">
        <v>273</v>
      </c>
      <c r="C8" s="105" t="s">
        <v>252</v>
      </c>
      <c r="D8" s="105">
        <v>2</v>
      </c>
      <c r="E8" s="1999">
        <v>20398</v>
      </c>
      <c r="F8" s="1999">
        <f t="shared" si="29"/>
        <v>9928</v>
      </c>
      <c r="G8" s="1427">
        <f t="shared" si="30"/>
        <v>10470</v>
      </c>
      <c r="H8" s="338">
        <v>18342</v>
      </c>
      <c r="I8" s="338">
        <v>1459</v>
      </c>
      <c r="J8" s="338">
        <v>99</v>
      </c>
      <c r="K8" s="338">
        <v>82</v>
      </c>
      <c r="L8" s="1427">
        <v>416</v>
      </c>
      <c r="M8" s="1999">
        <f t="shared" si="15"/>
        <v>3864</v>
      </c>
      <c r="N8" s="338">
        <f t="shared" si="16"/>
        <v>11643</v>
      </c>
      <c r="O8" s="1427">
        <f t="shared" si="17"/>
        <v>4891</v>
      </c>
      <c r="P8" s="1999">
        <v>1984</v>
      </c>
      <c r="Q8" s="338">
        <v>5782</v>
      </c>
      <c r="R8" s="338">
        <v>2162</v>
      </c>
      <c r="S8" s="1999">
        <v>1880</v>
      </c>
      <c r="T8" s="338">
        <v>5861</v>
      </c>
      <c r="U8" s="1427">
        <v>2729</v>
      </c>
      <c r="V8" s="790">
        <f t="shared" si="18"/>
        <v>0.48671438376311404</v>
      </c>
      <c r="W8" s="790">
        <f t="shared" si="19"/>
        <v>0.51328561623688596</v>
      </c>
      <c r="X8" s="2000">
        <f t="shared" si="20"/>
        <v>0.89920580449063636</v>
      </c>
      <c r="Y8" s="790">
        <f t="shared" si="21"/>
        <v>7.1526620256887927E-2</v>
      </c>
      <c r="Z8" s="790">
        <f t="shared" si="22"/>
        <v>4.8534170016668304E-3</v>
      </c>
      <c r="AA8" s="790">
        <f t="shared" si="23"/>
        <v>4.0200019609765662E-3</v>
      </c>
      <c r="AB8" s="2001">
        <f t="shared" si="24"/>
        <v>2.0394156289832335E-2</v>
      </c>
      <c r="AC8" s="2002">
        <f t="shared" si="25"/>
        <v>0.18943033630748113</v>
      </c>
      <c r="AD8" s="341">
        <f t="shared" si="26"/>
        <v>0.57079125404451414</v>
      </c>
      <c r="AE8" s="2003">
        <f t="shared" si="27"/>
        <v>0.2397784096480047</v>
      </c>
      <c r="AF8" s="1999">
        <v>361</v>
      </c>
      <c r="AG8" s="107">
        <f t="shared" si="28"/>
        <v>1.7697813511128542E-2</v>
      </c>
    </row>
    <row r="9" spans="1:33" x14ac:dyDescent="0.3">
      <c r="A9" s="105" t="s">
        <v>17</v>
      </c>
      <c r="B9" s="105" t="s">
        <v>18</v>
      </c>
      <c r="C9" s="105" t="s">
        <v>253</v>
      </c>
      <c r="D9" s="105">
        <v>1</v>
      </c>
      <c r="E9" s="1999">
        <v>13145</v>
      </c>
      <c r="F9" s="1999">
        <f t="shared" si="29"/>
        <v>6483</v>
      </c>
      <c r="G9" s="1427">
        <f t="shared" si="30"/>
        <v>6662</v>
      </c>
      <c r="H9" s="338">
        <v>10050</v>
      </c>
      <c r="I9" s="338">
        <v>2688</v>
      </c>
      <c r="J9" s="338">
        <v>80</v>
      </c>
      <c r="K9" s="338">
        <v>85</v>
      </c>
      <c r="L9" s="1427">
        <v>242</v>
      </c>
      <c r="M9" s="1999">
        <f t="shared" si="15"/>
        <v>2740</v>
      </c>
      <c r="N9" s="338">
        <f t="shared" si="16"/>
        <v>7768</v>
      </c>
      <c r="O9" s="1427">
        <f t="shared" si="17"/>
        <v>2637</v>
      </c>
      <c r="P9" s="1999">
        <v>1427</v>
      </c>
      <c r="Q9" s="338">
        <v>3865</v>
      </c>
      <c r="R9" s="338">
        <v>1191</v>
      </c>
      <c r="S9" s="1999">
        <v>1313</v>
      </c>
      <c r="T9" s="338">
        <v>3903</v>
      </c>
      <c r="U9" s="1427">
        <v>1446</v>
      </c>
      <c r="V9" s="790">
        <f t="shared" si="18"/>
        <v>0.4931913275009509</v>
      </c>
      <c r="W9" s="790">
        <f t="shared" si="19"/>
        <v>0.50680867249904904</v>
      </c>
      <c r="X9" s="2000">
        <f t="shared" si="20"/>
        <v>0.7645492582731076</v>
      </c>
      <c r="Y9" s="790">
        <f t="shared" si="21"/>
        <v>0.20448839863065804</v>
      </c>
      <c r="Z9" s="790">
        <f t="shared" si="22"/>
        <v>6.085964244960061E-3</v>
      </c>
      <c r="AA9" s="790">
        <f t="shared" si="23"/>
        <v>6.4663370102700643E-3</v>
      </c>
      <c r="AB9" s="2001">
        <f t="shared" si="24"/>
        <v>1.8410041841004185E-2</v>
      </c>
      <c r="AC9" s="2002">
        <f t="shared" si="25"/>
        <v>0.20844427538988208</v>
      </c>
      <c r="AD9" s="341">
        <f t="shared" si="26"/>
        <v>0.59094712818562189</v>
      </c>
      <c r="AE9" s="2003">
        <f t="shared" si="27"/>
        <v>0.20060859642449599</v>
      </c>
      <c r="AF9" s="1999">
        <v>418</v>
      </c>
      <c r="AG9" s="107">
        <f t="shared" si="28"/>
        <v>3.1799163179916316E-2</v>
      </c>
    </row>
    <row r="10" spans="1:33" x14ac:dyDescent="0.3">
      <c r="A10" s="105" t="s">
        <v>19</v>
      </c>
      <c r="B10" s="105" t="s">
        <v>20</v>
      </c>
      <c r="C10" s="105" t="s">
        <v>252</v>
      </c>
      <c r="D10" s="105">
        <v>2</v>
      </c>
      <c r="E10" s="1999">
        <v>31605</v>
      </c>
      <c r="F10" s="1999">
        <f t="shared" si="29"/>
        <v>15360</v>
      </c>
      <c r="G10" s="1427">
        <f t="shared" si="30"/>
        <v>16245</v>
      </c>
      <c r="H10" s="338">
        <v>24299</v>
      </c>
      <c r="I10" s="338">
        <v>6041</v>
      </c>
      <c r="J10" s="338">
        <v>180</v>
      </c>
      <c r="K10" s="338">
        <v>305</v>
      </c>
      <c r="L10" s="1427">
        <v>780</v>
      </c>
      <c r="M10" s="1999">
        <f t="shared" si="15"/>
        <v>6114</v>
      </c>
      <c r="N10" s="338">
        <f t="shared" si="16"/>
        <v>18664</v>
      </c>
      <c r="O10" s="1427">
        <f t="shared" si="17"/>
        <v>6827</v>
      </c>
      <c r="P10" s="1999">
        <v>3160</v>
      </c>
      <c r="Q10" s="338">
        <v>9163</v>
      </c>
      <c r="R10" s="338">
        <v>3037</v>
      </c>
      <c r="S10" s="1999">
        <v>2954</v>
      </c>
      <c r="T10" s="338">
        <v>9501</v>
      </c>
      <c r="U10" s="1427">
        <v>3790</v>
      </c>
      <c r="V10" s="790">
        <f t="shared" si="18"/>
        <v>0.48599905078310396</v>
      </c>
      <c r="W10" s="790">
        <f t="shared" si="19"/>
        <v>0.5140009492168961</v>
      </c>
      <c r="X10" s="2000">
        <f t="shared" si="20"/>
        <v>0.7688340452460054</v>
      </c>
      <c r="Y10" s="790">
        <f t="shared" si="21"/>
        <v>0.191140642303433</v>
      </c>
      <c r="Z10" s="790">
        <f t="shared" si="22"/>
        <v>5.6953013763644993E-3</v>
      </c>
      <c r="AA10" s="790">
        <f t="shared" si="23"/>
        <v>9.650371776617624E-3</v>
      </c>
      <c r="AB10" s="2001">
        <f t="shared" si="24"/>
        <v>2.4679639297579496E-2</v>
      </c>
      <c r="AC10" s="2002">
        <f t="shared" si="25"/>
        <v>0.19345040341718084</v>
      </c>
      <c r="AD10" s="341">
        <f t="shared" si="26"/>
        <v>0.59053947160259457</v>
      </c>
      <c r="AE10" s="2003">
        <f t="shared" si="27"/>
        <v>0.21601012498022465</v>
      </c>
      <c r="AF10" s="1999">
        <v>767</v>
      </c>
      <c r="AG10" s="107">
        <f t="shared" si="28"/>
        <v>2.4268311975953173E-2</v>
      </c>
    </row>
    <row r="11" spans="1:33" x14ac:dyDescent="0.3">
      <c r="A11" s="105" t="s">
        <v>21</v>
      </c>
      <c r="B11" s="105" t="s">
        <v>22</v>
      </c>
      <c r="C11" s="105" t="s">
        <v>252</v>
      </c>
      <c r="D11" s="105">
        <v>1</v>
      </c>
      <c r="E11" s="1999">
        <v>15911</v>
      </c>
      <c r="F11" s="1999">
        <f t="shared" si="29"/>
        <v>7719</v>
      </c>
      <c r="G11" s="1427">
        <f t="shared" si="30"/>
        <v>8192</v>
      </c>
      <c r="H11" s="338">
        <v>12521</v>
      </c>
      <c r="I11" s="338">
        <v>2951</v>
      </c>
      <c r="J11" s="338">
        <v>61</v>
      </c>
      <c r="K11" s="338">
        <v>56</v>
      </c>
      <c r="L11" s="1427">
        <v>322</v>
      </c>
      <c r="M11" s="1999">
        <f t="shared" si="15"/>
        <v>3342</v>
      </c>
      <c r="N11" s="338">
        <f t="shared" si="16"/>
        <v>9203</v>
      </c>
      <c r="O11" s="1427">
        <f t="shared" si="17"/>
        <v>3366</v>
      </c>
      <c r="P11" s="1999">
        <v>1681</v>
      </c>
      <c r="Q11" s="338">
        <v>4504</v>
      </c>
      <c r="R11" s="338">
        <v>1534</v>
      </c>
      <c r="S11" s="1999">
        <v>1661</v>
      </c>
      <c r="T11" s="338">
        <v>4699</v>
      </c>
      <c r="U11" s="1427">
        <v>1832</v>
      </c>
      <c r="V11" s="790">
        <f t="shared" si="18"/>
        <v>0.48513606938595938</v>
      </c>
      <c r="W11" s="790">
        <f t="shared" si="19"/>
        <v>0.51486393061404057</v>
      </c>
      <c r="X11" s="2000">
        <f t="shared" si="20"/>
        <v>0.78693985293193391</v>
      </c>
      <c r="Y11" s="790">
        <f t="shared" si="21"/>
        <v>0.18546917227075607</v>
      </c>
      <c r="Z11" s="790">
        <f t="shared" si="22"/>
        <v>3.8338256552070894E-3</v>
      </c>
      <c r="AA11" s="790">
        <f t="shared" si="23"/>
        <v>3.5195776506819184E-3</v>
      </c>
      <c r="AB11" s="2001">
        <f t="shared" si="24"/>
        <v>2.0237571491421028E-2</v>
      </c>
      <c r="AC11" s="2002">
        <f t="shared" si="25"/>
        <v>0.21004336622462447</v>
      </c>
      <c r="AD11" s="341">
        <f t="shared" si="26"/>
        <v>0.57840487712903021</v>
      </c>
      <c r="AE11" s="2003">
        <f t="shared" si="27"/>
        <v>0.21155175664634529</v>
      </c>
      <c r="AF11" s="1999">
        <v>300</v>
      </c>
      <c r="AG11" s="107">
        <f t="shared" si="28"/>
        <v>1.8854880271510277E-2</v>
      </c>
    </row>
    <row r="12" spans="1:33" x14ac:dyDescent="0.3">
      <c r="A12" s="105" t="s">
        <v>23</v>
      </c>
      <c r="B12" s="105" t="s">
        <v>24</v>
      </c>
      <c r="C12" s="105" t="s">
        <v>254</v>
      </c>
      <c r="D12" s="105">
        <v>3</v>
      </c>
      <c r="E12" s="1999">
        <v>236842</v>
      </c>
      <c r="F12" s="1999">
        <f t="shared" si="29"/>
        <v>118687</v>
      </c>
      <c r="G12" s="1427">
        <f t="shared" si="30"/>
        <v>118155</v>
      </c>
      <c r="H12" s="338">
        <v>177639</v>
      </c>
      <c r="I12" s="338">
        <v>22922</v>
      </c>
      <c r="J12" s="338">
        <v>25945</v>
      </c>
      <c r="K12" s="338">
        <v>1840</v>
      </c>
      <c r="L12" s="1427">
        <v>8496</v>
      </c>
      <c r="M12" s="1999">
        <f t="shared" si="15"/>
        <v>42954</v>
      </c>
      <c r="N12" s="338">
        <f t="shared" si="16"/>
        <v>167606</v>
      </c>
      <c r="O12" s="1427">
        <f t="shared" si="17"/>
        <v>26282</v>
      </c>
      <c r="P12" s="1999">
        <v>21922</v>
      </c>
      <c r="Q12" s="338">
        <v>84918</v>
      </c>
      <c r="R12" s="338">
        <v>11847</v>
      </c>
      <c r="S12" s="1999">
        <v>21032</v>
      </c>
      <c r="T12" s="338">
        <v>82688</v>
      </c>
      <c r="U12" s="1427">
        <v>14435</v>
      </c>
      <c r="V12" s="790">
        <f t="shared" si="18"/>
        <v>0.50112311161027179</v>
      </c>
      <c r="W12" s="790">
        <f t="shared" si="19"/>
        <v>0.49887688838972816</v>
      </c>
      <c r="X12" s="2000">
        <f t="shared" si="20"/>
        <v>0.75003166668074073</v>
      </c>
      <c r="Y12" s="790">
        <f t="shared" si="21"/>
        <v>9.6781820791920353E-2</v>
      </c>
      <c r="Z12" s="790">
        <f t="shared" si="22"/>
        <v>0.10954560424249077</v>
      </c>
      <c r="AA12" s="790">
        <f t="shared" si="23"/>
        <v>7.7688923417299294E-3</v>
      </c>
      <c r="AB12" s="2001">
        <f t="shared" si="24"/>
        <v>3.5872015943118195E-2</v>
      </c>
      <c r="AC12" s="2002">
        <f t="shared" si="25"/>
        <v>0.18136141393840619</v>
      </c>
      <c r="AD12" s="341">
        <f t="shared" si="26"/>
        <v>0.70767009229781885</v>
      </c>
      <c r="AE12" s="2003">
        <f t="shared" si="27"/>
        <v>0.110968493763775</v>
      </c>
      <c r="AF12" s="1999">
        <v>36951</v>
      </c>
      <c r="AG12" s="107">
        <f t="shared" si="28"/>
        <v>0.1560154026735123</v>
      </c>
    </row>
    <row r="13" spans="1:33" x14ac:dyDescent="0.3">
      <c r="A13" s="105" t="s">
        <v>25</v>
      </c>
      <c r="B13" s="105" t="s">
        <v>444</v>
      </c>
      <c r="C13" s="105" t="s">
        <v>252</v>
      </c>
      <c r="D13" s="105">
        <v>3</v>
      </c>
      <c r="E13" s="1999">
        <v>123120</v>
      </c>
      <c r="F13" s="1999">
        <f t="shared" si="29"/>
        <v>60661</v>
      </c>
      <c r="G13" s="1427">
        <f t="shared" si="30"/>
        <v>62459</v>
      </c>
      <c r="H13" s="338">
        <v>109180</v>
      </c>
      <c r="I13" s="338">
        <v>9407</v>
      </c>
      <c r="J13" s="338">
        <v>1212</v>
      </c>
      <c r="K13" s="338">
        <v>478</v>
      </c>
      <c r="L13" s="1427">
        <v>2843</v>
      </c>
      <c r="M13" s="1999">
        <f t="shared" si="15"/>
        <v>24196</v>
      </c>
      <c r="N13" s="338">
        <f t="shared" si="16"/>
        <v>73007</v>
      </c>
      <c r="O13" s="1427">
        <f t="shared" si="17"/>
        <v>25917</v>
      </c>
      <c r="P13" s="1999">
        <v>12354</v>
      </c>
      <c r="Q13" s="338">
        <v>36620</v>
      </c>
      <c r="R13" s="338">
        <v>11687</v>
      </c>
      <c r="S13" s="1999">
        <v>11842</v>
      </c>
      <c r="T13" s="338">
        <v>36387</v>
      </c>
      <c r="U13" s="1427">
        <v>14230</v>
      </c>
      <c r="V13" s="790">
        <f t="shared" si="18"/>
        <v>0.49269818063677712</v>
      </c>
      <c r="W13" s="790">
        <f t="shared" si="19"/>
        <v>0.50730181936322283</v>
      </c>
      <c r="X13" s="2000">
        <f t="shared" si="20"/>
        <v>0.88677712800519815</v>
      </c>
      <c r="Y13" s="790">
        <f t="shared" si="21"/>
        <v>7.6405133203378814E-2</v>
      </c>
      <c r="Z13" s="790">
        <f t="shared" si="22"/>
        <v>9.8440545808966863E-3</v>
      </c>
      <c r="AA13" s="790">
        <f t="shared" si="23"/>
        <v>3.8823911630929174E-3</v>
      </c>
      <c r="AB13" s="2001">
        <f t="shared" si="24"/>
        <v>2.30912930474334E-2</v>
      </c>
      <c r="AC13" s="2002">
        <f t="shared" si="25"/>
        <v>0.1965237166991553</v>
      </c>
      <c r="AD13" s="341">
        <f t="shared" si="26"/>
        <v>0.59297433398310595</v>
      </c>
      <c r="AE13" s="2003">
        <f t="shared" si="27"/>
        <v>0.2105019493177388</v>
      </c>
      <c r="AF13" s="1999">
        <v>5165</v>
      </c>
      <c r="AG13" s="107">
        <f t="shared" si="28"/>
        <v>4.1950942170240417E-2</v>
      </c>
    </row>
    <row r="14" spans="1:33" x14ac:dyDescent="0.3">
      <c r="A14" s="105" t="s">
        <v>26</v>
      </c>
      <c r="B14" s="105" t="s">
        <v>27</v>
      </c>
      <c r="C14" s="105" t="s">
        <v>252</v>
      </c>
      <c r="D14" s="105">
        <v>1</v>
      </c>
      <c r="E14" s="1999">
        <v>4147</v>
      </c>
      <c r="F14" s="1999">
        <f t="shared" si="29"/>
        <v>2099</v>
      </c>
      <c r="G14" s="1427">
        <f t="shared" si="30"/>
        <v>2048</v>
      </c>
      <c r="H14" s="338">
        <v>3853</v>
      </c>
      <c r="I14" s="338">
        <v>201</v>
      </c>
      <c r="J14" s="338">
        <v>20</v>
      </c>
      <c r="K14" s="338">
        <v>9</v>
      </c>
      <c r="L14" s="1427">
        <v>64</v>
      </c>
      <c r="M14" s="1999">
        <f t="shared" si="15"/>
        <v>627</v>
      </c>
      <c r="N14" s="338">
        <f t="shared" si="16"/>
        <v>2359</v>
      </c>
      <c r="O14" s="1427">
        <f t="shared" si="17"/>
        <v>1161</v>
      </c>
      <c r="P14" s="1999">
        <v>306</v>
      </c>
      <c r="Q14" s="338">
        <v>1210</v>
      </c>
      <c r="R14" s="338">
        <v>583</v>
      </c>
      <c r="S14" s="1999">
        <v>321</v>
      </c>
      <c r="T14" s="338">
        <v>1149</v>
      </c>
      <c r="U14" s="1427">
        <v>578</v>
      </c>
      <c r="V14" s="790">
        <f t="shared" si="18"/>
        <v>0.50614902339040269</v>
      </c>
      <c r="W14" s="790">
        <f t="shared" si="19"/>
        <v>0.49385097660959731</v>
      </c>
      <c r="X14" s="2000">
        <f t="shared" si="20"/>
        <v>0.92910537738123944</v>
      </c>
      <c r="Y14" s="790">
        <f t="shared" si="21"/>
        <v>4.8468772606703639E-2</v>
      </c>
      <c r="Z14" s="790">
        <f t="shared" si="22"/>
        <v>4.8227634434530988E-3</v>
      </c>
      <c r="AA14" s="790">
        <f t="shared" si="23"/>
        <v>2.1702435495538942E-3</v>
      </c>
      <c r="AB14" s="2001">
        <f t="shared" si="24"/>
        <v>1.5432843019049916E-2</v>
      </c>
      <c r="AC14" s="2002">
        <f t="shared" si="25"/>
        <v>0.15119363395225463</v>
      </c>
      <c r="AD14" s="341">
        <f t="shared" si="26"/>
        <v>0.56884494815529296</v>
      </c>
      <c r="AE14" s="2003">
        <f t="shared" si="27"/>
        <v>0.27996141789245238</v>
      </c>
      <c r="AF14" s="1999">
        <v>91</v>
      </c>
      <c r="AG14" s="107">
        <f t="shared" si="28"/>
        <v>2.1943573667711599E-2</v>
      </c>
    </row>
    <row r="15" spans="1:33" x14ac:dyDescent="0.3">
      <c r="A15" s="105" t="s">
        <v>28</v>
      </c>
      <c r="B15" s="229" t="s">
        <v>568</v>
      </c>
      <c r="C15" s="105" t="s">
        <v>252</v>
      </c>
      <c r="D15" s="105">
        <v>2</v>
      </c>
      <c r="E15" s="1999">
        <v>78997</v>
      </c>
      <c r="F15" s="1999">
        <f t="shared" si="29"/>
        <v>38873</v>
      </c>
      <c r="G15" s="1427">
        <f t="shared" si="30"/>
        <v>40124</v>
      </c>
      <c r="H15" s="338">
        <v>70750</v>
      </c>
      <c r="I15" s="338">
        <v>5697</v>
      </c>
      <c r="J15" s="338">
        <v>975</v>
      </c>
      <c r="K15" s="338">
        <v>299</v>
      </c>
      <c r="L15" s="1427">
        <v>1276</v>
      </c>
      <c r="M15" s="1999">
        <f t="shared" si="15"/>
        <v>15532</v>
      </c>
      <c r="N15" s="338">
        <f t="shared" si="16"/>
        <v>46206</v>
      </c>
      <c r="O15" s="1427">
        <f t="shared" si="17"/>
        <v>17259</v>
      </c>
      <c r="P15" s="1999">
        <v>7924</v>
      </c>
      <c r="Q15" s="338">
        <v>22871</v>
      </c>
      <c r="R15" s="338">
        <v>8078</v>
      </c>
      <c r="S15" s="1999">
        <v>7608</v>
      </c>
      <c r="T15" s="338">
        <v>23335</v>
      </c>
      <c r="U15" s="1427">
        <v>9181</v>
      </c>
      <c r="V15" s="790">
        <f t="shared" si="18"/>
        <v>0.49208197779662521</v>
      </c>
      <c r="W15" s="790">
        <f t="shared" si="19"/>
        <v>0.50791802220337479</v>
      </c>
      <c r="X15" s="2000">
        <f t="shared" si="20"/>
        <v>0.8956036305176146</v>
      </c>
      <c r="Y15" s="790">
        <f t="shared" si="21"/>
        <v>7.211666265807562E-2</v>
      </c>
      <c r="Z15" s="790">
        <f t="shared" si="22"/>
        <v>1.2342240844589035E-2</v>
      </c>
      <c r="AA15" s="790">
        <f t="shared" si="23"/>
        <v>3.7849538590073043E-3</v>
      </c>
      <c r="AB15" s="2001">
        <f t="shared" si="24"/>
        <v>1.6152512120713444E-2</v>
      </c>
      <c r="AC15" s="2002">
        <f t="shared" si="25"/>
        <v>0.19661506133144296</v>
      </c>
      <c r="AD15" s="341">
        <f t="shared" si="26"/>
        <v>0.58490828765649328</v>
      </c>
      <c r="AE15" s="2003">
        <f t="shared" si="27"/>
        <v>0.21847665101206376</v>
      </c>
      <c r="AF15" s="1999">
        <v>1870</v>
      </c>
      <c r="AG15" s="107">
        <f t="shared" si="28"/>
        <v>2.367178500449384E-2</v>
      </c>
    </row>
    <row r="16" spans="1:33" x14ac:dyDescent="0.3">
      <c r="A16" s="105" t="s">
        <v>29</v>
      </c>
      <c r="B16" s="105" t="s">
        <v>30</v>
      </c>
      <c r="C16" s="105" t="s">
        <v>255</v>
      </c>
      <c r="D16" s="105">
        <v>1</v>
      </c>
      <c r="E16" s="1999">
        <v>6280</v>
      </c>
      <c r="F16" s="1999">
        <f t="shared" si="29"/>
        <v>3444</v>
      </c>
      <c r="G16" s="1427">
        <f t="shared" si="30"/>
        <v>2836</v>
      </c>
      <c r="H16" s="338">
        <v>5919</v>
      </c>
      <c r="I16" s="338">
        <v>250</v>
      </c>
      <c r="J16" s="338">
        <v>36</v>
      </c>
      <c r="K16" s="338">
        <v>12</v>
      </c>
      <c r="L16" s="1427">
        <v>63</v>
      </c>
      <c r="M16" s="1999">
        <f t="shared" si="15"/>
        <v>939</v>
      </c>
      <c r="N16" s="338">
        <f t="shared" si="16"/>
        <v>3857</v>
      </c>
      <c r="O16" s="1427">
        <f t="shared" si="17"/>
        <v>1484</v>
      </c>
      <c r="P16" s="1999">
        <v>484</v>
      </c>
      <c r="Q16" s="338">
        <v>2249</v>
      </c>
      <c r="R16" s="338">
        <v>711</v>
      </c>
      <c r="S16" s="1999">
        <v>455</v>
      </c>
      <c r="T16" s="338">
        <v>1608</v>
      </c>
      <c r="U16" s="1427">
        <v>773</v>
      </c>
      <c r="V16" s="790">
        <f t="shared" si="18"/>
        <v>0.5484076433121019</v>
      </c>
      <c r="W16" s="790">
        <f t="shared" si="19"/>
        <v>0.4515923566878981</v>
      </c>
      <c r="X16" s="2000">
        <f t="shared" si="20"/>
        <v>0.94251592356687897</v>
      </c>
      <c r="Y16" s="790">
        <f t="shared" si="21"/>
        <v>3.9808917197452227E-2</v>
      </c>
      <c r="Z16" s="790">
        <f t="shared" si="22"/>
        <v>5.7324840764331206E-3</v>
      </c>
      <c r="AA16" s="790">
        <f t="shared" si="23"/>
        <v>1.910828025477707E-3</v>
      </c>
      <c r="AB16" s="2001">
        <f t="shared" si="24"/>
        <v>1.0031847133757961E-2</v>
      </c>
      <c r="AC16" s="2002">
        <f t="shared" si="25"/>
        <v>0.14952229299363057</v>
      </c>
      <c r="AD16" s="341">
        <f t="shared" si="26"/>
        <v>0.614171974522293</v>
      </c>
      <c r="AE16" s="2003">
        <f t="shared" si="27"/>
        <v>0.23630573248407644</v>
      </c>
      <c r="AF16" s="1999">
        <v>62</v>
      </c>
      <c r="AG16" s="107">
        <f t="shared" si="28"/>
        <v>9.8726114649681524E-3</v>
      </c>
    </row>
    <row r="17" spans="1:33" x14ac:dyDescent="0.3">
      <c r="A17" s="105" t="s">
        <v>31</v>
      </c>
      <c r="B17" s="105" t="s">
        <v>32</v>
      </c>
      <c r="C17" s="105" t="s">
        <v>252</v>
      </c>
      <c r="D17" s="105">
        <v>1</v>
      </c>
      <c r="E17" s="1999">
        <v>33419</v>
      </c>
      <c r="F17" s="1999">
        <f t="shared" si="29"/>
        <v>16594</v>
      </c>
      <c r="G17" s="1427">
        <f t="shared" si="30"/>
        <v>16825</v>
      </c>
      <c r="H17" s="338">
        <v>31456</v>
      </c>
      <c r="I17" s="338">
        <v>1093</v>
      </c>
      <c r="J17" s="338">
        <v>262</v>
      </c>
      <c r="K17" s="338">
        <v>114</v>
      </c>
      <c r="L17" s="1427">
        <v>494</v>
      </c>
      <c r="M17" s="1999">
        <f t="shared" si="15"/>
        <v>6302</v>
      </c>
      <c r="N17" s="338">
        <f t="shared" si="16"/>
        <v>19344</v>
      </c>
      <c r="O17" s="1427">
        <f t="shared" si="17"/>
        <v>7773</v>
      </c>
      <c r="P17" s="1999">
        <v>3206</v>
      </c>
      <c r="Q17" s="338">
        <v>9775</v>
      </c>
      <c r="R17" s="338">
        <v>3613</v>
      </c>
      <c r="S17" s="1999">
        <v>3096</v>
      </c>
      <c r="T17" s="338">
        <v>9569</v>
      </c>
      <c r="U17" s="1427">
        <v>4160</v>
      </c>
      <c r="V17" s="790">
        <f t="shared" si="18"/>
        <v>0.49654388222268769</v>
      </c>
      <c r="W17" s="790">
        <f t="shared" si="19"/>
        <v>0.50345611777731236</v>
      </c>
      <c r="X17" s="2000">
        <f t="shared" si="20"/>
        <v>0.94126095933451026</v>
      </c>
      <c r="Y17" s="790">
        <f t="shared" si="21"/>
        <v>3.2705945719500883E-2</v>
      </c>
      <c r="Z17" s="790">
        <f t="shared" si="22"/>
        <v>7.8398515814357105E-3</v>
      </c>
      <c r="AA17" s="790">
        <f t="shared" si="23"/>
        <v>3.411233130853706E-3</v>
      </c>
      <c r="AB17" s="2001">
        <f t="shared" si="24"/>
        <v>1.4782010233699393E-2</v>
      </c>
      <c r="AC17" s="2002">
        <f t="shared" si="25"/>
        <v>0.18857536132140398</v>
      </c>
      <c r="AD17" s="341">
        <f t="shared" si="26"/>
        <v>0.57883240073012354</v>
      </c>
      <c r="AE17" s="2003">
        <f t="shared" si="27"/>
        <v>0.23259223794847242</v>
      </c>
      <c r="AF17" s="1999">
        <v>586</v>
      </c>
      <c r="AG17" s="107">
        <f t="shared" si="28"/>
        <v>1.7534935216493613E-2</v>
      </c>
    </row>
    <row r="18" spans="1:33" x14ac:dyDescent="0.3">
      <c r="A18" s="105" t="s">
        <v>35</v>
      </c>
      <c r="B18" s="105" t="s">
        <v>36</v>
      </c>
      <c r="C18" s="105" t="s">
        <v>251</v>
      </c>
      <c r="D18" s="105">
        <v>2</v>
      </c>
      <c r="E18" s="1999">
        <v>16231</v>
      </c>
      <c r="F18" s="1999">
        <f t="shared" si="29"/>
        <v>8701</v>
      </c>
      <c r="G18" s="1427">
        <f t="shared" si="30"/>
        <v>7530</v>
      </c>
      <c r="H18" s="338">
        <v>6881</v>
      </c>
      <c r="I18" s="338">
        <v>8890</v>
      </c>
      <c r="J18" s="338">
        <v>151</v>
      </c>
      <c r="K18" s="338">
        <v>67</v>
      </c>
      <c r="L18" s="1427">
        <v>242</v>
      </c>
      <c r="M18" s="1999">
        <f t="shared" si="15"/>
        <v>2668</v>
      </c>
      <c r="N18" s="338">
        <f t="shared" si="16"/>
        <v>10029</v>
      </c>
      <c r="O18" s="1427">
        <f t="shared" si="17"/>
        <v>3534</v>
      </c>
      <c r="P18" s="1999">
        <v>1349</v>
      </c>
      <c r="Q18" s="338">
        <v>5784</v>
      </c>
      <c r="R18" s="338">
        <v>1568</v>
      </c>
      <c r="S18" s="1999">
        <v>1319</v>
      </c>
      <c r="T18" s="338">
        <v>4245</v>
      </c>
      <c r="U18" s="1427">
        <v>1966</v>
      </c>
      <c r="V18" s="790">
        <f t="shared" si="18"/>
        <v>0.53607294683013984</v>
      </c>
      <c r="W18" s="790">
        <f t="shared" si="19"/>
        <v>0.46392705316986016</v>
      </c>
      <c r="X18" s="2000">
        <f t="shared" si="20"/>
        <v>0.42394183968948307</v>
      </c>
      <c r="Y18" s="790">
        <f t="shared" si="21"/>
        <v>0.54771733103320808</v>
      </c>
      <c r="Z18" s="790">
        <f t="shared" si="22"/>
        <v>9.3031852627687758E-3</v>
      </c>
      <c r="AA18" s="790">
        <f t="shared" si="23"/>
        <v>4.1279033947384637E-3</v>
      </c>
      <c r="AB18" s="2001">
        <f t="shared" si="24"/>
        <v>1.4909740619801614E-2</v>
      </c>
      <c r="AC18" s="2002">
        <f t="shared" si="25"/>
        <v>0.16437680980839134</v>
      </c>
      <c r="AD18" s="341">
        <f t="shared" si="26"/>
        <v>0.61789168874376199</v>
      </c>
      <c r="AE18" s="2003">
        <f t="shared" si="27"/>
        <v>0.21773150144784673</v>
      </c>
      <c r="AF18" s="1999">
        <v>398</v>
      </c>
      <c r="AG18" s="107">
        <f t="shared" si="28"/>
        <v>2.4520978374715053E-2</v>
      </c>
    </row>
    <row r="19" spans="1:33" x14ac:dyDescent="0.3">
      <c r="A19" s="105" t="s">
        <v>37</v>
      </c>
      <c r="B19" s="105" t="s">
        <v>38</v>
      </c>
      <c r="C19" s="105" t="s">
        <v>255</v>
      </c>
      <c r="D19" s="105">
        <v>2</v>
      </c>
      <c r="E19" s="1999">
        <v>21004</v>
      </c>
      <c r="F19" s="1999">
        <f t="shared" si="29"/>
        <v>10638</v>
      </c>
      <c r="G19" s="1427">
        <f t="shared" si="30"/>
        <v>10366</v>
      </c>
      <c r="H19" s="338">
        <v>20013</v>
      </c>
      <c r="I19" s="338">
        <v>710</v>
      </c>
      <c r="J19" s="338">
        <v>93</v>
      </c>
      <c r="K19" s="338">
        <v>35</v>
      </c>
      <c r="L19" s="1427">
        <v>153</v>
      </c>
      <c r="M19" s="1999">
        <f t="shared" si="15"/>
        <v>3639</v>
      </c>
      <c r="N19" s="338">
        <f t="shared" si="16"/>
        <v>12521</v>
      </c>
      <c r="O19" s="1427">
        <f t="shared" si="17"/>
        <v>4844</v>
      </c>
      <c r="P19" s="1999">
        <v>1871</v>
      </c>
      <c r="Q19" s="338">
        <v>6589</v>
      </c>
      <c r="R19" s="338">
        <v>2178</v>
      </c>
      <c r="S19" s="1999">
        <v>1768</v>
      </c>
      <c r="T19" s="338">
        <v>5932</v>
      </c>
      <c r="U19" s="1427">
        <v>2666</v>
      </c>
      <c r="V19" s="790">
        <f t="shared" si="18"/>
        <v>0.50647495715101887</v>
      </c>
      <c r="W19" s="790">
        <f t="shared" si="19"/>
        <v>0.49352504284898113</v>
      </c>
      <c r="X19" s="2000">
        <f t="shared" si="20"/>
        <v>0.95281851075985524</v>
      </c>
      <c r="Y19" s="790">
        <f t="shared" si="21"/>
        <v>3.3803085126642547E-2</v>
      </c>
      <c r="Z19" s="790">
        <f t="shared" si="22"/>
        <v>4.4277280517996571E-3</v>
      </c>
      <c r="AA19" s="790">
        <f t="shared" si="23"/>
        <v>1.6663492668063226E-3</v>
      </c>
      <c r="AB19" s="2001">
        <f t="shared" si="24"/>
        <v>7.2843267948962103E-3</v>
      </c>
      <c r="AC19" s="2002">
        <f t="shared" si="25"/>
        <v>0.17325271376880594</v>
      </c>
      <c r="AD19" s="341">
        <f t="shared" si="26"/>
        <v>0.59612454770519896</v>
      </c>
      <c r="AE19" s="2003">
        <f t="shared" si="27"/>
        <v>0.23062273852599505</v>
      </c>
      <c r="AF19" s="1999">
        <v>187</v>
      </c>
      <c r="AG19" s="107">
        <f t="shared" si="28"/>
        <v>8.9030660826509237E-3</v>
      </c>
    </row>
    <row r="20" spans="1:33" x14ac:dyDescent="0.3">
      <c r="A20" s="105" t="s">
        <v>39</v>
      </c>
      <c r="B20" s="105" t="s">
        <v>40</v>
      </c>
      <c r="C20" s="105" t="s">
        <v>253</v>
      </c>
      <c r="D20" s="105">
        <v>2</v>
      </c>
      <c r="E20" s="1999">
        <v>17148</v>
      </c>
      <c r="F20" s="1999">
        <f t="shared" si="29"/>
        <v>9417</v>
      </c>
      <c r="G20" s="1427">
        <f t="shared" si="30"/>
        <v>7731</v>
      </c>
      <c r="H20" s="338">
        <v>10850</v>
      </c>
      <c r="I20" s="338">
        <v>5783</v>
      </c>
      <c r="J20" s="338">
        <v>74</v>
      </c>
      <c r="K20" s="338">
        <v>78</v>
      </c>
      <c r="L20" s="1427">
        <v>363</v>
      </c>
      <c r="M20" s="1999">
        <f t="shared" si="15"/>
        <v>3031</v>
      </c>
      <c r="N20" s="338">
        <f t="shared" si="16"/>
        <v>10655</v>
      </c>
      <c r="O20" s="1427">
        <f t="shared" si="17"/>
        <v>3462</v>
      </c>
      <c r="P20" s="1999">
        <v>1579</v>
      </c>
      <c r="Q20" s="338">
        <v>6269</v>
      </c>
      <c r="R20" s="338">
        <v>1569</v>
      </c>
      <c r="S20" s="1999">
        <v>1452</v>
      </c>
      <c r="T20" s="338">
        <v>4386</v>
      </c>
      <c r="U20" s="1427">
        <v>1893</v>
      </c>
      <c r="V20" s="790">
        <f t="shared" si="18"/>
        <v>0.54916025192442264</v>
      </c>
      <c r="W20" s="790">
        <f t="shared" si="19"/>
        <v>0.45083974807557731</v>
      </c>
      <c r="X20" s="2000">
        <f t="shared" si="20"/>
        <v>0.63272684861208306</v>
      </c>
      <c r="Y20" s="790">
        <f t="shared" si="21"/>
        <v>0.33724049451831117</v>
      </c>
      <c r="Z20" s="790">
        <f t="shared" si="22"/>
        <v>4.3153720550501515E-3</v>
      </c>
      <c r="AA20" s="790">
        <f t="shared" si="23"/>
        <v>4.5486354093771872E-3</v>
      </c>
      <c r="AB20" s="2001">
        <f t="shared" si="24"/>
        <v>2.1168649405178448E-2</v>
      </c>
      <c r="AC20" s="2002">
        <f t="shared" si="25"/>
        <v>0.17675530674131093</v>
      </c>
      <c r="AD20" s="341">
        <f t="shared" si="26"/>
        <v>0.62135526008864006</v>
      </c>
      <c r="AE20" s="2003">
        <f t="shared" si="27"/>
        <v>0.20188943317004898</v>
      </c>
      <c r="AF20" s="1999">
        <v>415</v>
      </c>
      <c r="AG20" s="107">
        <f t="shared" si="28"/>
        <v>2.4201073011429906E-2</v>
      </c>
    </row>
    <row r="21" spans="1:33" x14ac:dyDescent="0.3">
      <c r="A21" s="105" t="s">
        <v>41</v>
      </c>
      <c r="B21" s="105" t="s">
        <v>42</v>
      </c>
      <c r="C21" s="105" t="s">
        <v>252</v>
      </c>
      <c r="D21" s="105">
        <v>2</v>
      </c>
      <c r="E21" s="1999">
        <v>54885</v>
      </c>
      <c r="F21" s="1999">
        <f t="shared" si="29"/>
        <v>26668</v>
      </c>
      <c r="G21" s="1427">
        <f t="shared" si="30"/>
        <v>28217</v>
      </c>
      <c r="H21" s="338">
        <v>44735</v>
      </c>
      <c r="I21" s="338">
        <v>8123</v>
      </c>
      <c r="J21" s="338">
        <v>592</v>
      </c>
      <c r="K21" s="338">
        <v>244</v>
      </c>
      <c r="L21" s="1427">
        <v>1191</v>
      </c>
      <c r="M21" s="1999">
        <f t="shared" si="15"/>
        <v>10642</v>
      </c>
      <c r="N21" s="338">
        <f t="shared" si="16"/>
        <v>33105</v>
      </c>
      <c r="O21" s="1427">
        <f t="shared" si="17"/>
        <v>11138</v>
      </c>
      <c r="P21" s="1999">
        <v>5338</v>
      </c>
      <c r="Q21" s="338">
        <v>16413</v>
      </c>
      <c r="R21" s="338">
        <v>4917</v>
      </c>
      <c r="S21" s="1999">
        <v>5304</v>
      </c>
      <c r="T21" s="338">
        <v>16692</v>
      </c>
      <c r="U21" s="1427">
        <v>6221</v>
      </c>
      <c r="V21" s="790">
        <f t="shared" si="18"/>
        <v>0.4858886763232213</v>
      </c>
      <c r="W21" s="790">
        <f t="shared" si="19"/>
        <v>0.5141113236767787</v>
      </c>
      <c r="X21" s="2000">
        <f t="shared" si="20"/>
        <v>0.81506786918101481</v>
      </c>
      <c r="Y21" s="790">
        <f t="shared" si="21"/>
        <v>0.14800036439828732</v>
      </c>
      <c r="Z21" s="790">
        <f t="shared" si="22"/>
        <v>1.0786189304910267E-2</v>
      </c>
      <c r="AA21" s="790">
        <f t="shared" si="23"/>
        <v>4.4456591054022046E-3</v>
      </c>
      <c r="AB21" s="2001">
        <f t="shared" si="24"/>
        <v>2.1699918010385351E-2</v>
      </c>
      <c r="AC21" s="2002">
        <f t="shared" si="25"/>
        <v>0.19389632868725518</v>
      </c>
      <c r="AD21" s="341">
        <f t="shared" si="26"/>
        <v>0.60317026509975402</v>
      </c>
      <c r="AE21" s="2003">
        <f t="shared" si="27"/>
        <v>0.2029334062129908</v>
      </c>
      <c r="AF21" s="1999">
        <v>1566</v>
      </c>
      <c r="AG21" s="107">
        <f t="shared" si="28"/>
        <v>2.853238589778628E-2</v>
      </c>
    </row>
    <row r="22" spans="1:33" x14ac:dyDescent="0.3">
      <c r="A22" s="105" t="s">
        <v>43</v>
      </c>
      <c r="B22" s="105" t="s">
        <v>44</v>
      </c>
      <c r="C22" s="105" t="s">
        <v>253</v>
      </c>
      <c r="D22" s="105">
        <v>2</v>
      </c>
      <c r="E22" s="1999">
        <v>30725</v>
      </c>
      <c r="F22" s="1999">
        <f t="shared" si="29"/>
        <v>15213</v>
      </c>
      <c r="G22" s="1427">
        <f t="shared" si="30"/>
        <v>15512</v>
      </c>
      <c r="H22" s="338">
        <v>20639</v>
      </c>
      <c r="I22" s="338">
        <v>8349</v>
      </c>
      <c r="J22" s="338">
        <v>347</v>
      </c>
      <c r="K22" s="338">
        <v>288</v>
      </c>
      <c r="L22" s="1427">
        <v>1102</v>
      </c>
      <c r="M22" s="1999">
        <f t="shared" si="15"/>
        <v>7007</v>
      </c>
      <c r="N22" s="338">
        <f t="shared" si="16"/>
        <v>18512</v>
      </c>
      <c r="O22" s="1427">
        <f t="shared" si="17"/>
        <v>5206</v>
      </c>
      <c r="P22" s="1999">
        <v>3562</v>
      </c>
      <c r="Q22" s="338">
        <v>9307</v>
      </c>
      <c r="R22" s="338">
        <v>2344</v>
      </c>
      <c r="S22" s="1999">
        <v>3445</v>
      </c>
      <c r="T22" s="338">
        <v>9205</v>
      </c>
      <c r="U22" s="1427">
        <v>2862</v>
      </c>
      <c r="V22" s="790">
        <f t="shared" si="18"/>
        <v>0.49513425549227014</v>
      </c>
      <c r="W22" s="790">
        <f t="shared" si="19"/>
        <v>0.50486574450772981</v>
      </c>
      <c r="X22" s="2000">
        <f t="shared" si="20"/>
        <v>0.67173311635475996</v>
      </c>
      <c r="Y22" s="790">
        <f t="shared" si="21"/>
        <v>0.27173311635475994</v>
      </c>
      <c r="Z22" s="790">
        <f t="shared" si="22"/>
        <v>1.1293734743694061E-2</v>
      </c>
      <c r="AA22" s="790">
        <f t="shared" si="23"/>
        <v>9.3734743694060211E-3</v>
      </c>
      <c r="AB22" s="2001">
        <f t="shared" si="24"/>
        <v>3.5866558177379985E-2</v>
      </c>
      <c r="AC22" s="2002">
        <f t="shared" si="25"/>
        <v>0.2280553295362083</v>
      </c>
      <c r="AD22" s="341">
        <f t="shared" si="26"/>
        <v>0.60250610252237591</v>
      </c>
      <c r="AE22" s="2003">
        <f t="shared" si="27"/>
        <v>0.16943856794141579</v>
      </c>
      <c r="AF22" s="1999">
        <v>1611</v>
      </c>
      <c r="AG22" s="107">
        <f t="shared" si="28"/>
        <v>5.2432872253864928E-2</v>
      </c>
    </row>
    <row r="23" spans="1:33" x14ac:dyDescent="0.3">
      <c r="A23" s="105" t="s">
        <v>45</v>
      </c>
      <c r="B23" s="105" t="s">
        <v>46</v>
      </c>
      <c r="C23" s="105" t="s">
        <v>255</v>
      </c>
      <c r="D23" s="105">
        <v>2</v>
      </c>
      <c r="E23" s="1999">
        <v>29791</v>
      </c>
      <c r="F23" s="1999">
        <f t="shared" si="29"/>
        <v>14782</v>
      </c>
      <c r="G23" s="1427">
        <f t="shared" si="30"/>
        <v>15009</v>
      </c>
      <c r="H23" s="338">
        <v>28964</v>
      </c>
      <c r="I23" s="338">
        <v>263</v>
      </c>
      <c r="J23" s="338">
        <v>68</v>
      </c>
      <c r="K23" s="338">
        <v>113</v>
      </c>
      <c r="L23" s="1427">
        <v>383</v>
      </c>
      <c r="M23" s="1999">
        <f t="shared" si="15"/>
        <v>5301</v>
      </c>
      <c r="N23" s="338">
        <f t="shared" si="16"/>
        <v>16919</v>
      </c>
      <c r="O23" s="1427">
        <f t="shared" si="17"/>
        <v>7571</v>
      </c>
      <c r="P23" s="1999">
        <v>2722</v>
      </c>
      <c r="Q23" s="338">
        <v>8561</v>
      </c>
      <c r="R23" s="338">
        <v>3499</v>
      </c>
      <c r="S23" s="1999">
        <v>2579</v>
      </c>
      <c r="T23" s="338">
        <v>8358</v>
      </c>
      <c r="U23" s="1427">
        <v>4072</v>
      </c>
      <c r="V23" s="790">
        <f t="shared" si="18"/>
        <v>0.49619012453425532</v>
      </c>
      <c r="W23" s="790">
        <f t="shared" si="19"/>
        <v>0.50380987546574474</v>
      </c>
      <c r="X23" s="2000">
        <f t="shared" si="20"/>
        <v>0.97223993823638011</v>
      </c>
      <c r="Y23" s="790">
        <f t="shared" si="21"/>
        <v>8.8281695814172063E-3</v>
      </c>
      <c r="Z23" s="790">
        <f t="shared" si="22"/>
        <v>2.2825685609747909E-3</v>
      </c>
      <c r="AA23" s="790">
        <f t="shared" si="23"/>
        <v>3.7930918733845792E-3</v>
      </c>
      <c r="AB23" s="2001">
        <f t="shared" si="24"/>
        <v>1.2856231747843309E-2</v>
      </c>
      <c r="AC23" s="2002">
        <f t="shared" si="25"/>
        <v>0.17793964620187305</v>
      </c>
      <c r="AD23" s="341">
        <f t="shared" si="26"/>
        <v>0.56792319828136018</v>
      </c>
      <c r="AE23" s="2003">
        <f t="shared" si="27"/>
        <v>0.2541371555167668</v>
      </c>
      <c r="AF23" s="1999">
        <v>1147</v>
      </c>
      <c r="AG23" s="107">
        <f t="shared" si="28"/>
        <v>3.8501560874089492E-2</v>
      </c>
    </row>
    <row r="24" spans="1:33" x14ac:dyDescent="0.3">
      <c r="A24" s="105" t="s">
        <v>47</v>
      </c>
      <c r="B24" s="105" t="s">
        <v>256</v>
      </c>
      <c r="C24" s="105" t="s">
        <v>253</v>
      </c>
      <c r="D24" s="105">
        <v>1</v>
      </c>
      <c r="E24" s="1999">
        <v>6963</v>
      </c>
      <c r="F24" s="1999">
        <f t="shared" si="29"/>
        <v>3375</v>
      </c>
      <c r="G24" s="1427">
        <f t="shared" si="30"/>
        <v>3588</v>
      </c>
      <c r="H24" s="338">
        <v>3116</v>
      </c>
      <c r="I24" s="338">
        <v>3093</v>
      </c>
      <c r="J24" s="338">
        <v>44</v>
      </c>
      <c r="K24" s="338">
        <v>473</v>
      </c>
      <c r="L24" s="1427">
        <v>237</v>
      </c>
      <c r="M24" s="1999">
        <f t="shared" si="15"/>
        <v>1024</v>
      </c>
      <c r="N24" s="338">
        <f t="shared" si="16"/>
        <v>4164</v>
      </c>
      <c r="O24" s="1427">
        <f t="shared" si="17"/>
        <v>1775</v>
      </c>
      <c r="P24" s="1999">
        <v>515</v>
      </c>
      <c r="Q24" s="338">
        <v>2059</v>
      </c>
      <c r="R24" s="338">
        <v>801</v>
      </c>
      <c r="S24" s="1999">
        <v>509</v>
      </c>
      <c r="T24" s="338">
        <v>2105</v>
      </c>
      <c r="U24" s="1427">
        <v>974</v>
      </c>
      <c r="V24" s="790">
        <f t="shared" si="18"/>
        <v>0.48470486859112449</v>
      </c>
      <c r="W24" s="790">
        <f t="shared" si="19"/>
        <v>0.51529513140887551</v>
      </c>
      <c r="X24" s="2000">
        <f t="shared" si="20"/>
        <v>0.4475082579347982</v>
      </c>
      <c r="Y24" s="790">
        <f t="shared" si="21"/>
        <v>0.44420508401551057</v>
      </c>
      <c r="Z24" s="790">
        <f t="shared" si="22"/>
        <v>6.3191153238546603E-3</v>
      </c>
      <c r="AA24" s="790">
        <f t="shared" si="23"/>
        <v>6.7930489731437602E-2</v>
      </c>
      <c r="AB24" s="2001">
        <f t="shared" si="24"/>
        <v>3.4037052994398964E-2</v>
      </c>
      <c r="AC24" s="2002">
        <f t="shared" si="25"/>
        <v>0.14706304753698118</v>
      </c>
      <c r="AD24" s="341">
        <f t="shared" si="26"/>
        <v>0.59801809564842745</v>
      </c>
      <c r="AE24" s="2003">
        <f t="shared" si="27"/>
        <v>0.25491885681459142</v>
      </c>
      <c r="AF24" s="1999">
        <v>126</v>
      </c>
      <c r="AG24" s="107">
        <f t="shared" si="28"/>
        <v>1.8095648427401981E-2</v>
      </c>
    </row>
    <row r="25" spans="1:33" x14ac:dyDescent="0.3">
      <c r="A25" s="105" t="s">
        <v>49</v>
      </c>
      <c r="B25" s="105" t="s">
        <v>50</v>
      </c>
      <c r="C25" s="105" t="s">
        <v>252</v>
      </c>
      <c r="D25" s="105">
        <v>2</v>
      </c>
      <c r="E25" s="1999">
        <v>11880</v>
      </c>
      <c r="F25" s="1999">
        <f t="shared" si="29"/>
        <v>5887</v>
      </c>
      <c r="G25" s="1427">
        <f t="shared" si="30"/>
        <v>5993</v>
      </c>
      <c r="H25" s="338">
        <v>8302</v>
      </c>
      <c r="I25" s="338">
        <v>3281</v>
      </c>
      <c r="J25" s="338">
        <v>34</v>
      </c>
      <c r="K25" s="338">
        <v>49</v>
      </c>
      <c r="L25" s="1427">
        <v>214</v>
      </c>
      <c r="M25" s="1999">
        <f t="shared" si="15"/>
        <v>2484</v>
      </c>
      <c r="N25" s="338">
        <f t="shared" si="16"/>
        <v>6709</v>
      </c>
      <c r="O25" s="1427">
        <f t="shared" si="17"/>
        <v>2687</v>
      </c>
      <c r="P25" s="1999">
        <v>1305</v>
      </c>
      <c r="Q25" s="338">
        <v>3359</v>
      </c>
      <c r="R25" s="338">
        <v>1223</v>
      </c>
      <c r="S25" s="1999">
        <v>1179</v>
      </c>
      <c r="T25" s="338">
        <v>3350</v>
      </c>
      <c r="U25" s="1427">
        <v>1464</v>
      </c>
      <c r="V25" s="790">
        <f t="shared" si="18"/>
        <v>0.49553872053872056</v>
      </c>
      <c r="W25" s="790">
        <f t="shared" si="19"/>
        <v>0.5044612794612795</v>
      </c>
      <c r="X25" s="2000">
        <f t="shared" si="20"/>
        <v>0.69882154882154879</v>
      </c>
      <c r="Y25" s="790">
        <f t="shared" si="21"/>
        <v>0.27617845117845119</v>
      </c>
      <c r="Z25" s="790">
        <f t="shared" si="22"/>
        <v>2.861952861952862E-3</v>
      </c>
      <c r="AA25" s="790">
        <f t="shared" si="23"/>
        <v>4.1245791245791245E-3</v>
      </c>
      <c r="AB25" s="2001">
        <f t="shared" si="24"/>
        <v>1.8013468013468013E-2</v>
      </c>
      <c r="AC25" s="2002">
        <f t="shared" si="25"/>
        <v>0.20909090909090908</v>
      </c>
      <c r="AD25" s="341">
        <f t="shared" si="26"/>
        <v>0.56473063973063975</v>
      </c>
      <c r="AE25" s="2003">
        <f t="shared" si="27"/>
        <v>0.22617845117845117</v>
      </c>
      <c r="AF25" s="1999">
        <v>275</v>
      </c>
      <c r="AG25" s="107">
        <f t="shared" si="28"/>
        <v>2.3148148148148147E-2</v>
      </c>
    </row>
    <row r="26" spans="1:33" x14ac:dyDescent="0.3">
      <c r="A26" s="105" t="s">
        <v>55</v>
      </c>
      <c r="B26" s="105" t="s">
        <v>271</v>
      </c>
      <c r="C26" s="105" t="s">
        <v>253</v>
      </c>
      <c r="D26" s="105">
        <v>3</v>
      </c>
      <c r="E26" s="1999">
        <v>370172</v>
      </c>
      <c r="F26" s="1999">
        <f t="shared" si="29"/>
        <v>177894</v>
      </c>
      <c r="G26" s="1427">
        <f t="shared" si="30"/>
        <v>192278</v>
      </c>
      <c r="H26" s="338">
        <v>253695</v>
      </c>
      <c r="I26" s="338">
        <v>89461</v>
      </c>
      <c r="J26" s="338">
        <v>13622</v>
      </c>
      <c r="K26" s="338">
        <v>2713</v>
      </c>
      <c r="L26" s="1427">
        <v>10681</v>
      </c>
      <c r="M26" s="1999">
        <f t="shared" si="15"/>
        <v>87114</v>
      </c>
      <c r="N26" s="338">
        <f t="shared" si="16"/>
        <v>225269</v>
      </c>
      <c r="O26" s="1427">
        <f t="shared" si="17"/>
        <v>57789</v>
      </c>
      <c r="P26" s="1999">
        <v>44771</v>
      </c>
      <c r="Q26" s="338">
        <v>107632</v>
      </c>
      <c r="R26" s="338">
        <v>25491</v>
      </c>
      <c r="S26" s="1999">
        <v>42343</v>
      </c>
      <c r="T26" s="338">
        <v>117637</v>
      </c>
      <c r="U26" s="1427">
        <v>32298</v>
      </c>
      <c r="V26" s="790">
        <f t="shared" si="18"/>
        <v>0.48057119393146969</v>
      </c>
      <c r="W26" s="790">
        <f t="shared" si="19"/>
        <v>0.51942880606853026</v>
      </c>
      <c r="X26" s="2000">
        <f t="shared" si="20"/>
        <v>0.68534357001610058</v>
      </c>
      <c r="Y26" s="790">
        <f t="shared" si="21"/>
        <v>0.24167414066974272</v>
      </c>
      <c r="Z26" s="790">
        <f t="shared" si="22"/>
        <v>3.6799109603103425E-2</v>
      </c>
      <c r="AA26" s="790">
        <f t="shared" si="23"/>
        <v>7.329025426018175E-3</v>
      </c>
      <c r="AB26" s="2001">
        <f t="shared" si="24"/>
        <v>2.8854154285035065E-2</v>
      </c>
      <c r="AC26" s="2002">
        <f t="shared" si="25"/>
        <v>0.23533384480727879</v>
      </c>
      <c r="AD26" s="341">
        <f t="shared" si="26"/>
        <v>0.60855224058005464</v>
      </c>
      <c r="AE26" s="2003">
        <f t="shared" si="27"/>
        <v>0.15611391461266655</v>
      </c>
      <c r="AF26" s="1999">
        <v>34520</v>
      </c>
      <c r="AG26" s="107">
        <f t="shared" si="28"/>
        <v>9.3253946813913538E-2</v>
      </c>
    </row>
    <row r="27" spans="1:33" x14ac:dyDescent="0.3">
      <c r="A27" s="105" t="s">
        <v>57</v>
      </c>
      <c r="B27" s="105" t="s">
        <v>58</v>
      </c>
      <c r="C27" s="105" t="s">
        <v>254</v>
      </c>
      <c r="D27" s="105">
        <v>1</v>
      </c>
      <c r="E27" s="1999">
        <v>14619</v>
      </c>
      <c r="F27" s="1999">
        <f t="shared" si="29"/>
        <v>7240</v>
      </c>
      <c r="G27" s="1427">
        <f t="shared" si="30"/>
        <v>7379</v>
      </c>
      <c r="H27" s="338">
        <v>13251</v>
      </c>
      <c r="I27" s="338">
        <v>681</v>
      </c>
      <c r="J27" s="338">
        <v>210</v>
      </c>
      <c r="K27" s="338">
        <v>116</v>
      </c>
      <c r="L27" s="1427">
        <v>361</v>
      </c>
      <c r="M27" s="1999">
        <f t="shared" si="15"/>
        <v>2855</v>
      </c>
      <c r="N27" s="338">
        <f t="shared" si="16"/>
        <v>8570</v>
      </c>
      <c r="O27" s="1427">
        <f t="shared" si="17"/>
        <v>3194</v>
      </c>
      <c r="P27" s="1999">
        <v>1450</v>
      </c>
      <c r="Q27" s="338">
        <v>4292</v>
      </c>
      <c r="R27" s="338">
        <v>1498</v>
      </c>
      <c r="S27" s="1999">
        <v>1405</v>
      </c>
      <c r="T27" s="338">
        <v>4278</v>
      </c>
      <c r="U27" s="1427">
        <v>1696</v>
      </c>
      <c r="V27" s="790">
        <f t="shared" si="18"/>
        <v>0.49524591285313635</v>
      </c>
      <c r="W27" s="790">
        <f t="shared" si="19"/>
        <v>0.50475408714686365</v>
      </c>
      <c r="X27" s="2000">
        <f t="shared" si="20"/>
        <v>0.90642314795813672</v>
      </c>
      <c r="Y27" s="790">
        <f t="shared" si="21"/>
        <v>4.6583213626103015E-2</v>
      </c>
      <c r="Z27" s="790">
        <f t="shared" si="22"/>
        <v>1.4364867638005336E-2</v>
      </c>
      <c r="AA27" s="790">
        <f t="shared" si="23"/>
        <v>7.9348792667077086E-3</v>
      </c>
      <c r="AB27" s="2001">
        <f t="shared" si="24"/>
        <v>2.4693891511047266E-2</v>
      </c>
      <c r="AC27" s="2002">
        <f t="shared" si="25"/>
        <v>0.19529379574526301</v>
      </c>
      <c r="AD27" s="341">
        <f t="shared" si="26"/>
        <v>0.58622340789383676</v>
      </c>
      <c r="AE27" s="2003">
        <f t="shared" si="27"/>
        <v>0.21848279636090021</v>
      </c>
      <c r="AF27" s="1999">
        <v>932</v>
      </c>
      <c r="AG27" s="107">
        <f t="shared" si="28"/>
        <v>6.3752650660099872E-2</v>
      </c>
    </row>
    <row r="28" spans="1:33" x14ac:dyDescent="0.3">
      <c r="A28" s="105" t="s">
        <v>59</v>
      </c>
      <c r="B28" s="105" t="s">
        <v>60</v>
      </c>
      <c r="C28" s="105" t="s">
        <v>252</v>
      </c>
      <c r="D28" s="105">
        <v>1</v>
      </c>
      <c r="E28" s="1999">
        <v>5131</v>
      </c>
      <c r="F28" s="1999">
        <f t="shared" si="29"/>
        <v>2555</v>
      </c>
      <c r="G28" s="1427">
        <f t="shared" si="30"/>
        <v>2576</v>
      </c>
      <c r="H28" s="338">
        <v>5032</v>
      </c>
      <c r="I28" s="338">
        <v>23</v>
      </c>
      <c r="J28" s="338">
        <v>8</v>
      </c>
      <c r="K28" s="338">
        <v>21</v>
      </c>
      <c r="L28" s="1427">
        <v>47</v>
      </c>
      <c r="M28" s="1999">
        <f t="shared" si="15"/>
        <v>899</v>
      </c>
      <c r="N28" s="338">
        <f t="shared" si="16"/>
        <v>2993</v>
      </c>
      <c r="O28" s="1427">
        <f t="shared" si="17"/>
        <v>1239</v>
      </c>
      <c r="P28" s="1999">
        <v>469</v>
      </c>
      <c r="Q28" s="338">
        <v>1516</v>
      </c>
      <c r="R28" s="338">
        <v>570</v>
      </c>
      <c r="S28" s="1999">
        <v>430</v>
      </c>
      <c r="T28" s="338">
        <v>1477</v>
      </c>
      <c r="U28" s="1427">
        <v>669</v>
      </c>
      <c r="V28" s="790">
        <f t="shared" si="18"/>
        <v>0.49795361527967258</v>
      </c>
      <c r="W28" s="790">
        <f t="shared" si="19"/>
        <v>0.50204638472032748</v>
      </c>
      <c r="X28" s="2000">
        <f t="shared" si="20"/>
        <v>0.98070551549405571</v>
      </c>
      <c r="Y28" s="790">
        <f t="shared" si="21"/>
        <v>4.482557006431495E-3</v>
      </c>
      <c r="Z28" s="790">
        <f t="shared" si="22"/>
        <v>1.5591502631066068E-3</v>
      </c>
      <c r="AA28" s="790">
        <f t="shared" si="23"/>
        <v>4.0927694406548429E-3</v>
      </c>
      <c r="AB28" s="2001">
        <f t="shared" si="24"/>
        <v>9.1600077957513151E-3</v>
      </c>
      <c r="AC28" s="2002">
        <f t="shared" si="25"/>
        <v>0.17520951081660496</v>
      </c>
      <c r="AD28" s="341">
        <f t="shared" si="26"/>
        <v>0.58331709218475936</v>
      </c>
      <c r="AE28" s="2003">
        <f t="shared" si="27"/>
        <v>0.24147339699863574</v>
      </c>
      <c r="AF28" s="1999">
        <v>81</v>
      </c>
      <c r="AG28" s="107">
        <f t="shared" si="28"/>
        <v>1.5786396413954396E-2</v>
      </c>
    </row>
    <row r="29" spans="1:33" x14ac:dyDescent="0.3">
      <c r="A29" s="105" t="s">
        <v>61</v>
      </c>
      <c r="B29" s="105" t="s">
        <v>62</v>
      </c>
      <c r="C29" s="105" t="s">
        <v>254</v>
      </c>
      <c r="D29" s="105">
        <v>2</v>
      </c>
      <c r="E29" s="1999">
        <v>52605</v>
      </c>
      <c r="F29" s="1999">
        <f t="shared" si="29"/>
        <v>26266</v>
      </c>
      <c r="G29" s="1427">
        <f t="shared" si="30"/>
        <v>26339</v>
      </c>
      <c r="H29" s="338">
        <v>41789</v>
      </c>
      <c r="I29" s="338">
        <v>7672</v>
      </c>
      <c r="J29" s="338">
        <v>892</v>
      </c>
      <c r="K29" s="338">
        <v>500</v>
      </c>
      <c r="L29" s="1427">
        <v>1752</v>
      </c>
      <c r="M29" s="1999">
        <f t="shared" si="15"/>
        <v>13019</v>
      </c>
      <c r="N29" s="338">
        <f t="shared" si="16"/>
        <v>31144</v>
      </c>
      <c r="O29" s="1427">
        <f t="shared" si="17"/>
        <v>8442</v>
      </c>
      <c r="P29" s="1999">
        <v>6480</v>
      </c>
      <c r="Q29" s="338">
        <v>15885</v>
      </c>
      <c r="R29" s="338">
        <v>3901</v>
      </c>
      <c r="S29" s="1999">
        <v>6539</v>
      </c>
      <c r="T29" s="338">
        <v>15259</v>
      </c>
      <c r="U29" s="1427">
        <v>4541</v>
      </c>
      <c r="V29" s="790">
        <f t="shared" si="18"/>
        <v>0.49930614960555081</v>
      </c>
      <c r="W29" s="790">
        <f t="shared" si="19"/>
        <v>0.50069385039444925</v>
      </c>
      <c r="X29" s="2000">
        <f t="shared" si="20"/>
        <v>0.79439216804486268</v>
      </c>
      <c r="Y29" s="790">
        <f t="shared" si="21"/>
        <v>0.1458416500332668</v>
      </c>
      <c r="Z29" s="790">
        <f t="shared" si="22"/>
        <v>1.6956563064347497E-2</v>
      </c>
      <c r="AA29" s="790">
        <f t="shared" si="23"/>
        <v>9.5047999239616012E-3</v>
      </c>
      <c r="AB29" s="2001">
        <f t="shared" si="24"/>
        <v>3.330481893356145E-2</v>
      </c>
      <c r="AC29" s="2002">
        <f t="shared" si="25"/>
        <v>0.24748598042011216</v>
      </c>
      <c r="AD29" s="341">
        <f t="shared" si="26"/>
        <v>0.59203497766372015</v>
      </c>
      <c r="AE29" s="2003">
        <f t="shared" si="27"/>
        <v>0.16047904191616766</v>
      </c>
      <c r="AF29" s="1999">
        <v>6098</v>
      </c>
      <c r="AG29" s="107">
        <f t="shared" si="28"/>
        <v>0.11592053987263568</v>
      </c>
    </row>
    <row r="30" spans="1:33" x14ac:dyDescent="0.3">
      <c r="A30" s="105" t="s">
        <v>63</v>
      </c>
      <c r="B30" s="105" t="s">
        <v>64</v>
      </c>
      <c r="C30" s="105" t="s">
        <v>253</v>
      </c>
      <c r="D30" s="105">
        <v>1</v>
      </c>
      <c r="E30" s="1999">
        <v>9932</v>
      </c>
      <c r="F30" s="1999">
        <f t="shared" si="29"/>
        <v>4805</v>
      </c>
      <c r="G30" s="1427">
        <f t="shared" si="30"/>
        <v>5127</v>
      </c>
      <c r="H30" s="338">
        <v>6540</v>
      </c>
      <c r="I30" s="338">
        <v>3029</v>
      </c>
      <c r="J30" s="338">
        <v>46</v>
      </c>
      <c r="K30" s="338">
        <v>77</v>
      </c>
      <c r="L30" s="1427">
        <v>240</v>
      </c>
      <c r="M30" s="1999">
        <f t="shared" si="15"/>
        <v>1881</v>
      </c>
      <c r="N30" s="338">
        <f t="shared" si="16"/>
        <v>5761</v>
      </c>
      <c r="O30" s="1427">
        <f t="shared" si="17"/>
        <v>2290</v>
      </c>
      <c r="P30" s="1999">
        <v>947</v>
      </c>
      <c r="Q30" s="338">
        <v>2815</v>
      </c>
      <c r="R30" s="338">
        <v>1043</v>
      </c>
      <c r="S30" s="1999">
        <v>934</v>
      </c>
      <c r="T30" s="338">
        <v>2946</v>
      </c>
      <c r="U30" s="1427">
        <v>1247</v>
      </c>
      <c r="V30" s="790">
        <f t="shared" si="18"/>
        <v>0.48378977043898508</v>
      </c>
      <c r="W30" s="790">
        <f t="shared" si="19"/>
        <v>0.51621022956101492</v>
      </c>
      <c r="X30" s="2000">
        <f t="shared" si="20"/>
        <v>0.65847764800644382</v>
      </c>
      <c r="Y30" s="790">
        <f t="shared" si="21"/>
        <v>0.30497382198952877</v>
      </c>
      <c r="Z30" s="790">
        <f t="shared" si="22"/>
        <v>4.6314941602899722E-3</v>
      </c>
      <c r="AA30" s="790">
        <f t="shared" si="23"/>
        <v>7.7527184857027788E-3</v>
      </c>
      <c r="AB30" s="2001">
        <f t="shared" si="24"/>
        <v>2.4164317358034634E-2</v>
      </c>
      <c r="AC30" s="2002">
        <f t="shared" si="25"/>
        <v>0.18938783729359646</v>
      </c>
      <c r="AD30" s="341">
        <f t="shared" si="26"/>
        <v>0.58004430124848971</v>
      </c>
      <c r="AE30" s="2003">
        <f t="shared" si="27"/>
        <v>0.2305678614579138</v>
      </c>
      <c r="AF30" s="1999">
        <v>320</v>
      </c>
      <c r="AG30" s="107">
        <f t="shared" si="28"/>
        <v>3.221908981071285E-2</v>
      </c>
    </row>
    <row r="31" spans="1:33" x14ac:dyDescent="0.3">
      <c r="A31" s="105" t="s">
        <v>67</v>
      </c>
      <c r="B31" s="105" t="s">
        <v>68</v>
      </c>
      <c r="C31" s="105" t="s">
        <v>255</v>
      </c>
      <c r="D31" s="105">
        <v>2</v>
      </c>
      <c r="E31" s="1999">
        <v>14318</v>
      </c>
      <c r="F31" s="1999">
        <f t="shared" si="29"/>
        <v>7292</v>
      </c>
      <c r="G31" s="1427">
        <f t="shared" si="30"/>
        <v>7026</v>
      </c>
      <c r="H31" s="338">
        <v>14063</v>
      </c>
      <c r="I31" s="338">
        <v>76</v>
      </c>
      <c r="J31" s="338">
        <v>32</v>
      </c>
      <c r="K31" s="338">
        <v>36</v>
      </c>
      <c r="L31" s="1427">
        <v>111</v>
      </c>
      <c r="M31" s="1999">
        <f t="shared" si="15"/>
        <v>2801</v>
      </c>
      <c r="N31" s="338">
        <f t="shared" si="16"/>
        <v>8227</v>
      </c>
      <c r="O31" s="1427">
        <f t="shared" si="17"/>
        <v>3290</v>
      </c>
      <c r="P31" s="1999">
        <v>1458</v>
      </c>
      <c r="Q31" s="338">
        <v>4317</v>
      </c>
      <c r="R31" s="338">
        <v>1517</v>
      </c>
      <c r="S31" s="1999">
        <v>1343</v>
      </c>
      <c r="T31" s="338">
        <v>3910</v>
      </c>
      <c r="U31" s="1427">
        <v>1773</v>
      </c>
      <c r="V31" s="790">
        <f t="shared" si="18"/>
        <v>0.50928900684453138</v>
      </c>
      <c r="W31" s="790">
        <f t="shared" si="19"/>
        <v>0.49071099315546862</v>
      </c>
      <c r="X31" s="2000">
        <f t="shared" si="20"/>
        <v>0.98219025003492111</v>
      </c>
      <c r="Y31" s="790">
        <f t="shared" si="21"/>
        <v>5.3080039111607765E-3</v>
      </c>
      <c r="Z31" s="790">
        <f t="shared" si="22"/>
        <v>2.2349490152255903E-3</v>
      </c>
      <c r="AA31" s="790">
        <f t="shared" si="23"/>
        <v>2.5143176421287888E-3</v>
      </c>
      <c r="AB31" s="2001">
        <f t="shared" si="24"/>
        <v>7.7524793965637658E-3</v>
      </c>
      <c r="AC31" s="2002">
        <f t="shared" si="25"/>
        <v>0.19562788098896494</v>
      </c>
      <c r="AD31" s="341">
        <f t="shared" si="26"/>
        <v>0.57459142338315405</v>
      </c>
      <c r="AE31" s="2003">
        <f t="shared" si="27"/>
        <v>0.22978069562788098</v>
      </c>
      <c r="AF31" s="1999">
        <v>151</v>
      </c>
      <c r="AG31" s="107">
        <f t="shared" si="28"/>
        <v>1.0546165665595754E-2</v>
      </c>
    </row>
    <row r="32" spans="1:33" x14ac:dyDescent="0.3">
      <c r="A32" s="105" t="s">
        <v>69</v>
      </c>
      <c r="B32" s="105" t="s">
        <v>70</v>
      </c>
      <c r="C32" s="105" t="s">
        <v>251</v>
      </c>
      <c r="D32" s="105">
        <v>2</v>
      </c>
      <c r="E32" s="1999">
        <v>28544</v>
      </c>
      <c r="F32" s="1999">
        <f t="shared" si="29"/>
        <v>13996</v>
      </c>
      <c r="G32" s="1427">
        <f t="shared" si="30"/>
        <v>14548</v>
      </c>
      <c r="H32" s="338">
        <v>18490</v>
      </c>
      <c r="I32" s="338">
        <v>9196</v>
      </c>
      <c r="J32" s="338">
        <v>240</v>
      </c>
      <c r="K32" s="338">
        <v>140</v>
      </c>
      <c r="L32" s="1427">
        <v>478</v>
      </c>
      <c r="M32" s="1999">
        <f t="shared" si="15"/>
        <v>5678</v>
      </c>
      <c r="N32" s="338">
        <f t="shared" si="16"/>
        <v>17745</v>
      </c>
      <c r="O32" s="1427">
        <f t="shared" si="17"/>
        <v>5121</v>
      </c>
      <c r="P32" s="1999">
        <v>2912</v>
      </c>
      <c r="Q32" s="338">
        <v>8780</v>
      </c>
      <c r="R32" s="338">
        <v>2304</v>
      </c>
      <c r="S32" s="1999">
        <v>2766</v>
      </c>
      <c r="T32" s="338">
        <v>8965</v>
      </c>
      <c r="U32" s="1427">
        <v>2817</v>
      </c>
      <c r="V32" s="790">
        <f t="shared" si="18"/>
        <v>0.49033071748878926</v>
      </c>
      <c r="W32" s="790">
        <f t="shared" si="19"/>
        <v>0.5096692825112108</v>
      </c>
      <c r="X32" s="2000">
        <f t="shared" si="20"/>
        <v>0.64777186098654704</v>
      </c>
      <c r="Y32" s="790">
        <f t="shared" si="21"/>
        <v>0.32216928251121074</v>
      </c>
      <c r="Z32" s="790">
        <f t="shared" si="22"/>
        <v>8.4080717488789238E-3</v>
      </c>
      <c r="AA32" s="790">
        <f t="shared" si="23"/>
        <v>4.9047085201793725E-3</v>
      </c>
      <c r="AB32" s="2001">
        <f t="shared" si="24"/>
        <v>1.6746076233183856E-2</v>
      </c>
      <c r="AC32" s="2002">
        <f t="shared" si="25"/>
        <v>0.19892096412556054</v>
      </c>
      <c r="AD32" s="341">
        <f t="shared" si="26"/>
        <v>0.62167180493273544</v>
      </c>
      <c r="AE32" s="2003">
        <f t="shared" si="27"/>
        <v>0.17940723094170405</v>
      </c>
      <c r="AF32" s="1999">
        <v>1077</v>
      </c>
      <c r="AG32" s="107">
        <f t="shared" si="28"/>
        <v>3.773122197309417E-2</v>
      </c>
    </row>
    <row r="33" spans="1:33" x14ac:dyDescent="0.3">
      <c r="A33" s="105" t="s">
        <v>71</v>
      </c>
      <c r="B33" s="105" t="s">
        <v>72</v>
      </c>
      <c r="C33" s="105" t="s">
        <v>253</v>
      </c>
      <c r="D33" s="105">
        <v>1</v>
      </c>
      <c r="E33" s="1999">
        <v>10953</v>
      </c>
      <c r="F33" s="1999">
        <f t="shared" si="29"/>
        <v>5133</v>
      </c>
      <c r="G33" s="1427">
        <f t="shared" si="30"/>
        <v>5820</v>
      </c>
      <c r="H33" s="338">
        <v>6273</v>
      </c>
      <c r="I33" s="338">
        <v>4100</v>
      </c>
      <c r="J33" s="338">
        <v>127</v>
      </c>
      <c r="K33" s="338">
        <v>126</v>
      </c>
      <c r="L33" s="1427">
        <v>327</v>
      </c>
      <c r="M33" s="1999">
        <f t="shared" si="15"/>
        <v>2018</v>
      </c>
      <c r="N33" s="338">
        <f t="shared" si="16"/>
        <v>6335</v>
      </c>
      <c r="O33" s="1427">
        <f t="shared" si="17"/>
        <v>2600</v>
      </c>
      <c r="P33" s="1999">
        <v>992</v>
      </c>
      <c r="Q33" s="338">
        <v>2987</v>
      </c>
      <c r="R33" s="338">
        <v>1154</v>
      </c>
      <c r="S33" s="1999">
        <v>1026</v>
      </c>
      <c r="T33" s="338">
        <v>3348</v>
      </c>
      <c r="U33" s="1427">
        <v>1446</v>
      </c>
      <c r="V33" s="790">
        <f t="shared" si="18"/>
        <v>0.46863872911531085</v>
      </c>
      <c r="W33" s="790">
        <f t="shared" si="19"/>
        <v>0.5313612708846891</v>
      </c>
      <c r="X33" s="2000">
        <f t="shared" si="20"/>
        <v>0.57271980279375512</v>
      </c>
      <c r="Y33" s="790">
        <f t="shared" si="21"/>
        <v>0.37432666849265039</v>
      </c>
      <c r="Z33" s="790">
        <f t="shared" si="22"/>
        <v>1.159499680452844E-2</v>
      </c>
      <c r="AA33" s="790">
        <f t="shared" si="23"/>
        <v>1.1503697617091208E-2</v>
      </c>
      <c r="AB33" s="2001">
        <f t="shared" si="24"/>
        <v>2.9854834291974802E-2</v>
      </c>
      <c r="AC33" s="2002">
        <f t="shared" si="25"/>
        <v>0.1842417602483338</v>
      </c>
      <c r="AD33" s="341">
        <f t="shared" si="26"/>
        <v>0.57838035241486352</v>
      </c>
      <c r="AE33" s="2003">
        <f t="shared" si="27"/>
        <v>0.23737788733680271</v>
      </c>
      <c r="AF33" s="1999">
        <v>427</v>
      </c>
      <c r="AG33" s="107">
        <f t="shared" si="28"/>
        <v>3.8984753035697983E-2</v>
      </c>
    </row>
    <row r="34" spans="1:33" x14ac:dyDescent="0.3">
      <c r="A34" s="105" t="s">
        <v>73</v>
      </c>
      <c r="B34" s="105" t="s">
        <v>443</v>
      </c>
      <c r="C34" s="105" t="s">
        <v>254</v>
      </c>
      <c r="D34" s="105">
        <v>3</v>
      </c>
      <c r="E34" s="1999">
        <v>1186168</v>
      </c>
      <c r="F34" s="1999">
        <f t="shared" si="29"/>
        <v>588631</v>
      </c>
      <c r="G34" s="1427">
        <f t="shared" si="30"/>
        <v>597537</v>
      </c>
      <c r="H34" s="338">
        <v>770733</v>
      </c>
      <c r="I34" s="338">
        <v>124184</v>
      </c>
      <c r="J34" s="338">
        <v>237071</v>
      </c>
      <c r="K34" s="338">
        <v>7406</v>
      </c>
      <c r="L34" s="1427">
        <v>46774</v>
      </c>
      <c r="M34" s="1999">
        <f t="shared" si="15"/>
        <v>276372</v>
      </c>
      <c r="N34" s="338">
        <f t="shared" si="16"/>
        <v>743787</v>
      </c>
      <c r="O34" s="1427">
        <f t="shared" si="17"/>
        <v>166009</v>
      </c>
      <c r="P34" s="1999">
        <v>141633</v>
      </c>
      <c r="Q34" s="338">
        <v>371087</v>
      </c>
      <c r="R34" s="338">
        <v>75911</v>
      </c>
      <c r="S34" s="1999">
        <v>134739</v>
      </c>
      <c r="T34" s="338">
        <v>372700</v>
      </c>
      <c r="U34" s="1427">
        <v>90098</v>
      </c>
      <c r="V34" s="790">
        <f t="shared" si="18"/>
        <v>0.4962458943421168</v>
      </c>
      <c r="W34" s="790">
        <f t="shared" si="19"/>
        <v>0.50375410565788326</v>
      </c>
      <c r="X34" s="2000">
        <f t="shared" si="20"/>
        <v>0.64976714934140867</v>
      </c>
      <c r="Y34" s="790">
        <f t="shared" si="21"/>
        <v>0.10469343297070904</v>
      </c>
      <c r="Z34" s="790">
        <f t="shared" si="22"/>
        <v>0.19986291992365332</v>
      </c>
      <c r="AA34" s="790">
        <f t="shared" si="23"/>
        <v>6.2436349657046895E-3</v>
      </c>
      <c r="AB34" s="2001">
        <f t="shared" si="24"/>
        <v>3.9432862798524322E-2</v>
      </c>
      <c r="AC34" s="2002">
        <f t="shared" si="25"/>
        <v>0.2329956633461702</v>
      </c>
      <c r="AD34" s="341">
        <f t="shared" si="26"/>
        <v>0.62705029978890003</v>
      </c>
      <c r="AE34" s="2003">
        <f t="shared" si="27"/>
        <v>0.13995403686492977</v>
      </c>
      <c r="AF34" s="1999">
        <v>195301</v>
      </c>
      <c r="AG34" s="107">
        <f t="shared" si="28"/>
        <v>0.16464868382893486</v>
      </c>
    </row>
    <row r="35" spans="1:33" x14ac:dyDescent="0.3">
      <c r="A35" s="105" t="s">
        <v>75</v>
      </c>
      <c r="B35" s="105" t="s">
        <v>76</v>
      </c>
      <c r="C35" s="105" t="s">
        <v>254</v>
      </c>
      <c r="D35" s="105">
        <v>2</v>
      </c>
      <c r="E35" s="1999">
        <v>71222</v>
      </c>
      <c r="F35" s="1999">
        <f t="shared" si="29"/>
        <v>35213</v>
      </c>
      <c r="G35" s="1427">
        <f t="shared" si="30"/>
        <v>36009</v>
      </c>
      <c r="H35" s="338">
        <v>61981</v>
      </c>
      <c r="I35" s="338">
        <v>5574</v>
      </c>
      <c r="J35" s="338">
        <v>1230</v>
      </c>
      <c r="K35" s="338">
        <v>437</v>
      </c>
      <c r="L35" s="1427">
        <v>2000</v>
      </c>
      <c r="M35" s="1999">
        <f t="shared" si="15"/>
        <v>16452</v>
      </c>
      <c r="N35" s="338">
        <f t="shared" si="16"/>
        <v>42698</v>
      </c>
      <c r="O35" s="1427">
        <f t="shared" si="17"/>
        <v>12072</v>
      </c>
      <c r="P35" s="1999">
        <v>8353</v>
      </c>
      <c r="Q35" s="338">
        <v>21256</v>
      </c>
      <c r="R35" s="338">
        <v>5604</v>
      </c>
      <c r="S35" s="1999">
        <v>8099</v>
      </c>
      <c r="T35" s="338">
        <v>21442</v>
      </c>
      <c r="U35" s="1427">
        <v>6468</v>
      </c>
      <c r="V35" s="790">
        <f t="shared" si="18"/>
        <v>0.49441183903849933</v>
      </c>
      <c r="W35" s="790">
        <f t="shared" si="19"/>
        <v>0.50558816096150061</v>
      </c>
      <c r="X35" s="2000">
        <f t="shared" si="20"/>
        <v>0.87025076521299594</v>
      </c>
      <c r="Y35" s="790">
        <f t="shared" si="21"/>
        <v>7.8262334671871048E-2</v>
      </c>
      <c r="Z35" s="790">
        <f t="shared" si="22"/>
        <v>1.7269944680014603E-2</v>
      </c>
      <c r="AA35" s="790">
        <f t="shared" si="23"/>
        <v>6.135744573306001E-3</v>
      </c>
      <c r="AB35" s="2001">
        <f t="shared" si="24"/>
        <v>2.808121086181236E-2</v>
      </c>
      <c r="AC35" s="2002">
        <f t="shared" si="25"/>
        <v>0.23099604054926848</v>
      </c>
      <c r="AD35" s="341">
        <f t="shared" si="26"/>
        <v>0.59950577068883215</v>
      </c>
      <c r="AE35" s="2003">
        <f t="shared" si="27"/>
        <v>0.16949818876189943</v>
      </c>
      <c r="AF35" s="1999">
        <v>6522</v>
      </c>
      <c r="AG35" s="107">
        <f t="shared" si="28"/>
        <v>9.1572828620370111E-2</v>
      </c>
    </row>
    <row r="36" spans="1:33" x14ac:dyDescent="0.3">
      <c r="A36" s="105" t="s">
        <v>77</v>
      </c>
      <c r="B36" s="105" t="s">
        <v>78</v>
      </c>
      <c r="C36" s="105" t="s">
        <v>255</v>
      </c>
      <c r="D36" s="105">
        <v>1</v>
      </c>
      <c r="E36" s="1999">
        <v>15749</v>
      </c>
      <c r="F36" s="1999">
        <f t="shared" si="29"/>
        <v>7931</v>
      </c>
      <c r="G36" s="1427">
        <f t="shared" si="30"/>
        <v>7818</v>
      </c>
      <c r="H36" s="338">
        <v>15046</v>
      </c>
      <c r="I36" s="338">
        <v>319</v>
      </c>
      <c r="J36" s="338">
        <v>84</v>
      </c>
      <c r="K36" s="338">
        <v>39</v>
      </c>
      <c r="L36" s="1427">
        <v>261</v>
      </c>
      <c r="M36" s="1999">
        <f t="shared" si="15"/>
        <v>3047</v>
      </c>
      <c r="N36" s="338">
        <f t="shared" si="16"/>
        <v>9004</v>
      </c>
      <c r="O36" s="1427">
        <f t="shared" si="17"/>
        <v>3698</v>
      </c>
      <c r="P36" s="1999">
        <v>1584</v>
      </c>
      <c r="Q36" s="338">
        <v>4581</v>
      </c>
      <c r="R36" s="338">
        <v>1766</v>
      </c>
      <c r="S36" s="1999">
        <v>1463</v>
      </c>
      <c r="T36" s="338">
        <v>4423</v>
      </c>
      <c r="U36" s="1427">
        <v>1932</v>
      </c>
      <c r="V36" s="790">
        <f t="shared" si="18"/>
        <v>0.50358752936694395</v>
      </c>
      <c r="W36" s="790">
        <f t="shared" si="19"/>
        <v>0.49641247063305605</v>
      </c>
      <c r="X36" s="2000">
        <f t="shared" si="20"/>
        <v>0.95536224522191882</v>
      </c>
      <c r="Y36" s="790">
        <f t="shared" si="21"/>
        <v>2.0255254301860436E-2</v>
      </c>
      <c r="Z36" s="790">
        <f t="shared" si="22"/>
        <v>5.3336719791732806E-3</v>
      </c>
      <c r="AA36" s="790">
        <f t="shared" si="23"/>
        <v>2.476347704616166E-3</v>
      </c>
      <c r="AB36" s="2001">
        <f t="shared" si="24"/>
        <v>1.6572480792431267E-2</v>
      </c>
      <c r="AC36" s="2002">
        <f t="shared" si="25"/>
        <v>0.19347260143501174</v>
      </c>
      <c r="AD36" s="341">
        <f t="shared" si="26"/>
        <v>0.57171883929138356</v>
      </c>
      <c r="AE36" s="2003">
        <f t="shared" si="27"/>
        <v>0.23480855927360467</v>
      </c>
      <c r="AF36" s="1999">
        <v>474</v>
      </c>
      <c r="AG36" s="107">
        <f t="shared" si="28"/>
        <v>3.0097149025334943E-2</v>
      </c>
    </row>
    <row r="37" spans="1:33" x14ac:dyDescent="0.3">
      <c r="A37" s="105" t="s">
        <v>79</v>
      </c>
      <c r="B37" s="105" t="s">
        <v>80</v>
      </c>
      <c r="C37" s="105" t="s">
        <v>253</v>
      </c>
      <c r="D37" s="105">
        <v>2</v>
      </c>
      <c r="E37" s="1999">
        <v>27270</v>
      </c>
      <c r="F37" s="1999">
        <f t="shared" si="29"/>
        <v>12496</v>
      </c>
      <c r="G37" s="1427">
        <f t="shared" si="30"/>
        <v>14774</v>
      </c>
      <c r="H37" s="338">
        <v>22003</v>
      </c>
      <c r="I37" s="338">
        <v>4160</v>
      </c>
      <c r="J37" s="338">
        <v>257</v>
      </c>
      <c r="K37" s="338">
        <v>137</v>
      </c>
      <c r="L37" s="1427">
        <v>713</v>
      </c>
      <c r="M37" s="1999">
        <f t="shared" si="15"/>
        <v>5406</v>
      </c>
      <c r="N37" s="338">
        <f t="shared" si="16"/>
        <v>16264</v>
      </c>
      <c r="O37" s="1427">
        <f t="shared" si="17"/>
        <v>5600</v>
      </c>
      <c r="P37" s="1999">
        <v>2726</v>
      </c>
      <c r="Q37" s="338">
        <v>7229</v>
      </c>
      <c r="R37" s="338">
        <v>2541</v>
      </c>
      <c r="S37" s="1999">
        <v>2680</v>
      </c>
      <c r="T37" s="338">
        <v>9035</v>
      </c>
      <c r="U37" s="1427">
        <v>3059</v>
      </c>
      <c r="V37" s="790">
        <f t="shared" si="18"/>
        <v>0.45823248991565824</v>
      </c>
      <c r="W37" s="790">
        <f t="shared" si="19"/>
        <v>0.54176751008434176</v>
      </c>
      <c r="X37" s="2000">
        <f t="shared" si="20"/>
        <v>0.80685735240190681</v>
      </c>
      <c r="Y37" s="790">
        <f t="shared" si="21"/>
        <v>0.15254858819215256</v>
      </c>
      <c r="Z37" s="790">
        <f t="shared" si="22"/>
        <v>9.4242757609094251E-3</v>
      </c>
      <c r="AA37" s="790">
        <f t="shared" si="23"/>
        <v>5.023835716905024E-3</v>
      </c>
      <c r="AB37" s="2001">
        <f t="shared" si="24"/>
        <v>2.6145947928126145E-2</v>
      </c>
      <c r="AC37" s="2002">
        <f t="shared" si="25"/>
        <v>0.19823982398239823</v>
      </c>
      <c r="AD37" s="341">
        <f t="shared" si="26"/>
        <v>0.59640630729739641</v>
      </c>
      <c r="AE37" s="2003">
        <f t="shared" si="27"/>
        <v>0.20535386872020536</v>
      </c>
      <c r="AF37" s="1999">
        <v>1048</v>
      </c>
      <c r="AG37" s="107">
        <f t="shared" si="28"/>
        <v>3.8430509717638429E-2</v>
      </c>
    </row>
    <row r="38" spans="1:33" x14ac:dyDescent="0.3">
      <c r="A38" s="105" t="s">
        <v>83</v>
      </c>
      <c r="B38" s="105" t="s">
        <v>281</v>
      </c>
      <c r="C38" s="105" t="s">
        <v>252</v>
      </c>
      <c r="D38" s="105">
        <v>2</v>
      </c>
      <c r="E38" s="1999">
        <v>56042</v>
      </c>
      <c r="F38" s="1999">
        <f t="shared" si="29"/>
        <v>27565</v>
      </c>
      <c r="G38" s="1427">
        <f t="shared" si="30"/>
        <v>28477</v>
      </c>
      <c r="H38" s="338">
        <v>50202</v>
      </c>
      <c r="I38" s="338">
        <v>4430</v>
      </c>
      <c r="J38" s="338">
        <v>263</v>
      </c>
      <c r="K38" s="338">
        <v>293</v>
      </c>
      <c r="L38" s="1427">
        <v>854</v>
      </c>
      <c r="M38" s="1999">
        <f t="shared" ref="M38:M69" si="31">P38+S38</f>
        <v>10506</v>
      </c>
      <c r="N38" s="338">
        <f t="shared" ref="N38:N69" si="32">Q38+T38</f>
        <v>31984</v>
      </c>
      <c r="O38" s="1427">
        <f t="shared" ref="O38:O69" si="33">R38+U38</f>
        <v>13552</v>
      </c>
      <c r="P38" s="1999">
        <v>5323</v>
      </c>
      <c r="Q38" s="338">
        <v>15868</v>
      </c>
      <c r="R38" s="338">
        <v>6374</v>
      </c>
      <c r="S38" s="1999">
        <v>5183</v>
      </c>
      <c r="T38" s="338">
        <v>16116</v>
      </c>
      <c r="U38" s="1427">
        <v>7178</v>
      </c>
      <c r="V38" s="790">
        <f t="shared" ref="V38:V69" si="34">F38/E38</f>
        <v>0.49186324542307552</v>
      </c>
      <c r="W38" s="790">
        <f t="shared" ref="W38:W69" si="35">G38/E38</f>
        <v>0.50813675457692442</v>
      </c>
      <c r="X38" s="2000">
        <f t="shared" ref="X38:X69" si="36">H38/E38</f>
        <v>0.89579244138324832</v>
      </c>
      <c r="Y38" s="790">
        <f t="shared" ref="Y38:Y69" si="37">I38/E38</f>
        <v>7.9047856964419544E-2</v>
      </c>
      <c r="Z38" s="790">
        <f t="shared" ref="Z38:Z69" si="38">J38/E38</f>
        <v>4.6929088897612508E-3</v>
      </c>
      <c r="AA38" s="790">
        <f t="shared" ref="AA38:AA69" si="39">K38/E38</f>
        <v>5.2282216908747011E-3</v>
      </c>
      <c r="AB38" s="2001">
        <f t="shared" ref="AB38:AB69" si="40">L38/E38</f>
        <v>1.5238571071696228E-2</v>
      </c>
      <c r="AC38" s="2002">
        <f t="shared" ref="AC38:AC69" si="41">M38/E38</f>
        <v>0.1874665429499304</v>
      </c>
      <c r="AD38" s="341">
        <f t="shared" ref="AD38:AD69" si="42">N38/E38</f>
        <v>0.57071482102708682</v>
      </c>
      <c r="AE38" s="2003">
        <f t="shared" ref="AE38:AE69" si="43">O38/E38</f>
        <v>0.24181863602298276</v>
      </c>
      <c r="AF38" s="1999">
        <v>1613</v>
      </c>
      <c r="AG38" s="107">
        <f t="shared" ref="AG38:AG69" si="44">AF38/E38</f>
        <v>2.8781984939866528E-2</v>
      </c>
    </row>
    <row r="39" spans="1:33" x14ac:dyDescent="0.3">
      <c r="A39" s="105" t="s">
        <v>85</v>
      </c>
      <c r="B39" s="105" t="s">
        <v>86</v>
      </c>
      <c r="C39" s="105" t="s">
        <v>254</v>
      </c>
      <c r="D39" s="105">
        <v>2</v>
      </c>
      <c r="E39" s="1999">
        <v>89313</v>
      </c>
      <c r="F39" s="1999">
        <f t="shared" si="29"/>
        <v>44495</v>
      </c>
      <c r="G39" s="1427">
        <f t="shared" si="30"/>
        <v>44818</v>
      </c>
      <c r="H39" s="338">
        <v>80867</v>
      </c>
      <c r="I39" s="338">
        <v>4225</v>
      </c>
      <c r="J39" s="338">
        <v>1573</v>
      </c>
      <c r="K39" s="338">
        <v>498</v>
      </c>
      <c r="L39" s="1427">
        <v>2150</v>
      </c>
      <c r="M39" s="1999">
        <f t="shared" si="31"/>
        <v>20307</v>
      </c>
      <c r="N39" s="338">
        <f t="shared" si="32"/>
        <v>53067</v>
      </c>
      <c r="O39" s="1427">
        <f t="shared" si="33"/>
        <v>15939</v>
      </c>
      <c r="P39" s="1999">
        <v>10429</v>
      </c>
      <c r="Q39" s="338">
        <v>26685</v>
      </c>
      <c r="R39" s="338">
        <v>7381</v>
      </c>
      <c r="S39" s="1999">
        <v>9878</v>
      </c>
      <c r="T39" s="338">
        <v>26382</v>
      </c>
      <c r="U39" s="1427">
        <v>8558</v>
      </c>
      <c r="V39" s="790">
        <f t="shared" si="34"/>
        <v>0.49819175260040532</v>
      </c>
      <c r="W39" s="790">
        <f t="shared" si="35"/>
        <v>0.50180824739959473</v>
      </c>
      <c r="X39" s="2000">
        <f t="shared" si="36"/>
        <v>0.90543369946144459</v>
      </c>
      <c r="Y39" s="790">
        <f t="shared" si="37"/>
        <v>4.7305543425929034E-2</v>
      </c>
      <c r="Z39" s="790">
        <f t="shared" si="38"/>
        <v>1.7612217706268963E-2</v>
      </c>
      <c r="AA39" s="790">
        <f t="shared" si="39"/>
        <v>5.5758960061805113E-3</v>
      </c>
      <c r="AB39" s="2001">
        <f t="shared" si="40"/>
        <v>2.4072643400176907E-2</v>
      </c>
      <c r="AC39" s="2002">
        <f t="shared" si="41"/>
        <v>0.2273689160592523</v>
      </c>
      <c r="AD39" s="341">
        <f t="shared" si="42"/>
        <v>0.59416882200799437</v>
      </c>
      <c r="AE39" s="2003">
        <f t="shared" si="43"/>
        <v>0.17846226193275336</v>
      </c>
      <c r="AF39" s="1999">
        <v>8325</v>
      </c>
      <c r="AG39" s="107">
        <f t="shared" si="44"/>
        <v>9.3211514561150108E-2</v>
      </c>
    </row>
    <row r="40" spans="1:33" x14ac:dyDescent="0.3">
      <c r="A40" s="105" t="s">
        <v>91</v>
      </c>
      <c r="B40" s="105" t="s">
        <v>92</v>
      </c>
      <c r="C40" s="105" t="s">
        <v>255</v>
      </c>
      <c r="D40" s="105">
        <v>2</v>
      </c>
      <c r="E40" s="1999">
        <v>16720</v>
      </c>
      <c r="F40" s="1999">
        <f t="shared" si="29"/>
        <v>8267</v>
      </c>
      <c r="G40" s="1427">
        <f t="shared" si="30"/>
        <v>8453</v>
      </c>
      <c r="H40" s="338">
        <v>16097</v>
      </c>
      <c r="I40" s="338">
        <v>267</v>
      </c>
      <c r="J40" s="338">
        <v>97</v>
      </c>
      <c r="K40" s="338">
        <v>50</v>
      </c>
      <c r="L40" s="1427">
        <v>209</v>
      </c>
      <c r="M40" s="1999">
        <f t="shared" si="31"/>
        <v>3409</v>
      </c>
      <c r="N40" s="338">
        <f t="shared" si="32"/>
        <v>9574</v>
      </c>
      <c r="O40" s="1427">
        <f t="shared" si="33"/>
        <v>3737</v>
      </c>
      <c r="P40" s="1999">
        <v>1730</v>
      </c>
      <c r="Q40" s="338">
        <v>4822</v>
      </c>
      <c r="R40" s="338">
        <v>1715</v>
      </c>
      <c r="S40" s="1999">
        <v>1679</v>
      </c>
      <c r="T40" s="338">
        <v>4752</v>
      </c>
      <c r="U40" s="1427">
        <v>2022</v>
      </c>
      <c r="V40" s="790">
        <f t="shared" si="34"/>
        <v>0.49443779904306218</v>
      </c>
      <c r="W40" s="790">
        <f t="shared" si="35"/>
        <v>0.50556220095693782</v>
      </c>
      <c r="X40" s="2000">
        <f t="shared" si="36"/>
        <v>0.96273923444976073</v>
      </c>
      <c r="Y40" s="790">
        <f t="shared" si="37"/>
        <v>1.5968899521531101E-2</v>
      </c>
      <c r="Z40" s="790">
        <f t="shared" si="38"/>
        <v>5.8014354066985643E-3</v>
      </c>
      <c r="AA40" s="790">
        <f t="shared" si="39"/>
        <v>2.9904306220095694E-3</v>
      </c>
      <c r="AB40" s="2001">
        <f t="shared" si="40"/>
        <v>1.2500000000000001E-2</v>
      </c>
      <c r="AC40" s="2002">
        <f t="shared" si="41"/>
        <v>0.20388755980861245</v>
      </c>
      <c r="AD40" s="341">
        <f t="shared" si="42"/>
        <v>0.57260765550239234</v>
      </c>
      <c r="AE40" s="2003">
        <f t="shared" si="43"/>
        <v>0.22350478468899521</v>
      </c>
      <c r="AF40" s="1999">
        <v>307</v>
      </c>
      <c r="AG40" s="107">
        <f t="shared" si="44"/>
        <v>1.8361244019138755E-2</v>
      </c>
    </row>
    <row r="41" spans="1:33" x14ac:dyDescent="0.3">
      <c r="A41" s="105" t="s">
        <v>93</v>
      </c>
      <c r="B41" s="105" t="s">
        <v>94</v>
      </c>
      <c r="C41" s="105" t="s">
        <v>251</v>
      </c>
      <c r="D41" s="105">
        <v>2</v>
      </c>
      <c r="E41" s="1999">
        <v>37348</v>
      </c>
      <c r="F41" s="1999">
        <f t="shared" si="29"/>
        <v>18387</v>
      </c>
      <c r="G41" s="1427">
        <f t="shared" si="30"/>
        <v>18961</v>
      </c>
      <c r="H41" s="338">
        <v>32799</v>
      </c>
      <c r="I41" s="338">
        <v>2983</v>
      </c>
      <c r="J41" s="338">
        <v>333</v>
      </c>
      <c r="K41" s="338">
        <v>239</v>
      </c>
      <c r="L41" s="1427">
        <v>994</v>
      </c>
      <c r="M41" s="1999">
        <f t="shared" si="31"/>
        <v>7446</v>
      </c>
      <c r="N41" s="338">
        <f t="shared" si="32"/>
        <v>22573</v>
      </c>
      <c r="O41" s="1427">
        <f t="shared" si="33"/>
        <v>7329</v>
      </c>
      <c r="P41" s="1999">
        <v>3813</v>
      </c>
      <c r="Q41" s="338">
        <v>11187</v>
      </c>
      <c r="R41" s="338">
        <v>3387</v>
      </c>
      <c r="S41" s="1999">
        <v>3633</v>
      </c>
      <c r="T41" s="338">
        <v>11386</v>
      </c>
      <c r="U41" s="1427">
        <v>3942</v>
      </c>
      <c r="V41" s="790">
        <f t="shared" si="34"/>
        <v>0.49231551890328801</v>
      </c>
      <c r="W41" s="790">
        <f t="shared" si="35"/>
        <v>0.50768448109671205</v>
      </c>
      <c r="X41" s="2000">
        <f t="shared" si="36"/>
        <v>0.87819963585734173</v>
      </c>
      <c r="Y41" s="790">
        <f t="shared" si="37"/>
        <v>7.9870408053978798E-2</v>
      </c>
      <c r="Z41" s="790">
        <f t="shared" si="38"/>
        <v>8.916140087822641E-3</v>
      </c>
      <c r="AA41" s="790">
        <f t="shared" si="39"/>
        <v>6.399271714683517E-3</v>
      </c>
      <c r="AB41" s="2001">
        <f t="shared" si="40"/>
        <v>2.661454428617329E-2</v>
      </c>
      <c r="AC41" s="2002">
        <f t="shared" si="41"/>
        <v>0.19936810538716931</v>
      </c>
      <c r="AD41" s="341">
        <f t="shared" si="42"/>
        <v>0.60439648709435578</v>
      </c>
      <c r="AE41" s="2003">
        <f t="shared" si="43"/>
        <v>0.19623540751847487</v>
      </c>
      <c r="AF41" s="1999">
        <v>1411</v>
      </c>
      <c r="AG41" s="107">
        <f t="shared" si="44"/>
        <v>3.7779800792545788E-2</v>
      </c>
    </row>
    <row r="42" spans="1:33" x14ac:dyDescent="0.3">
      <c r="A42" s="105" t="s">
        <v>95</v>
      </c>
      <c r="B42" s="105" t="s">
        <v>96</v>
      </c>
      <c r="C42" s="105" t="s">
        <v>253</v>
      </c>
      <c r="D42" s="105">
        <v>1</v>
      </c>
      <c r="E42" s="1999">
        <v>23753</v>
      </c>
      <c r="F42" s="1999">
        <f t="shared" si="29"/>
        <v>11660</v>
      </c>
      <c r="G42" s="1427">
        <f t="shared" si="30"/>
        <v>12093</v>
      </c>
      <c r="H42" s="338">
        <v>19106</v>
      </c>
      <c r="I42" s="338">
        <v>3743</v>
      </c>
      <c r="J42" s="338">
        <v>409</v>
      </c>
      <c r="K42" s="338">
        <v>95</v>
      </c>
      <c r="L42" s="1427">
        <v>400</v>
      </c>
      <c r="M42" s="1999">
        <f t="shared" si="31"/>
        <v>4081</v>
      </c>
      <c r="N42" s="338">
        <f t="shared" si="32"/>
        <v>14236</v>
      </c>
      <c r="O42" s="1427">
        <f t="shared" si="33"/>
        <v>5436</v>
      </c>
      <c r="P42" s="1999">
        <v>2077</v>
      </c>
      <c r="Q42" s="338">
        <v>6989</v>
      </c>
      <c r="R42" s="338">
        <v>2594</v>
      </c>
      <c r="S42" s="1999">
        <v>2004</v>
      </c>
      <c r="T42" s="338">
        <v>7247</v>
      </c>
      <c r="U42" s="1427">
        <v>2842</v>
      </c>
      <c r="V42" s="790">
        <f t="shared" si="34"/>
        <v>0.49088536184902959</v>
      </c>
      <c r="W42" s="790">
        <f t="shared" si="35"/>
        <v>0.50911463815097036</v>
      </c>
      <c r="X42" s="2000">
        <f t="shared" si="36"/>
        <v>0.80436155432997936</v>
      </c>
      <c r="Y42" s="790">
        <f t="shared" si="37"/>
        <v>0.15758009514587631</v>
      </c>
      <c r="Z42" s="790">
        <f t="shared" si="38"/>
        <v>1.7218877615459101E-2</v>
      </c>
      <c r="AA42" s="790">
        <f t="shared" si="39"/>
        <v>3.9994948006567589E-3</v>
      </c>
      <c r="AB42" s="2001">
        <f t="shared" si="40"/>
        <v>1.683997810802846E-2</v>
      </c>
      <c r="AC42" s="2002">
        <f t="shared" si="41"/>
        <v>0.17180987664716035</v>
      </c>
      <c r="AD42" s="341">
        <f t="shared" si="42"/>
        <v>0.59933482086473289</v>
      </c>
      <c r="AE42" s="2003">
        <f t="shared" si="43"/>
        <v>0.22885530248810676</v>
      </c>
      <c r="AF42" s="1999">
        <v>735</v>
      </c>
      <c r="AG42" s="107">
        <f t="shared" si="44"/>
        <v>3.0943459773502293E-2</v>
      </c>
    </row>
    <row r="43" spans="1:33" x14ac:dyDescent="0.3">
      <c r="A43" s="105" t="s">
        <v>97</v>
      </c>
      <c r="B43" s="105" t="s">
        <v>98</v>
      </c>
      <c r="C43" s="105" t="s">
        <v>255</v>
      </c>
      <c r="D43" s="105">
        <v>2</v>
      </c>
      <c r="E43" s="1999">
        <v>15550</v>
      </c>
      <c r="F43" s="1999">
        <f t="shared" si="29"/>
        <v>7995</v>
      </c>
      <c r="G43" s="1427">
        <f t="shared" si="30"/>
        <v>7555</v>
      </c>
      <c r="H43" s="338">
        <v>14381</v>
      </c>
      <c r="I43" s="338">
        <v>893</v>
      </c>
      <c r="J43" s="338">
        <v>32</v>
      </c>
      <c r="K43" s="338">
        <v>56</v>
      </c>
      <c r="L43" s="1427">
        <v>188</v>
      </c>
      <c r="M43" s="1999">
        <f t="shared" si="31"/>
        <v>2560</v>
      </c>
      <c r="N43" s="338">
        <f t="shared" si="32"/>
        <v>9052</v>
      </c>
      <c r="O43" s="1427">
        <f t="shared" si="33"/>
        <v>3938</v>
      </c>
      <c r="P43" s="1999">
        <v>1292</v>
      </c>
      <c r="Q43" s="338">
        <v>4884</v>
      </c>
      <c r="R43" s="338">
        <v>1819</v>
      </c>
      <c r="S43" s="1999">
        <v>1268</v>
      </c>
      <c r="T43" s="338">
        <v>4168</v>
      </c>
      <c r="U43" s="1427">
        <v>2119</v>
      </c>
      <c r="V43" s="790">
        <f t="shared" si="34"/>
        <v>0.51414790996784565</v>
      </c>
      <c r="W43" s="790">
        <f t="shared" si="35"/>
        <v>0.48585209003215435</v>
      </c>
      <c r="X43" s="2000">
        <f t="shared" si="36"/>
        <v>0.92482315112540192</v>
      </c>
      <c r="Y43" s="790">
        <f t="shared" si="37"/>
        <v>5.7427652733118971E-2</v>
      </c>
      <c r="Z43" s="790">
        <f t="shared" si="38"/>
        <v>2.057877813504823E-3</v>
      </c>
      <c r="AA43" s="790">
        <f t="shared" si="39"/>
        <v>3.6012861736334405E-3</v>
      </c>
      <c r="AB43" s="2001">
        <f t="shared" si="40"/>
        <v>1.2090032154340836E-2</v>
      </c>
      <c r="AC43" s="2002">
        <f t="shared" si="41"/>
        <v>0.16463022508038586</v>
      </c>
      <c r="AD43" s="341">
        <f t="shared" si="42"/>
        <v>0.58212218649517689</v>
      </c>
      <c r="AE43" s="2003">
        <f t="shared" si="43"/>
        <v>0.25324758842443729</v>
      </c>
      <c r="AF43" s="1999">
        <v>595</v>
      </c>
      <c r="AG43" s="107">
        <f t="shared" si="44"/>
        <v>3.8263665594855306E-2</v>
      </c>
    </row>
    <row r="44" spans="1:33" x14ac:dyDescent="0.3">
      <c r="A44" s="105" t="s">
        <v>99</v>
      </c>
      <c r="B44" s="105" t="s">
        <v>100</v>
      </c>
      <c r="C44" s="105" t="s">
        <v>254</v>
      </c>
      <c r="D44" s="105">
        <v>1</v>
      </c>
      <c r="E44" s="1999">
        <v>19819</v>
      </c>
      <c r="F44" s="1999">
        <f t="shared" si="29"/>
        <v>9649</v>
      </c>
      <c r="G44" s="1427">
        <f t="shared" si="30"/>
        <v>10170</v>
      </c>
      <c r="H44" s="338">
        <v>17358</v>
      </c>
      <c r="I44" s="338">
        <v>1450</v>
      </c>
      <c r="J44" s="338">
        <v>394</v>
      </c>
      <c r="K44" s="338">
        <v>100</v>
      </c>
      <c r="L44" s="1427">
        <v>517</v>
      </c>
      <c r="M44" s="1999">
        <f t="shared" si="31"/>
        <v>4710</v>
      </c>
      <c r="N44" s="338">
        <f t="shared" si="32"/>
        <v>11574</v>
      </c>
      <c r="O44" s="1427">
        <f t="shared" si="33"/>
        <v>3535</v>
      </c>
      <c r="P44" s="1999">
        <v>2384</v>
      </c>
      <c r="Q44" s="338">
        <v>5696</v>
      </c>
      <c r="R44" s="338">
        <v>1569</v>
      </c>
      <c r="S44" s="1999">
        <v>2326</v>
      </c>
      <c r="T44" s="338">
        <v>5878</v>
      </c>
      <c r="U44" s="1427">
        <v>1966</v>
      </c>
      <c r="V44" s="790">
        <f t="shared" si="34"/>
        <v>0.48685604722740805</v>
      </c>
      <c r="W44" s="790">
        <f t="shared" si="35"/>
        <v>0.51314395277259195</v>
      </c>
      <c r="X44" s="2000">
        <f t="shared" si="36"/>
        <v>0.8758262273575862</v>
      </c>
      <c r="Y44" s="790">
        <f t="shared" si="37"/>
        <v>7.3162117160300716E-2</v>
      </c>
      <c r="Z44" s="790">
        <f t="shared" si="38"/>
        <v>1.9879913214592058E-2</v>
      </c>
      <c r="AA44" s="790">
        <f t="shared" si="39"/>
        <v>5.0456632524345322E-3</v>
      </c>
      <c r="AB44" s="2001">
        <f t="shared" si="40"/>
        <v>2.6086079015086534E-2</v>
      </c>
      <c r="AC44" s="2002">
        <f t="shared" si="41"/>
        <v>0.23765073918966648</v>
      </c>
      <c r="AD44" s="341">
        <f t="shared" si="42"/>
        <v>0.58398506483677282</v>
      </c>
      <c r="AE44" s="2003">
        <f t="shared" si="43"/>
        <v>0.17836419597356074</v>
      </c>
      <c r="AF44" s="1999">
        <v>1196</v>
      </c>
      <c r="AG44" s="107">
        <f t="shared" si="44"/>
        <v>6.0346132499117008E-2</v>
      </c>
    </row>
    <row r="45" spans="1:33" x14ac:dyDescent="0.3">
      <c r="A45" s="105" t="s">
        <v>101</v>
      </c>
      <c r="B45" s="105" t="s">
        <v>102</v>
      </c>
      <c r="C45" s="105" t="s">
        <v>251</v>
      </c>
      <c r="D45" s="105">
        <v>2</v>
      </c>
      <c r="E45" s="1999">
        <v>16682</v>
      </c>
      <c r="F45" s="1999">
        <f t="shared" si="29"/>
        <v>9587</v>
      </c>
      <c r="G45" s="1427">
        <f t="shared" si="30"/>
        <v>7095</v>
      </c>
      <c r="H45" s="338">
        <v>5963</v>
      </c>
      <c r="I45" s="338">
        <v>10308</v>
      </c>
      <c r="J45" s="338">
        <v>133</v>
      </c>
      <c r="K45" s="338">
        <v>76</v>
      </c>
      <c r="L45" s="1427">
        <v>202</v>
      </c>
      <c r="M45" s="1999">
        <f t="shared" si="31"/>
        <v>3134</v>
      </c>
      <c r="N45" s="338">
        <f t="shared" si="32"/>
        <v>10736</v>
      </c>
      <c r="O45" s="1427">
        <f t="shared" si="33"/>
        <v>2812</v>
      </c>
      <c r="P45" s="1999">
        <v>1613</v>
      </c>
      <c r="Q45" s="338">
        <v>6733</v>
      </c>
      <c r="R45" s="338">
        <v>1241</v>
      </c>
      <c r="S45" s="1999">
        <v>1521</v>
      </c>
      <c r="T45" s="338">
        <v>4003</v>
      </c>
      <c r="U45" s="1427">
        <v>1571</v>
      </c>
      <c r="V45" s="790">
        <f t="shared" si="34"/>
        <v>0.57469128401870284</v>
      </c>
      <c r="W45" s="790">
        <f t="shared" si="35"/>
        <v>0.42530871598129721</v>
      </c>
      <c r="X45" s="2000">
        <f t="shared" si="36"/>
        <v>0.35745114494664909</v>
      </c>
      <c r="Y45" s="790">
        <f t="shared" si="37"/>
        <v>0.61791152140031169</v>
      </c>
      <c r="Z45" s="790">
        <f t="shared" si="38"/>
        <v>7.972665148063782E-3</v>
      </c>
      <c r="AA45" s="790">
        <f t="shared" si="39"/>
        <v>4.5558086560364463E-3</v>
      </c>
      <c r="AB45" s="2001">
        <f t="shared" si="40"/>
        <v>1.2108859848938976E-2</v>
      </c>
      <c r="AC45" s="2002">
        <f t="shared" si="41"/>
        <v>0.1878671622107661</v>
      </c>
      <c r="AD45" s="341">
        <f t="shared" si="42"/>
        <v>0.64356791751588538</v>
      </c>
      <c r="AE45" s="2003">
        <f t="shared" si="43"/>
        <v>0.16856492027334852</v>
      </c>
      <c r="AF45" s="1999">
        <v>662</v>
      </c>
      <c r="AG45" s="107">
        <f t="shared" si="44"/>
        <v>3.9683491188106941E-2</v>
      </c>
    </row>
    <row r="46" spans="1:33" x14ac:dyDescent="0.3">
      <c r="A46" s="105" t="s">
        <v>103</v>
      </c>
      <c r="B46" s="105" t="s">
        <v>431</v>
      </c>
      <c r="C46" s="105" t="s">
        <v>252</v>
      </c>
      <c r="D46" s="105">
        <v>2</v>
      </c>
      <c r="E46" s="1999">
        <v>33911</v>
      </c>
      <c r="F46" s="1999">
        <f t="shared" si="29"/>
        <v>16258</v>
      </c>
      <c r="G46" s="1427">
        <f t="shared" si="30"/>
        <v>17653</v>
      </c>
      <c r="H46" s="338">
        <v>20746</v>
      </c>
      <c r="I46" s="338">
        <v>12305</v>
      </c>
      <c r="J46" s="338">
        <v>237</v>
      </c>
      <c r="K46" s="338">
        <v>131</v>
      </c>
      <c r="L46" s="1427">
        <v>492</v>
      </c>
      <c r="M46" s="1999">
        <f t="shared" si="31"/>
        <v>6836</v>
      </c>
      <c r="N46" s="338">
        <f t="shared" si="32"/>
        <v>18676</v>
      </c>
      <c r="O46" s="1427">
        <f t="shared" si="33"/>
        <v>8399</v>
      </c>
      <c r="P46" s="1999">
        <v>3477</v>
      </c>
      <c r="Q46" s="338">
        <v>9166</v>
      </c>
      <c r="R46" s="338">
        <v>3615</v>
      </c>
      <c r="S46" s="1999">
        <v>3359</v>
      </c>
      <c r="T46" s="338">
        <v>9510</v>
      </c>
      <c r="U46" s="1427">
        <v>4784</v>
      </c>
      <c r="V46" s="790">
        <f t="shared" si="34"/>
        <v>0.47943145292088113</v>
      </c>
      <c r="W46" s="790">
        <f t="shared" si="35"/>
        <v>0.52056854707911882</v>
      </c>
      <c r="X46" s="2000">
        <f t="shared" si="36"/>
        <v>0.61177788918050191</v>
      </c>
      <c r="Y46" s="790">
        <f t="shared" si="37"/>
        <v>0.36286160832768127</v>
      </c>
      <c r="Z46" s="790">
        <f t="shared" si="38"/>
        <v>6.9888826634425406E-3</v>
      </c>
      <c r="AA46" s="790">
        <f t="shared" si="39"/>
        <v>3.8630532865441894E-3</v>
      </c>
      <c r="AB46" s="2001">
        <f t="shared" si="40"/>
        <v>1.4508566541830085E-2</v>
      </c>
      <c r="AC46" s="2002">
        <f t="shared" si="41"/>
        <v>0.20158650585355783</v>
      </c>
      <c r="AD46" s="341">
        <f t="shared" si="42"/>
        <v>0.55073574946182657</v>
      </c>
      <c r="AE46" s="2003">
        <f t="shared" si="43"/>
        <v>0.24767774468461562</v>
      </c>
      <c r="AF46" s="1999">
        <v>746</v>
      </c>
      <c r="AG46" s="107">
        <f t="shared" si="44"/>
        <v>2.1998761463831795E-2</v>
      </c>
    </row>
    <row r="47" spans="1:33" x14ac:dyDescent="0.3">
      <c r="A47" s="105" t="s">
        <v>107</v>
      </c>
      <c r="B47" s="105" t="s">
        <v>108</v>
      </c>
      <c r="C47" s="105" t="s">
        <v>253</v>
      </c>
      <c r="D47" s="105">
        <v>2</v>
      </c>
      <c r="E47" s="1999">
        <v>107766</v>
      </c>
      <c r="F47" s="1999">
        <f t="shared" si="29"/>
        <v>52782</v>
      </c>
      <c r="G47" s="1427">
        <f t="shared" si="30"/>
        <v>54984</v>
      </c>
      <c r="H47" s="338">
        <v>92633</v>
      </c>
      <c r="I47" s="338">
        <v>10264</v>
      </c>
      <c r="J47" s="338">
        <v>2094</v>
      </c>
      <c r="K47" s="338">
        <v>608</v>
      </c>
      <c r="L47" s="1427">
        <v>2167</v>
      </c>
      <c r="M47" s="1999">
        <f t="shared" si="31"/>
        <v>23347</v>
      </c>
      <c r="N47" s="338">
        <f t="shared" si="32"/>
        <v>64629</v>
      </c>
      <c r="O47" s="1427">
        <f t="shared" si="33"/>
        <v>19790</v>
      </c>
      <c r="P47" s="1999">
        <v>12085</v>
      </c>
      <c r="Q47" s="338">
        <v>31817</v>
      </c>
      <c r="R47" s="338">
        <v>8880</v>
      </c>
      <c r="S47" s="1999">
        <v>11262</v>
      </c>
      <c r="T47" s="338">
        <v>32812</v>
      </c>
      <c r="U47" s="1427">
        <v>10910</v>
      </c>
      <c r="V47" s="790">
        <f t="shared" si="34"/>
        <v>0.48978341963142363</v>
      </c>
      <c r="W47" s="790">
        <f t="shared" si="35"/>
        <v>0.51021658036857631</v>
      </c>
      <c r="X47" s="2000">
        <f t="shared" si="36"/>
        <v>0.85957537627823244</v>
      </c>
      <c r="Y47" s="790">
        <f t="shared" si="37"/>
        <v>9.52433977321233E-2</v>
      </c>
      <c r="Z47" s="790">
        <f t="shared" si="38"/>
        <v>1.9430989365848226E-2</v>
      </c>
      <c r="AA47" s="790">
        <f t="shared" si="39"/>
        <v>5.6418536458623311E-3</v>
      </c>
      <c r="AB47" s="2001">
        <f t="shared" si="40"/>
        <v>2.0108382977933673E-2</v>
      </c>
      <c r="AC47" s="2002">
        <f t="shared" si="41"/>
        <v>0.2166453241282037</v>
      </c>
      <c r="AD47" s="341">
        <f t="shared" si="42"/>
        <v>0.599716051444797</v>
      </c>
      <c r="AE47" s="2003">
        <f t="shared" si="43"/>
        <v>0.18363862442699924</v>
      </c>
      <c r="AF47" s="1999">
        <v>3347</v>
      </c>
      <c r="AG47" s="107">
        <f t="shared" si="44"/>
        <v>3.105803314589017E-2</v>
      </c>
    </row>
    <row r="48" spans="1:33" x14ac:dyDescent="0.3">
      <c r="A48" s="105" t="s">
        <v>109</v>
      </c>
      <c r="B48" s="105" t="s">
        <v>110</v>
      </c>
      <c r="C48" s="105" t="s">
        <v>253</v>
      </c>
      <c r="D48" s="105">
        <v>3</v>
      </c>
      <c r="E48" s="1999">
        <v>330818</v>
      </c>
      <c r="F48" s="1999">
        <f t="shared" si="29"/>
        <v>156970</v>
      </c>
      <c r="G48" s="1427">
        <f t="shared" si="30"/>
        <v>173848</v>
      </c>
      <c r="H48" s="338">
        <v>188617</v>
      </c>
      <c r="I48" s="338">
        <v>102135</v>
      </c>
      <c r="J48" s="338">
        <v>30152</v>
      </c>
      <c r="K48" s="338">
        <v>1388</v>
      </c>
      <c r="L48" s="1427">
        <v>8526</v>
      </c>
      <c r="M48" s="1999">
        <f t="shared" si="31"/>
        <v>74158</v>
      </c>
      <c r="N48" s="338">
        <f t="shared" si="32"/>
        <v>203940</v>
      </c>
      <c r="O48" s="1427">
        <f t="shared" si="33"/>
        <v>52720</v>
      </c>
      <c r="P48" s="1999">
        <v>37857</v>
      </c>
      <c r="Q48" s="338">
        <v>97408</v>
      </c>
      <c r="R48" s="338">
        <v>21705</v>
      </c>
      <c r="S48" s="1999">
        <v>36301</v>
      </c>
      <c r="T48" s="338">
        <v>106532</v>
      </c>
      <c r="U48" s="1427">
        <v>31015</v>
      </c>
      <c r="V48" s="790">
        <f t="shared" si="34"/>
        <v>0.47449050535339671</v>
      </c>
      <c r="W48" s="790">
        <f t="shared" si="35"/>
        <v>0.52550949464660324</v>
      </c>
      <c r="X48" s="2000">
        <f t="shared" si="36"/>
        <v>0.57015337738575289</v>
      </c>
      <c r="Y48" s="790">
        <f t="shared" si="37"/>
        <v>0.3087347121377918</v>
      </c>
      <c r="Z48" s="790">
        <f t="shared" si="38"/>
        <v>9.1143770895174989E-2</v>
      </c>
      <c r="AA48" s="790">
        <f t="shared" si="39"/>
        <v>4.1956604537842562E-3</v>
      </c>
      <c r="AB48" s="2001">
        <f t="shared" si="40"/>
        <v>2.5772479127496084E-2</v>
      </c>
      <c r="AC48" s="2002">
        <f t="shared" si="41"/>
        <v>0.22416555326493723</v>
      </c>
      <c r="AD48" s="341">
        <f t="shared" si="42"/>
        <v>0.61647189693426596</v>
      </c>
      <c r="AE48" s="2003">
        <f t="shared" si="43"/>
        <v>0.15936254980079681</v>
      </c>
      <c r="AF48" s="1999">
        <v>19734</v>
      </c>
      <c r="AG48" s="107">
        <f t="shared" si="44"/>
        <v>5.9652135010791432E-2</v>
      </c>
    </row>
    <row r="49" spans="1:33" x14ac:dyDescent="0.3">
      <c r="A49" s="105" t="s">
        <v>111</v>
      </c>
      <c r="B49" s="105" t="s">
        <v>112</v>
      </c>
      <c r="C49" s="105" t="s">
        <v>252</v>
      </c>
      <c r="D49" s="105">
        <v>3</v>
      </c>
      <c r="E49" s="1999">
        <v>63111</v>
      </c>
      <c r="F49" s="1999">
        <f t="shared" si="29"/>
        <v>30157</v>
      </c>
      <c r="G49" s="1427">
        <f t="shared" si="30"/>
        <v>32954</v>
      </c>
      <c r="H49" s="338">
        <v>43701</v>
      </c>
      <c r="I49" s="338">
        <v>17391</v>
      </c>
      <c r="J49" s="338">
        <v>407</v>
      </c>
      <c r="K49" s="338">
        <v>277</v>
      </c>
      <c r="L49" s="1427">
        <v>1335</v>
      </c>
      <c r="M49" s="1999">
        <f t="shared" si="31"/>
        <v>12870</v>
      </c>
      <c r="N49" s="338">
        <f t="shared" si="32"/>
        <v>35561</v>
      </c>
      <c r="O49" s="1427">
        <f t="shared" si="33"/>
        <v>14680</v>
      </c>
      <c r="P49" s="1999">
        <v>6567</v>
      </c>
      <c r="Q49" s="338">
        <v>17241</v>
      </c>
      <c r="R49" s="338">
        <v>6349</v>
      </c>
      <c r="S49" s="1999">
        <v>6303</v>
      </c>
      <c r="T49" s="338">
        <v>18320</v>
      </c>
      <c r="U49" s="1427">
        <v>8331</v>
      </c>
      <c r="V49" s="790">
        <f t="shared" si="34"/>
        <v>0.47784063000110916</v>
      </c>
      <c r="W49" s="790">
        <f t="shared" si="35"/>
        <v>0.52215936999889079</v>
      </c>
      <c r="X49" s="2000">
        <f t="shared" si="36"/>
        <v>0.69244664163141134</v>
      </c>
      <c r="Y49" s="790">
        <f t="shared" si="37"/>
        <v>0.2755621048628607</v>
      </c>
      <c r="Z49" s="790">
        <f t="shared" si="38"/>
        <v>6.4489550157658731E-3</v>
      </c>
      <c r="AA49" s="790">
        <f t="shared" si="39"/>
        <v>4.3890922343173136E-3</v>
      </c>
      <c r="AB49" s="2001">
        <f t="shared" si="40"/>
        <v>2.1153206255644815E-2</v>
      </c>
      <c r="AC49" s="2002">
        <f t="shared" si="41"/>
        <v>0.20392641536340733</v>
      </c>
      <c r="AD49" s="341">
        <f t="shared" si="42"/>
        <v>0.56346754131609389</v>
      </c>
      <c r="AE49" s="2003">
        <f t="shared" si="43"/>
        <v>0.23260604332049881</v>
      </c>
      <c r="AF49" s="1999">
        <v>3736</v>
      </c>
      <c r="AG49" s="107">
        <f t="shared" si="44"/>
        <v>5.9197287319167818E-2</v>
      </c>
    </row>
    <row r="50" spans="1:33" x14ac:dyDescent="0.3">
      <c r="A50" s="105" t="s">
        <v>113</v>
      </c>
      <c r="B50" s="105" t="s">
        <v>114</v>
      </c>
      <c r="C50" s="105" t="s">
        <v>252</v>
      </c>
      <c r="D50" s="105">
        <v>1</v>
      </c>
      <c r="E50" s="1999">
        <v>2190</v>
      </c>
      <c r="F50" s="1999">
        <f t="shared" si="29"/>
        <v>1086</v>
      </c>
      <c r="G50" s="1427">
        <f t="shared" si="30"/>
        <v>1104</v>
      </c>
      <c r="H50" s="338">
        <v>2138</v>
      </c>
      <c r="I50" s="338">
        <v>24</v>
      </c>
      <c r="J50" s="338">
        <v>14</v>
      </c>
      <c r="K50" s="338">
        <v>7</v>
      </c>
      <c r="L50" s="1427">
        <v>7</v>
      </c>
      <c r="M50" s="1999">
        <f t="shared" si="31"/>
        <v>292</v>
      </c>
      <c r="N50" s="338">
        <f t="shared" si="32"/>
        <v>1120</v>
      </c>
      <c r="O50" s="1427">
        <f t="shared" si="33"/>
        <v>778</v>
      </c>
      <c r="P50" s="1999">
        <v>142</v>
      </c>
      <c r="Q50" s="338">
        <v>565</v>
      </c>
      <c r="R50" s="338">
        <v>379</v>
      </c>
      <c r="S50" s="1999">
        <v>150</v>
      </c>
      <c r="T50" s="338">
        <v>555</v>
      </c>
      <c r="U50" s="1427">
        <v>399</v>
      </c>
      <c r="V50" s="790">
        <f t="shared" si="34"/>
        <v>0.49589041095890413</v>
      </c>
      <c r="W50" s="790">
        <f t="shared" si="35"/>
        <v>0.50410958904109593</v>
      </c>
      <c r="X50" s="2000">
        <f t="shared" si="36"/>
        <v>0.9762557077625571</v>
      </c>
      <c r="Y50" s="790">
        <f t="shared" si="37"/>
        <v>1.0958904109589041E-2</v>
      </c>
      <c r="Z50" s="790">
        <f t="shared" si="38"/>
        <v>6.392694063926941E-3</v>
      </c>
      <c r="AA50" s="790">
        <f t="shared" si="39"/>
        <v>3.1963470319634705E-3</v>
      </c>
      <c r="AB50" s="2001">
        <f t="shared" si="40"/>
        <v>3.1963470319634705E-3</v>
      </c>
      <c r="AC50" s="2002">
        <f t="shared" si="41"/>
        <v>0.13333333333333333</v>
      </c>
      <c r="AD50" s="341">
        <f t="shared" si="42"/>
        <v>0.51141552511415522</v>
      </c>
      <c r="AE50" s="2003">
        <f t="shared" si="43"/>
        <v>0.35525114155251142</v>
      </c>
      <c r="AF50" s="1999">
        <v>23</v>
      </c>
      <c r="AG50" s="107">
        <f t="shared" si="44"/>
        <v>1.0502283105022832E-2</v>
      </c>
    </row>
    <row r="51" spans="1:33" x14ac:dyDescent="0.3">
      <c r="A51" s="105" t="s">
        <v>117</v>
      </c>
      <c r="B51" s="105" t="s">
        <v>118</v>
      </c>
      <c r="C51" s="105" t="s">
        <v>251</v>
      </c>
      <c r="D51" s="105">
        <v>2</v>
      </c>
      <c r="E51" s="1999">
        <v>37109</v>
      </c>
      <c r="F51" s="1999">
        <f t="shared" si="29"/>
        <v>18186</v>
      </c>
      <c r="G51" s="1427">
        <f t="shared" si="30"/>
        <v>18923</v>
      </c>
      <c r="H51" s="338">
        <v>26981</v>
      </c>
      <c r="I51" s="338">
        <v>8617</v>
      </c>
      <c r="J51" s="338">
        <v>363</v>
      </c>
      <c r="K51" s="338">
        <v>209</v>
      </c>
      <c r="L51" s="1427">
        <v>939</v>
      </c>
      <c r="M51" s="1999">
        <f t="shared" si="31"/>
        <v>7723</v>
      </c>
      <c r="N51" s="338">
        <f t="shared" si="32"/>
        <v>22021</v>
      </c>
      <c r="O51" s="1427">
        <f t="shared" si="33"/>
        <v>7365</v>
      </c>
      <c r="P51" s="1999">
        <v>3934</v>
      </c>
      <c r="Q51" s="338">
        <v>10920</v>
      </c>
      <c r="R51" s="338">
        <v>3332</v>
      </c>
      <c r="S51" s="1999">
        <v>3789</v>
      </c>
      <c r="T51" s="338">
        <v>11101</v>
      </c>
      <c r="U51" s="1427">
        <v>4033</v>
      </c>
      <c r="V51" s="790">
        <f t="shared" si="34"/>
        <v>0.49006979438950121</v>
      </c>
      <c r="W51" s="790">
        <f t="shared" si="35"/>
        <v>0.50993020561049884</v>
      </c>
      <c r="X51" s="2000">
        <f t="shared" si="36"/>
        <v>0.72707429464550377</v>
      </c>
      <c r="Y51" s="790">
        <f t="shared" si="37"/>
        <v>0.23220782020534103</v>
      </c>
      <c r="Z51" s="790">
        <f t="shared" si="38"/>
        <v>9.7819935864615053E-3</v>
      </c>
      <c r="AA51" s="790">
        <f t="shared" si="39"/>
        <v>5.6320569134172306E-3</v>
      </c>
      <c r="AB51" s="2001">
        <f t="shared" si="40"/>
        <v>2.5303834649276456E-2</v>
      </c>
      <c r="AC51" s="2002">
        <f t="shared" si="41"/>
        <v>0.20811662938909697</v>
      </c>
      <c r="AD51" s="341">
        <f t="shared" si="42"/>
        <v>0.59341399660459726</v>
      </c>
      <c r="AE51" s="2003">
        <f t="shared" si="43"/>
        <v>0.19846937400630574</v>
      </c>
      <c r="AF51" s="1999">
        <v>1258</v>
      </c>
      <c r="AG51" s="107">
        <f t="shared" si="44"/>
        <v>3.3900132043439599E-2</v>
      </c>
    </row>
    <row r="52" spans="1:33" x14ac:dyDescent="0.3">
      <c r="A52" s="105" t="s">
        <v>119</v>
      </c>
      <c r="B52" s="105" t="s">
        <v>120</v>
      </c>
      <c r="C52" s="105" t="s">
        <v>251</v>
      </c>
      <c r="D52" s="105">
        <v>2</v>
      </c>
      <c r="E52" s="1999">
        <v>76523</v>
      </c>
      <c r="F52" s="1999">
        <f t="shared" si="29"/>
        <v>36985</v>
      </c>
      <c r="G52" s="1427">
        <f t="shared" si="30"/>
        <v>39538</v>
      </c>
      <c r="H52" s="338">
        <v>61473</v>
      </c>
      <c r="I52" s="338">
        <v>10433</v>
      </c>
      <c r="J52" s="338">
        <v>2023</v>
      </c>
      <c r="K52" s="338">
        <v>405</v>
      </c>
      <c r="L52" s="1427">
        <v>2189</v>
      </c>
      <c r="M52" s="1999">
        <f t="shared" si="31"/>
        <v>15109</v>
      </c>
      <c r="N52" s="338">
        <f t="shared" si="32"/>
        <v>41669</v>
      </c>
      <c r="O52" s="1427">
        <f t="shared" si="33"/>
        <v>19745</v>
      </c>
      <c r="P52" s="1999">
        <v>7705</v>
      </c>
      <c r="Q52" s="338">
        <v>20271</v>
      </c>
      <c r="R52" s="338">
        <v>9009</v>
      </c>
      <c r="S52" s="1999">
        <v>7404</v>
      </c>
      <c r="T52" s="338">
        <v>21398</v>
      </c>
      <c r="U52" s="1427">
        <v>10736</v>
      </c>
      <c r="V52" s="790">
        <f t="shared" si="34"/>
        <v>0.48331874077074866</v>
      </c>
      <c r="W52" s="790">
        <f t="shared" si="35"/>
        <v>0.51668125922925134</v>
      </c>
      <c r="X52" s="2000">
        <f t="shared" si="36"/>
        <v>0.80332710426930465</v>
      </c>
      <c r="Y52" s="790">
        <f t="shared" si="37"/>
        <v>0.13633809442912589</v>
      </c>
      <c r="Z52" s="790">
        <f t="shared" si="38"/>
        <v>2.6436496216823702E-2</v>
      </c>
      <c r="AA52" s="790">
        <f t="shared" si="39"/>
        <v>5.2925264299622339E-3</v>
      </c>
      <c r="AB52" s="2001">
        <f t="shared" si="40"/>
        <v>2.8605778654783528E-2</v>
      </c>
      <c r="AC52" s="2002">
        <f t="shared" si="41"/>
        <v>0.19744390575382564</v>
      </c>
      <c r="AD52" s="341">
        <f t="shared" si="42"/>
        <v>0.54452909582739828</v>
      </c>
      <c r="AE52" s="2003">
        <f t="shared" si="43"/>
        <v>0.25802699841877608</v>
      </c>
      <c r="AF52" s="1999">
        <v>4692</v>
      </c>
      <c r="AG52" s="107">
        <f t="shared" si="44"/>
        <v>6.1314898788599505E-2</v>
      </c>
    </row>
    <row r="53" spans="1:33" x14ac:dyDescent="0.3">
      <c r="A53" s="105" t="s">
        <v>121</v>
      </c>
      <c r="B53" s="105" t="s">
        <v>258</v>
      </c>
      <c r="C53" s="105" t="s">
        <v>253</v>
      </c>
      <c r="D53" s="105">
        <v>1</v>
      </c>
      <c r="E53" s="1999">
        <v>7025</v>
      </c>
      <c r="F53" s="1999">
        <f t="shared" si="29"/>
        <v>3580</v>
      </c>
      <c r="G53" s="1427">
        <f t="shared" si="30"/>
        <v>3445</v>
      </c>
      <c r="H53" s="338">
        <v>4844</v>
      </c>
      <c r="I53" s="338">
        <v>1840</v>
      </c>
      <c r="J53" s="338">
        <v>35</v>
      </c>
      <c r="K53" s="338">
        <v>122</v>
      </c>
      <c r="L53" s="1427">
        <v>184</v>
      </c>
      <c r="M53" s="1999">
        <f t="shared" si="31"/>
        <v>1230</v>
      </c>
      <c r="N53" s="338">
        <f t="shared" si="32"/>
        <v>4136</v>
      </c>
      <c r="O53" s="1427">
        <f t="shared" si="33"/>
        <v>1659</v>
      </c>
      <c r="P53" s="1999">
        <v>625</v>
      </c>
      <c r="Q53" s="338">
        <v>2172</v>
      </c>
      <c r="R53" s="338">
        <v>783</v>
      </c>
      <c r="S53" s="1999">
        <v>605</v>
      </c>
      <c r="T53" s="338">
        <v>1964</v>
      </c>
      <c r="U53" s="1427">
        <v>876</v>
      </c>
      <c r="V53" s="790">
        <f t="shared" si="34"/>
        <v>0.50960854092526686</v>
      </c>
      <c r="W53" s="790">
        <f t="shared" si="35"/>
        <v>0.49039145907473308</v>
      </c>
      <c r="X53" s="2000">
        <f t="shared" si="36"/>
        <v>0.68953736654804265</v>
      </c>
      <c r="Y53" s="790">
        <f t="shared" si="37"/>
        <v>0.26192170818505339</v>
      </c>
      <c r="Z53" s="790">
        <f t="shared" si="38"/>
        <v>4.9822064056939501E-3</v>
      </c>
      <c r="AA53" s="790">
        <f t="shared" si="39"/>
        <v>1.7366548042704627E-2</v>
      </c>
      <c r="AB53" s="2001">
        <f t="shared" si="40"/>
        <v>2.6192170818505337E-2</v>
      </c>
      <c r="AC53" s="2002">
        <f t="shared" si="41"/>
        <v>0.17508896797153026</v>
      </c>
      <c r="AD53" s="341">
        <f t="shared" si="42"/>
        <v>0.58875444839857649</v>
      </c>
      <c r="AE53" s="2003">
        <f t="shared" si="43"/>
        <v>0.23615658362989325</v>
      </c>
      <c r="AF53" s="1999">
        <v>220</v>
      </c>
      <c r="AG53" s="107">
        <f t="shared" si="44"/>
        <v>3.1316725978647687E-2</v>
      </c>
    </row>
    <row r="54" spans="1:33" x14ac:dyDescent="0.3">
      <c r="A54" s="105" t="s">
        <v>123</v>
      </c>
      <c r="B54" s="105" t="s">
        <v>124</v>
      </c>
      <c r="C54" s="105" t="s">
        <v>254</v>
      </c>
      <c r="D54" s="105">
        <v>1</v>
      </c>
      <c r="E54" s="1999">
        <v>26836</v>
      </c>
      <c r="F54" s="1999">
        <f t="shared" si="29"/>
        <v>13586</v>
      </c>
      <c r="G54" s="1427">
        <f t="shared" si="30"/>
        <v>13250</v>
      </c>
      <c r="H54" s="338">
        <v>20900</v>
      </c>
      <c r="I54" s="338">
        <v>4311</v>
      </c>
      <c r="J54" s="338">
        <v>432</v>
      </c>
      <c r="K54" s="338">
        <v>247</v>
      </c>
      <c r="L54" s="1427">
        <v>946</v>
      </c>
      <c r="M54" s="1999">
        <f t="shared" si="31"/>
        <v>6590</v>
      </c>
      <c r="N54" s="338">
        <f t="shared" si="32"/>
        <v>16642</v>
      </c>
      <c r="O54" s="1427">
        <f t="shared" si="33"/>
        <v>3604</v>
      </c>
      <c r="P54" s="1999">
        <v>3381</v>
      </c>
      <c r="Q54" s="338">
        <v>8502</v>
      </c>
      <c r="R54" s="338">
        <v>1703</v>
      </c>
      <c r="S54" s="1999">
        <v>3209</v>
      </c>
      <c r="T54" s="338">
        <v>8140</v>
      </c>
      <c r="U54" s="1427">
        <v>1901</v>
      </c>
      <c r="V54" s="790">
        <f t="shared" si="34"/>
        <v>0.50626024742882691</v>
      </c>
      <c r="W54" s="790">
        <f t="shared" si="35"/>
        <v>0.49373975257117303</v>
      </c>
      <c r="X54" s="2000">
        <f t="shared" si="36"/>
        <v>0.77880459084811449</v>
      </c>
      <c r="Y54" s="790">
        <f t="shared" si="37"/>
        <v>0.1606424206290058</v>
      </c>
      <c r="Z54" s="790">
        <f t="shared" si="38"/>
        <v>1.6097779102697867E-2</v>
      </c>
      <c r="AA54" s="790">
        <f t="shared" si="39"/>
        <v>9.2040542554777168E-3</v>
      </c>
      <c r="AB54" s="2001">
        <f t="shared" si="40"/>
        <v>3.5251155164704132E-2</v>
      </c>
      <c r="AC54" s="2002">
        <f t="shared" si="41"/>
        <v>0.24556565807124758</v>
      </c>
      <c r="AD54" s="341">
        <f t="shared" si="42"/>
        <v>0.62013712922939335</v>
      </c>
      <c r="AE54" s="2003">
        <f t="shared" si="43"/>
        <v>0.13429721269935907</v>
      </c>
      <c r="AF54" s="1999">
        <v>1568</v>
      </c>
      <c r="AG54" s="107">
        <f t="shared" si="44"/>
        <v>5.8428976002384857E-2</v>
      </c>
    </row>
    <row r="55" spans="1:33" x14ac:dyDescent="0.3">
      <c r="A55" s="105" t="s">
        <v>125</v>
      </c>
      <c r="B55" s="105" t="s">
        <v>126</v>
      </c>
      <c r="C55" s="105" t="s">
        <v>253</v>
      </c>
      <c r="D55" s="105">
        <v>1</v>
      </c>
      <c r="E55" s="1999">
        <v>17148</v>
      </c>
      <c r="F55" s="1999">
        <f t="shared" si="29"/>
        <v>8388</v>
      </c>
      <c r="G55" s="1427">
        <f t="shared" si="30"/>
        <v>8760</v>
      </c>
      <c r="H55" s="338">
        <v>13608</v>
      </c>
      <c r="I55" s="338">
        <v>2645</v>
      </c>
      <c r="J55" s="338">
        <v>193</v>
      </c>
      <c r="K55" s="338">
        <v>260</v>
      </c>
      <c r="L55" s="1427">
        <v>442</v>
      </c>
      <c r="M55" s="1999">
        <f t="shared" si="31"/>
        <v>3912</v>
      </c>
      <c r="N55" s="338">
        <f t="shared" si="32"/>
        <v>10433</v>
      </c>
      <c r="O55" s="1427">
        <f t="shared" si="33"/>
        <v>2803</v>
      </c>
      <c r="P55" s="1999">
        <v>2021</v>
      </c>
      <c r="Q55" s="338">
        <v>5123</v>
      </c>
      <c r="R55" s="338">
        <v>1244</v>
      </c>
      <c r="S55" s="1999">
        <v>1891</v>
      </c>
      <c r="T55" s="338">
        <v>5310</v>
      </c>
      <c r="U55" s="1427">
        <v>1559</v>
      </c>
      <c r="V55" s="790">
        <f t="shared" si="34"/>
        <v>0.48915325402379284</v>
      </c>
      <c r="W55" s="790">
        <f t="shared" si="35"/>
        <v>0.51084674597620716</v>
      </c>
      <c r="X55" s="2000">
        <f t="shared" si="36"/>
        <v>0.79356193142057385</v>
      </c>
      <c r="Y55" s="790">
        <f t="shared" si="37"/>
        <v>0.15424539304875204</v>
      </c>
      <c r="Z55" s="790">
        <f t="shared" si="38"/>
        <v>1.1254956846279449E-2</v>
      </c>
      <c r="AA55" s="790">
        <f t="shared" si="39"/>
        <v>1.5162118031257289E-2</v>
      </c>
      <c r="AB55" s="2001">
        <f t="shared" si="40"/>
        <v>2.5775600653137391E-2</v>
      </c>
      <c r="AC55" s="2002">
        <f t="shared" si="41"/>
        <v>0.22813156053184044</v>
      </c>
      <c r="AD55" s="341">
        <f t="shared" si="42"/>
        <v>0.60840914392348966</v>
      </c>
      <c r="AE55" s="2003">
        <f t="shared" si="43"/>
        <v>0.16345929554466992</v>
      </c>
      <c r="AF55" s="1999">
        <v>491</v>
      </c>
      <c r="AG55" s="107">
        <f t="shared" si="44"/>
        <v>2.8633076743643574E-2</v>
      </c>
    </row>
    <row r="56" spans="1:33" x14ac:dyDescent="0.3">
      <c r="A56" s="105" t="s">
        <v>127</v>
      </c>
      <c r="B56" s="105" t="s">
        <v>128</v>
      </c>
      <c r="C56" s="105" t="s">
        <v>253</v>
      </c>
      <c r="D56" s="105">
        <v>1</v>
      </c>
      <c r="E56" s="1999">
        <v>10603</v>
      </c>
      <c r="F56" s="1999">
        <f t="shared" si="29"/>
        <v>5010</v>
      </c>
      <c r="G56" s="1427">
        <f t="shared" si="30"/>
        <v>5593</v>
      </c>
      <c r="H56" s="338">
        <v>7315</v>
      </c>
      <c r="I56" s="338">
        <v>3011</v>
      </c>
      <c r="J56" s="338">
        <v>83</v>
      </c>
      <c r="K56" s="338">
        <v>39</v>
      </c>
      <c r="L56" s="1427">
        <v>155</v>
      </c>
      <c r="M56" s="1999">
        <f t="shared" si="31"/>
        <v>1640</v>
      </c>
      <c r="N56" s="338">
        <f t="shared" si="32"/>
        <v>5075</v>
      </c>
      <c r="O56" s="1427">
        <f t="shared" si="33"/>
        <v>3888</v>
      </c>
      <c r="P56" s="1999">
        <v>864</v>
      </c>
      <c r="Q56" s="338">
        <v>2398</v>
      </c>
      <c r="R56" s="338">
        <v>1748</v>
      </c>
      <c r="S56" s="1999">
        <v>776</v>
      </c>
      <c r="T56" s="338">
        <v>2677</v>
      </c>
      <c r="U56" s="1427">
        <v>2140</v>
      </c>
      <c r="V56" s="790">
        <f t="shared" si="34"/>
        <v>0.47250778081674999</v>
      </c>
      <c r="W56" s="790">
        <f t="shared" si="35"/>
        <v>0.52749221918325007</v>
      </c>
      <c r="X56" s="2000">
        <f t="shared" si="36"/>
        <v>0.6898990851645761</v>
      </c>
      <c r="Y56" s="790">
        <f t="shared" si="37"/>
        <v>0.28397623314156373</v>
      </c>
      <c r="Z56" s="790">
        <f t="shared" si="38"/>
        <v>7.8279732151277943E-3</v>
      </c>
      <c r="AA56" s="790">
        <f t="shared" si="39"/>
        <v>3.6782042818070356E-3</v>
      </c>
      <c r="AB56" s="2001">
        <f t="shared" si="40"/>
        <v>1.4618504196925399E-2</v>
      </c>
      <c r="AC56" s="2002">
        <f t="shared" si="41"/>
        <v>0.154673205696501</v>
      </c>
      <c r="AD56" s="341">
        <f t="shared" si="42"/>
        <v>0.47863812128642835</v>
      </c>
      <c r="AE56" s="2003">
        <f t="shared" si="43"/>
        <v>0.36668867301707064</v>
      </c>
      <c r="AF56" s="1999">
        <v>269</v>
      </c>
      <c r="AG56" s="107">
        <f t="shared" si="44"/>
        <v>2.5370178251438273E-2</v>
      </c>
    </row>
    <row r="57" spans="1:33" x14ac:dyDescent="0.3">
      <c r="A57" s="105" t="s">
        <v>129</v>
      </c>
      <c r="B57" s="105" t="s">
        <v>130</v>
      </c>
      <c r="C57" s="105" t="s">
        <v>255</v>
      </c>
      <c r="D57" s="105">
        <v>2</v>
      </c>
      <c r="E57" s="1999">
        <v>23423</v>
      </c>
      <c r="F57" s="1999">
        <f t="shared" si="29"/>
        <v>12215</v>
      </c>
      <c r="G57" s="1427">
        <f t="shared" si="30"/>
        <v>11208</v>
      </c>
      <c r="H57" s="338">
        <v>22140</v>
      </c>
      <c r="I57" s="338">
        <v>872</v>
      </c>
      <c r="J57" s="338">
        <v>71</v>
      </c>
      <c r="K57" s="338">
        <v>102</v>
      </c>
      <c r="L57" s="1427">
        <v>238</v>
      </c>
      <c r="M57" s="1999">
        <f t="shared" si="31"/>
        <v>4322</v>
      </c>
      <c r="N57" s="338">
        <f t="shared" si="32"/>
        <v>13890</v>
      </c>
      <c r="O57" s="1427">
        <f t="shared" si="33"/>
        <v>5211</v>
      </c>
      <c r="P57" s="1999">
        <v>2285</v>
      </c>
      <c r="Q57" s="338">
        <v>7485</v>
      </c>
      <c r="R57" s="338">
        <v>2445</v>
      </c>
      <c r="S57" s="1999">
        <v>2037</v>
      </c>
      <c r="T57" s="338">
        <v>6405</v>
      </c>
      <c r="U57" s="1427">
        <v>2766</v>
      </c>
      <c r="V57" s="790">
        <f t="shared" si="34"/>
        <v>0.5214959655039918</v>
      </c>
      <c r="W57" s="790">
        <f t="shared" si="35"/>
        <v>0.4785040344960082</v>
      </c>
      <c r="X57" s="2000">
        <f t="shared" si="36"/>
        <v>0.94522477906331381</v>
      </c>
      <c r="Y57" s="790">
        <f t="shared" si="37"/>
        <v>3.7228365281987787E-2</v>
      </c>
      <c r="Z57" s="790">
        <f t="shared" si="38"/>
        <v>3.0312086410792809E-3</v>
      </c>
      <c r="AA57" s="790">
        <f t="shared" si="39"/>
        <v>4.354694104085728E-3</v>
      </c>
      <c r="AB57" s="2001">
        <f t="shared" si="40"/>
        <v>1.0160952909533364E-2</v>
      </c>
      <c r="AC57" s="2002">
        <f t="shared" si="41"/>
        <v>0.18451948939076976</v>
      </c>
      <c r="AD57" s="341">
        <f t="shared" si="42"/>
        <v>0.59300687358579174</v>
      </c>
      <c r="AE57" s="2003">
        <f t="shared" si="43"/>
        <v>0.2224736370234385</v>
      </c>
      <c r="AF57" s="1999">
        <v>461</v>
      </c>
      <c r="AG57" s="107">
        <f t="shared" si="44"/>
        <v>1.9681509627289415E-2</v>
      </c>
    </row>
    <row r="58" spans="1:33" x14ac:dyDescent="0.3">
      <c r="A58" s="105" t="s">
        <v>131</v>
      </c>
      <c r="B58" s="105" t="s">
        <v>132</v>
      </c>
      <c r="C58" s="105" t="s">
        <v>254</v>
      </c>
      <c r="D58" s="105">
        <v>3</v>
      </c>
      <c r="E58" s="1999">
        <v>413538</v>
      </c>
      <c r="F58" s="1999">
        <f t="shared" si="29"/>
        <v>205164</v>
      </c>
      <c r="G58" s="1427">
        <f t="shared" si="30"/>
        <v>208374</v>
      </c>
      <c r="H58" s="338">
        <v>277252</v>
      </c>
      <c r="I58" s="338">
        <v>33465</v>
      </c>
      <c r="J58" s="338">
        <v>84135</v>
      </c>
      <c r="K58" s="338">
        <v>2360</v>
      </c>
      <c r="L58" s="1427">
        <v>16326</v>
      </c>
      <c r="M58" s="1999">
        <f t="shared" si="31"/>
        <v>115266</v>
      </c>
      <c r="N58" s="338">
        <f t="shared" si="32"/>
        <v>258122</v>
      </c>
      <c r="O58" s="1427">
        <f t="shared" si="33"/>
        <v>40150</v>
      </c>
      <c r="P58" s="1999">
        <v>58489</v>
      </c>
      <c r="Q58" s="338">
        <v>128744</v>
      </c>
      <c r="R58" s="338">
        <v>17931</v>
      </c>
      <c r="S58" s="1999">
        <v>56777</v>
      </c>
      <c r="T58" s="338">
        <v>129378</v>
      </c>
      <c r="U58" s="1427">
        <v>22219</v>
      </c>
      <c r="V58" s="790">
        <f t="shared" si="34"/>
        <v>0.49611885727551036</v>
      </c>
      <c r="W58" s="790">
        <f t="shared" si="35"/>
        <v>0.50388114272448969</v>
      </c>
      <c r="X58" s="2000">
        <f t="shared" si="36"/>
        <v>0.67043899230542292</v>
      </c>
      <c r="Y58" s="790">
        <f t="shared" si="37"/>
        <v>8.0923639423704716E-2</v>
      </c>
      <c r="Z58" s="790">
        <f t="shared" si="38"/>
        <v>0.20345167795946201</v>
      </c>
      <c r="AA58" s="790">
        <f t="shared" si="39"/>
        <v>5.7068516073492644E-3</v>
      </c>
      <c r="AB58" s="2001">
        <f t="shared" si="40"/>
        <v>3.9478838704061055E-2</v>
      </c>
      <c r="AC58" s="2002">
        <f t="shared" si="41"/>
        <v>0.2787313378697967</v>
      </c>
      <c r="AD58" s="341">
        <f t="shared" si="42"/>
        <v>0.62417964008144355</v>
      </c>
      <c r="AE58" s="2003">
        <f t="shared" si="43"/>
        <v>9.7089022048759729E-2</v>
      </c>
      <c r="AF58" s="1999">
        <v>57508</v>
      </c>
      <c r="AG58" s="107">
        <f t="shared" si="44"/>
        <v>0.13906339925230571</v>
      </c>
    </row>
    <row r="59" spans="1:33" x14ac:dyDescent="0.3">
      <c r="A59" s="105" t="s">
        <v>133</v>
      </c>
      <c r="B59" s="105" t="s">
        <v>134</v>
      </c>
      <c r="C59" s="105" t="s">
        <v>254</v>
      </c>
      <c r="D59" s="105">
        <v>2</v>
      </c>
      <c r="E59" s="1999">
        <v>37591</v>
      </c>
      <c r="F59" s="1999">
        <f t="shared" si="29"/>
        <v>18594</v>
      </c>
      <c r="G59" s="1427">
        <f t="shared" si="30"/>
        <v>18997</v>
      </c>
      <c r="H59" s="338">
        <v>30378</v>
      </c>
      <c r="I59" s="338">
        <v>5846</v>
      </c>
      <c r="J59" s="338">
        <v>243</v>
      </c>
      <c r="K59" s="338">
        <v>243</v>
      </c>
      <c r="L59" s="1427">
        <v>881</v>
      </c>
      <c r="M59" s="1999">
        <f t="shared" si="31"/>
        <v>7541</v>
      </c>
      <c r="N59" s="338">
        <f t="shared" si="32"/>
        <v>22420</v>
      </c>
      <c r="O59" s="1427">
        <f t="shared" si="33"/>
        <v>7630</v>
      </c>
      <c r="P59" s="1999">
        <v>3812</v>
      </c>
      <c r="Q59" s="338">
        <v>11113</v>
      </c>
      <c r="R59" s="338">
        <v>3669</v>
      </c>
      <c r="S59" s="1999">
        <v>3729</v>
      </c>
      <c r="T59" s="338">
        <v>11307</v>
      </c>
      <c r="U59" s="1427">
        <v>3961</v>
      </c>
      <c r="V59" s="790">
        <f t="shared" si="34"/>
        <v>0.49463967439014656</v>
      </c>
      <c r="W59" s="790">
        <f t="shared" si="35"/>
        <v>0.50536032560985344</v>
      </c>
      <c r="X59" s="2000">
        <f t="shared" si="36"/>
        <v>0.80811896464579291</v>
      </c>
      <c r="Y59" s="790">
        <f t="shared" si="37"/>
        <v>0.15551594796626853</v>
      </c>
      <c r="Z59" s="790">
        <f t="shared" si="38"/>
        <v>6.4643132664733583E-3</v>
      </c>
      <c r="AA59" s="790">
        <f t="shared" si="39"/>
        <v>6.4643132664733583E-3</v>
      </c>
      <c r="AB59" s="2001">
        <f t="shared" si="40"/>
        <v>2.3436460854991886E-2</v>
      </c>
      <c r="AC59" s="2002">
        <f t="shared" si="41"/>
        <v>0.20060652815833577</v>
      </c>
      <c r="AD59" s="341">
        <f t="shared" si="42"/>
        <v>0.59641935569684235</v>
      </c>
      <c r="AE59" s="2003">
        <f t="shared" si="43"/>
        <v>0.20297411614482189</v>
      </c>
      <c r="AF59" s="1999">
        <v>1251</v>
      </c>
      <c r="AG59" s="107">
        <f t="shared" si="44"/>
        <v>3.3279242371844327E-2</v>
      </c>
    </row>
    <row r="60" spans="1:33" x14ac:dyDescent="0.3">
      <c r="A60" s="105" t="s">
        <v>135</v>
      </c>
      <c r="B60" s="105" t="s">
        <v>136</v>
      </c>
      <c r="C60" s="105" t="s">
        <v>253</v>
      </c>
      <c r="D60" s="105">
        <v>1</v>
      </c>
      <c r="E60" s="1999">
        <v>12196</v>
      </c>
      <c r="F60" s="1999">
        <f t="shared" si="29"/>
        <v>6450</v>
      </c>
      <c r="G60" s="1427">
        <f t="shared" si="30"/>
        <v>5746</v>
      </c>
      <c r="H60" s="338">
        <v>7672</v>
      </c>
      <c r="I60" s="338">
        <v>4130</v>
      </c>
      <c r="J60" s="338">
        <v>42</v>
      </c>
      <c r="K60" s="338">
        <v>87</v>
      </c>
      <c r="L60" s="1427">
        <v>265</v>
      </c>
      <c r="M60" s="1999">
        <f t="shared" si="31"/>
        <v>2304</v>
      </c>
      <c r="N60" s="338">
        <f t="shared" si="32"/>
        <v>7124</v>
      </c>
      <c r="O60" s="1427">
        <f t="shared" si="33"/>
        <v>2768</v>
      </c>
      <c r="P60" s="1999">
        <v>1199</v>
      </c>
      <c r="Q60" s="338">
        <v>4015</v>
      </c>
      <c r="R60" s="338">
        <v>1236</v>
      </c>
      <c r="S60" s="1999">
        <v>1105</v>
      </c>
      <c r="T60" s="338">
        <v>3109</v>
      </c>
      <c r="U60" s="1427">
        <v>1532</v>
      </c>
      <c r="V60" s="790">
        <f t="shared" si="34"/>
        <v>0.52886192194162018</v>
      </c>
      <c r="W60" s="790">
        <f t="shared" si="35"/>
        <v>0.47113807805837982</v>
      </c>
      <c r="X60" s="2000">
        <f t="shared" si="36"/>
        <v>0.62905870777304029</v>
      </c>
      <c r="Y60" s="790">
        <f t="shared" si="37"/>
        <v>0.33863561823548705</v>
      </c>
      <c r="Z60" s="790">
        <f t="shared" si="38"/>
        <v>3.4437520498524108E-3</v>
      </c>
      <c r="AA60" s="790">
        <f t="shared" si="39"/>
        <v>7.1334863889799937E-3</v>
      </c>
      <c r="AB60" s="2001">
        <f t="shared" si="40"/>
        <v>2.1728435552640209E-2</v>
      </c>
      <c r="AC60" s="2002">
        <f t="shared" si="41"/>
        <v>0.18891439816333225</v>
      </c>
      <c r="AD60" s="341">
        <f t="shared" si="42"/>
        <v>0.58412594293210884</v>
      </c>
      <c r="AE60" s="2003">
        <f t="shared" si="43"/>
        <v>0.22695965890455888</v>
      </c>
      <c r="AF60" s="1999">
        <v>657</v>
      </c>
      <c r="AG60" s="107">
        <f t="shared" si="44"/>
        <v>5.3870121351262706E-2</v>
      </c>
    </row>
    <row r="61" spans="1:33" x14ac:dyDescent="0.3">
      <c r="A61" s="105" t="s">
        <v>139</v>
      </c>
      <c r="B61" s="105" t="s">
        <v>140</v>
      </c>
      <c r="C61" s="105" t="s">
        <v>254</v>
      </c>
      <c r="D61" s="105">
        <v>1</v>
      </c>
      <c r="E61" s="1999">
        <v>13261</v>
      </c>
      <c r="F61" s="1999">
        <f t="shared" si="29"/>
        <v>6424</v>
      </c>
      <c r="G61" s="1427">
        <f t="shared" si="30"/>
        <v>6837</v>
      </c>
      <c r="H61" s="338">
        <v>11521</v>
      </c>
      <c r="I61" s="338">
        <v>1229</v>
      </c>
      <c r="J61" s="338">
        <v>83</v>
      </c>
      <c r="K61" s="338">
        <v>40</v>
      </c>
      <c r="L61" s="1427">
        <v>388</v>
      </c>
      <c r="M61" s="1999">
        <f t="shared" si="31"/>
        <v>2671</v>
      </c>
      <c r="N61" s="338">
        <f t="shared" si="32"/>
        <v>7554</v>
      </c>
      <c r="O61" s="1427">
        <f t="shared" si="33"/>
        <v>3036</v>
      </c>
      <c r="P61" s="1999">
        <v>1340</v>
      </c>
      <c r="Q61" s="338">
        <v>3701</v>
      </c>
      <c r="R61" s="338">
        <v>1383</v>
      </c>
      <c r="S61" s="1999">
        <v>1331</v>
      </c>
      <c r="T61" s="338">
        <v>3853</v>
      </c>
      <c r="U61" s="1427">
        <v>1653</v>
      </c>
      <c r="V61" s="790">
        <f t="shared" si="34"/>
        <v>0.48442802201945556</v>
      </c>
      <c r="W61" s="790">
        <f t="shared" si="35"/>
        <v>0.51557197798054444</v>
      </c>
      <c r="X61" s="2000">
        <f t="shared" si="36"/>
        <v>0.86878817585400803</v>
      </c>
      <c r="Y61" s="790">
        <f t="shared" si="37"/>
        <v>9.2677776939898954E-2</v>
      </c>
      <c r="Z61" s="790">
        <f t="shared" si="38"/>
        <v>6.2589548299524919E-3</v>
      </c>
      <c r="AA61" s="790">
        <f t="shared" si="39"/>
        <v>3.0163637734710808E-3</v>
      </c>
      <c r="AB61" s="2001">
        <f t="shared" si="40"/>
        <v>2.9258728602669481E-2</v>
      </c>
      <c r="AC61" s="2002">
        <f t="shared" si="41"/>
        <v>0.2014176909735314</v>
      </c>
      <c r="AD61" s="341">
        <f t="shared" si="42"/>
        <v>0.56964029862001353</v>
      </c>
      <c r="AE61" s="2003">
        <f t="shared" si="43"/>
        <v>0.22894201040645501</v>
      </c>
      <c r="AF61" s="1999">
        <v>428</v>
      </c>
      <c r="AG61" s="107">
        <f t="shared" si="44"/>
        <v>3.2275092376140561E-2</v>
      </c>
    </row>
    <row r="62" spans="1:33" x14ac:dyDescent="0.3">
      <c r="A62" s="105" t="s">
        <v>145</v>
      </c>
      <c r="B62" s="105" t="s">
        <v>146</v>
      </c>
      <c r="C62" s="105" t="s">
        <v>251</v>
      </c>
      <c r="D62" s="105">
        <v>1</v>
      </c>
      <c r="E62" s="1999">
        <v>8834</v>
      </c>
      <c r="F62" s="1999">
        <f t="shared" si="29"/>
        <v>4277</v>
      </c>
      <c r="G62" s="1427">
        <f t="shared" si="30"/>
        <v>4557</v>
      </c>
      <c r="H62" s="338">
        <v>7783</v>
      </c>
      <c r="I62" s="338">
        <v>747</v>
      </c>
      <c r="J62" s="338">
        <v>77</v>
      </c>
      <c r="K62" s="338">
        <v>40</v>
      </c>
      <c r="L62" s="1427">
        <v>187</v>
      </c>
      <c r="M62" s="1999">
        <f t="shared" si="31"/>
        <v>1379</v>
      </c>
      <c r="N62" s="338">
        <f t="shared" si="32"/>
        <v>4670</v>
      </c>
      <c r="O62" s="1427">
        <f t="shared" si="33"/>
        <v>2785</v>
      </c>
      <c r="P62" s="1999">
        <v>699</v>
      </c>
      <c r="Q62" s="338">
        <v>2298</v>
      </c>
      <c r="R62" s="338">
        <v>1280</v>
      </c>
      <c r="S62" s="1999">
        <v>680</v>
      </c>
      <c r="T62" s="338">
        <v>2372</v>
      </c>
      <c r="U62" s="1427">
        <v>1505</v>
      </c>
      <c r="V62" s="790">
        <f t="shared" si="34"/>
        <v>0.48415213946117275</v>
      </c>
      <c r="W62" s="790">
        <f t="shared" si="35"/>
        <v>0.51584786053882725</v>
      </c>
      <c r="X62" s="2000">
        <f t="shared" si="36"/>
        <v>0.88102784695494685</v>
      </c>
      <c r="Y62" s="790">
        <f t="shared" si="37"/>
        <v>8.4559655875028297E-2</v>
      </c>
      <c r="Z62" s="790">
        <f t="shared" si="38"/>
        <v>8.7163232963549924E-3</v>
      </c>
      <c r="AA62" s="790">
        <f t="shared" si="39"/>
        <v>4.5279601539506449E-3</v>
      </c>
      <c r="AB62" s="2001">
        <f t="shared" si="40"/>
        <v>2.1168213719719265E-2</v>
      </c>
      <c r="AC62" s="2002">
        <f t="shared" si="41"/>
        <v>0.1561014263074485</v>
      </c>
      <c r="AD62" s="341">
        <f t="shared" si="42"/>
        <v>0.52863934797373779</v>
      </c>
      <c r="AE62" s="2003">
        <f t="shared" si="43"/>
        <v>0.31525922571881365</v>
      </c>
      <c r="AF62" s="1999">
        <v>240</v>
      </c>
      <c r="AG62" s="107">
        <f t="shared" si="44"/>
        <v>2.7167760923703873E-2</v>
      </c>
    </row>
    <row r="63" spans="1:33" x14ac:dyDescent="0.3">
      <c r="A63" s="105" t="s">
        <v>147</v>
      </c>
      <c r="B63" s="105" t="s">
        <v>148</v>
      </c>
      <c r="C63" s="105" t="s">
        <v>252</v>
      </c>
      <c r="D63" s="105">
        <v>2</v>
      </c>
      <c r="E63" s="1999">
        <v>30587</v>
      </c>
      <c r="F63" s="1999">
        <f t="shared" si="29"/>
        <v>14899</v>
      </c>
      <c r="G63" s="1427">
        <f t="shared" si="30"/>
        <v>15688</v>
      </c>
      <c r="H63" s="338">
        <v>19040</v>
      </c>
      <c r="I63" s="338">
        <v>10570</v>
      </c>
      <c r="J63" s="338">
        <v>257</v>
      </c>
      <c r="K63" s="338">
        <v>147</v>
      </c>
      <c r="L63" s="1427">
        <v>573</v>
      </c>
      <c r="M63" s="1999">
        <f t="shared" si="31"/>
        <v>5706</v>
      </c>
      <c r="N63" s="338">
        <f t="shared" si="32"/>
        <v>16973</v>
      </c>
      <c r="O63" s="1427">
        <f t="shared" si="33"/>
        <v>7908</v>
      </c>
      <c r="P63" s="1999">
        <v>2915</v>
      </c>
      <c r="Q63" s="338">
        <v>8444</v>
      </c>
      <c r="R63" s="338">
        <v>3540</v>
      </c>
      <c r="S63" s="1999">
        <v>2791</v>
      </c>
      <c r="T63" s="338">
        <v>8529</v>
      </c>
      <c r="U63" s="1427">
        <v>4368</v>
      </c>
      <c r="V63" s="790">
        <f t="shared" si="34"/>
        <v>0.48710236374930527</v>
      </c>
      <c r="W63" s="790">
        <f t="shared" si="35"/>
        <v>0.51289763625069473</v>
      </c>
      <c r="X63" s="2000">
        <f t="shared" si="36"/>
        <v>0.62248667734658514</v>
      </c>
      <c r="Y63" s="790">
        <f t="shared" si="37"/>
        <v>0.34557164808578805</v>
      </c>
      <c r="Z63" s="790">
        <f t="shared" si="38"/>
        <v>8.4022623990584241E-3</v>
      </c>
      <c r="AA63" s="790">
        <f t="shared" si="39"/>
        <v>4.805963317749371E-3</v>
      </c>
      <c r="AB63" s="2001">
        <f t="shared" si="40"/>
        <v>1.8733448850818974E-2</v>
      </c>
      <c r="AC63" s="2002">
        <f t="shared" si="41"/>
        <v>0.18654984143590414</v>
      </c>
      <c r="AD63" s="341">
        <f t="shared" si="42"/>
        <v>0.55490894824598691</v>
      </c>
      <c r="AE63" s="2003">
        <f t="shared" si="43"/>
        <v>0.258541210318109</v>
      </c>
      <c r="AF63" s="1999">
        <v>955</v>
      </c>
      <c r="AG63" s="107">
        <f t="shared" si="44"/>
        <v>3.122241475136496E-2</v>
      </c>
    </row>
    <row r="64" spans="1:33" x14ac:dyDescent="0.3">
      <c r="A64" s="105" t="s">
        <v>149</v>
      </c>
      <c r="B64" s="105" t="s">
        <v>150</v>
      </c>
      <c r="C64" s="105" t="s">
        <v>253</v>
      </c>
      <c r="D64" s="105">
        <v>1</v>
      </c>
      <c r="E64" s="1999">
        <v>10582</v>
      </c>
      <c r="F64" s="1999">
        <f t="shared" si="29"/>
        <v>5191</v>
      </c>
      <c r="G64" s="1427">
        <f t="shared" si="30"/>
        <v>5391</v>
      </c>
      <c r="H64" s="338">
        <v>8475</v>
      </c>
      <c r="I64" s="338">
        <v>1759</v>
      </c>
      <c r="J64" s="338">
        <v>51</v>
      </c>
      <c r="K64" s="338">
        <v>63</v>
      </c>
      <c r="L64" s="1427">
        <v>234</v>
      </c>
      <c r="M64" s="1999">
        <f t="shared" si="31"/>
        <v>1694</v>
      </c>
      <c r="N64" s="338">
        <f t="shared" si="32"/>
        <v>5501</v>
      </c>
      <c r="O64" s="1427">
        <f t="shared" si="33"/>
        <v>3387</v>
      </c>
      <c r="P64" s="1999">
        <v>889</v>
      </c>
      <c r="Q64" s="338">
        <v>2758</v>
      </c>
      <c r="R64" s="338">
        <v>1544</v>
      </c>
      <c r="S64" s="1999">
        <v>805</v>
      </c>
      <c r="T64" s="338">
        <v>2743</v>
      </c>
      <c r="U64" s="1427">
        <v>1843</v>
      </c>
      <c r="V64" s="790">
        <f t="shared" si="34"/>
        <v>0.49054999054999054</v>
      </c>
      <c r="W64" s="790">
        <f t="shared" si="35"/>
        <v>0.5094500094500094</v>
      </c>
      <c r="X64" s="2000">
        <f t="shared" si="36"/>
        <v>0.80088830088830087</v>
      </c>
      <c r="Y64" s="790">
        <f t="shared" si="37"/>
        <v>0.16622566622566623</v>
      </c>
      <c r="Z64" s="790">
        <f t="shared" si="38"/>
        <v>4.8195048195048195E-3</v>
      </c>
      <c r="AA64" s="790">
        <f t="shared" si="39"/>
        <v>5.9535059535059534E-3</v>
      </c>
      <c r="AB64" s="2001">
        <f t="shared" si="40"/>
        <v>2.2113022113022112E-2</v>
      </c>
      <c r="AC64" s="2002">
        <f t="shared" si="41"/>
        <v>0.16008316008316009</v>
      </c>
      <c r="AD64" s="341">
        <f t="shared" si="42"/>
        <v>0.51984501984501985</v>
      </c>
      <c r="AE64" s="2003">
        <f t="shared" si="43"/>
        <v>0.32007182007182006</v>
      </c>
      <c r="AF64" s="1999">
        <v>308</v>
      </c>
      <c r="AG64" s="107">
        <f t="shared" si="44"/>
        <v>2.9106029106029108E-2</v>
      </c>
    </row>
    <row r="65" spans="1:33" x14ac:dyDescent="0.3">
      <c r="A65" s="105" t="s">
        <v>151</v>
      </c>
      <c r="B65" s="105" t="s">
        <v>152</v>
      </c>
      <c r="C65" s="105" t="s">
        <v>255</v>
      </c>
      <c r="D65" s="105">
        <v>2</v>
      </c>
      <c r="E65" s="1999">
        <v>98535</v>
      </c>
      <c r="F65" s="1999">
        <f t="shared" si="29"/>
        <v>50976</v>
      </c>
      <c r="G65" s="1427">
        <f t="shared" si="30"/>
        <v>47559</v>
      </c>
      <c r="H65" s="338">
        <v>85207</v>
      </c>
      <c r="I65" s="338">
        <v>4238</v>
      </c>
      <c r="J65" s="338">
        <v>6245</v>
      </c>
      <c r="K65" s="338">
        <v>362</v>
      </c>
      <c r="L65" s="1427">
        <v>2483</v>
      </c>
      <c r="M65" s="1999">
        <f t="shared" si="31"/>
        <v>15070</v>
      </c>
      <c r="N65" s="338">
        <f t="shared" si="32"/>
        <v>70440</v>
      </c>
      <c r="O65" s="1427">
        <f t="shared" si="33"/>
        <v>13025</v>
      </c>
      <c r="P65" s="1999">
        <v>7708</v>
      </c>
      <c r="Q65" s="338">
        <v>37411</v>
      </c>
      <c r="R65" s="338">
        <v>5857</v>
      </c>
      <c r="S65" s="1999">
        <v>7362</v>
      </c>
      <c r="T65" s="338">
        <v>33029</v>
      </c>
      <c r="U65" s="1427">
        <v>7168</v>
      </c>
      <c r="V65" s="790">
        <f t="shared" si="34"/>
        <v>0.51733901659308879</v>
      </c>
      <c r="W65" s="790">
        <f t="shared" si="35"/>
        <v>0.48266098340691127</v>
      </c>
      <c r="X65" s="2000">
        <f t="shared" si="36"/>
        <v>0.86473841782107885</v>
      </c>
      <c r="Y65" s="790">
        <f t="shared" si="37"/>
        <v>4.3010097934744002E-2</v>
      </c>
      <c r="Z65" s="790">
        <f t="shared" si="38"/>
        <v>6.3378494951032621E-2</v>
      </c>
      <c r="AA65" s="790">
        <f t="shared" si="39"/>
        <v>3.6738214847516111E-3</v>
      </c>
      <c r="AB65" s="2001">
        <f t="shared" si="40"/>
        <v>2.5199167808392958E-2</v>
      </c>
      <c r="AC65" s="2002">
        <f t="shared" si="41"/>
        <v>0.1529405794895215</v>
      </c>
      <c r="AD65" s="341">
        <f t="shared" si="42"/>
        <v>0.71487288780636327</v>
      </c>
      <c r="AE65" s="2003">
        <f t="shared" si="43"/>
        <v>0.13218653270411529</v>
      </c>
      <c r="AF65" s="1999">
        <v>3424</v>
      </c>
      <c r="AG65" s="107">
        <f t="shared" si="44"/>
        <v>3.4749073933120211E-2</v>
      </c>
    </row>
    <row r="66" spans="1:33" x14ac:dyDescent="0.3">
      <c r="A66" s="105" t="s">
        <v>153</v>
      </c>
      <c r="B66" s="105" t="s">
        <v>154</v>
      </c>
      <c r="C66" s="105" t="s">
        <v>252</v>
      </c>
      <c r="D66" s="105">
        <v>1</v>
      </c>
      <c r="E66" s="1999">
        <v>14930</v>
      </c>
      <c r="F66" s="1999">
        <f t="shared" si="29"/>
        <v>7216</v>
      </c>
      <c r="G66" s="1427">
        <f t="shared" si="30"/>
        <v>7714</v>
      </c>
      <c r="H66" s="338">
        <v>12685</v>
      </c>
      <c r="I66" s="338">
        <v>1701</v>
      </c>
      <c r="J66" s="338">
        <v>113</v>
      </c>
      <c r="K66" s="338">
        <v>89</v>
      </c>
      <c r="L66" s="1427">
        <v>342</v>
      </c>
      <c r="M66" s="1999">
        <f t="shared" si="31"/>
        <v>2663</v>
      </c>
      <c r="N66" s="338">
        <f t="shared" si="32"/>
        <v>8064</v>
      </c>
      <c r="O66" s="1427">
        <f t="shared" si="33"/>
        <v>4203</v>
      </c>
      <c r="P66" s="1999">
        <v>1356</v>
      </c>
      <c r="Q66" s="338">
        <v>3919</v>
      </c>
      <c r="R66" s="338">
        <v>1941</v>
      </c>
      <c r="S66" s="1999">
        <v>1307</v>
      </c>
      <c r="T66" s="338">
        <v>4145</v>
      </c>
      <c r="U66" s="1427">
        <v>2262</v>
      </c>
      <c r="V66" s="790">
        <f t="shared" si="34"/>
        <v>0.48332217012726053</v>
      </c>
      <c r="W66" s="790">
        <f t="shared" si="35"/>
        <v>0.51667782987273947</v>
      </c>
      <c r="X66" s="2000">
        <f t="shared" si="36"/>
        <v>0.8496316141995981</v>
      </c>
      <c r="Y66" s="790">
        <f t="shared" si="37"/>
        <v>0.11393168117883457</v>
      </c>
      <c r="Z66" s="790">
        <f t="shared" si="38"/>
        <v>7.5686537173476221E-3</v>
      </c>
      <c r="AA66" s="790">
        <f t="shared" si="39"/>
        <v>5.961152042866711E-3</v>
      </c>
      <c r="AB66" s="2001">
        <f t="shared" si="40"/>
        <v>2.290689886135298E-2</v>
      </c>
      <c r="AC66" s="2002">
        <f t="shared" si="41"/>
        <v>0.17836570663094442</v>
      </c>
      <c r="AD66" s="341">
        <f t="shared" si="42"/>
        <v>0.54012056262558605</v>
      </c>
      <c r="AE66" s="2003">
        <f t="shared" si="43"/>
        <v>0.28151373074346953</v>
      </c>
      <c r="AF66" s="1999">
        <v>642</v>
      </c>
      <c r="AG66" s="107">
        <f t="shared" si="44"/>
        <v>4.3000669792364367E-2</v>
      </c>
    </row>
    <row r="67" spans="1:33" x14ac:dyDescent="0.3">
      <c r="A67" s="105" t="s">
        <v>155</v>
      </c>
      <c r="B67" s="105" t="s">
        <v>156</v>
      </c>
      <c r="C67" s="105" t="s">
        <v>253</v>
      </c>
      <c r="D67" s="105">
        <v>1</v>
      </c>
      <c r="E67" s="1999">
        <v>23091</v>
      </c>
      <c r="F67" s="1999">
        <f t="shared" si="29"/>
        <v>11758</v>
      </c>
      <c r="G67" s="1427">
        <f t="shared" si="30"/>
        <v>11333</v>
      </c>
      <c r="H67" s="338">
        <v>18662</v>
      </c>
      <c r="I67" s="338">
        <v>3200</v>
      </c>
      <c r="J67" s="338">
        <v>282</v>
      </c>
      <c r="K67" s="338">
        <v>281</v>
      </c>
      <c r="L67" s="1427">
        <v>666</v>
      </c>
      <c r="M67" s="1999">
        <f t="shared" si="31"/>
        <v>4602</v>
      </c>
      <c r="N67" s="338">
        <f t="shared" si="32"/>
        <v>14401</v>
      </c>
      <c r="O67" s="1427">
        <f t="shared" si="33"/>
        <v>4088</v>
      </c>
      <c r="P67" s="1999">
        <v>2360</v>
      </c>
      <c r="Q67" s="338">
        <v>7425</v>
      </c>
      <c r="R67" s="338">
        <v>1973</v>
      </c>
      <c r="S67" s="1999">
        <v>2242</v>
      </c>
      <c r="T67" s="338">
        <v>6976</v>
      </c>
      <c r="U67" s="1427">
        <v>2115</v>
      </c>
      <c r="V67" s="790">
        <f t="shared" si="34"/>
        <v>0.50920271967433195</v>
      </c>
      <c r="W67" s="790">
        <f t="shared" si="35"/>
        <v>0.490797280325668</v>
      </c>
      <c r="X67" s="2000">
        <f t="shared" si="36"/>
        <v>0.8081936685288641</v>
      </c>
      <c r="Y67" s="790">
        <f t="shared" si="37"/>
        <v>0.13858213156641117</v>
      </c>
      <c r="Z67" s="790">
        <f t="shared" si="38"/>
        <v>1.2212550344289983E-2</v>
      </c>
      <c r="AA67" s="790">
        <f t="shared" si="39"/>
        <v>1.2169243428175479E-2</v>
      </c>
      <c r="AB67" s="2001">
        <f t="shared" si="40"/>
        <v>2.8842406132259323E-2</v>
      </c>
      <c r="AC67" s="2002">
        <f t="shared" si="41"/>
        <v>0.19929842795894503</v>
      </c>
      <c r="AD67" s="341">
        <f t="shared" si="42"/>
        <v>0.62366289896496474</v>
      </c>
      <c r="AE67" s="2003">
        <f t="shared" si="43"/>
        <v>0.17703867307609025</v>
      </c>
      <c r="AF67" s="1999">
        <v>838</v>
      </c>
      <c r="AG67" s="107">
        <f t="shared" si="44"/>
        <v>3.6291195703953921E-2</v>
      </c>
    </row>
    <row r="68" spans="1:33" x14ac:dyDescent="0.3">
      <c r="A68" s="105" t="s">
        <v>161</v>
      </c>
      <c r="B68" s="105" t="s">
        <v>162</v>
      </c>
      <c r="C68" s="105" t="s">
        <v>251</v>
      </c>
      <c r="D68" s="105">
        <v>2</v>
      </c>
      <c r="E68" s="1999">
        <v>11710</v>
      </c>
      <c r="F68" s="1999">
        <f t="shared" si="29"/>
        <v>5608</v>
      </c>
      <c r="G68" s="1427">
        <f t="shared" si="30"/>
        <v>6102</v>
      </c>
      <c r="H68" s="338">
        <v>7341</v>
      </c>
      <c r="I68" s="338">
        <v>3952</v>
      </c>
      <c r="J68" s="338">
        <v>122</v>
      </c>
      <c r="K68" s="338">
        <v>71</v>
      </c>
      <c r="L68" s="1427">
        <v>224</v>
      </c>
      <c r="M68" s="1999">
        <f t="shared" si="31"/>
        <v>2302</v>
      </c>
      <c r="N68" s="338">
        <f t="shared" si="32"/>
        <v>6242</v>
      </c>
      <c r="O68" s="1427">
        <f t="shared" si="33"/>
        <v>3166</v>
      </c>
      <c r="P68" s="1999">
        <v>1206</v>
      </c>
      <c r="Q68" s="338">
        <v>3027</v>
      </c>
      <c r="R68" s="338">
        <v>1375</v>
      </c>
      <c r="S68" s="1999">
        <v>1096</v>
      </c>
      <c r="T68" s="338">
        <v>3215</v>
      </c>
      <c r="U68" s="1427">
        <v>1791</v>
      </c>
      <c r="V68" s="790">
        <f t="shared" si="34"/>
        <v>0.47890691716481637</v>
      </c>
      <c r="W68" s="790">
        <f t="shared" si="35"/>
        <v>0.52109308283518363</v>
      </c>
      <c r="X68" s="2000">
        <f t="shared" si="36"/>
        <v>0.62690008539709652</v>
      </c>
      <c r="Y68" s="790">
        <f t="shared" si="37"/>
        <v>0.33748932536293769</v>
      </c>
      <c r="Z68" s="790">
        <f t="shared" si="38"/>
        <v>1.0418445772843723E-2</v>
      </c>
      <c r="AA68" s="790">
        <f t="shared" si="39"/>
        <v>6.0631938514090523E-3</v>
      </c>
      <c r="AB68" s="2001">
        <f t="shared" si="40"/>
        <v>1.9128949615713067E-2</v>
      </c>
      <c r="AC68" s="2002">
        <f t="shared" si="41"/>
        <v>0.19658411614005125</v>
      </c>
      <c r="AD68" s="341">
        <f t="shared" si="42"/>
        <v>0.5330486763450043</v>
      </c>
      <c r="AE68" s="2003">
        <f t="shared" si="43"/>
        <v>0.27036720751494447</v>
      </c>
      <c r="AF68" s="1999">
        <v>1108</v>
      </c>
      <c r="AG68" s="107">
        <f t="shared" si="44"/>
        <v>9.46199829205807E-2</v>
      </c>
    </row>
    <row r="69" spans="1:33" x14ac:dyDescent="0.3">
      <c r="A69" s="105" t="s">
        <v>163</v>
      </c>
      <c r="B69" s="105" t="s">
        <v>164</v>
      </c>
      <c r="C69" s="105" t="s">
        <v>253</v>
      </c>
      <c r="D69" s="105">
        <v>1</v>
      </c>
      <c r="E69" s="1999">
        <v>12095</v>
      </c>
      <c r="F69" s="1999">
        <f t="shared" si="29"/>
        <v>5925</v>
      </c>
      <c r="G69" s="1427">
        <f t="shared" si="30"/>
        <v>6170</v>
      </c>
      <c r="H69" s="338">
        <v>8757</v>
      </c>
      <c r="I69" s="338">
        <v>3022</v>
      </c>
      <c r="J69" s="338">
        <v>62</v>
      </c>
      <c r="K69" s="338">
        <v>42</v>
      </c>
      <c r="L69" s="1427">
        <v>212</v>
      </c>
      <c r="M69" s="1999">
        <f t="shared" si="31"/>
        <v>1755</v>
      </c>
      <c r="N69" s="338">
        <f t="shared" si="32"/>
        <v>5800</v>
      </c>
      <c r="O69" s="1427">
        <f t="shared" si="33"/>
        <v>4540</v>
      </c>
      <c r="P69" s="1999">
        <v>922</v>
      </c>
      <c r="Q69" s="338">
        <v>2798</v>
      </c>
      <c r="R69" s="338">
        <v>2205</v>
      </c>
      <c r="S69" s="1999">
        <v>833</v>
      </c>
      <c r="T69" s="338">
        <v>3002</v>
      </c>
      <c r="U69" s="1427">
        <v>2335</v>
      </c>
      <c r="V69" s="790">
        <f t="shared" si="34"/>
        <v>0.48987184787102106</v>
      </c>
      <c r="W69" s="790">
        <f t="shared" si="35"/>
        <v>0.51012815212897888</v>
      </c>
      <c r="X69" s="2000">
        <f t="shared" si="36"/>
        <v>0.72401818933443574</v>
      </c>
      <c r="Y69" s="790">
        <f t="shared" si="37"/>
        <v>0.24985531211244316</v>
      </c>
      <c r="Z69" s="790">
        <f t="shared" si="38"/>
        <v>5.1260851591566764E-3</v>
      </c>
      <c r="AA69" s="790">
        <f t="shared" si="39"/>
        <v>3.4725093013642E-3</v>
      </c>
      <c r="AB69" s="2001">
        <f t="shared" si="40"/>
        <v>1.7527904092600247E-2</v>
      </c>
      <c r="AC69" s="2002">
        <f t="shared" si="41"/>
        <v>0.14510128152128979</v>
      </c>
      <c r="AD69" s="341">
        <f t="shared" si="42"/>
        <v>0.47953699875981809</v>
      </c>
      <c r="AE69" s="2003">
        <f t="shared" si="43"/>
        <v>0.3753617197188921</v>
      </c>
      <c r="AF69" s="1999">
        <v>463</v>
      </c>
      <c r="AG69" s="107">
        <f t="shared" si="44"/>
        <v>3.8280281107895824E-2</v>
      </c>
    </row>
    <row r="70" spans="1:33" x14ac:dyDescent="0.3">
      <c r="A70" s="105" t="s">
        <v>167</v>
      </c>
      <c r="B70" s="105" t="s">
        <v>168</v>
      </c>
      <c r="C70" s="105" t="s">
        <v>253</v>
      </c>
      <c r="D70" s="105">
        <v>1</v>
      </c>
      <c r="E70" s="1999">
        <v>15232</v>
      </c>
      <c r="F70" s="1999">
        <f t="shared" si="29"/>
        <v>8241</v>
      </c>
      <c r="G70" s="1427">
        <f t="shared" si="30"/>
        <v>6991</v>
      </c>
      <c r="H70" s="338">
        <v>8763</v>
      </c>
      <c r="I70" s="338">
        <v>5990</v>
      </c>
      <c r="J70" s="338">
        <v>85</v>
      </c>
      <c r="K70" s="338">
        <v>136</v>
      </c>
      <c r="L70" s="1427">
        <v>258</v>
      </c>
      <c r="M70" s="1999">
        <f t="shared" ref="M70:M101" si="45">P70+S70</f>
        <v>2962</v>
      </c>
      <c r="N70" s="338">
        <f t="shared" ref="N70:N101" si="46">Q70+T70</f>
        <v>9324</v>
      </c>
      <c r="O70" s="1427">
        <f t="shared" ref="O70:O101" si="47">R70+U70</f>
        <v>2946</v>
      </c>
      <c r="P70" s="1999">
        <v>1462</v>
      </c>
      <c r="Q70" s="338">
        <v>5472</v>
      </c>
      <c r="R70" s="338">
        <v>1307</v>
      </c>
      <c r="S70" s="1999">
        <v>1500</v>
      </c>
      <c r="T70" s="338">
        <v>3852</v>
      </c>
      <c r="U70" s="1427">
        <v>1639</v>
      </c>
      <c r="V70" s="790">
        <f t="shared" ref="V70:V101" si="48">F70/E70</f>
        <v>0.5410320378151261</v>
      </c>
      <c r="W70" s="790">
        <f t="shared" ref="W70:W101" si="49">G70/E70</f>
        <v>0.45896796218487396</v>
      </c>
      <c r="X70" s="2000">
        <f t="shared" ref="X70:X101" si="50">H70/E70</f>
        <v>0.57530199579831931</v>
      </c>
      <c r="Y70" s="790">
        <f t="shared" ref="Y70:Y101" si="51">I70/E70</f>
        <v>0.39325105042016806</v>
      </c>
      <c r="Z70" s="790">
        <f t="shared" ref="Z70:Z101" si="52">J70/E70</f>
        <v>5.580357142857143E-3</v>
      </c>
      <c r="AA70" s="790">
        <f t="shared" ref="AA70:AA101" si="53">K70/E70</f>
        <v>8.9285714285714281E-3</v>
      </c>
      <c r="AB70" s="2001">
        <f t="shared" ref="AB70:AB101" si="54">L70/E70</f>
        <v>1.6938025210084032E-2</v>
      </c>
      <c r="AC70" s="2002">
        <f t="shared" ref="AC70:AC101" si="55">M70/E70</f>
        <v>0.19445903361344538</v>
      </c>
      <c r="AD70" s="341">
        <f t="shared" ref="AD70:AD101" si="56">N70/E70</f>
        <v>0.61213235294117652</v>
      </c>
      <c r="AE70" s="2003">
        <f t="shared" ref="AE70:AE101" si="57">O70/E70</f>
        <v>0.19340861344537816</v>
      </c>
      <c r="AF70" s="1999">
        <v>729</v>
      </c>
      <c r="AG70" s="107">
        <f t="shared" ref="AG70:AG101" si="58">AF70/E70</f>
        <v>4.7859768907563029E-2</v>
      </c>
    </row>
    <row r="71" spans="1:33" x14ac:dyDescent="0.3">
      <c r="A71" s="105" t="s">
        <v>169</v>
      </c>
      <c r="B71" s="105" t="s">
        <v>170</v>
      </c>
      <c r="C71" s="105" t="s">
        <v>254</v>
      </c>
      <c r="D71" s="105">
        <v>2</v>
      </c>
      <c r="E71" s="1999">
        <v>37051</v>
      </c>
      <c r="F71" s="1999">
        <f t="shared" ref="F71:F125" si="59">SUM(P71:R71)</f>
        <v>18116</v>
      </c>
      <c r="G71" s="1427">
        <f t="shared" ref="G71:G125" si="60">SUM(S71:U71)</f>
        <v>18935</v>
      </c>
      <c r="H71" s="338">
        <v>30473</v>
      </c>
      <c r="I71" s="338">
        <v>4912</v>
      </c>
      <c r="J71" s="338">
        <v>399</v>
      </c>
      <c r="K71" s="338">
        <v>236</v>
      </c>
      <c r="L71" s="1427">
        <v>1031</v>
      </c>
      <c r="M71" s="1999">
        <f t="shared" si="45"/>
        <v>7770</v>
      </c>
      <c r="N71" s="338">
        <f t="shared" si="46"/>
        <v>21650</v>
      </c>
      <c r="O71" s="1427">
        <f t="shared" si="47"/>
        <v>7631</v>
      </c>
      <c r="P71" s="1999">
        <v>3864</v>
      </c>
      <c r="Q71" s="338">
        <v>10840</v>
      </c>
      <c r="R71" s="338">
        <v>3412</v>
      </c>
      <c r="S71" s="1999">
        <v>3906</v>
      </c>
      <c r="T71" s="338">
        <v>10810</v>
      </c>
      <c r="U71" s="1427">
        <v>4219</v>
      </c>
      <c r="V71" s="790">
        <f t="shared" si="48"/>
        <v>0.4889476667296429</v>
      </c>
      <c r="W71" s="790">
        <f t="shared" si="49"/>
        <v>0.51105233327035704</v>
      </c>
      <c r="X71" s="2000">
        <f t="shared" si="50"/>
        <v>0.82246093222854988</v>
      </c>
      <c r="Y71" s="790">
        <f t="shared" si="51"/>
        <v>0.13257401959461282</v>
      </c>
      <c r="Z71" s="790">
        <f t="shared" si="52"/>
        <v>1.0768940109578689E-2</v>
      </c>
      <c r="AA71" s="790">
        <f t="shared" si="53"/>
        <v>6.3695986613046878E-3</v>
      </c>
      <c r="AB71" s="2001">
        <f t="shared" si="54"/>
        <v>2.7826509405953954E-2</v>
      </c>
      <c r="AC71" s="2002">
        <f t="shared" si="55"/>
        <v>0.20971093897600604</v>
      </c>
      <c r="AD71" s="341">
        <f t="shared" si="56"/>
        <v>0.58432970770019699</v>
      </c>
      <c r="AE71" s="2003">
        <f t="shared" si="57"/>
        <v>0.20595935332379692</v>
      </c>
      <c r="AF71" s="1999">
        <v>2057</v>
      </c>
      <c r="AG71" s="107">
        <f t="shared" si="58"/>
        <v>5.5518069687727725E-2</v>
      </c>
    </row>
    <row r="72" spans="1:33" x14ac:dyDescent="0.3">
      <c r="A72" s="105" t="s">
        <v>171</v>
      </c>
      <c r="B72" s="105" t="s">
        <v>172</v>
      </c>
      <c r="C72" s="105" t="s">
        <v>254</v>
      </c>
      <c r="D72" s="105">
        <v>2</v>
      </c>
      <c r="E72" s="1999">
        <v>23902</v>
      </c>
      <c r="F72" s="1999">
        <f t="shared" si="59"/>
        <v>11826</v>
      </c>
      <c r="G72" s="1427">
        <f t="shared" si="60"/>
        <v>12076</v>
      </c>
      <c r="H72" s="338">
        <v>22832</v>
      </c>
      <c r="I72" s="338">
        <v>532</v>
      </c>
      <c r="J72" s="338">
        <v>121</v>
      </c>
      <c r="K72" s="338">
        <v>82</v>
      </c>
      <c r="L72" s="1427">
        <v>335</v>
      </c>
      <c r="M72" s="1999">
        <f t="shared" si="45"/>
        <v>4725</v>
      </c>
      <c r="N72" s="338">
        <f t="shared" si="46"/>
        <v>13940</v>
      </c>
      <c r="O72" s="1427">
        <f t="shared" si="47"/>
        <v>5237</v>
      </c>
      <c r="P72" s="1999">
        <v>2400</v>
      </c>
      <c r="Q72" s="338">
        <v>6969</v>
      </c>
      <c r="R72" s="338">
        <v>2457</v>
      </c>
      <c r="S72" s="1999">
        <v>2325</v>
      </c>
      <c r="T72" s="338">
        <v>6971</v>
      </c>
      <c r="U72" s="1427">
        <v>2780</v>
      </c>
      <c r="V72" s="790">
        <f t="shared" si="48"/>
        <v>0.49477031210777339</v>
      </c>
      <c r="W72" s="790">
        <f t="shared" si="49"/>
        <v>0.50522968789222655</v>
      </c>
      <c r="X72" s="2000">
        <f t="shared" si="50"/>
        <v>0.95523387164254037</v>
      </c>
      <c r="Y72" s="790">
        <f t="shared" si="51"/>
        <v>2.2257551669316374E-2</v>
      </c>
      <c r="Z72" s="790">
        <f t="shared" si="52"/>
        <v>5.0623378796753413E-3</v>
      </c>
      <c r="AA72" s="790">
        <f t="shared" si="53"/>
        <v>3.4306752573006441E-3</v>
      </c>
      <c r="AB72" s="2001">
        <f t="shared" si="54"/>
        <v>1.4015563551167266E-2</v>
      </c>
      <c r="AC72" s="2002">
        <f t="shared" si="55"/>
        <v>0.19768220232616518</v>
      </c>
      <c r="AD72" s="341">
        <f t="shared" si="56"/>
        <v>0.58321479374110952</v>
      </c>
      <c r="AE72" s="2003">
        <f t="shared" si="57"/>
        <v>0.2191030039327253</v>
      </c>
      <c r="AF72" s="1999">
        <v>527</v>
      </c>
      <c r="AG72" s="107">
        <f t="shared" si="58"/>
        <v>2.2048364153627313E-2</v>
      </c>
    </row>
    <row r="73" spans="1:33" x14ac:dyDescent="0.3">
      <c r="A73" s="105" t="s">
        <v>173</v>
      </c>
      <c r="B73" s="105" t="s">
        <v>174</v>
      </c>
      <c r="C73" s="105" t="s">
        <v>255</v>
      </c>
      <c r="D73" s="105">
        <v>2</v>
      </c>
      <c r="E73" s="1999">
        <v>17608</v>
      </c>
      <c r="F73" s="1999">
        <f t="shared" si="59"/>
        <v>8736</v>
      </c>
      <c r="G73" s="1427">
        <f t="shared" si="60"/>
        <v>8872</v>
      </c>
      <c r="H73" s="338">
        <v>16285</v>
      </c>
      <c r="I73" s="338">
        <v>927</v>
      </c>
      <c r="J73" s="338">
        <v>59</v>
      </c>
      <c r="K73" s="338">
        <v>112</v>
      </c>
      <c r="L73" s="1427">
        <v>225</v>
      </c>
      <c r="M73" s="1999">
        <f t="shared" si="45"/>
        <v>3050</v>
      </c>
      <c r="N73" s="338">
        <f t="shared" si="46"/>
        <v>9835</v>
      </c>
      <c r="O73" s="1427">
        <f t="shared" si="47"/>
        <v>4723</v>
      </c>
      <c r="P73" s="1999">
        <v>1551</v>
      </c>
      <c r="Q73" s="338">
        <v>5002</v>
      </c>
      <c r="R73" s="338">
        <v>2183</v>
      </c>
      <c r="S73" s="1999">
        <v>1499</v>
      </c>
      <c r="T73" s="338">
        <v>4833</v>
      </c>
      <c r="U73" s="1427">
        <v>2540</v>
      </c>
      <c r="V73" s="790">
        <f t="shared" si="48"/>
        <v>0.49613811903680144</v>
      </c>
      <c r="W73" s="790">
        <f t="shared" si="49"/>
        <v>0.50386188096319851</v>
      </c>
      <c r="X73" s="2000">
        <f t="shared" si="50"/>
        <v>0.92486369831894588</v>
      </c>
      <c r="Y73" s="790">
        <f t="shared" si="51"/>
        <v>5.2646524307133125E-2</v>
      </c>
      <c r="Z73" s="790">
        <f t="shared" si="52"/>
        <v>3.3507496592457974E-3</v>
      </c>
      <c r="AA73" s="790">
        <f t="shared" si="53"/>
        <v>6.3607451158564287E-3</v>
      </c>
      <c r="AB73" s="2001">
        <f t="shared" si="54"/>
        <v>1.2778282598818719E-2</v>
      </c>
      <c r="AC73" s="2002">
        <f t="shared" si="55"/>
        <v>0.17321671967287597</v>
      </c>
      <c r="AD73" s="341">
        <f t="shared" si="56"/>
        <v>0.55855293048614263</v>
      </c>
      <c r="AE73" s="2003">
        <f t="shared" si="57"/>
        <v>0.26823034984098137</v>
      </c>
      <c r="AF73" s="1999">
        <v>558</v>
      </c>
      <c r="AG73" s="107">
        <f t="shared" si="58"/>
        <v>3.1690140845070422E-2</v>
      </c>
    </row>
    <row r="74" spans="1:33" x14ac:dyDescent="0.3">
      <c r="A74" s="105" t="s">
        <v>177</v>
      </c>
      <c r="B74" s="105" t="s">
        <v>178</v>
      </c>
      <c r="C74" s="105" t="s">
        <v>252</v>
      </c>
      <c r="D74" s="105">
        <v>2</v>
      </c>
      <c r="E74" s="1999">
        <v>60354</v>
      </c>
      <c r="F74" s="1999">
        <f t="shared" si="59"/>
        <v>29721</v>
      </c>
      <c r="G74" s="1427">
        <f t="shared" si="60"/>
        <v>30633</v>
      </c>
      <c r="H74" s="338">
        <v>45990</v>
      </c>
      <c r="I74" s="338">
        <v>12970</v>
      </c>
      <c r="J74" s="338">
        <v>303</v>
      </c>
      <c r="K74" s="338">
        <v>223</v>
      </c>
      <c r="L74" s="1427">
        <v>868</v>
      </c>
      <c r="M74" s="1999">
        <f t="shared" si="45"/>
        <v>11124</v>
      </c>
      <c r="N74" s="338">
        <f t="shared" si="46"/>
        <v>35138</v>
      </c>
      <c r="O74" s="1427">
        <f t="shared" si="47"/>
        <v>14092</v>
      </c>
      <c r="P74" s="1999">
        <v>5586</v>
      </c>
      <c r="Q74" s="338">
        <v>17755</v>
      </c>
      <c r="R74" s="338">
        <v>6380</v>
      </c>
      <c r="S74" s="1999">
        <v>5538</v>
      </c>
      <c r="T74" s="338">
        <v>17383</v>
      </c>
      <c r="U74" s="1427">
        <v>7712</v>
      </c>
      <c r="V74" s="790">
        <f t="shared" si="48"/>
        <v>0.49244457699572525</v>
      </c>
      <c r="W74" s="790">
        <f t="shared" si="49"/>
        <v>0.50755542300427481</v>
      </c>
      <c r="X74" s="2000">
        <f t="shared" si="50"/>
        <v>0.76200417536534448</v>
      </c>
      <c r="Y74" s="790">
        <f t="shared" si="51"/>
        <v>0.21489876395930677</v>
      </c>
      <c r="Z74" s="790">
        <f t="shared" si="52"/>
        <v>5.0203797594194251E-3</v>
      </c>
      <c r="AA74" s="790">
        <f t="shared" si="53"/>
        <v>3.6948669516519202E-3</v>
      </c>
      <c r="AB74" s="2001">
        <f t="shared" si="54"/>
        <v>1.4381813964277429E-2</v>
      </c>
      <c r="AC74" s="2002">
        <f t="shared" si="55"/>
        <v>0.18431255592007159</v>
      </c>
      <c r="AD74" s="341">
        <f t="shared" si="56"/>
        <v>0.58219836299168237</v>
      </c>
      <c r="AE74" s="2003">
        <f t="shared" si="57"/>
        <v>0.23348908108824601</v>
      </c>
      <c r="AF74" s="1999">
        <v>1663</v>
      </c>
      <c r="AG74" s="107">
        <f t="shared" si="58"/>
        <v>2.7554097491467013E-2</v>
      </c>
    </row>
    <row r="75" spans="1:33" x14ac:dyDescent="0.3">
      <c r="A75" s="105" t="s">
        <v>181</v>
      </c>
      <c r="B75" s="105" t="s">
        <v>182</v>
      </c>
      <c r="C75" s="105" t="s">
        <v>253</v>
      </c>
      <c r="D75" s="105">
        <v>1</v>
      </c>
      <c r="E75" s="1999">
        <v>29652</v>
      </c>
      <c r="F75" s="1999">
        <f t="shared" si="59"/>
        <v>15325</v>
      </c>
      <c r="G75" s="1427">
        <f t="shared" si="60"/>
        <v>14327</v>
      </c>
      <c r="H75" s="338">
        <v>26096</v>
      </c>
      <c r="I75" s="338">
        <v>2726</v>
      </c>
      <c r="J75" s="338">
        <v>178</v>
      </c>
      <c r="K75" s="338">
        <v>165</v>
      </c>
      <c r="L75" s="1427">
        <v>487</v>
      </c>
      <c r="M75" s="1999">
        <f t="shared" si="45"/>
        <v>5372</v>
      </c>
      <c r="N75" s="338">
        <f t="shared" si="46"/>
        <v>18648</v>
      </c>
      <c r="O75" s="1427">
        <f t="shared" si="47"/>
        <v>5632</v>
      </c>
      <c r="P75" s="1999">
        <v>2808</v>
      </c>
      <c r="Q75" s="338">
        <v>9794</v>
      </c>
      <c r="R75" s="338">
        <v>2723</v>
      </c>
      <c r="S75" s="1999">
        <v>2564</v>
      </c>
      <c r="T75" s="338">
        <v>8854</v>
      </c>
      <c r="U75" s="1427">
        <v>2909</v>
      </c>
      <c r="V75" s="790">
        <f t="shared" si="48"/>
        <v>0.516828544448941</v>
      </c>
      <c r="W75" s="790">
        <f t="shared" si="49"/>
        <v>0.48317145555105895</v>
      </c>
      <c r="X75" s="2000">
        <f t="shared" si="50"/>
        <v>0.88007554296506141</v>
      </c>
      <c r="Y75" s="790">
        <f t="shared" si="51"/>
        <v>9.1933090516659918E-2</v>
      </c>
      <c r="Z75" s="790">
        <f t="shared" si="52"/>
        <v>6.0029677593416968E-3</v>
      </c>
      <c r="AA75" s="790">
        <f t="shared" si="53"/>
        <v>5.5645487656819101E-3</v>
      </c>
      <c r="AB75" s="2001">
        <f t="shared" si="54"/>
        <v>1.6423849993255094E-2</v>
      </c>
      <c r="AC75" s="2002">
        <f t="shared" si="55"/>
        <v>0.18116821799541347</v>
      </c>
      <c r="AD75" s="341">
        <f t="shared" si="56"/>
        <v>0.62889518413597734</v>
      </c>
      <c r="AE75" s="2003">
        <f t="shared" si="57"/>
        <v>0.1899365978686092</v>
      </c>
      <c r="AF75" s="1999">
        <v>687</v>
      </c>
      <c r="AG75" s="107">
        <f t="shared" si="58"/>
        <v>2.3168757588021043E-2</v>
      </c>
    </row>
    <row r="76" spans="1:33" x14ac:dyDescent="0.3">
      <c r="A76" s="105" t="s">
        <v>183</v>
      </c>
      <c r="B76" s="105" t="s">
        <v>184</v>
      </c>
      <c r="C76" s="105" t="s">
        <v>253</v>
      </c>
      <c r="D76" s="105">
        <v>2</v>
      </c>
      <c r="E76" s="1999">
        <v>22802</v>
      </c>
      <c r="F76" s="1999">
        <f t="shared" si="59"/>
        <v>11400</v>
      </c>
      <c r="G76" s="1427">
        <f t="shared" si="60"/>
        <v>11402</v>
      </c>
      <c r="H76" s="338">
        <v>14447</v>
      </c>
      <c r="I76" s="338">
        <v>7488</v>
      </c>
      <c r="J76" s="338">
        <v>318</v>
      </c>
      <c r="K76" s="338">
        <v>101</v>
      </c>
      <c r="L76" s="1427">
        <v>448</v>
      </c>
      <c r="M76" s="1999">
        <f t="shared" si="45"/>
        <v>3648</v>
      </c>
      <c r="N76" s="338">
        <f t="shared" si="46"/>
        <v>15285</v>
      </c>
      <c r="O76" s="1427">
        <f t="shared" si="47"/>
        <v>3869</v>
      </c>
      <c r="P76" s="1999">
        <v>1856</v>
      </c>
      <c r="Q76" s="338">
        <v>7902</v>
      </c>
      <c r="R76" s="338">
        <v>1642</v>
      </c>
      <c r="S76" s="1999">
        <v>1792</v>
      </c>
      <c r="T76" s="338">
        <v>7383</v>
      </c>
      <c r="U76" s="1427">
        <v>2227</v>
      </c>
      <c r="V76" s="790">
        <f t="shared" si="48"/>
        <v>0.49995614419787737</v>
      </c>
      <c r="W76" s="790">
        <f t="shared" si="49"/>
        <v>0.50004385580212263</v>
      </c>
      <c r="X76" s="2000">
        <f t="shared" si="50"/>
        <v>0.633584773265503</v>
      </c>
      <c r="Y76" s="790">
        <f t="shared" si="51"/>
        <v>0.32839224629418473</v>
      </c>
      <c r="Z76" s="790">
        <f t="shared" si="52"/>
        <v>1.3946145074993421E-2</v>
      </c>
      <c r="AA76" s="790">
        <f t="shared" si="53"/>
        <v>4.4294360143847028E-3</v>
      </c>
      <c r="AB76" s="2001">
        <f t="shared" si="54"/>
        <v>1.9647399350934128E-2</v>
      </c>
      <c r="AC76" s="2002">
        <f t="shared" si="55"/>
        <v>0.15998596614332075</v>
      </c>
      <c r="AD76" s="341">
        <f t="shared" si="56"/>
        <v>0.67033593544425929</v>
      </c>
      <c r="AE76" s="2003">
        <f t="shared" si="57"/>
        <v>0.16967809841241996</v>
      </c>
      <c r="AF76" s="1999">
        <v>674</v>
      </c>
      <c r="AG76" s="107">
        <f t="shared" si="58"/>
        <v>2.9558810630646436E-2</v>
      </c>
    </row>
    <row r="77" spans="1:33" x14ac:dyDescent="0.3">
      <c r="A77" s="105" t="s">
        <v>185</v>
      </c>
      <c r="B77" s="105" t="s">
        <v>186</v>
      </c>
      <c r="C77" s="105" t="s">
        <v>251</v>
      </c>
      <c r="D77" s="105">
        <v>2</v>
      </c>
      <c r="E77" s="1999">
        <v>38353</v>
      </c>
      <c r="F77" s="1999">
        <f t="shared" si="59"/>
        <v>20598</v>
      </c>
      <c r="G77" s="1427">
        <f t="shared" si="60"/>
        <v>17755</v>
      </c>
      <c r="H77" s="338">
        <v>23121</v>
      </c>
      <c r="I77" s="338">
        <v>12510</v>
      </c>
      <c r="J77" s="338">
        <v>837</v>
      </c>
      <c r="K77" s="338">
        <v>452</v>
      </c>
      <c r="L77" s="1427">
        <v>1433</v>
      </c>
      <c r="M77" s="1999">
        <f t="shared" si="45"/>
        <v>8442</v>
      </c>
      <c r="N77" s="338">
        <f t="shared" si="46"/>
        <v>24380</v>
      </c>
      <c r="O77" s="1427">
        <f t="shared" si="47"/>
        <v>5531</v>
      </c>
      <c r="P77" s="1999">
        <v>4315</v>
      </c>
      <c r="Q77" s="338">
        <v>13730</v>
      </c>
      <c r="R77" s="338">
        <v>2553</v>
      </c>
      <c r="S77" s="1999">
        <v>4127</v>
      </c>
      <c r="T77" s="338">
        <v>10650</v>
      </c>
      <c r="U77" s="1427">
        <v>2978</v>
      </c>
      <c r="V77" s="790">
        <f t="shared" si="48"/>
        <v>0.53706359346074628</v>
      </c>
      <c r="W77" s="790">
        <f t="shared" si="49"/>
        <v>0.46293640653925378</v>
      </c>
      <c r="X77" s="2000">
        <f t="shared" si="50"/>
        <v>0.60284723489687897</v>
      </c>
      <c r="Y77" s="790">
        <f t="shared" si="51"/>
        <v>0.3261804813182802</v>
      </c>
      <c r="Z77" s="790">
        <f t="shared" si="52"/>
        <v>2.1823586160143925E-2</v>
      </c>
      <c r="AA77" s="790">
        <f t="shared" si="53"/>
        <v>1.1785257998070555E-2</v>
      </c>
      <c r="AB77" s="2001">
        <f t="shared" si="54"/>
        <v>3.7363439626626339E-2</v>
      </c>
      <c r="AC77" s="2002">
        <f t="shared" si="55"/>
        <v>0.22011315933564518</v>
      </c>
      <c r="AD77" s="341">
        <f t="shared" si="56"/>
        <v>0.63567387166584099</v>
      </c>
      <c r="AE77" s="2003">
        <f t="shared" si="57"/>
        <v>0.1442129689985138</v>
      </c>
      <c r="AF77" s="1999">
        <v>3316</v>
      </c>
      <c r="AG77" s="107">
        <f t="shared" si="58"/>
        <v>8.6459990092039737E-2</v>
      </c>
    </row>
    <row r="78" spans="1:33" x14ac:dyDescent="0.3">
      <c r="A78" s="105" t="s">
        <v>187</v>
      </c>
      <c r="B78" s="105" t="s">
        <v>188</v>
      </c>
      <c r="C78" s="105" t="s">
        <v>254</v>
      </c>
      <c r="D78" s="105">
        <v>3</v>
      </c>
      <c r="E78" s="1999">
        <v>470335</v>
      </c>
      <c r="F78" s="1999">
        <f t="shared" si="59"/>
        <v>235142</v>
      </c>
      <c r="G78" s="1427">
        <f t="shared" si="60"/>
        <v>235193</v>
      </c>
      <c r="H78" s="338">
        <v>293398</v>
      </c>
      <c r="I78" s="338">
        <v>104512</v>
      </c>
      <c r="J78" s="338">
        <v>44429</v>
      </c>
      <c r="K78" s="338">
        <v>5967</v>
      </c>
      <c r="L78" s="1427">
        <v>22029</v>
      </c>
      <c r="M78" s="1999">
        <f t="shared" si="45"/>
        <v>126300</v>
      </c>
      <c r="N78" s="338">
        <f t="shared" si="46"/>
        <v>295512</v>
      </c>
      <c r="O78" s="1427">
        <f t="shared" si="47"/>
        <v>48523</v>
      </c>
      <c r="P78" s="1999">
        <v>64974</v>
      </c>
      <c r="Q78" s="338">
        <v>148379</v>
      </c>
      <c r="R78" s="338">
        <v>21789</v>
      </c>
      <c r="S78" s="1999">
        <v>61326</v>
      </c>
      <c r="T78" s="338">
        <v>147133</v>
      </c>
      <c r="U78" s="1427">
        <v>26734</v>
      </c>
      <c r="V78" s="790">
        <f t="shared" si="48"/>
        <v>0.49994578332465156</v>
      </c>
      <c r="W78" s="790">
        <f t="shared" si="49"/>
        <v>0.50005421667534844</v>
      </c>
      <c r="X78" s="2000">
        <f t="shared" si="50"/>
        <v>0.62380643583828543</v>
      </c>
      <c r="Y78" s="790">
        <f t="shared" si="51"/>
        <v>0.22220757545153985</v>
      </c>
      <c r="Z78" s="790">
        <f t="shared" si="52"/>
        <v>9.4462457610001382E-2</v>
      </c>
      <c r="AA78" s="790">
        <f t="shared" si="53"/>
        <v>1.2686702031530717E-2</v>
      </c>
      <c r="AB78" s="2001">
        <f t="shared" si="54"/>
        <v>4.683682906864256E-2</v>
      </c>
      <c r="AC78" s="2002">
        <f t="shared" si="55"/>
        <v>0.26853200378453657</v>
      </c>
      <c r="AD78" s="341">
        <f t="shared" si="56"/>
        <v>0.62830110453187626</v>
      </c>
      <c r="AE78" s="2003">
        <f t="shared" si="57"/>
        <v>0.10316689168358723</v>
      </c>
      <c r="AF78" s="1999">
        <v>115173</v>
      </c>
      <c r="AG78" s="107">
        <f t="shared" si="58"/>
        <v>0.24487439803544284</v>
      </c>
    </row>
    <row r="79" spans="1:33" x14ac:dyDescent="0.3">
      <c r="A79" s="105" t="s">
        <v>189</v>
      </c>
      <c r="B79" s="105" t="s">
        <v>190</v>
      </c>
      <c r="C79" s="105" t="s">
        <v>255</v>
      </c>
      <c r="D79" s="105">
        <v>2</v>
      </c>
      <c r="E79" s="1999">
        <v>34027</v>
      </c>
      <c r="F79" s="1999">
        <f t="shared" si="59"/>
        <v>17053</v>
      </c>
      <c r="G79" s="1427">
        <f t="shared" si="60"/>
        <v>16974</v>
      </c>
      <c r="H79" s="338">
        <v>31400</v>
      </c>
      <c r="I79" s="338">
        <v>1718</v>
      </c>
      <c r="J79" s="338">
        <v>227</v>
      </c>
      <c r="K79" s="338">
        <v>94</v>
      </c>
      <c r="L79" s="1427">
        <v>588</v>
      </c>
      <c r="M79" s="1999">
        <f t="shared" si="45"/>
        <v>5940</v>
      </c>
      <c r="N79" s="338">
        <f t="shared" si="46"/>
        <v>20106</v>
      </c>
      <c r="O79" s="1427">
        <f t="shared" si="47"/>
        <v>7981</v>
      </c>
      <c r="P79" s="1999">
        <v>3015</v>
      </c>
      <c r="Q79" s="338">
        <v>10475</v>
      </c>
      <c r="R79" s="338">
        <v>3563</v>
      </c>
      <c r="S79" s="1999">
        <v>2925</v>
      </c>
      <c r="T79" s="338">
        <v>9631</v>
      </c>
      <c r="U79" s="1427">
        <v>4418</v>
      </c>
      <c r="V79" s="790">
        <f t="shared" si="48"/>
        <v>0.50116084286008167</v>
      </c>
      <c r="W79" s="790">
        <f t="shared" si="49"/>
        <v>0.49883915713991828</v>
      </c>
      <c r="X79" s="2000">
        <f t="shared" si="50"/>
        <v>0.92279660269785757</v>
      </c>
      <c r="Y79" s="790">
        <f t="shared" si="51"/>
        <v>5.0489317306844562E-2</v>
      </c>
      <c r="Z79" s="790">
        <f t="shared" si="52"/>
        <v>6.6711728921150853E-3</v>
      </c>
      <c r="AA79" s="790">
        <f t="shared" si="53"/>
        <v>2.7625121227260706E-3</v>
      </c>
      <c r="AB79" s="2001">
        <f t="shared" si="54"/>
        <v>1.7280394980456696E-2</v>
      </c>
      <c r="AC79" s="2002">
        <f t="shared" si="55"/>
        <v>0.17456725541481766</v>
      </c>
      <c r="AD79" s="341">
        <f t="shared" si="56"/>
        <v>0.59088370999500395</v>
      </c>
      <c r="AE79" s="2003">
        <f t="shared" si="57"/>
        <v>0.2345490345901784</v>
      </c>
      <c r="AF79" s="1999">
        <v>619</v>
      </c>
      <c r="AG79" s="107">
        <f t="shared" si="58"/>
        <v>1.8191436212419549E-2</v>
      </c>
    </row>
    <row r="80" spans="1:33" x14ac:dyDescent="0.3">
      <c r="A80" s="105" t="s">
        <v>193</v>
      </c>
      <c r="B80" s="105" t="s">
        <v>194</v>
      </c>
      <c r="C80" s="105" t="s">
        <v>254</v>
      </c>
      <c r="D80" s="105">
        <v>1</v>
      </c>
      <c r="E80" s="1999">
        <v>7370</v>
      </c>
      <c r="F80" s="1999">
        <f t="shared" si="59"/>
        <v>3623</v>
      </c>
      <c r="G80" s="1427">
        <f t="shared" si="60"/>
        <v>3747</v>
      </c>
      <c r="H80" s="338">
        <v>6807</v>
      </c>
      <c r="I80" s="338">
        <v>309</v>
      </c>
      <c r="J80" s="338">
        <v>71</v>
      </c>
      <c r="K80" s="338">
        <v>33</v>
      </c>
      <c r="L80" s="1427">
        <v>150</v>
      </c>
      <c r="M80" s="1999">
        <f t="shared" si="45"/>
        <v>1196</v>
      </c>
      <c r="N80" s="338">
        <f t="shared" si="46"/>
        <v>4121</v>
      </c>
      <c r="O80" s="1427">
        <f t="shared" si="47"/>
        <v>2053</v>
      </c>
      <c r="P80" s="1999">
        <v>598</v>
      </c>
      <c r="Q80" s="338">
        <v>2033</v>
      </c>
      <c r="R80" s="338">
        <v>992</v>
      </c>
      <c r="S80" s="1999">
        <v>598</v>
      </c>
      <c r="T80" s="338">
        <v>2088</v>
      </c>
      <c r="U80" s="1427">
        <v>1061</v>
      </c>
      <c r="V80" s="790">
        <f t="shared" si="48"/>
        <v>0.49158751696065128</v>
      </c>
      <c r="W80" s="790">
        <f t="shared" si="49"/>
        <v>0.50841248303934872</v>
      </c>
      <c r="X80" s="2000">
        <f t="shared" si="50"/>
        <v>0.92360922659430122</v>
      </c>
      <c r="Y80" s="790">
        <f t="shared" si="51"/>
        <v>4.1926729986431481E-2</v>
      </c>
      <c r="Z80" s="790">
        <f t="shared" si="52"/>
        <v>9.633649932157394E-3</v>
      </c>
      <c r="AA80" s="790">
        <f t="shared" si="53"/>
        <v>4.4776119402985077E-3</v>
      </c>
      <c r="AB80" s="2001">
        <f t="shared" si="54"/>
        <v>2.0352781546811399E-2</v>
      </c>
      <c r="AC80" s="2002">
        <f t="shared" si="55"/>
        <v>0.16227951153324288</v>
      </c>
      <c r="AD80" s="341">
        <f t="shared" si="56"/>
        <v>0.5591587516960651</v>
      </c>
      <c r="AE80" s="2003">
        <f t="shared" si="57"/>
        <v>0.27856173677069201</v>
      </c>
      <c r="AF80" s="1999">
        <v>323</v>
      </c>
      <c r="AG80" s="107">
        <f t="shared" si="58"/>
        <v>4.3826322930800542E-2</v>
      </c>
    </row>
    <row r="81" spans="1:33" x14ac:dyDescent="0.3">
      <c r="A81" s="105" t="s">
        <v>197</v>
      </c>
      <c r="B81" s="105" t="s">
        <v>198</v>
      </c>
      <c r="C81" s="105" t="s">
        <v>253</v>
      </c>
      <c r="D81" s="105">
        <v>1</v>
      </c>
      <c r="E81" s="1999">
        <v>9023</v>
      </c>
      <c r="F81" s="1999">
        <f t="shared" si="59"/>
        <v>5092</v>
      </c>
      <c r="G81" s="1427">
        <f t="shared" si="60"/>
        <v>3931</v>
      </c>
      <c r="H81" s="338">
        <v>6023</v>
      </c>
      <c r="I81" s="338">
        <v>2675</v>
      </c>
      <c r="J81" s="338">
        <v>64</v>
      </c>
      <c r="K81" s="338">
        <v>55</v>
      </c>
      <c r="L81" s="1427">
        <v>206</v>
      </c>
      <c r="M81" s="1999">
        <f t="shared" si="45"/>
        <v>1525</v>
      </c>
      <c r="N81" s="338">
        <f t="shared" si="46"/>
        <v>5593</v>
      </c>
      <c r="O81" s="1427">
        <f t="shared" si="47"/>
        <v>1905</v>
      </c>
      <c r="P81" s="1999">
        <v>777</v>
      </c>
      <c r="Q81" s="338">
        <v>3539</v>
      </c>
      <c r="R81" s="338">
        <v>776</v>
      </c>
      <c r="S81" s="1999">
        <v>748</v>
      </c>
      <c r="T81" s="338">
        <v>2054</v>
      </c>
      <c r="U81" s="1427">
        <v>1129</v>
      </c>
      <c r="V81" s="790">
        <f t="shared" si="48"/>
        <v>0.56433558683364737</v>
      </c>
      <c r="W81" s="790">
        <f t="shared" si="49"/>
        <v>0.43566441316635268</v>
      </c>
      <c r="X81" s="2000">
        <f t="shared" si="50"/>
        <v>0.66751634711293362</v>
      </c>
      <c r="Y81" s="790">
        <f t="shared" si="51"/>
        <v>0.29646459049096752</v>
      </c>
      <c r="Z81" s="790">
        <f t="shared" si="52"/>
        <v>7.0929845949240832E-3</v>
      </c>
      <c r="AA81" s="790">
        <f t="shared" si="53"/>
        <v>6.0955336362628837E-3</v>
      </c>
      <c r="AB81" s="2001">
        <f t="shared" si="54"/>
        <v>2.2830544164911891E-2</v>
      </c>
      <c r="AC81" s="2002">
        <f t="shared" si="55"/>
        <v>0.16901252355092541</v>
      </c>
      <c r="AD81" s="341">
        <f t="shared" si="56"/>
        <v>0.61986035686578744</v>
      </c>
      <c r="AE81" s="2003">
        <f t="shared" si="57"/>
        <v>0.21112711958328714</v>
      </c>
      <c r="AF81" s="1999">
        <v>658</v>
      </c>
      <c r="AG81" s="107">
        <f t="shared" si="58"/>
        <v>7.2924747866563222E-2</v>
      </c>
    </row>
    <row r="82" spans="1:33" x14ac:dyDescent="0.3">
      <c r="A82" s="105" t="s">
        <v>201</v>
      </c>
      <c r="B82" s="105" t="s">
        <v>202</v>
      </c>
      <c r="C82" s="105" t="s">
        <v>252</v>
      </c>
      <c r="D82" s="105">
        <v>3</v>
      </c>
      <c r="E82" s="1999">
        <v>119487</v>
      </c>
      <c r="F82" s="1999">
        <f t="shared" si="59"/>
        <v>57434</v>
      </c>
      <c r="G82" s="1427">
        <f t="shared" si="60"/>
        <v>62053</v>
      </c>
      <c r="H82" s="338">
        <v>104988</v>
      </c>
      <c r="I82" s="338">
        <v>7997</v>
      </c>
      <c r="J82" s="338">
        <v>3757</v>
      </c>
      <c r="K82" s="338">
        <v>365</v>
      </c>
      <c r="L82" s="1427">
        <v>2380</v>
      </c>
      <c r="M82" s="1999">
        <f t="shared" si="45"/>
        <v>23447</v>
      </c>
      <c r="N82" s="338">
        <f t="shared" si="46"/>
        <v>70696</v>
      </c>
      <c r="O82" s="1427">
        <f t="shared" si="47"/>
        <v>25344</v>
      </c>
      <c r="P82" s="1999">
        <v>12129</v>
      </c>
      <c r="Q82" s="338">
        <v>34518</v>
      </c>
      <c r="R82" s="338">
        <v>10787</v>
      </c>
      <c r="S82" s="1999">
        <v>11318</v>
      </c>
      <c r="T82" s="338">
        <v>36178</v>
      </c>
      <c r="U82" s="1427">
        <v>14557</v>
      </c>
      <c r="V82" s="790">
        <f t="shared" si="48"/>
        <v>0.48067153748943398</v>
      </c>
      <c r="W82" s="790">
        <f t="shared" si="49"/>
        <v>0.51932846251056597</v>
      </c>
      <c r="X82" s="2000">
        <f t="shared" si="50"/>
        <v>0.87865625549222925</v>
      </c>
      <c r="Y82" s="790">
        <f t="shared" si="51"/>
        <v>6.6927782938729738E-2</v>
      </c>
      <c r="Z82" s="790">
        <f t="shared" si="52"/>
        <v>3.1442751094261298E-2</v>
      </c>
      <c r="AA82" s="790">
        <f t="shared" si="53"/>
        <v>3.0547256186865515E-3</v>
      </c>
      <c r="AB82" s="2001">
        <f t="shared" si="54"/>
        <v>1.9918484856093131E-2</v>
      </c>
      <c r="AC82" s="2002">
        <f t="shared" si="55"/>
        <v>0.19623055227765362</v>
      </c>
      <c r="AD82" s="341">
        <f t="shared" si="56"/>
        <v>0.59166269133880678</v>
      </c>
      <c r="AE82" s="2003">
        <f t="shared" si="57"/>
        <v>0.21210675638353962</v>
      </c>
      <c r="AF82" s="1999">
        <v>4017</v>
      </c>
      <c r="AG82" s="107">
        <f t="shared" si="58"/>
        <v>3.3618720028120212E-2</v>
      </c>
    </row>
    <row r="83" spans="1:33" x14ac:dyDescent="0.3">
      <c r="A83" s="105" t="s">
        <v>203</v>
      </c>
      <c r="B83" s="105" t="s">
        <v>204</v>
      </c>
      <c r="C83" s="105" t="s">
        <v>252</v>
      </c>
      <c r="D83" s="105">
        <v>2</v>
      </c>
      <c r="E83" s="1999">
        <v>36497</v>
      </c>
      <c r="F83" s="1999">
        <f t="shared" si="59"/>
        <v>18394</v>
      </c>
      <c r="G83" s="1427">
        <f t="shared" si="60"/>
        <v>18103</v>
      </c>
      <c r="H83" s="338">
        <v>33316</v>
      </c>
      <c r="I83" s="338">
        <v>1720</v>
      </c>
      <c r="J83" s="338">
        <v>432</v>
      </c>
      <c r="K83" s="338">
        <v>281</v>
      </c>
      <c r="L83" s="1427">
        <v>748</v>
      </c>
      <c r="M83" s="1999">
        <f t="shared" si="45"/>
        <v>6165</v>
      </c>
      <c r="N83" s="338">
        <f t="shared" si="46"/>
        <v>21891</v>
      </c>
      <c r="O83" s="1427">
        <f t="shared" si="47"/>
        <v>8441</v>
      </c>
      <c r="P83" s="1999">
        <v>3127</v>
      </c>
      <c r="Q83" s="338">
        <v>11375</v>
      </c>
      <c r="R83" s="338">
        <v>3892</v>
      </c>
      <c r="S83" s="1999">
        <v>3038</v>
      </c>
      <c r="T83" s="338">
        <v>10516</v>
      </c>
      <c r="U83" s="1427">
        <v>4549</v>
      </c>
      <c r="V83" s="790">
        <f t="shared" si="48"/>
        <v>0.50398662903800318</v>
      </c>
      <c r="W83" s="790">
        <f t="shared" si="49"/>
        <v>0.49601337096199688</v>
      </c>
      <c r="X83" s="2000">
        <f t="shared" si="50"/>
        <v>0.91284215140970493</v>
      </c>
      <c r="Y83" s="790">
        <f t="shared" si="51"/>
        <v>4.7127161136531773E-2</v>
      </c>
      <c r="Z83" s="790">
        <f t="shared" si="52"/>
        <v>1.1836589308710305E-2</v>
      </c>
      <c r="AA83" s="790">
        <f t="shared" si="53"/>
        <v>7.6992629531194342E-3</v>
      </c>
      <c r="AB83" s="2001">
        <f t="shared" si="54"/>
        <v>2.0494835191933583E-2</v>
      </c>
      <c r="AC83" s="2002">
        <f t="shared" si="55"/>
        <v>0.16891799325971998</v>
      </c>
      <c r="AD83" s="341">
        <f t="shared" si="56"/>
        <v>0.59980272351152153</v>
      </c>
      <c r="AE83" s="2003">
        <f t="shared" si="57"/>
        <v>0.23127928322875851</v>
      </c>
      <c r="AF83" s="1999">
        <v>907</v>
      </c>
      <c r="AG83" s="107">
        <f t="shared" si="58"/>
        <v>2.4851357645833905E-2</v>
      </c>
    </row>
    <row r="84" spans="1:33" x14ac:dyDescent="0.3">
      <c r="A84" s="105" t="s">
        <v>205</v>
      </c>
      <c r="B84" s="105" t="s">
        <v>206</v>
      </c>
      <c r="C84" s="105" t="s">
        <v>254</v>
      </c>
      <c r="D84" s="105">
        <v>3</v>
      </c>
      <c r="E84" s="1999">
        <v>134964</v>
      </c>
      <c r="F84" s="1999">
        <f t="shared" si="59"/>
        <v>65741</v>
      </c>
      <c r="G84" s="1427">
        <f t="shared" si="60"/>
        <v>69223</v>
      </c>
      <c r="H84" s="338">
        <v>120965</v>
      </c>
      <c r="I84" s="338">
        <v>6801</v>
      </c>
      <c r="J84" s="338">
        <v>3138</v>
      </c>
      <c r="K84" s="338">
        <v>1111</v>
      </c>
      <c r="L84" s="1427">
        <v>2949</v>
      </c>
      <c r="M84" s="1999">
        <f t="shared" si="45"/>
        <v>26627</v>
      </c>
      <c r="N84" s="338">
        <f t="shared" si="46"/>
        <v>87190</v>
      </c>
      <c r="O84" s="1427">
        <f t="shared" si="47"/>
        <v>21147</v>
      </c>
      <c r="P84" s="1999">
        <v>13606</v>
      </c>
      <c r="Q84" s="338">
        <v>42528</v>
      </c>
      <c r="R84" s="338">
        <v>9607</v>
      </c>
      <c r="S84" s="1999">
        <v>13021</v>
      </c>
      <c r="T84" s="338">
        <v>44662</v>
      </c>
      <c r="U84" s="1427">
        <v>11540</v>
      </c>
      <c r="V84" s="790">
        <f t="shared" si="48"/>
        <v>0.48710026377404347</v>
      </c>
      <c r="W84" s="790">
        <f t="shared" si="49"/>
        <v>0.51289973622595653</v>
      </c>
      <c r="X84" s="2000">
        <f t="shared" si="50"/>
        <v>0.89627604398209892</v>
      </c>
      <c r="Y84" s="790">
        <f t="shared" si="51"/>
        <v>5.039121543522717E-2</v>
      </c>
      <c r="Z84" s="790">
        <f t="shared" si="52"/>
        <v>2.3250644616342134E-2</v>
      </c>
      <c r="AA84" s="790">
        <f t="shared" si="53"/>
        <v>8.2318247829050711E-3</v>
      </c>
      <c r="AB84" s="2001">
        <f t="shared" si="54"/>
        <v>2.1850271183426691E-2</v>
      </c>
      <c r="AC84" s="2002">
        <f t="shared" si="55"/>
        <v>0.19728964760973297</v>
      </c>
      <c r="AD84" s="341">
        <f t="shared" si="56"/>
        <v>0.64602412495183903</v>
      </c>
      <c r="AE84" s="2003">
        <f t="shared" si="57"/>
        <v>0.15668622743842803</v>
      </c>
      <c r="AF84" s="1999">
        <v>17098</v>
      </c>
      <c r="AG84" s="107">
        <f t="shared" si="58"/>
        <v>0.12668563468776858</v>
      </c>
    </row>
    <row r="85" spans="1:33" x14ac:dyDescent="0.3">
      <c r="A85" s="105" t="s">
        <v>207</v>
      </c>
      <c r="B85" s="105" t="s">
        <v>208</v>
      </c>
      <c r="C85" s="105" t="s">
        <v>255</v>
      </c>
      <c r="D85" s="105">
        <v>2</v>
      </c>
      <c r="E85" s="1999">
        <v>26586</v>
      </c>
      <c r="F85" s="1999">
        <f t="shared" si="59"/>
        <v>12987</v>
      </c>
      <c r="G85" s="1427">
        <f t="shared" si="60"/>
        <v>13599</v>
      </c>
      <c r="H85" s="338">
        <v>25942</v>
      </c>
      <c r="I85" s="338">
        <v>285</v>
      </c>
      <c r="J85" s="338">
        <v>64</v>
      </c>
      <c r="K85" s="338">
        <v>75</v>
      </c>
      <c r="L85" s="1427">
        <v>220</v>
      </c>
      <c r="M85" s="1999">
        <f t="shared" si="45"/>
        <v>4974</v>
      </c>
      <c r="N85" s="338">
        <f t="shared" si="46"/>
        <v>15625</v>
      </c>
      <c r="O85" s="1427">
        <f t="shared" si="47"/>
        <v>5987</v>
      </c>
      <c r="P85" s="1999">
        <v>2489</v>
      </c>
      <c r="Q85" s="338">
        <v>7773</v>
      </c>
      <c r="R85" s="338">
        <v>2725</v>
      </c>
      <c r="S85" s="1999">
        <v>2485</v>
      </c>
      <c r="T85" s="338">
        <v>7852</v>
      </c>
      <c r="U85" s="1427">
        <v>3262</v>
      </c>
      <c r="V85" s="790">
        <f t="shared" si="48"/>
        <v>0.48849018280297901</v>
      </c>
      <c r="W85" s="790">
        <f t="shared" si="49"/>
        <v>0.51150981719702104</v>
      </c>
      <c r="X85" s="2000">
        <f t="shared" si="50"/>
        <v>0.97577672459189047</v>
      </c>
      <c r="Y85" s="790">
        <f t="shared" si="51"/>
        <v>1.0719927781539155E-2</v>
      </c>
      <c r="Z85" s="790">
        <f t="shared" si="52"/>
        <v>2.4072820281351086E-3</v>
      </c>
      <c r="AA85" s="790">
        <f t="shared" si="53"/>
        <v>2.8210336267208303E-3</v>
      </c>
      <c r="AB85" s="2001">
        <f t="shared" si="54"/>
        <v>8.2750319717144367E-3</v>
      </c>
      <c r="AC85" s="2002">
        <f t="shared" si="55"/>
        <v>0.18709095012412547</v>
      </c>
      <c r="AD85" s="341">
        <f t="shared" si="56"/>
        <v>0.58771533890017302</v>
      </c>
      <c r="AE85" s="2003">
        <f t="shared" si="57"/>
        <v>0.22519371097570148</v>
      </c>
      <c r="AF85" s="1999">
        <v>373</v>
      </c>
      <c r="AG85" s="107">
        <f t="shared" si="58"/>
        <v>1.4029940570224931E-2</v>
      </c>
    </row>
    <row r="86" spans="1:33" x14ac:dyDescent="0.3">
      <c r="A86" s="105" t="s">
        <v>209</v>
      </c>
      <c r="B86" s="105" t="s">
        <v>210</v>
      </c>
      <c r="C86" s="105" t="s">
        <v>255</v>
      </c>
      <c r="D86" s="105">
        <v>2</v>
      </c>
      <c r="E86" s="1999">
        <v>21566</v>
      </c>
      <c r="F86" s="1999">
        <f t="shared" si="59"/>
        <v>10842</v>
      </c>
      <c r="G86" s="1427">
        <f t="shared" si="60"/>
        <v>10724</v>
      </c>
      <c r="H86" s="338">
        <v>21040</v>
      </c>
      <c r="I86" s="338">
        <v>197</v>
      </c>
      <c r="J86" s="338">
        <v>41</v>
      </c>
      <c r="K86" s="338">
        <v>87</v>
      </c>
      <c r="L86" s="1427">
        <v>201</v>
      </c>
      <c r="M86" s="1999">
        <f t="shared" si="45"/>
        <v>3843</v>
      </c>
      <c r="N86" s="338">
        <f t="shared" si="46"/>
        <v>12353</v>
      </c>
      <c r="O86" s="1427">
        <f t="shared" si="47"/>
        <v>5370</v>
      </c>
      <c r="P86" s="1999">
        <v>1959</v>
      </c>
      <c r="Q86" s="338">
        <v>6396</v>
      </c>
      <c r="R86" s="338">
        <v>2487</v>
      </c>
      <c r="S86" s="1999">
        <v>1884</v>
      </c>
      <c r="T86" s="338">
        <v>5957</v>
      </c>
      <c r="U86" s="1427">
        <v>2883</v>
      </c>
      <c r="V86" s="790">
        <f t="shared" si="48"/>
        <v>0.50273578781415196</v>
      </c>
      <c r="W86" s="790">
        <f t="shared" si="49"/>
        <v>0.4972642121858481</v>
      </c>
      <c r="X86" s="2000">
        <f t="shared" si="50"/>
        <v>0.97560975609756095</v>
      </c>
      <c r="Y86" s="790">
        <f t="shared" si="51"/>
        <v>9.1347491421682279E-3</v>
      </c>
      <c r="Z86" s="790">
        <f t="shared" si="52"/>
        <v>1.9011406844106464E-3</v>
      </c>
      <c r="AA86" s="790">
        <f t="shared" si="53"/>
        <v>4.0341277937494206E-3</v>
      </c>
      <c r="AB86" s="2001">
        <f t="shared" si="54"/>
        <v>9.3202262821107298E-3</v>
      </c>
      <c r="AC86" s="2002">
        <f t="shared" si="55"/>
        <v>0.17819716219975887</v>
      </c>
      <c r="AD86" s="341">
        <f t="shared" si="56"/>
        <v>0.57279977742743204</v>
      </c>
      <c r="AE86" s="2003">
        <f t="shared" si="57"/>
        <v>0.24900306037280906</v>
      </c>
      <c r="AF86" s="1999">
        <v>317</v>
      </c>
      <c r="AG86" s="107">
        <f t="shared" si="58"/>
        <v>1.469906334044329E-2</v>
      </c>
    </row>
    <row r="87" spans="1:33" x14ac:dyDescent="0.3">
      <c r="A87" s="105" t="s">
        <v>211</v>
      </c>
      <c r="B87" s="105" t="s">
        <v>212</v>
      </c>
      <c r="C87" s="105" t="s">
        <v>254</v>
      </c>
      <c r="D87" s="105">
        <v>2</v>
      </c>
      <c r="E87" s="1999">
        <v>43616</v>
      </c>
      <c r="F87" s="1999">
        <f t="shared" si="59"/>
        <v>21400</v>
      </c>
      <c r="G87" s="1427">
        <f t="shared" si="60"/>
        <v>22216</v>
      </c>
      <c r="H87" s="338">
        <v>40821</v>
      </c>
      <c r="I87" s="338">
        <v>1269</v>
      </c>
      <c r="J87" s="338">
        <v>484</v>
      </c>
      <c r="K87" s="338">
        <v>222</v>
      </c>
      <c r="L87" s="1427">
        <v>820</v>
      </c>
      <c r="M87" s="1999">
        <f t="shared" si="45"/>
        <v>9164</v>
      </c>
      <c r="N87" s="338">
        <f t="shared" si="46"/>
        <v>24762</v>
      </c>
      <c r="O87" s="1427">
        <f t="shared" si="47"/>
        <v>9690</v>
      </c>
      <c r="P87" s="1999">
        <v>4649</v>
      </c>
      <c r="Q87" s="338">
        <v>12303</v>
      </c>
      <c r="R87" s="338">
        <v>4448</v>
      </c>
      <c r="S87" s="1999">
        <v>4515</v>
      </c>
      <c r="T87" s="338">
        <v>12459</v>
      </c>
      <c r="U87" s="1427">
        <v>5242</v>
      </c>
      <c r="V87" s="790">
        <f t="shared" si="48"/>
        <v>0.49064563462949379</v>
      </c>
      <c r="W87" s="790">
        <f t="shared" si="49"/>
        <v>0.50935436537050627</v>
      </c>
      <c r="X87" s="2000">
        <f t="shared" si="50"/>
        <v>0.9359180117388114</v>
      </c>
      <c r="Y87" s="790">
        <f t="shared" si="51"/>
        <v>2.9094827586206896E-2</v>
      </c>
      <c r="Z87" s="790">
        <f t="shared" si="52"/>
        <v>1.1096845194424065E-2</v>
      </c>
      <c r="AA87" s="790">
        <f t="shared" si="53"/>
        <v>5.0898752751283929E-3</v>
      </c>
      <c r="AB87" s="2001">
        <f t="shared" si="54"/>
        <v>1.88004402054292E-2</v>
      </c>
      <c r="AC87" s="2002">
        <f t="shared" si="55"/>
        <v>0.21010638297872342</v>
      </c>
      <c r="AD87" s="341">
        <f t="shared" si="56"/>
        <v>0.56772743947175353</v>
      </c>
      <c r="AE87" s="2003">
        <f t="shared" si="57"/>
        <v>0.22216617754952311</v>
      </c>
      <c r="AF87" s="1999">
        <v>3207</v>
      </c>
      <c r="AG87" s="107">
        <f t="shared" si="58"/>
        <v>7.3528063096111512E-2</v>
      </c>
    </row>
    <row r="88" spans="1:33" x14ac:dyDescent="0.3">
      <c r="A88" s="105" t="s">
        <v>213</v>
      </c>
      <c r="B88" s="105" t="s">
        <v>214</v>
      </c>
      <c r="C88" s="105" t="s">
        <v>255</v>
      </c>
      <c r="D88" s="105">
        <v>2</v>
      </c>
      <c r="E88" s="1999">
        <v>30104</v>
      </c>
      <c r="F88" s="1999">
        <f t="shared" si="59"/>
        <v>14716</v>
      </c>
      <c r="G88" s="1427">
        <f t="shared" si="60"/>
        <v>15388</v>
      </c>
      <c r="H88" s="338">
        <v>28803</v>
      </c>
      <c r="I88" s="338">
        <v>748</v>
      </c>
      <c r="J88" s="338">
        <v>153</v>
      </c>
      <c r="K88" s="338">
        <v>62</v>
      </c>
      <c r="L88" s="1427">
        <v>338</v>
      </c>
      <c r="M88" s="1999">
        <f t="shared" si="45"/>
        <v>5752</v>
      </c>
      <c r="N88" s="338">
        <f t="shared" si="46"/>
        <v>17550</v>
      </c>
      <c r="O88" s="1427">
        <f t="shared" si="47"/>
        <v>6802</v>
      </c>
      <c r="P88" s="1999">
        <v>2942</v>
      </c>
      <c r="Q88" s="338">
        <v>8782</v>
      </c>
      <c r="R88" s="338">
        <v>2992</v>
      </c>
      <c r="S88" s="1999">
        <v>2810</v>
      </c>
      <c r="T88" s="338">
        <v>8768</v>
      </c>
      <c r="U88" s="1427">
        <v>3810</v>
      </c>
      <c r="V88" s="790">
        <f t="shared" si="48"/>
        <v>0.4888386925325538</v>
      </c>
      <c r="W88" s="790">
        <f t="shared" si="49"/>
        <v>0.51116130746744615</v>
      </c>
      <c r="X88" s="2000">
        <f t="shared" si="50"/>
        <v>0.95678315174063244</v>
      </c>
      <c r="Y88" s="790">
        <f t="shared" si="51"/>
        <v>2.4847196385862344E-2</v>
      </c>
      <c r="Z88" s="790">
        <f t="shared" si="52"/>
        <v>5.0823810789263884E-3</v>
      </c>
      <c r="AA88" s="790">
        <f t="shared" si="53"/>
        <v>2.0595269731597129E-3</v>
      </c>
      <c r="AB88" s="2001">
        <f t="shared" si="54"/>
        <v>1.122774382141908E-2</v>
      </c>
      <c r="AC88" s="2002">
        <f t="shared" si="55"/>
        <v>0.19107095402604304</v>
      </c>
      <c r="AD88" s="341">
        <f t="shared" si="56"/>
        <v>0.58297900611214459</v>
      </c>
      <c r="AE88" s="2003">
        <f t="shared" si="57"/>
        <v>0.22595003986181239</v>
      </c>
      <c r="AF88" s="1999">
        <v>605</v>
      </c>
      <c r="AG88" s="107">
        <f t="shared" si="58"/>
        <v>2.0096997076800426E-2</v>
      </c>
    </row>
    <row r="89" spans="1:33" x14ac:dyDescent="0.3">
      <c r="A89" s="105" t="s">
        <v>215</v>
      </c>
      <c r="B89" s="105" t="s">
        <v>216</v>
      </c>
      <c r="C89" s="105" t="s">
        <v>251</v>
      </c>
      <c r="D89" s="105">
        <v>2</v>
      </c>
      <c r="E89" s="1999">
        <v>17631</v>
      </c>
      <c r="F89" s="1999">
        <f t="shared" si="59"/>
        <v>9117</v>
      </c>
      <c r="G89" s="1427">
        <f t="shared" si="60"/>
        <v>8514</v>
      </c>
      <c r="H89" s="338">
        <v>10982</v>
      </c>
      <c r="I89" s="338">
        <v>6125</v>
      </c>
      <c r="J89" s="338">
        <v>90</v>
      </c>
      <c r="K89" s="338">
        <v>107</v>
      </c>
      <c r="L89" s="1427">
        <v>327</v>
      </c>
      <c r="M89" s="1999">
        <f t="shared" si="45"/>
        <v>3275</v>
      </c>
      <c r="N89" s="338">
        <f t="shared" si="46"/>
        <v>10685</v>
      </c>
      <c r="O89" s="1427">
        <f t="shared" si="47"/>
        <v>3671</v>
      </c>
      <c r="P89" s="1999">
        <v>1637</v>
      </c>
      <c r="Q89" s="338">
        <v>5759</v>
      </c>
      <c r="R89" s="338">
        <v>1721</v>
      </c>
      <c r="S89" s="1999">
        <v>1638</v>
      </c>
      <c r="T89" s="338">
        <v>4926</v>
      </c>
      <c r="U89" s="1427">
        <v>1950</v>
      </c>
      <c r="V89" s="790">
        <f t="shared" si="48"/>
        <v>0.51710056151097494</v>
      </c>
      <c r="W89" s="790">
        <f t="shared" si="49"/>
        <v>0.482899438489025</v>
      </c>
      <c r="X89" s="2000">
        <f t="shared" si="50"/>
        <v>0.62288015427372245</v>
      </c>
      <c r="Y89" s="790">
        <f t="shared" si="51"/>
        <v>0.34739946684816514</v>
      </c>
      <c r="Z89" s="790">
        <f t="shared" si="52"/>
        <v>5.1046452271567124E-3</v>
      </c>
      <c r="AA89" s="790">
        <f t="shared" si="53"/>
        <v>6.0688559922863136E-3</v>
      </c>
      <c r="AB89" s="2001">
        <f t="shared" si="54"/>
        <v>1.854687765866939E-2</v>
      </c>
      <c r="AC89" s="2002">
        <f t="shared" si="55"/>
        <v>0.1857523679882026</v>
      </c>
      <c r="AD89" s="341">
        <f t="shared" si="56"/>
        <v>0.60603482502410522</v>
      </c>
      <c r="AE89" s="2003">
        <f t="shared" si="57"/>
        <v>0.20821280698769212</v>
      </c>
      <c r="AF89" s="1999">
        <v>359</v>
      </c>
      <c r="AG89" s="107">
        <f t="shared" si="58"/>
        <v>2.0361862628325109E-2</v>
      </c>
    </row>
    <row r="90" spans="1:33" x14ac:dyDescent="0.3">
      <c r="A90" s="105" t="s">
        <v>217</v>
      </c>
      <c r="B90" s="105" t="s">
        <v>218</v>
      </c>
      <c r="C90" s="105" t="s">
        <v>254</v>
      </c>
      <c r="D90" s="105">
        <v>2</v>
      </c>
      <c r="E90" s="1999">
        <v>136215</v>
      </c>
      <c r="F90" s="1999">
        <f t="shared" si="59"/>
        <v>67033</v>
      </c>
      <c r="G90" s="1427">
        <f t="shared" si="60"/>
        <v>69182</v>
      </c>
      <c r="H90" s="338">
        <v>102759</v>
      </c>
      <c r="I90" s="338">
        <v>23797</v>
      </c>
      <c r="J90" s="338">
        <v>3859</v>
      </c>
      <c r="K90" s="338">
        <v>871</v>
      </c>
      <c r="L90" s="1427">
        <v>4929</v>
      </c>
      <c r="M90" s="1999">
        <f t="shared" si="45"/>
        <v>33433</v>
      </c>
      <c r="N90" s="338">
        <f t="shared" si="46"/>
        <v>82712</v>
      </c>
      <c r="O90" s="1427">
        <f t="shared" si="47"/>
        <v>20070</v>
      </c>
      <c r="P90" s="1999">
        <v>17114</v>
      </c>
      <c r="Q90" s="338">
        <v>40918</v>
      </c>
      <c r="R90" s="338">
        <v>9001</v>
      </c>
      <c r="S90" s="1999">
        <v>16319</v>
      </c>
      <c r="T90" s="338">
        <v>41794</v>
      </c>
      <c r="U90" s="1427">
        <v>11069</v>
      </c>
      <c r="V90" s="790">
        <f t="shared" si="48"/>
        <v>0.49211173512461914</v>
      </c>
      <c r="W90" s="790">
        <f t="shared" si="49"/>
        <v>0.50788826487538086</v>
      </c>
      <c r="X90" s="2000">
        <f t="shared" si="50"/>
        <v>0.75438828322871931</v>
      </c>
      <c r="Y90" s="790">
        <f t="shared" si="51"/>
        <v>0.17470175824982564</v>
      </c>
      <c r="Z90" s="790">
        <f t="shared" si="52"/>
        <v>2.8330213265793047E-2</v>
      </c>
      <c r="AA90" s="790">
        <f t="shared" si="53"/>
        <v>6.3943031237382077E-3</v>
      </c>
      <c r="AB90" s="2001">
        <f t="shared" si="54"/>
        <v>3.6185442131923796E-2</v>
      </c>
      <c r="AC90" s="2002">
        <f t="shared" si="55"/>
        <v>0.24544286605733584</v>
      </c>
      <c r="AD90" s="341">
        <f t="shared" si="56"/>
        <v>0.60721653268729581</v>
      </c>
      <c r="AE90" s="2003">
        <f t="shared" si="57"/>
        <v>0.14734060125536835</v>
      </c>
      <c r="AF90" s="1999">
        <v>14603</v>
      </c>
      <c r="AG90" s="107">
        <f t="shared" si="58"/>
        <v>0.10720552068421246</v>
      </c>
    </row>
    <row r="91" spans="1:33" x14ac:dyDescent="0.3">
      <c r="A91" s="105" t="s">
        <v>219</v>
      </c>
      <c r="B91" s="105" t="s">
        <v>220</v>
      </c>
      <c r="C91" s="105" t="s">
        <v>254</v>
      </c>
      <c r="D91" s="105">
        <v>2</v>
      </c>
      <c r="E91" s="1999">
        <v>152882</v>
      </c>
      <c r="F91" s="1999">
        <f t="shared" si="59"/>
        <v>77178</v>
      </c>
      <c r="G91" s="1427">
        <f t="shared" si="60"/>
        <v>75704</v>
      </c>
      <c r="H91" s="338">
        <v>108430</v>
      </c>
      <c r="I91" s="338">
        <v>30586</v>
      </c>
      <c r="J91" s="338">
        <v>5493</v>
      </c>
      <c r="K91" s="338">
        <v>1441</v>
      </c>
      <c r="L91" s="1427">
        <v>6932</v>
      </c>
      <c r="M91" s="1999">
        <f t="shared" si="45"/>
        <v>39639</v>
      </c>
      <c r="N91" s="338">
        <f t="shared" si="46"/>
        <v>96826</v>
      </c>
      <c r="O91" s="1427">
        <f t="shared" si="47"/>
        <v>16417</v>
      </c>
      <c r="P91" s="1999">
        <v>20246</v>
      </c>
      <c r="Q91" s="338">
        <v>49420</v>
      </c>
      <c r="R91" s="338">
        <v>7512</v>
      </c>
      <c r="S91" s="1999">
        <v>19393</v>
      </c>
      <c r="T91" s="338">
        <v>47406</v>
      </c>
      <c r="U91" s="1427">
        <v>8905</v>
      </c>
      <c r="V91" s="790">
        <f t="shared" si="48"/>
        <v>0.5048207113983334</v>
      </c>
      <c r="W91" s="790">
        <f t="shared" si="49"/>
        <v>0.49517928860166666</v>
      </c>
      <c r="X91" s="2000">
        <f t="shared" si="50"/>
        <v>0.70923980586334556</v>
      </c>
      <c r="Y91" s="790">
        <f t="shared" si="51"/>
        <v>0.20006279352703393</v>
      </c>
      <c r="Z91" s="790">
        <f t="shared" si="52"/>
        <v>3.592967124972201E-2</v>
      </c>
      <c r="AA91" s="790">
        <f t="shared" si="53"/>
        <v>9.4255700474876053E-3</v>
      </c>
      <c r="AB91" s="2001">
        <f t="shared" si="54"/>
        <v>4.5342159312410882E-2</v>
      </c>
      <c r="AC91" s="2002">
        <f t="shared" si="55"/>
        <v>0.25927839771850186</v>
      </c>
      <c r="AD91" s="341">
        <f t="shared" si="56"/>
        <v>0.63333813006109285</v>
      </c>
      <c r="AE91" s="2003">
        <f t="shared" si="57"/>
        <v>0.10738347222040528</v>
      </c>
      <c r="AF91" s="1999">
        <v>21673</v>
      </c>
      <c r="AG91" s="107">
        <f t="shared" si="58"/>
        <v>0.14176292827147735</v>
      </c>
    </row>
    <row r="92" spans="1:33" x14ac:dyDescent="0.3">
      <c r="A92" s="105" t="s">
        <v>223</v>
      </c>
      <c r="B92" s="105" t="s">
        <v>224</v>
      </c>
      <c r="C92" s="105" t="s">
        <v>251</v>
      </c>
      <c r="D92" s="105">
        <v>2</v>
      </c>
      <c r="E92" s="1999">
        <v>6422</v>
      </c>
      <c r="F92" s="1999">
        <f t="shared" si="59"/>
        <v>3186</v>
      </c>
      <c r="G92" s="1427">
        <f t="shared" si="60"/>
        <v>3236</v>
      </c>
      <c r="H92" s="338">
        <v>3544</v>
      </c>
      <c r="I92" s="338">
        <v>2668</v>
      </c>
      <c r="J92" s="338">
        <v>32</v>
      </c>
      <c r="K92" s="338">
        <v>34</v>
      </c>
      <c r="L92" s="1427">
        <v>144</v>
      </c>
      <c r="M92" s="1999">
        <f t="shared" si="45"/>
        <v>1063</v>
      </c>
      <c r="N92" s="338">
        <f t="shared" si="46"/>
        <v>3827</v>
      </c>
      <c r="O92" s="1427">
        <f t="shared" si="47"/>
        <v>1532</v>
      </c>
      <c r="P92" s="1999">
        <v>568</v>
      </c>
      <c r="Q92" s="338">
        <v>1895</v>
      </c>
      <c r="R92" s="338">
        <v>723</v>
      </c>
      <c r="S92" s="1999">
        <v>495</v>
      </c>
      <c r="T92" s="338">
        <v>1932</v>
      </c>
      <c r="U92" s="1427">
        <v>809</v>
      </c>
      <c r="V92" s="790">
        <f t="shared" si="48"/>
        <v>0.49610713173466209</v>
      </c>
      <c r="W92" s="790">
        <f t="shared" si="49"/>
        <v>0.50389286826533786</v>
      </c>
      <c r="X92" s="2000">
        <f t="shared" si="50"/>
        <v>0.55185300529430081</v>
      </c>
      <c r="Y92" s="790">
        <f t="shared" si="51"/>
        <v>0.41544690127686079</v>
      </c>
      <c r="Z92" s="790">
        <f t="shared" si="52"/>
        <v>4.9828713796325136E-3</v>
      </c>
      <c r="AA92" s="790">
        <f t="shared" si="53"/>
        <v>5.2943008408595452E-3</v>
      </c>
      <c r="AB92" s="2001">
        <f t="shared" si="54"/>
        <v>2.2422921208346311E-2</v>
      </c>
      <c r="AC92" s="2002">
        <f t="shared" si="55"/>
        <v>0.16552475864216754</v>
      </c>
      <c r="AD92" s="341">
        <f t="shared" si="56"/>
        <v>0.59592027405792591</v>
      </c>
      <c r="AE92" s="2003">
        <f t="shared" si="57"/>
        <v>0.23855496729990658</v>
      </c>
      <c r="AF92" s="1999">
        <v>175</v>
      </c>
      <c r="AG92" s="107">
        <f t="shared" si="58"/>
        <v>2.7250077857365308E-2</v>
      </c>
    </row>
    <row r="93" spans="1:33" x14ac:dyDescent="0.3">
      <c r="A93" s="105" t="s">
        <v>225</v>
      </c>
      <c r="B93" s="105" t="s">
        <v>226</v>
      </c>
      <c r="C93" s="105" t="s">
        <v>251</v>
      </c>
      <c r="D93" s="105">
        <v>2</v>
      </c>
      <c r="E93" s="1999">
        <v>11159</v>
      </c>
      <c r="F93" s="1999">
        <f t="shared" si="59"/>
        <v>6648</v>
      </c>
      <c r="G93" s="1427">
        <f t="shared" si="60"/>
        <v>4511</v>
      </c>
      <c r="H93" s="338">
        <v>4607</v>
      </c>
      <c r="I93" s="338">
        <v>6263</v>
      </c>
      <c r="J93" s="338">
        <v>51</v>
      </c>
      <c r="K93" s="338">
        <v>65</v>
      </c>
      <c r="L93" s="1427">
        <v>173</v>
      </c>
      <c r="M93" s="1999">
        <f t="shared" si="45"/>
        <v>1697</v>
      </c>
      <c r="N93" s="338">
        <f t="shared" si="46"/>
        <v>7392</v>
      </c>
      <c r="O93" s="1427">
        <f t="shared" si="47"/>
        <v>2070</v>
      </c>
      <c r="P93" s="1999">
        <v>843</v>
      </c>
      <c r="Q93" s="338">
        <v>4860</v>
      </c>
      <c r="R93" s="338">
        <v>945</v>
      </c>
      <c r="S93" s="1999">
        <v>854</v>
      </c>
      <c r="T93" s="338">
        <v>2532</v>
      </c>
      <c r="U93" s="1427">
        <v>1125</v>
      </c>
      <c r="V93" s="790">
        <f t="shared" si="48"/>
        <v>0.59575230755444031</v>
      </c>
      <c r="W93" s="790">
        <f t="shared" si="49"/>
        <v>0.40424769244555964</v>
      </c>
      <c r="X93" s="2000">
        <f t="shared" si="50"/>
        <v>0.41285061385428801</v>
      </c>
      <c r="Y93" s="790">
        <f t="shared" si="51"/>
        <v>0.56125100815485263</v>
      </c>
      <c r="Z93" s="790">
        <f t="shared" si="52"/>
        <v>4.5703019983869518E-3</v>
      </c>
      <c r="AA93" s="790">
        <f t="shared" si="53"/>
        <v>5.8248947038265081E-3</v>
      </c>
      <c r="AB93" s="2001">
        <f t="shared" si="54"/>
        <v>1.5503181288645937E-2</v>
      </c>
      <c r="AC93" s="2002">
        <f t="shared" si="55"/>
        <v>0.15207455865220898</v>
      </c>
      <c r="AD93" s="341">
        <f t="shared" si="56"/>
        <v>0.66242494847208533</v>
      </c>
      <c r="AE93" s="2003">
        <f t="shared" si="57"/>
        <v>0.18550049287570572</v>
      </c>
      <c r="AF93" s="1999">
        <v>367</v>
      </c>
      <c r="AG93" s="107">
        <f t="shared" si="58"/>
        <v>3.2888251635451206E-2</v>
      </c>
    </row>
    <row r="94" spans="1:33" x14ac:dyDescent="0.3">
      <c r="A94" s="105" t="s">
        <v>227</v>
      </c>
      <c r="B94" s="105" t="s">
        <v>228</v>
      </c>
      <c r="C94" s="105" t="s">
        <v>255</v>
      </c>
      <c r="D94" s="105">
        <v>2</v>
      </c>
      <c r="E94" s="1999">
        <v>40595</v>
      </c>
      <c r="F94" s="1999">
        <f t="shared" si="59"/>
        <v>20126</v>
      </c>
      <c r="G94" s="1427">
        <f t="shared" si="60"/>
        <v>20469</v>
      </c>
      <c r="H94" s="338">
        <v>38470</v>
      </c>
      <c r="I94" s="338">
        <v>1310</v>
      </c>
      <c r="J94" s="338">
        <v>264</v>
      </c>
      <c r="K94" s="338">
        <v>90</v>
      </c>
      <c r="L94" s="1427">
        <v>461</v>
      </c>
      <c r="M94" s="1999">
        <f t="shared" si="45"/>
        <v>7839</v>
      </c>
      <c r="N94" s="338">
        <f t="shared" si="46"/>
        <v>23398</v>
      </c>
      <c r="O94" s="1427">
        <f t="shared" si="47"/>
        <v>9358</v>
      </c>
      <c r="P94" s="1999">
        <v>3903</v>
      </c>
      <c r="Q94" s="338">
        <v>12057</v>
      </c>
      <c r="R94" s="338">
        <v>4166</v>
      </c>
      <c r="S94" s="1999">
        <v>3936</v>
      </c>
      <c r="T94" s="338">
        <v>11341</v>
      </c>
      <c r="U94" s="1427">
        <v>5192</v>
      </c>
      <c r="V94" s="790">
        <f t="shared" si="48"/>
        <v>0.49577534179086097</v>
      </c>
      <c r="W94" s="790">
        <f t="shared" si="49"/>
        <v>0.50422465820913909</v>
      </c>
      <c r="X94" s="2000">
        <f t="shared" si="50"/>
        <v>0.94765365192757733</v>
      </c>
      <c r="Y94" s="790">
        <f t="shared" si="51"/>
        <v>3.2269983988175883E-2</v>
      </c>
      <c r="Z94" s="790">
        <f t="shared" si="52"/>
        <v>6.503263948762163E-3</v>
      </c>
      <c r="AA94" s="790">
        <f t="shared" si="53"/>
        <v>2.2170218007143737E-3</v>
      </c>
      <c r="AB94" s="2001">
        <f t="shared" si="54"/>
        <v>1.1356078334770292E-2</v>
      </c>
      <c r="AC94" s="2002">
        <f t="shared" si="55"/>
        <v>0.19310259884222195</v>
      </c>
      <c r="AD94" s="341">
        <f t="shared" si="56"/>
        <v>0.57637640103461019</v>
      </c>
      <c r="AE94" s="2003">
        <f t="shared" si="57"/>
        <v>0.23052100012316787</v>
      </c>
      <c r="AF94" s="1999">
        <v>461</v>
      </c>
      <c r="AG94" s="107">
        <f t="shared" si="58"/>
        <v>1.1356078334770292E-2</v>
      </c>
    </row>
    <row r="95" spans="1:33" x14ac:dyDescent="0.3">
      <c r="A95" s="105" t="s">
        <v>231</v>
      </c>
      <c r="B95" s="105" t="s">
        <v>232</v>
      </c>
      <c r="C95" s="105" t="s">
        <v>254</v>
      </c>
      <c r="D95" s="105">
        <v>2</v>
      </c>
      <c r="E95" s="1999">
        <v>40164</v>
      </c>
      <c r="F95" s="1999">
        <f t="shared" si="59"/>
        <v>20018</v>
      </c>
      <c r="G95" s="1427">
        <f t="shared" si="60"/>
        <v>20146</v>
      </c>
      <c r="H95" s="338">
        <v>36335</v>
      </c>
      <c r="I95" s="338">
        <v>1993</v>
      </c>
      <c r="J95" s="338">
        <v>532</v>
      </c>
      <c r="K95" s="338">
        <v>256</v>
      </c>
      <c r="L95" s="1427">
        <v>1048</v>
      </c>
      <c r="M95" s="1999">
        <f t="shared" si="45"/>
        <v>8686</v>
      </c>
      <c r="N95" s="338">
        <f t="shared" si="46"/>
        <v>24736</v>
      </c>
      <c r="O95" s="1427">
        <f t="shared" si="47"/>
        <v>6742</v>
      </c>
      <c r="P95" s="1999">
        <v>4454</v>
      </c>
      <c r="Q95" s="338">
        <v>12447</v>
      </c>
      <c r="R95" s="338">
        <v>3117</v>
      </c>
      <c r="S95" s="1999">
        <v>4232</v>
      </c>
      <c r="T95" s="338">
        <v>12289</v>
      </c>
      <c r="U95" s="1427">
        <v>3625</v>
      </c>
      <c r="V95" s="790">
        <f t="shared" si="48"/>
        <v>0.49840653321382333</v>
      </c>
      <c r="W95" s="790">
        <f t="shared" si="49"/>
        <v>0.50159346678617667</v>
      </c>
      <c r="X95" s="2000">
        <f t="shared" si="50"/>
        <v>0.90466586993327358</v>
      </c>
      <c r="Y95" s="790">
        <f t="shared" si="51"/>
        <v>4.9621551638283037E-2</v>
      </c>
      <c r="Z95" s="790">
        <f t="shared" si="52"/>
        <v>1.3245692660093617E-2</v>
      </c>
      <c r="AA95" s="790">
        <f t="shared" si="53"/>
        <v>6.3738671447067024E-3</v>
      </c>
      <c r="AB95" s="2001">
        <f t="shared" si="54"/>
        <v>2.6093018623643063E-2</v>
      </c>
      <c r="AC95" s="2002">
        <f t="shared" si="55"/>
        <v>0.21626332038641569</v>
      </c>
      <c r="AD95" s="341">
        <f t="shared" si="56"/>
        <v>0.61587491285728513</v>
      </c>
      <c r="AE95" s="2003">
        <f t="shared" si="57"/>
        <v>0.16786176675629919</v>
      </c>
      <c r="AF95" s="1999">
        <v>2125</v>
      </c>
      <c r="AG95" s="107">
        <f t="shared" si="58"/>
        <v>5.2908076884772434E-2</v>
      </c>
    </row>
    <row r="96" spans="1:33" x14ac:dyDescent="0.3">
      <c r="A96" s="105" t="s">
        <v>233</v>
      </c>
      <c r="B96" s="105" t="s">
        <v>234</v>
      </c>
      <c r="C96" s="105" t="s">
        <v>255</v>
      </c>
      <c r="D96" s="105">
        <v>2</v>
      </c>
      <c r="E96" s="1999">
        <v>53740</v>
      </c>
      <c r="F96" s="1999">
        <f t="shared" si="59"/>
        <v>26503</v>
      </c>
      <c r="G96" s="1427">
        <f t="shared" si="60"/>
        <v>27237</v>
      </c>
      <c r="H96" s="338">
        <v>51980</v>
      </c>
      <c r="I96" s="338">
        <v>816</v>
      </c>
      <c r="J96" s="338">
        <v>291</v>
      </c>
      <c r="K96" s="338">
        <v>156</v>
      </c>
      <c r="L96" s="1427">
        <v>497</v>
      </c>
      <c r="M96" s="1999">
        <f t="shared" si="45"/>
        <v>9663</v>
      </c>
      <c r="N96" s="338">
        <f t="shared" si="46"/>
        <v>31375</v>
      </c>
      <c r="O96" s="1427">
        <f t="shared" si="47"/>
        <v>12702</v>
      </c>
      <c r="P96" s="1999">
        <v>4965</v>
      </c>
      <c r="Q96" s="338">
        <v>15720</v>
      </c>
      <c r="R96" s="338">
        <v>5818</v>
      </c>
      <c r="S96" s="1999">
        <v>4698</v>
      </c>
      <c r="T96" s="338">
        <v>15655</v>
      </c>
      <c r="U96" s="1427">
        <v>6884</v>
      </c>
      <c r="V96" s="790">
        <f t="shared" si="48"/>
        <v>0.49317082247860067</v>
      </c>
      <c r="W96" s="790">
        <f t="shared" si="49"/>
        <v>0.50682917752139933</v>
      </c>
      <c r="X96" s="2000">
        <f t="shared" si="50"/>
        <v>0.96724972087830297</v>
      </c>
      <c r="Y96" s="790">
        <f t="shared" si="51"/>
        <v>1.5184220320059547E-2</v>
      </c>
      <c r="Z96" s="790">
        <f t="shared" si="52"/>
        <v>5.4149609229624113E-3</v>
      </c>
      <c r="AA96" s="790">
        <f t="shared" si="53"/>
        <v>2.9028656494231486E-3</v>
      </c>
      <c r="AB96" s="2001">
        <f t="shared" si="54"/>
        <v>9.2482322292519546E-3</v>
      </c>
      <c r="AC96" s="2002">
        <f t="shared" si="55"/>
        <v>0.17981019724599925</v>
      </c>
      <c r="AD96" s="341">
        <f t="shared" si="56"/>
        <v>0.58382954968366207</v>
      </c>
      <c r="AE96" s="2003">
        <f t="shared" si="57"/>
        <v>0.23636025307033867</v>
      </c>
      <c r="AF96" s="1999">
        <v>877</v>
      </c>
      <c r="AG96" s="107">
        <f t="shared" si="58"/>
        <v>1.6319315221436547E-2</v>
      </c>
    </row>
    <row r="97" spans="1:33" x14ac:dyDescent="0.3">
      <c r="A97" s="105" t="s">
        <v>235</v>
      </c>
      <c r="B97" s="105" t="s">
        <v>236</v>
      </c>
      <c r="C97" s="105" t="s">
        <v>253</v>
      </c>
      <c r="D97" s="105">
        <v>2</v>
      </c>
      <c r="E97" s="1999">
        <v>18015</v>
      </c>
      <c r="F97" s="1999">
        <f t="shared" si="59"/>
        <v>8789</v>
      </c>
      <c r="G97" s="1427">
        <f t="shared" si="60"/>
        <v>9226</v>
      </c>
      <c r="H97" s="338">
        <v>12469</v>
      </c>
      <c r="I97" s="338">
        <v>4704</v>
      </c>
      <c r="J97" s="338">
        <v>161</v>
      </c>
      <c r="K97" s="338">
        <v>163</v>
      </c>
      <c r="L97" s="1427">
        <v>518</v>
      </c>
      <c r="M97" s="1999">
        <f t="shared" si="45"/>
        <v>3445</v>
      </c>
      <c r="N97" s="338">
        <f t="shared" si="46"/>
        <v>9951</v>
      </c>
      <c r="O97" s="1427">
        <f t="shared" si="47"/>
        <v>4619</v>
      </c>
      <c r="P97" s="1999">
        <v>1796</v>
      </c>
      <c r="Q97" s="338">
        <v>4894</v>
      </c>
      <c r="R97" s="338">
        <v>2099</v>
      </c>
      <c r="S97" s="1999">
        <v>1649</v>
      </c>
      <c r="T97" s="338">
        <v>5057</v>
      </c>
      <c r="U97" s="1427">
        <v>2520</v>
      </c>
      <c r="V97" s="790">
        <f t="shared" si="48"/>
        <v>0.48787121842908687</v>
      </c>
      <c r="W97" s="790">
        <f t="shared" si="49"/>
        <v>0.51212878157091313</v>
      </c>
      <c r="X97" s="2000">
        <f t="shared" si="50"/>
        <v>0.69214543436025533</v>
      </c>
      <c r="Y97" s="790">
        <f t="shared" si="51"/>
        <v>0.26111573688592837</v>
      </c>
      <c r="Z97" s="790">
        <f t="shared" si="52"/>
        <v>8.9369969469886203E-3</v>
      </c>
      <c r="AA97" s="790">
        <f t="shared" si="53"/>
        <v>9.0480155426033854E-3</v>
      </c>
      <c r="AB97" s="2001">
        <f t="shared" si="54"/>
        <v>2.8753816264224259E-2</v>
      </c>
      <c r="AC97" s="2002">
        <f t="shared" si="55"/>
        <v>0.19122953094643352</v>
      </c>
      <c r="AD97" s="341">
        <f t="shared" si="56"/>
        <v>0.55237302248126563</v>
      </c>
      <c r="AE97" s="2003">
        <f t="shared" si="57"/>
        <v>0.25639744657230085</v>
      </c>
      <c r="AF97" s="1999">
        <v>1239</v>
      </c>
      <c r="AG97" s="107">
        <f t="shared" si="58"/>
        <v>6.8776019983347217E-2</v>
      </c>
    </row>
    <row r="98" spans="1:33" x14ac:dyDescent="0.3">
      <c r="A98" s="105" t="s">
        <v>241</v>
      </c>
      <c r="B98" s="105" t="s">
        <v>242</v>
      </c>
      <c r="C98" s="105" t="s">
        <v>255</v>
      </c>
      <c r="D98" s="105">
        <v>3</v>
      </c>
      <c r="E98" s="1999">
        <v>37383</v>
      </c>
      <c r="F98" s="1999">
        <f t="shared" si="59"/>
        <v>19475</v>
      </c>
      <c r="G98" s="1427">
        <f t="shared" si="60"/>
        <v>17908</v>
      </c>
      <c r="H98" s="338">
        <v>34562</v>
      </c>
      <c r="I98" s="338">
        <v>2162</v>
      </c>
      <c r="J98" s="338">
        <v>158</v>
      </c>
      <c r="K98" s="338">
        <v>78</v>
      </c>
      <c r="L98" s="1427">
        <v>423</v>
      </c>
      <c r="M98" s="1999">
        <f t="shared" si="45"/>
        <v>7135</v>
      </c>
      <c r="N98" s="338">
        <f t="shared" si="46"/>
        <v>23083</v>
      </c>
      <c r="O98" s="1427">
        <f t="shared" si="47"/>
        <v>7165</v>
      </c>
      <c r="P98" s="1999">
        <v>3595</v>
      </c>
      <c r="Q98" s="338">
        <v>12570</v>
      </c>
      <c r="R98" s="338">
        <v>3310</v>
      </c>
      <c r="S98" s="1999">
        <v>3540</v>
      </c>
      <c r="T98" s="338">
        <v>10513</v>
      </c>
      <c r="U98" s="1427">
        <v>3855</v>
      </c>
      <c r="V98" s="790">
        <f t="shared" si="48"/>
        <v>0.52095872455394165</v>
      </c>
      <c r="W98" s="790">
        <f t="shared" si="49"/>
        <v>0.47904127544605835</v>
      </c>
      <c r="X98" s="2000">
        <f t="shared" si="50"/>
        <v>0.92453789155498489</v>
      </c>
      <c r="Y98" s="790">
        <f t="shared" si="51"/>
        <v>5.7833774710429872E-2</v>
      </c>
      <c r="Z98" s="790">
        <f t="shared" si="52"/>
        <v>4.2265200759703612E-3</v>
      </c>
      <c r="AA98" s="790">
        <f t="shared" si="53"/>
        <v>2.0865099109220768E-3</v>
      </c>
      <c r="AB98" s="2001">
        <f t="shared" si="54"/>
        <v>1.1315303747692802E-2</v>
      </c>
      <c r="AC98" s="2002">
        <f t="shared" si="55"/>
        <v>0.19086215659524383</v>
      </c>
      <c r="AD98" s="341">
        <f t="shared" si="56"/>
        <v>0.61747318299761922</v>
      </c>
      <c r="AE98" s="2003">
        <f t="shared" si="57"/>
        <v>0.19166466040713692</v>
      </c>
      <c r="AF98" s="1999">
        <v>462</v>
      </c>
      <c r="AG98" s="107">
        <f t="shared" si="58"/>
        <v>1.2358558703153839E-2</v>
      </c>
    </row>
    <row r="99" spans="1:33" x14ac:dyDescent="0.3">
      <c r="A99" s="105" t="s">
        <v>243</v>
      </c>
      <c r="B99" s="105" t="s">
        <v>244</v>
      </c>
      <c r="C99" s="105" t="s">
        <v>255</v>
      </c>
      <c r="D99" s="105">
        <v>2</v>
      </c>
      <c r="E99" s="1999">
        <v>28684</v>
      </c>
      <c r="F99" s="1999">
        <f t="shared" si="59"/>
        <v>14014</v>
      </c>
      <c r="G99" s="1427">
        <f t="shared" si="60"/>
        <v>14670</v>
      </c>
      <c r="H99" s="338">
        <v>27124</v>
      </c>
      <c r="I99" s="338">
        <v>853</v>
      </c>
      <c r="J99" s="338">
        <v>166</v>
      </c>
      <c r="K99" s="338">
        <v>73</v>
      </c>
      <c r="L99" s="1427">
        <v>468</v>
      </c>
      <c r="M99" s="1999">
        <f t="shared" si="45"/>
        <v>5675</v>
      </c>
      <c r="N99" s="338">
        <f t="shared" si="46"/>
        <v>16659</v>
      </c>
      <c r="O99" s="1427">
        <f t="shared" si="47"/>
        <v>6350</v>
      </c>
      <c r="P99" s="1999">
        <v>2926</v>
      </c>
      <c r="Q99" s="338">
        <v>8248</v>
      </c>
      <c r="R99" s="338">
        <v>2840</v>
      </c>
      <c r="S99" s="1999">
        <v>2749</v>
      </c>
      <c r="T99" s="338">
        <v>8411</v>
      </c>
      <c r="U99" s="1427">
        <v>3510</v>
      </c>
      <c r="V99" s="790">
        <f t="shared" si="48"/>
        <v>0.48856505368846742</v>
      </c>
      <c r="W99" s="790">
        <f t="shared" si="49"/>
        <v>0.51143494631153252</v>
      </c>
      <c r="X99" s="2000">
        <f t="shared" si="50"/>
        <v>0.94561427973783296</v>
      </c>
      <c r="Y99" s="790">
        <f t="shared" si="51"/>
        <v>2.9737832938223401E-2</v>
      </c>
      <c r="Z99" s="790">
        <f t="shared" si="52"/>
        <v>5.7871984381536743E-3</v>
      </c>
      <c r="AA99" s="790">
        <f t="shared" si="53"/>
        <v>2.5449728071398688E-3</v>
      </c>
      <c r="AB99" s="2001">
        <f t="shared" si="54"/>
        <v>1.6315716078650119E-2</v>
      </c>
      <c r="AC99" s="2002">
        <f t="shared" si="55"/>
        <v>0.19784548877422953</v>
      </c>
      <c r="AD99" s="341">
        <f t="shared" si="56"/>
        <v>0.58077673964579557</v>
      </c>
      <c r="AE99" s="2003">
        <f t="shared" si="57"/>
        <v>0.2213777715799749</v>
      </c>
      <c r="AF99" s="1999">
        <v>399</v>
      </c>
      <c r="AG99" s="107">
        <f t="shared" si="58"/>
        <v>1.3910193836285037E-2</v>
      </c>
    </row>
    <row r="100" spans="1:33" x14ac:dyDescent="0.3">
      <c r="A100" s="105" t="s">
        <v>245</v>
      </c>
      <c r="B100" s="105" t="s">
        <v>246</v>
      </c>
      <c r="C100" s="105" t="s">
        <v>251</v>
      </c>
      <c r="D100" s="105">
        <v>2</v>
      </c>
      <c r="E100" s="1999">
        <v>80551</v>
      </c>
      <c r="F100" s="1999">
        <f t="shared" si="59"/>
        <v>39668</v>
      </c>
      <c r="G100" s="1427">
        <f t="shared" si="60"/>
        <v>40883</v>
      </c>
      <c r="H100" s="338">
        <v>62906</v>
      </c>
      <c r="I100" s="338">
        <v>9593</v>
      </c>
      <c r="J100" s="338">
        <v>4443</v>
      </c>
      <c r="K100" s="338">
        <v>613</v>
      </c>
      <c r="L100" s="1427">
        <v>2996</v>
      </c>
      <c r="M100" s="1999">
        <f t="shared" si="45"/>
        <v>18797</v>
      </c>
      <c r="N100" s="338">
        <f t="shared" si="46"/>
        <v>47985</v>
      </c>
      <c r="O100" s="1427">
        <f t="shared" si="47"/>
        <v>13769</v>
      </c>
      <c r="P100" s="1999">
        <v>9494</v>
      </c>
      <c r="Q100" s="338">
        <v>23910</v>
      </c>
      <c r="R100" s="338">
        <v>6264</v>
      </c>
      <c r="S100" s="1999">
        <v>9303</v>
      </c>
      <c r="T100" s="338">
        <v>24075</v>
      </c>
      <c r="U100" s="1427">
        <v>7505</v>
      </c>
      <c r="V100" s="790">
        <f t="shared" si="48"/>
        <v>0.49245819418753334</v>
      </c>
      <c r="W100" s="790">
        <f t="shared" si="49"/>
        <v>0.50754180581246666</v>
      </c>
      <c r="X100" s="2000">
        <f t="shared" si="50"/>
        <v>0.78094623282144227</v>
      </c>
      <c r="Y100" s="790">
        <f t="shared" si="51"/>
        <v>0.1190922521135678</v>
      </c>
      <c r="Z100" s="790">
        <f t="shared" si="52"/>
        <v>5.5157602016114013E-2</v>
      </c>
      <c r="AA100" s="790">
        <f t="shared" si="53"/>
        <v>7.6100855358716838E-3</v>
      </c>
      <c r="AB100" s="2001">
        <f t="shared" si="54"/>
        <v>3.7193827513004186E-2</v>
      </c>
      <c r="AC100" s="2002">
        <f t="shared" si="55"/>
        <v>0.23335526560812406</v>
      </c>
      <c r="AD100" s="341">
        <f t="shared" si="56"/>
        <v>0.59570955047113006</v>
      </c>
      <c r="AE100" s="2003">
        <f t="shared" si="57"/>
        <v>0.17093518392074586</v>
      </c>
      <c r="AF100" s="1999">
        <v>5110</v>
      </c>
      <c r="AG100" s="107">
        <f t="shared" si="58"/>
        <v>6.3438070290871618E-2</v>
      </c>
    </row>
    <row r="101" spans="1:33" x14ac:dyDescent="0.3">
      <c r="A101" s="105" t="s">
        <v>13</v>
      </c>
      <c r="B101" s="105" t="s">
        <v>14</v>
      </c>
      <c r="C101" s="105" t="s">
        <v>254</v>
      </c>
      <c r="D101" s="105">
        <v>3</v>
      </c>
      <c r="E101" s="1999">
        <v>159428</v>
      </c>
      <c r="F101" s="1999">
        <f t="shared" si="59"/>
        <v>76899</v>
      </c>
      <c r="G101" s="1427">
        <f t="shared" si="60"/>
        <v>82529</v>
      </c>
      <c r="H101" s="338">
        <v>106329</v>
      </c>
      <c r="I101" s="338">
        <v>36290</v>
      </c>
      <c r="J101" s="338">
        <v>10378</v>
      </c>
      <c r="K101" s="338">
        <v>1218</v>
      </c>
      <c r="L101" s="1427">
        <v>5213</v>
      </c>
      <c r="M101" s="1999">
        <f t="shared" si="45"/>
        <v>28692</v>
      </c>
      <c r="N101" s="338">
        <f t="shared" si="46"/>
        <v>111341</v>
      </c>
      <c r="O101" s="1427">
        <f t="shared" si="47"/>
        <v>19395</v>
      </c>
      <c r="P101" s="1999">
        <v>14782</v>
      </c>
      <c r="Q101" s="338">
        <v>53787</v>
      </c>
      <c r="R101" s="338">
        <v>8330</v>
      </c>
      <c r="S101" s="1999">
        <v>13910</v>
      </c>
      <c r="T101" s="338">
        <v>57554</v>
      </c>
      <c r="U101" s="1427">
        <v>11065</v>
      </c>
      <c r="V101" s="790">
        <f t="shared" si="48"/>
        <v>0.48234312667787338</v>
      </c>
      <c r="W101" s="790">
        <f t="shared" si="49"/>
        <v>0.51765687332212662</v>
      </c>
      <c r="X101" s="2000">
        <f t="shared" si="50"/>
        <v>0.66694056251097678</v>
      </c>
      <c r="Y101" s="790">
        <f t="shared" si="51"/>
        <v>0.22762626389341897</v>
      </c>
      <c r="Z101" s="790">
        <f t="shared" si="52"/>
        <v>6.5095215395037265E-2</v>
      </c>
      <c r="AA101" s="790">
        <f t="shared" si="53"/>
        <v>7.6398123290764485E-3</v>
      </c>
      <c r="AB101" s="2001">
        <f t="shared" si="54"/>
        <v>3.2698145871490579E-2</v>
      </c>
      <c r="AC101" s="2002">
        <f t="shared" si="55"/>
        <v>0.1799683869834659</v>
      </c>
      <c r="AD101" s="341">
        <f t="shared" si="56"/>
        <v>0.69837795117545221</v>
      </c>
      <c r="AE101" s="2003">
        <f t="shared" si="57"/>
        <v>0.12165366184108187</v>
      </c>
      <c r="AF101" s="1999">
        <v>26479</v>
      </c>
      <c r="AG101" s="107">
        <f t="shared" si="58"/>
        <v>0.16608751285846904</v>
      </c>
    </row>
    <row r="102" spans="1:33" x14ac:dyDescent="0.3">
      <c r="A102" s="105" t="s">
        <v>33</v>
      </c>
      <c r="B102" s="105" t="s">
        <v>34</v>
      </c>
      <c r="C102" s="105" t="s">
        <v>255</v>
      </c>
      <c r="D102" s="105">
        <v>2</v>
      </c>
      <c r="E102" s="1999">
        <v>16762</v>
      </c>
      <c r="F102" s="1999">
        <f t="shared" si="59"/>
        <v>7914</v>
      </c>
      <c r="G102" s="1427">
        <f t="shared" si="60"/>
        <v>8848</v>
      </c>
      <c r="H102" s="338">
        <v>15058</v>
      </c>
      <c r="I102" s="338">
        <v>1051</v>
      </c>
      <c r="J102" s="338">
        <v>154</v>
      </c>
      <c r="K102" s="338">
        <v>86</v>
      </c>
      <c r="L102" s="1427">
        <v>413</v>
      </c>
      <c r="M102" s="1999">
        <f t="shared" ref="M102:M125" si="61">P102+S102</f>
        <v>3371</v>
      </c>
      <c r="N102" s="338">
        <f t="shared" ref="N102:N125" si="62">Q102+T102</f>
        <v>9767</v>
      </c>
      <c r="O102" s="1427">
        <f t="shared" ref="O102:O125" si="63">R102+U102</f>
        <v>3624</v>
      </c>
      <c r="P102" s="1999">
        <v>1695</v>
      </c>
      <c r="Q102" s="338">
        <v>4813</v>
      </c>
      <c r="R102" s="338">
        <v>1406</v>
      </c>
      <c r="S102" s="1999">
        <v>1676</v>
      </c>
      <c r="T102" s="338">
        <v>4954</v>
      </c>
      <c r="U102" s="1427">
        <v>2218</v>
      </c>
      <c r="V102" s="790">
        <f t="shared" ref="V102:V125" si="64">F102/E102</f>
        <v>0.47213936284452929</v>
      </c>
      <c r="W102" s="790">
        <f t="shared" ref="W102:W125" si="65">G102/E102</f>
        <v>0.52786063715547071</v>
      </c>
      <c r="X102" s="2000">
        <f t="shared" ref="X102:X125" si="66">H102/E102</f>
        <v>0.89834148669609837</v>
      </c>
      <c r="Y102" s="790">
        <f t="shared" ref="Y102:Y125" si="67">I102/E102</f>
        <v>6.2701348287793821E-2</v>
      </c>
      <c r="Z102" s="790">
        <f t="shared" ref="Z102:Z125" si="68">J102/E102</f>
        <v>9.1874477985920532E-3</v>
      </c>
      <c r="AA102" s="790">
        <f t="shared" ref="AA102:AA125" si="69">K102/E102</f>
        <v>5.1306526667462115E-3</v>
      </c>
      <c r="AB102" s="2001">
        <f t="shared" ref="AB102:AB125" si="70">L102/E102</f>
        <v>2.4639064550769599E-2</v>
      </c>
      <c r="AC102" s="2002">
        <f t="shared" ref="AC102:AC125" si="71">M102/E102</f>
        <v>0.20110965278606371</v>
      </c>
      <c r="AD102" s="341">
        <f t="shared" ref="AD102:AD125" si="72">N102/E102</f>
        <v>0.58268703018732848</v>
      </c>
      <c r="AE102" s="2003">
        <f t="shared" ref="AE102:AE125" si="73">O102/E102</f>
        <v>0.21620331702660781</v>
      </c>
      <c r="AF102" s="1999">
        <v>417</v>
      </c>
      <c r="AG102" s="107">
        <f t="shared" ref="AG102:AG125" si="74">AF102/E102</f>
        <v>2.4877699558525236E-2</v>
      </c>
    </row>
    <row r="103" spans="1:33" x14ac:dyDescent="0.3">
      <c r="A103" s="105" t="s">
        <v>51</v>
      </c>
      <c r="B103" s="105" t="s">
        <v>52</v>
      </c>
      <c r="C103" s="105" t="s">
        <v>252</v>
      </c>
      <c r="D103" s="105">
        <v>3</v>
      </c>
      <c r="E103" s="1999">
        <v>47266</v>
      </c>
      <c r="F103" s="1999">
        <f t="shared" si="59"/>
        <v>22871</v>
      </c>
      <c r="G103" s="1427">
        <f t="shared" si="60"/>
        <v>24395</v>
      </c>
      <c r="H103" s="338">
        <v>33435</v>
      </c>
      <c r="I103" s="338">
        <v>8693</v>
      </c>
      <c r="J103" s="338">
        <v>3407</v>
      </c>
      <c r="K103" s="338">
        <v>222</v>
      </c>
      <c r="L103" s="1427">
        <v>1509</v>
      </c>
      <c r="M103" s="1999">
        <f t="shared" si="61"/>
        <v>7546</v>
      </c>
      <c r="N103" s="338">
        <f t="shared" si="62"/>
        <v>33930</v>
      </c>
      <c r="O103" s="1427">
        <f t="shared" si="63"/>
        <v>5790</v>
      </c>
      <c r="P103" s="1999">
        <v>3868</v>
      </c>
      <c r="Q103" s="338">
        <v>16522</v>
      </c>
      <c r="R103" s="338">
        <v>2481</v>
      </c>
      <c r="S103" s="1999">
        <v>3678</v>
      </c>
      <c r="T103" s="338">
        <v>17408</v>
      </c>
      <c r="U103" s="1427">
        <v>3309</v>
      </c>
      <c r="V103" s="790">
        <f t="shared" si="64"/>
        <v>0.48387847501375197</v>
      </c>
      <c r="W103" s="790">
        <f t="shared" si="65"/>
        <v>0.51612152498624808</v>
      </c>
      <c r="X103" s="2000">
        <f t="shared" si="66"/>
        <v>0.70737951169974189</v>
      </c>
      <c r="Y103" s="790">
        <f t="shared" si="67"/>
        <v>0.18391655735623916</v>
      </c>
      <c r="Z103" s="790">
        <f t="shared" si="68"/>
        <v>7.2081411585494859E-2</v>
      </c>
      <c r="AA103" s="790">
        <f t="shared" si="69"/>
        <v>4.6968222400880126E-3</v>
      </c>
      <c r="AB103" s="2001">
        <f t="shared" si="70"/>
        <v>3.1925697118436083E-2</v>
      </c>
      <c r="AC103" s="2002">
        <f t="shared" si="71"/>
        <v>0.15964964244911775</v>
      </c>
      <c r="AD103" s="341">
        <f t="shared" si="72"/>
        <v>0.71785215588372187</v>
      </c>
      <c r="AE103" s="2003">
        <f t="shared" si="73"/>
        <v>0.12249820166716033</v>
      </c>
      <c r="AF103" s="1999">
        <v>2745</v>
      </c>
      <c r="AG103" s="107">
        <f t="shared" si="74"/>
        <v>5.8075572292980153E-2</v>
      </c>
    </row>
    <row r="104" spans="1:33" x14ac:dyDescent="0.3">
      <c r="A104" s="105" t="s">
        <v>53</v>
      </c>
      <c r="B104" s="105" t="s">
        <v>54</v>
      </c>
      <c r="C104" s="105" t="s">
        <v>251</v>
      </c>
      <c r="D104" s="105">
        <v>3</v>
      </c>
      <c r="E104" s="1999">
        <v>244835</v>
      </c>
      <c r="F104" s="1999">
        <f t="shared" si="59"/>
        <v>119662</v>
      </c>
      <c r="G104" s="1427">
        <f t="shared" si="60"/>
        <v>125173</v>
      </c>
      <c r="H104" s="338">
        <v>150828</v>
      </c>
      <c r="I104" s="338">
        <v>74950</v>
      </c>
      <c r="J104" s="338">
        <v>8562</v>
      </c>
      <c r="K104" s="338">
        <v>1524</v>
      </c>
      <c r="L104" s="1427">
        <v>8971</v>
      </c>
      <c r="M104" s="1999">
        <f t="shared" si="61"/>
        <v>59114</v>
      </c>
      <c r="N104" s="338">
        <f t="shared" si="62"/>
        <v>152087</v>
      </c>
      <c r="O104" s="1427">
        <f t="shared" si="63"/>
        <v>33634</v>
      </c>
      <c r="P104" s="1999">
        <v>30053</v>
      </c>
      <c r="Q104" s="338">
        <v>75014</v>
      </c>
      <c r="R104" s="338">
        <v>14595</v>
      </c>
      <c r="S104" s="1999">
        <v>29061</v>
      </c>
      <c r="T104" s="338">
        <v>77073</v>
      </c>
      <c r="U104" s="1427">
        <v>19039</v>
      </c>
      <c r="V104" s="790">
        <f t="shared" si="64"/>
        <v>0.48874548165090775</v>
      </c>
      <c r="W104" s="790">
        <f t="shared" si="65"/>
        <v>0.51125451834909219</v>
      </c>
      <c r="X104" s="2000">
        <f t="shared" si="66"/>
        <v>0.61603937345559256</v>
      </c>
      <c r="Y104" s="790">
        <f t="shared" si="67"/>
        <v>0.30612453284865315</v>
      </c>
      <c r="Z104" s="790">
        <f t="shared" si="68"/>
        <v>3.4970490330222398E-2</v>
      </c>
      <c r="AA104" s="790">
        <f t="shared" si="69"/>
        <v>6.2246002409786184E-3</v>
      </c>
      <c r="AB104" s="2001">
        <f t="shared" si="70"/>
        <v>3.6641003124553269E-2</v>
      </c>
      <c r="AC104" s="2002">
        <f t="shared" si="71"/>
        <v>0.24144423795617456</v>
      </c>
      <c r="AD104" s="341">
        <f t="shared" si="72"/>
        <v>0.62118161210611222</v>
      </c>
      <c r="AE104" s="2003">
        <f t="shared" si="73"/>
        <v>0.13737414993771316</v>
      </c>
      <c r="AF104" s="1999">
        <v>16239</v>
      </c>
      <c r="AG104" s="107">
        <f t="shared" si="74"/>
        <v>6.6326301386648148E-2</v>
      </c>
    </row>
    <row r="105" spans="1:33" x14ac:dyDescent="0.3">
      <c r="A105" s="105" t="s">
        <v>65</v>
      </c>
      <c r="B105" s="105" t="s">
        <v>66</v>
      </c>
      <c r="C105" s="105" t="s">
        <v>252</v>
      </c>
      <c r="D105" s="105">
        <v>3</v>
      </c>
      <c r="E105" s="1999">
        <v>40044</v>
      </c>
      <c r="F105" s="1999">
        <f t="shared" si="59"/>
        <v>18392</v>
      </c>
      <c r="G105" s="1427">
        <f t="shared" si="60"/>
        <v>21652</v>
      </c>
      <c r="H105" s="338">
        <v>17976</v>
      </c>
      <c r="I105" s="338">
        <v>20633</v>
      </c>
      <c r="J105" s="338">
        <v>552</v>
      </c>
      <c r="K105" s="338">
        <v>213</v>
      </c>
      <c r="L105" s="1427">
        <v>670</v>
      </c>
      <c r="M105" s="1999">
        <f t="shared" si="61"/>
        <v>8647</v>
      </c>
      <c r="N105" s="338">
        <f t="shared" si="62"/>
        <v>22882</v>
      </c>
      <c r="O105" s="1427">
        <f t="shared" si="63"/>
        <v>8515</v>
      </c>
      <c r="P105" s="1999">
        <v>4375</v>
      </c>
      <c r="Q105" s="338">
        <v>10686</v>
      </c>
      <c r="R105" s="338">
        <v>3331</v>
      </c>
      <c r="S105" s="1999">
        <v>4272</v>
      </c>
      <c r="T105" s="338">
        <v>12196</v>
      </c>
      <c r="U105" s="1427">
        <v>5184</v>
      </c>
      <c r="V105" s="790">
        <f t="shared" si="64"/>
        <v>0.45929477574667865</v>
      </c>
      <c r="W105" s="790">
        <f t="shared" si="65"/>
        <v>0.54070522425332135</v>
      </c>
      <c r="X105" s="2000">
        <f t="shared" si="66"/>
        <v>0.44890620317650587</v>
      </c>
      <c r="Y105" s="790">
        <f t="shared" si="67"/>
        <v>0.51525821596244137</v>
      </c>
      <c r="Z105" s="790">
        <f t="shared" si="68"/>
        <v>1.3784836679652383E-2</v>
      </c>
      <c r="AA105" s="790">
        <f t="shared" si="69"/>
        <v>5.3191489361702126E-3</v>
      </c>
      <c r="AB105" s="2001">
        <f t="shared" si="70"/>
        <v>1.6731595245230248E-2</v>
      </c>
      <c r="AC105" s="2002">
        <f t="shared" si="71"/>
        <v>0.21593746878433723</v>
      </c>
      <c r="AD105" s="341">
        <f t="shared" si="72"/>
        <v>0.57142143641993803</v>
      </c>
      <c r="AE105" s="2003">
        <f t="shared" si="73"/>
        <v>0.21264109479572471</v>
      </c>
      <c r="AF105" s="1999">
        <v>1882</v>
      </c>
      <c r="AG105" s="107">
        <f t="shared" si="74"/>
        <v>4.6998301867945264E-2</v>
      </c>
    </row>
    <row r="106" spans="1:33" x14ac:dyDescent="0.3">
      <c r="A106" s="105" t="s">
        <v>81</v>
      </c>
      <c r="B106" s="105" t="s">
        <v>284</v>
      </c>
      <c r="C106" s="105" t="s">
        <v>251</v>
      </c>
      <c r="D106" s="105">
        <v>2</v>
      </c>
      <c r="E106" s="1999">
        <v>7967</v>
      </c>
      <c r="F106" s="1999">
        <f t="shared" si="59"/>
        <v>3629</v>
      </c>
      <c r="G106" s="1427">
        <f t="shared" si="60"/>
        <v>4338</v>
      </c>
      <c r="H106" s="338">
        <v>3097</v>
      </c>
      <c r="I106" s="338">
        <v>4580</v>
      </c>
      <c r="J106" s="338">
        <v>77</v>
      </c>
      <c r="K106" s="338">
        <v>39</v>
      </c>
      <c r="L106" s="1427">
        <v>174</v>
      </c>
      <c r="M106" s="1999">
        <f t="shared" si="61"/>
        <v>2070</v>
      </c>
      <c r="N106" s="338">
        <f t="shared" si="62"/>
        <v>4378</v>
      </c>
      <c r="O106" s="1427">
        <f t="shared" si="63"/>
        <v>1519</v>
      </c>
      <c r="P106" s="1999">
        <v>1075</v>
      </c>
      <c r="Q106" s="338">
        <v>1938</v>
      </c>
      <c r="R106" s="338">
        <v>616</v>
      </c>
      <c r="S106" s="1999">
        <v>995</v>
      </c>
      <c r="T106" s="338">
        <v>2440</v>
      </c>
      <c r="U106" s="1427">
        <v>903</v>
      </c>
      <c r="V106" s="790">
        <f t="shared" si="64"/>
        <v>0.45550395380946401</v>
      </c>
      <c r="W106" s="790">
        <f t="shared" si="65"/>
        <v>0.54449604619053593</v>
      </c>
      <c r="X106" s="2000">
        <f t="shared" si="66"/>
        <v>0.38872850508346929</v>
      </c>
      <c r="Y106" s="790">
        <f t="shared" si="67"/>
        <v>0.5748713442952178</v>
      </c>
      <c r="Z106" s="790">
        <f t="shared" si="68"/>
        <v>9.6648675787623945E-3</v>
      </c>
      <c r="AA106" s="790">
        <f t="shared" si="69"/>
        <v>4.8951926697627718E-3</v>
      </c>
      <c r="AB106" s="2001">
        <f t="shared" si="70"/>
        <v>2.1840090372787748E-2</v>
      </c>
      <c r="AC106" s="2002">
        <f t="shared" si="71"/>
        <v>0.2598217647797163</v>
      </c>
      <c r="AD106" s="341">
        <f t="shared" si="72"/>
        <v>0.54951675662106192</v>
      </c>
      <c r="AE106" s="2003">
        <f t="shared" si="73"/>
        <v>0.19066147859922178</v>
      </c>
      <c r="AF106" s="1999">
        <v>214</v>
      </c>
      <c r="AG106" s="107">
        <f t="shared" si="74"/>
        <v>2.686080080331367E-2</v>
      </c>
    </row>
    <row r="107" spans="1:33" x14ac:dyDescent="0.3">
      <c r="A107" s="105" t="s">
        <v>87</v>
      </c>
      <c r="B107" s="105" t="s">
        <v>88</v>
      </c>
      <c r="C107" s="105" t="s">
        <v>254</v>
      </c>
      <c r="D107" s="105">
        <v>2</v>
      </c>
      <c r="E107" s="1999">
        <v>29036</v>
      </c>
      <c r="F107" s="1999">
        <f t="shared" si="59"/>
        <v>13425</v>
      </c>
      <c r="G107" s="1427">
        <f t="shared" si="60"/>
        <v>15611</v>
      </c>
      <c r="H107" s="338">
        <v>19612</v>
      </c>
      <c r="I107" s="338">
        <v>7003</v>
      </c>
      <c r="J107" s="338">
        <v>894</v>
      </c>
      <c r="K107" s="338">
        <v>285</v>
      </c>
      <c r="L107" s="1427">
        <v>1242</v>
      </c>
      <c r="M107" s="1999">
        <f t="shared" si="61"/>
        <v>6153</v>
      </c>
      <c r="N107" s="338">
        <f t="shared" si="62"/>
        <v>19421</v>
      </c>
      <c r="O107" s="1427">
        <f t="shared" si="63"/>
        <v>3462</v>
      </c>
      <c r="P107" s="1999">
        <v>3129</v>
      </c>
      <c r="Q107" s="338">
        <v>8865</v>
      </c>
      <c r="R107" s="338">
        <v>1431</v>
      </c>
      <c r="S107" s="1999">
        <v>3024</v>
      </c>
      <c r="T107" s="338">
        <v>10556</v>
      </c>
      <c r="U107" s="1427">
        <v>2031</v>
      </c>
      <c r="V107" s="790">
        <f t="shared" si="64"/>
        <v>0.46235707397713183</v>
      </c>
      <c r="W107" s="790">
        <f t="shared" si="65"/>
        <v>0.53764292602286812</v>
      </c>
      <c r="X107" s="2000">
        <f t="shared" si="66"/>
        <v>0.6754373880699821</v>
      </c>
      <c r="Y107" s="790">
        <f t="shared" si="67"/>
        <v>0.24118335858933737</v>
      </c>
      <c r="Z107" s="790">
        <f t="shared" si="68"/>
        <v>3.0789364926298388E-2</v>
      </c>
      <c r="AA107" s="790">
        <f t="shared" si="69"/>
        <v>9.8154015704642519E-3</v>
      </c>
      <c r="AB107" s="2001">
        <f t="shared" si="70"/>
        <v>4.2774486843917894E-2</v>
      </c>
      <c r="AC107" s="2002">
        <f t="shared" si="71"/>
        <v>0.21190935390549662</v>
      </c>
      <c r="AD107" s="341">
        <f t="shared" si="72"/>
        <v>0.6688593470174955</v>
      </c>
      <c r="AE107" s="2003">
        <f t="shared" si="73"/>
        <v>0.11923129907700786</v>
      </c>
      <c r="AF107" s="1999">
        <v>3172</v>
      </c>
      <c r="AG107" s="107">
        <f t="shared" si="74"/>
        <v>0.1092436974789916</v>
      </c>
    </row>
    <row r="108" spans="1:33" x14ac:dyDescent="0.3">
      <c r="A108" s="105" t="s">
        <v>89</v>
      </c>
      <c r="B108" s="105" t="s">
        <v>90</v>
      </c>
      <c r="C108" s="105" t="s">
        <v>255</v>
      </c>
      <c r="D108" s="105">
        <v>1</v>
      </c>
      <c r="E108" s="1999">
        <v>6347</v>
      </c>
      <c r="F108" s="1999">
        <f t="shared" si="59"/>
        <v>2964</v>
      </c>
      <c r="G108" s="1427">
        <f t="shared" si="60"/>
        <v>3383</v>
      </c>
      <c r="H108" s="338">
        <v>5643</v>
      </c>
      <c r="I108" s="338">
        <v>444</v>
      </c>
      <c r="J108" s="338">
        <v>49</v>
      </c>
      <c r="K108" s="338">
        <v>49</v>
      </c>
      <c r="L108" s="1427">
        <v>162</v>
      </c>
      <c r="M108" s="1999">
        <f t="shared" si="61"/>
        <v>1496</v>
      </c>
      <c r="N108" s="338">
        <f t="shared" si="62"/>
        <v>3661</v>
      </c>
      <c r="O108" s="1427">
        <f t="shared" si="63"/>
        <v>1190</v>
      </c>
      <c r="P108" s="1999">
        <v>762</v>
      </c>
      <c r="Q108" s="338">
        <v>1762</v>
      </c>
      <c r="R108" s="338">
        <v>440</v>
      </c>
      <c r="S108" s="1999">
        <v>734</v>
      </c>
      <c r="T108" s="338">
        <v>1899</v>
      </c>
      <c r="U108" s="1427">
        <v>750</v>
      </c>
      <c r="V108" s="790">
        <f t="shared" si="64"/>
        <v>0.46699227981723651</v>
      </c>
      <c r="W108" s="790">
        <f t="shared" si="65"/>
        <v>0.53300772018276354</v>
      </c>
      <c r="X108" s="2000">
        <f t="shared" si="66"/>
        <v>0.8890814558058926</v>
      </c>
      <c r="Y108" s="790">
        <f t="shared" si="67"/>
        <v>6.9954309122420039E-2</v>
      </c>
      <c r="Z108" s="790">
        <f t="shared" si="68"/>
        <v>7.72018276351032E-3</v>
      </c>
      <c r="AA108" s="790">
        <f t="shared" si="69"/>
        <v>7.72018276351032E-3</v>
      </c>
      <c r="AB108" s="2001">
        <f t="shared" si="70"/>
        <v>2.5523869544666771E-2</v>
      </c>
      <c r="AC108" s="2002">
        <f t="shared" si="71"/>
        <v>0.23570190641247835</v>
      </c>
      <c r="AD108" s="341">
        <f t="shared" si="72"/>
        <v>0.57680794075941388</v>
      </c>
      <c r="AE108" s="2003">
        <f t="shared" si="73"/>
        <v>0.18749015282810777</v>
      </c>
      <c r="AF108" s="1999">
        <v>1034</v>
      </c>
      <c r="AG108" s="107">
        <f t="shared" si="74"/>
        <v>0.16291161178509533</v>
      </c>
    </row>
    <row r="109" spans="1:33" x14ac:dyDescent="0.3">
      <c r="A109" s="105" t="s">
        <v>105</v>
      </c>
      <c r="B109" s="105" t="s">
        <v>106</v>
      </c>
      <c r="C109" s="105" t="s">
        <v>251</v>
      </c>
      <c r="D109" s="105">
        <v>3</v>
      </c>
      <c r="E109" s="1999">
        <v>134510</v>
      </c>
      <c r="F109" s="1999">
        <f t="shared" si="59"/>
        <v>64540</v>
      </c>
      <c r="G109" s="1427">
        <f t="shared" si="60"/>
        <v>69970</v>
      </c>
      <c r="H109" s="338">
        <v>55478</v>
      </c>
      <c r="I109" s="338">
        <v>68976</v>
      </c>
      <c r="J109" s="338">
        <v>3282</v>
      </c>
      <c r="K109" s="338">
        <v>1010</v>
      </c>
      <c r="L109" s="1427">
        <v>5764</v>
      </c>
      <c r="M109" s="1999">
        <f t="shared" si="61"/>
        <v>28167</v>
      </c>
      <c r="N109" s="338">
        <f t="shared" si="62"/>
        <v>85166</v>
      </c>
      <c r="O109" s="1427">
        <f t="shared" si="63"/>
        <v>21177</v>
      </c>
      <c r="P109" s="1999">
        <v>14407</v>
      </c>
      <c r="Q109" s="338">
        <v>41255</v>
      </c>
      <c r="R109" s="338">
        <v>8878</v>
      </c>
      <c r="S109" s="1999">
        <v>13760</v>
      </c>
      <c r="T109" s="338">
        <v>43911</v>
      </c>
      <c r="U109" s="1427">
        <v>12299</v>
      </c>
      <c r="V109" s="790">
        <f t="shared" si="64"/>
        <v>0.47981562709092263</v>
      </c>
      <c r="W109" s="790">
        <f t="shared" si="65"/>
        <v>0.52018437290907737</v>
      </c>
      <c r="X109" s="2000">
        <f t="shared" si="66"/>
        <v>0.41244517136272396</v>
      </c>
      <c r="Y109" s="790">
        <f t="shared" si="67"/>
        <v>0.51279458776299158</v>
      </c>
      <c r="Z109" s="790">
        <f t="shared" si="68"/>
        <v>2.4399672886774217E-2</v>
      </c>
      <c r="AA109" s="790">
        <f t="shared" si="69"/>
        <v>7.5087354100066908E-3</v>
      </c>
      <c r="AB109" s="2001">
        <f t="shared" si="70"/>
        <v>4.2851832577503531E-2</v>
      </c>
      <c r="AC109" s="2002">
        <f t="shared" si="71"/>
        <v>0.20940450524124601</v>
      </c>
      <c r="AD109" s="341">
        <f t="shared" si="72"/>
        <v>0.63315738606795036</v>
      </c>
      <c r="AE109" s="2003">
        <f t="shared" si="73"/>
        <v>0.15743810869080366</v>
      </c>
      <c r="AF109" s="1999">
        <v>8368</v>
      </c>
      <c r="AG109" s="107">
        <f t="shared" si="74"/>
        <v>6.2210988030629695E-2</v>
      </c>
    </row>
    <row r="110" spans="1:33" x14ac:dyDescent="0.3">
      <c r="A110" s="105" t="s">
        <v>115</v>
      </c>
      <c r="B110" s="105" t="s">
        <v>116</v>
      </c>
      <c r="C110" s="105" t="s">
        <v>253</v>
      </c>
      <c r="D110" s="105">
        <v>2</v>
      </c>
      <c r="E110" s="1999">
        <v>22529</v>
      </c>
      <c r="F110" s="1999">
        <f t="shared" si="59"/>
        <v>10512</v>
      </c>
      <c r="G110" s="1427">
        <f t="shared" si="60"/>
        <v>12017</v>
      </c>
      <c r="H110" s="338">
        <v>11357</v>
      </c>
      <c r="I110" s="338">
        <v>9796</v>
      </c>
      <c r="J110" s="338">
        <v>346</v>
      </c>
      <c r="K110" s="338">
        <v>220</v>
      </c>
      <c r="L110" s="1427">
        <v>810</v>
      </c>
      <c r="M110" s="1999">
        <f t="shared" si="61"/>
        <v>5851</v>
      </c>
      <c r="N110" s="338">
        <f t="shared" si="62"/>
        <v>13140</v>
      </c>
      <c r="O110" s="1427">
        <f t="shared" si="63"/>
        <v>3538</v>
      </c>
      <c r="P110" s="1999">
        <v>3009</v>
      </c>
      <c r="Q110" s="338">
        <v>6094</v>
      </c>
      <c r="R110" s="338">
        <v>1409</v>
      </c>
      <c r="S110" s="1999">
        <v>2842</v>
      </c>
      <c r="T110" s="338">
        <v>7046</v>
      </c>
      <c r="U110" s="1427">
        <v>2129</v>
      </c>
      <c r="V110" s="790">
        <f t="shared" si="64"/>
        <v>0.46659860624084515</v>
      </c>
      <c r="W110" s="790">
        <f t="shared" si="65"/>
        <v>0.53340139375915485</v>
      </c>
      <c r="X110" s="2000">
        <f t="shared" si="66"/>
        <v>0.50410581916640773</v>
      </c>
      <c r="Y110" s="790">
        <f t="shared" si="67"/>
        <v>0.43481734653113763</v>
      </c>
      <c r="Z110" s="790">
        <f t="shared" si="68"/>
        <v>1.5357983044076524E-2</v>
      </c>
      <c r="AA110" s="790">
        <f t="shared" si="69"/>
        <v>9.7651915309157084E-3</v>
      </c>
      <c r="AB110" s="2001">
        <f t="shared" si="70"/>
        <v>3.5953659727462381E-2</v>
      </c>
      <c r="AC110" s="2002">
        <f t="shared" si="71"/>
        <v>0.25970970748812644</v>
      </c>
      <c r="AD110" s="341">
        <f t="shared" si="72"/>
        <v>0.58324825780105638</v>
      </c>
      <c r="AE110" s="2003">
        <f t="shared" si="73"/>
        <v>0.15704203471081718</v>
      </c>
      <c r="AF110" s="1999">
        <v>1914</v>
      </c>
      <c r="AG110" s="107">
        <f t="shared" si="74"/>
        <v>8.4957166318966659E-2</v>
      </c>
    </row>
    <row r="111" spans="1:33" x14ac:dyDescent="0.3">
      <c r="A111" s="105" t="s">
        <v>137</v>
      </c>
      <c r="B111" s="105" t="s">
        <v>138</v>
      </c>
      <c r="C111" s="105" t="s">
        <v>252</v>
      </c>
      <c r="D111" s="105">
        <v>3</v>
      </c>
      <c r="E111" s="1999">
        <v>82168</v>
      </c>
      <c r="F111" s="1999">
        <f t="shared" si="59"/>
        <v>38559</v>
      </c>
      <c r="G111" s="1427">
        <f t="shared" si="60"/>
        <v>43609</v>
      </c>
      <c r="H111" s="338">
        <v>54465</v>
      </c>
      <c r="I111" s="338">
        <v>23046</v>
      </c>
      <c r="J111" s="338">
        <v>2214</v>
      </c>
      <c r="K111" s="338">
        <v>440</v>
      </c>
      <c r="L111" s="1427">
        <v>2003</v>
      </c>
      <c r="M111" s="1999">
        <f t="shared" si="61"/>
        <v>15929</v>
      </c>
      <c r="N111" s="338">
        <f t="shared" si="62"/>
        <v>54333</v>
      </c>
      <c r="O111" s="1427">
        <f t="shared" si="63"/>
        <v>11906</v>
      </c>
      <c r="P111" s="1999">
        <v>8130</v>
      </c>
      <c r="Q111" s="338">
        <v>25585</v>
      </c>
      <c r="R111" s="338">
        <v>4844</v>
      </c>
      <c r="S111" s="1999">
        <v>7799</v>
      </c>
      <c r="T111" s="338">
        <v>28748</v>
      </c>
      <c r="U111" s="1427">
        <v>7062</v>
      </c>
      <c r="V111" s="790">
        <f t="shared" si="64"/>
        <v>0.46927027553305423</v>
      </c>
      <c r="W111" s="790">
        <f t="shared" si="65"/>
        <v>0.53072972446694577</v>
      </c>
      <c r="X111" s="2000">
        <f t="shared" si="66"/>
        <v>0.66284928439295099</v>
      </c>
      <c r="Y111" s="790">
        <f t="shared" si="67"/>
        <v>0.28047415052088404</v>
      </c>
      <c r="Z111" s="790">
        <f t="shared" si="68"/>
        <v>2.6944796027650667E-2</v>
      </c>
      <c r="AA111" s="790">
        <f t="shared" si="69"/>
        <v>5.3548826793885698E-3</v>
      </c>
      <c r="AB111" s="2001">
        <f t="shared" si="70"/>
        <v>2.4376886379125693E-2</v>
      </c>
      <c r="AC111" s="2002">
        <f t="shared" si="71"/>
        <v>0.19385892318177392</v>
      </c>
      <c r="AD111" s="341">
        <f t="shared" si="72"/>
        <v>0.66124281958913445</v>
      </c>
      <c r="AE111" s="2003">
        <f t="shared" si="73"/>
        <v>0.14489825722909161</v>
      </c>
      <c r="AF111" s="1999">
        <v>3704</v>
      </c>
      <c r="AG111" s="107">
        <f t="shared" si="74"/>
        <v>4.5078376010125598E-2</v>
      </c>
    </row>
    <row r="112" spans="1:33" x14ac:dyDescent="0.3">
      <c r="A112" s="105" t="s">
        <v>141</v>
      </c>
      <c r="B112" s="105" t="s">
        <v>142</v>
      </c>
      <c r="C112" s="105" t="s">
        <v>254</v>
      </c>
      <c r="D112" s="105">
        <v>2</v>
      </c>
      <c r="E112" s="1999">
        <v>41085</v>
      </c>
      <c r="F112" s="1999">
        <f t="shared" si="59"/>
        <v>20650</v>
      </c>
      <c r="G112" s="1427">
        <f t="shared" si="60"/>
        <v>20435</v>
      </c>
      <c r="H112" s="338">
        <v>30015</v>
      </c>
      <c r="I112" s="338">
        <v>6327</v>
      </c>
      <c r="J112" s="338">
        <v>2604</v>
      </c>
      <c r="K112" s="338">
        <v>656</v>
      </c>
      <c r="L112" s="1427">
        <v>1483</v>
      </c>
      <c r="M112" s="1999">
        <f t="shared" si="61"/>
        <v>11023</v>
      </c>
      <c r="N112" s="338">
        <f t="shared" si="62"/>
        <v>25624</v>
      </c>
      <c r="O112" s="1427">
        <f t="shared" si="63"/>
        <v>4438</v>
      </c>
      <c r="P112" s="1999">
        <v>5725</v>
      </c>
      <c r="Q112" s="338">
        <v>12908</v>
      </c>
      <c r="R112" s="338">
        <v>2017</v>
      </c>
      <c r="S112" s="1999">
        <v>5298</v>
      </c>
      <c r="T112" s="338">
        <v>12716</v>
      </c>
      <c r="U112" s="1427">
        <v>2421</v>
      </c>
      <c r="V112" s="790">
        <f t="shared" si="64"/>
        <v>0.50261652671291224</v>
      </c>
      <c r="W112" s="790">
        <f t="shared" si="65"/>
        <v>0.49738347328708776</v>
      </c>
      <c r="X112" s="2000">
        <f t="shared" si="66"/>
        <v>0.73055859802847756</v>
      </c>
      <c r="Y112" s="790">
        <f t="shared" si="67"/>
        <v>0.15399780941949617</v>
      </c>
      <c r="Z112" s="790">
        <f t="shared" si="68"/>
        <v>6.3380795910916388E-2</v>
      </c>
      <c r="AA112" s="790">
        <f t="shared" si="69"/>
        <v>1.5966897894608739E-2</v>
      </c>
      <c r="AB112" s="2001">
        <f t="shared" si="70"/>
        <v>3.6095898746501154E-2</v>
      </c>
      <c r="AC112" s="2002">
        <f t="shared" si="71"/>
        <v>0.26829743215285384</v>
      </c>
      <c r="AD112" s="341">
        <f t="shared" si="72"/>
        <v>0.62368260922477792</v>
      </c>
      <c r="AE112" s="2003">
        <f t="shared" si="73"/>
        <v>0.10801995862236827</v>
      </c>
      <c r="AF112" s="1999">
        <v>15656</v>
      </c>
      <c r="AG112" s="107">
        <f t="shared" si="74"/>
        <v>0.38106364853352803</v>
      </c>
    </row>
    <row r="113" spans="1:33" x14ac:dyDescent="0.3">
      <c r="A113" s="105" t="s">
        <v>143</v>
      </c>
      <c r="B113" s="105" t="s">
        <v>144</v>
      </c>
      <c r="C113" s="105" t="s">
        <v>254</v>
      </c>
      <c r="D113" s="105">
        <v>1</v>
      </c>
      <c r="E113" s="1999">
        <v>17478</v>
      </c>
      <c r="F113" s="1999">
        <f t="shared" si="59"/>
        <v>8965</v>
      </c>
      <c r="G113" s="1427">
        <f t="shared" si="60"/>
        <v>8513</v>
      </c>
      <c r="H113" s="338">
        <v>11782</v>
      </c>
      <c r="I113" s="338">
        <v>2730</v>
      </c>
      <c r="J113" s="338">
        <v>2013</v>
      </c>
      <c r="K113" s="338">
        <v>339</v>
      </c>
      <c r="L113" s="1427">
        <v>614</v>
      </c>
      <c r="M113" s="1999">
        <f t="shared" si="61"/>
        <v>3940</v>
      </c>
      <c r="N113" s="338">
        <f t="shared" si="62"/>
        <v>12014</v>
      </c>
      <c r="O113" s="1427">
        <f t="shared" si="63"/>
        <v>1524</v>
      </c>
      <c r="P113" s="1999">
        <v>2035</v>
      </c>
      <c r="Q113" s="338">
        <v>6267</v>
      </c>
      <c r="R113" s="338">
        <v>663</v>
      </c>
      <c r="S113" s="1999">
        <v>1905</v>
      </c>
      <c r="T113" s="338">
        <v>5747</v>
      </c>
      <c r="U113" s="1427">
        <v>861</v>
      </c>
      <c r="V113" s="790">
        <f t="shared" si="64"/>
        <v>0.51293054125185944</v>
      </c>
      <c r="W113" s="790">
        <f t="shared" si="65"/>
        <v>0.4870694587481405</v>
      </c>
      <c r="X113" s="2000">
        <f t="shared" si="66"/>
        <v>0.67410458862570088</v>
      </c>
      <c r="Y113" s="790">
        <f t="shared" si="67"/>
        <v>0.15619636113971849</v>
      </c>
      <c r="Z113" s="790">
        <f t="shared" si="68"/>
        <v>0.1151733607964298</v>
      </c>
      <c r="AA113" s="790">
        <f t="shared" si="69"/>
        <v>1.9395811877789222E-2</v>
      </c>
      <c r="AB113" s="2001">
        <f t="shared" si="70"/>
        <v>3.5129877560361594E-2</v>
      </c>
      <c r="AC113" s="2002">
        <f t="shared" si="71"/>
        <v>0.22542625014303697</v>
      </c>
      <c r="AD113" s="341">
        <f t="shared" si="72"/>
        <v>0.68737841858336191</v>
      </c>
      <c r="AE113" s="2003">
        <f t="shared" si="73"/>
        <v>8.7195331273601101E-2</v>
      </c>
      <c r="AF113" s="1999">
        <v>7174</v>
      </c>
      <c r="AG113" s="107">
        <f t="shared" si="74"/>
        <v>0.41045886257008812</v>
      </c>
    </row>
    <row r="114" spans="1:33" x14ac:dyDescent="0.3">
      <c r="A114" s="105" t="s">
        <v>157</v>
      </c>
      <c r="B114" s="105" t="s">
        <v>158</v>
      </c>
      <c r="C114" s="105" t="s">
        <v>251</v>
      </c>
      <c r="D114" s="105">
        <v>3</v>
      </c>
      <c r="E114" s="1999">
        <v>179225</v>
      </c>
      <c r="F114" s="1999">
        <f t="shared" si="59"/>
        <v>86420</v>
      </c>
      <c r="G114" s="1427">
        <f t="shared" si="60"/>
        <v>92805</v>
      </c>
      <c r="H114" s="338">
        <v>87199</v>
      </c>
      <c r="I114" s="338">
        <v>76738</v>
      </c>
      <c r="J114" s="338">
        <v>5923</v>
      </c>
      <c r="K114" s="338">
        <v>1488</v>
      </c>
      <c r="L114" s="1427">
        <v>7877</v>
      </c>
      <c r="M114" s="1999">
        <f t="shared" si="61"/>
        <v>41482</v>
      </c>
      <c r="N114" s="338">
        <f t="shared" si="62"/>
        <v>113851</v>
      </c>
      <c r="O114" s="1427">
        <f t="shared" si="63"/>
        <v>23892</v>
      </c>
      <c r="P114" s="1999">
        <v>21257</v>
      </c>
      <c r="Q114" s="338">
        <v>55452</v>
      </c>
      <c r="R114" s="338">
        <v>9711</v>
      </c>
      <c r="S114" s="1999">
        <v>20225</v>
      </c>
      <c r="T114" s="338">
        <v>58399</v>
      </c>
      <c r="U114" s="1427">
        <v>14181</v>
      </c>
      <c r="V114" s="790">
        <f t="shared" si="64"/>
        <v>0.48218719486678757</v>
      </c>
      <c r="W114" s="790">
        <f t="shared" si="65"/>
        <v>0.51781280513321248</v>
      </c>
      <c r="X114" s="2000">
        <f t="shared" si="66"/>
        <v>0.48653368670665365</v>
      </c>
      <c r="Y114" s="790">
        <f t="shared" si="67"/>
        <v>0.42816571348863158</v>
      </c>
      <c r="Z114" s="790">
        <f t="shared" si="68"/>
        <v>3.3047844887710981E-2</v>
      </c>
      <c r="AA114" s="790">
        <f t="shared" si="69"/>
        <v>8.3024131678058298E-3</v>
      </c>
      <c r="AB114" s="2001">
        <f t="shared" si="70"/>
        <v>4.3950341749197937E-2</v>
      </c>
      <c r="AC114" s="2002">
        <f t="shared" si="71"/>
        <v>0.23145208536755474</v>
      </c>
      <c r="AD114" s="341">
        <f t="shared" si="72"/>
        <v>0.63524061933324039</v>
      </c>
      <c r="AE114" s="2003">
        <f t="shared" si="73"/>
        <v>0.1333072952992049</v>
      </c>
      <c r="AF114" s="1999">
        <v>16878</v>
      </c>
      <c r="AG114" s="107">
        <f t="shared" si="74"/>
        <v>9.4172130004184687E-2</v>
      </c>
    </row>
    <row r="115" spans="1:33" x14ac:dyDescent="0.3">
      <c r="A115" s="105" t="s">
        <v>159</v>
      </c>
      <c r="B115" s="105" t="s">
        <v>160</v>
      </c>
      <c r="C115" s="105" t="s">
        <v>251</v>
      </c>
      <c r="D115" s="105">
        <v>3</v>
      </c>
      <c r="E115" s="1999">
        <v>242742</v>
      </c>
      <c r="F115" s="1999">
        <f t="shared" si="59"/>
        <v>126567</v>
      </c>
      <c r="G115" s="1427">
        <f t="shared" si="60"/>
        <v>116175</v>
      </c>
      <c r="H115" s="338">
        <v>119740</v>
      </c>
      <c r="I115" s="338">
        <v>102172</v>
      </c>
      <c r="J115" s="338">
        <v>9333</v>
      </c>
      <c r="K115" s="338">
        <v>2118</v>
      </c>
      <c r="L115" s="1427">
        <v>9379</v>
      </c>
      <c r="M115" s="1999">
        <f t="shared" si="61"/>
        <v>47017</v>
      </c>
      <c r="N115" s="338">
        <f t="shared" si="62"/>
        <v>167618</v>
      </c>
      <c r="O115" s="1427">
        <f t="shared" si="63"/>
        <v>28107</v>
      </c>
      <c r="P115" s="1999">
        <v>23785</v>
      </c>
      <c r="Q115" s="338">
        <v>90916</v>
      </c>
      <c r="R115" s="338">
        <v>11866</v>
      </c>
      <c r="S115" s="1999">
        <v>23232</v>
      </c>
      <c r="T115" s="338">
        <v>76702</v>
      </c>
      <c r="U115" s="1427">
        <v>16241</v>
      </c>
      <c r="V115" s="790">
        <f t="shared" si="64"/>
        <v>0.52140544281582912</v>
      </c>
      <c r="W115" s="790">
        <f t="shared" si="65"/>
        <v>0.47859455718417082</v>
      </c>
      <c r="X115" s="2000">
        <f t="shared" si="66"/>
        <v>0.49328093201835693</v>
      </c>
      <c r="Y115" s="790">
        <f t="shared" si="67"/>
        <v>0.42090779510756277</v>
      </c>
      <c r="Z115" s="790">
        <f t="shared" si="68"/>
        <v>3.8448228983859405E-2</v>
      </c>
      <c r="AA115" s="790">
        <f t="shared" si="69"/>
        <v>8.7253132955977947E-3</v>
      </c>
      <c r="AB115" s="2001">
        <f t="shared" si="70"/>
        <v>3.8637730594623096E-2</v>
      </c>
      <c r="AC115" s="2002">
        <f t="shared" si="71"/>
        <v>0.19369124420166267</v>
      </c>
      <c r="AD115" s="341">
        <f t="shared" si="72"/>
        <v>0.69051915202148784</v>
      </c>
      <c r="AE115" s="2003">
        <f t="shared" si="73"/>
        <v>0.11578960377684949</v>
      </c>
      <c r="AF115" s="1999">
        <v>20535</v>
      </c>
      <c r="AG115" s="107">
        <f t="shared" si="74"/>
        <v>8.4595990805052285E-2</v>
      </c>
    </row>
    <row r="116" spans="1:33" x14ac:dyDescent="0.3">
      <c r="A116" s="105" t="s">
        <v>165</v>
      </c>
      <c r="B116" s="105" t="s">
        <v>166</v>
      </c>
      <c r="C116" s="105" t="s">
        <v>255</v>
      </c>
      <c r="D116" s="105">
        <v>1</v>
      </c>
      <c r="E116" s="1999">
        <v>3981</v>
      </c>
      <c r="F116" s="1999">
        <f t="shared" si="59"/>
        <v>1864</v>
      </c>
      <c r="G116" s="1427">
        <f t="shared" si="60"/>
        <v>2117</v>
      </c>
      <c r="H116" s="338">
        <v>3571</v>
      </c>
      <c r="I116" s="338">
        <v>235</v>
      </c>
      <c r="J116" s="338">
        <v>72</v>
      </c>
      <c r="K116" s="338">
        <v>16</v>
      </c>
      <c r="L116" s="1427">
        <v>87</v>
      </c>
      <c r="M116" s="1999">
        <f t="shared" si="61"/>
        <v>860</v>
      </c>
      <c r="N116" s="338">
        <f t="shared" si="62"/>
        <v>2375</v>
      </c>
      <c r="O116" s="1427">
        <f t="shared" si="63"/>
        <v>746</v>
      </c>
      <c r="P116" s="1999">
        <v>414</v>
      </c>
      <c r="Q116" s="338">
        <v>1178</v>
      </c>
      <c r="R116" s="338">
        <v>272</v>
      </c>
      <c r="S116" s="1999">
        <v>446</v>
      </c>
      <c r="T116" s="338">
        <v>1197</v>
      </c>
      <c r="U116" s="1427">
        <v>474</v>
      </c>
      <c r="V116" s="790">
        <f t="shared" si="64"/>
        <v>0.46822406430545088</v>
      </c>
      <c r="W116" s="790">
        <f t="shared" si="65"/>
        <v>0.53177593569454906</v>
      </c>
      <c r="X116" s="2000">
        <f t="shared" si="66"/>
        <v>0.89701080130620447</v>
      </c>
      <c r="Y116" s="790">
        <f t="shared" si="67"/>
        <v>5.9030394373273044E-2</v>
      </c>
      <c r="Z116" s="790">
        <f t="shared" si="68"/>
        <v>1.8085908063300678E-2</v>
      </c>
      <c r="AA116" s="790">
        <f t="shared" si="69"/>
        <v>4.0190906807334838E-3</v>
      </c>
      <c r="AB116" s="2001">
        <f t="shared" si="70"/>
        <v>2.1853805576488319E-2</v>
      </c>
      <c r="AC116" s="2002">
        <f t="shared" si="71"/>
        <v>0.21602612408942476</v>
      </c>
      <c r="AD116" s="341">
        <f t="shared" si="72"/>
        <v>0.59658377292137654</v>
      </c>
      <c r="AE116" s="2003">
        <f t="shared" si="73"/>
        <v>0.1873901029891987</v>
      </c>
      <c r="AF116" s="1999">
        <v>153</v>
      </c>
      <c r="AG116" s="107">
        <f t="shared" si="74"/>
        <v>3.8432554634513942E-2</v>
      </c>
    </row>
    <row r="117" spans="1:33" x14ac:dyDescent="0.3">
      <c r="A117" s="105" t="s">
        <v>175</v>
      </c>
      <c r="B117" s="105" t="s">
        <v>176</v>
      </c>
      <c r="C117" s="105" t="s">
        <v>253</v>
      </c>
      <c r="D117" s="105">
        <v>3</v>
      </c>
      <c r="E117" s="1999">
        <v>31346</v>
      </c>
      <c r="F117" s="1999">
        <f t="shared" si="59"/>
        <v>14347</v>
      </c>
      <c r="G117" s="1427">
        <f t="shared" si="60"/>
        <v>16999</v>
      </c>
      <c r="H117" s="338">
        <v>5750</v>
      </c>
      <c r="I117" s="338">
        <v>24128</v>
      </c>
      <c r="J117" s="338">
        <v>361</v>
      </c>
      <c r="K117" s="338">
        <v>216</v>
      </c>
      <c r="L117" s="1427">
        <v>891</v>
      </c>
      <c r="M117" s="1999">
        <f t="shared" si="61"/>
        <v>7071</v>
      </c>
      <c r="N117" s="338">
        <f t="shared" si="62"/>
        <v>18945</v>
      </c>
      <c r="O117" s="1427">
        <f t="shared" si="63"/>
        <v>5330</v>
      </c>
      <c r="P117" s="1999">
        <v>3577</v>
      </c>
      <c r="Q117" s="338">
        <v>8743</v>
      </c>
      <c r="R117" s="338">
        <v>2027</v>
      </c>
      <c r="S117" s="1999">
        <v>3494</v>
      </c>
      <c r="T117" s="338">
        <v>10202</v>
      </c>
      <c r="U117" s="1427">
        <v>3303</v>
      </c>
      <c r="V117" s="790">
        <f t="shared" si="64"/>
        <v>0.45769795189178841</v>
      </c>
      <c r="W117" s="790">
        <f t="shared" si="65"/>
        <v>0.54230204810821159</v>
      </c>
      <c r="X117" s="2000">
        <f t="shared" si="66"/>
        <v>0.18343648312384356</v>
      </c>
      <c r="Y117" s="790">
        <f t="shared" si="67"/>
        <v>0.76973138518471251</v>
      </c>
      <c r="Z117" s="790">
        <f t="shared" si="68"/>
        <v>1.1516620940470873E-2</v>
      </c>
      <c r="AA117" s="790">
        <f t="shared" si="69"/>
        <v>6.8908313660435141E-3</v>
      </c>
      <c r="AB117" s="2001">
        <f t="shared" si="70"/>
        <v>2.8424679384929496E-2</v>
      </c>
      <c r="AC117" s="2002">
        <f t="shared" si="71"/>
        <v>0.22557902124673004</v>
      </c>
      <c r="AD117" s="341">
        <f t="shared" si="72"/>
        <v>0.6043833343967332</v>
      </c>
      <c r="AE117" s="2003">
        <f t="shared" si="73"/>
        <v>0.17003764435653673</v>
      </c>
      <c r="AF117" s="1999">
        <v>1610</v>
      </c>
      <c r="AG117" s="107">
        <f t="shared" si="74"/>
        <v>5.1362215274676194E-2</v>
      </c>
    </row>
    <row r="118" spans="1:33" x14ac:dyDescent="0.3">
      <c r="A118" s="105" t="s">
        <v>179</v>
      </c>
      <c r="B118" s="105" t="s">
        <v>180</v>
      </c>
      <c r="C118" s="105" t="s">
        <v>251</v>
      </c>
      <c r="D118" s="105">
        <v>3</v>
      </c>
      <c r="E118" s="1999">
        <v>94398</v>
      </c>
      <c r="F118" s="1999">
        <f t="shared" si="59"/>
        <v>45256</v>
      </c>
      <c r="G118" s="1427">
        <f t="shared" si="60"/>
        <v>49142</v>
      </c>
      <c r="H118" s="338">
        <v>37938</v>
      </c>
      <c r="I118" s="338">
        <v>51441</v>
      </c>
      <c r="J118" s="338">
        <v>1407</v>
      </c>
      <c r="K118" s="338">
        <v>678</v>
      </c>
      <c r="L118" s="1427">
        <v>2934</v>
      </c>
      <c r="M118" s="1999">
        <f t="shared" si="61"/>
        <v>21790</v>
      </c>
      <c r="N118" s="338">
        <f t="shared" si="62"/>
        <v>58316</v>
      </c>
      <c r="O118" s="1427">
        <f t="shared" si="63"/>
        <v>14292</v>
      </c>
      <c r="P118" s="1999">
        <v>11057</v>
      </c>
      <c r="Q118" s="338">
        <v>28369</v>
      </c>
      <c r="R118" s="338">
        <v>5830</v>
      </c>
      <c r="S118" s="1999">
        <v>10733</v>
      </c>
      <c r="T118" s="338">
        <v>29947</v>
      </c>
      <c r="U118" s="1427">
        <v>8462</v>
      </c>
      <c r="V118" s="790">
        <f t="shared" si="64"/>
        <v>0.47941693679950848</v>
      </c>
      <c r="W118" s="790">
        <f t="shared" si="65"/>
        <v>0.52058306320049152</v>
      </c>
      <c r="X118" s="2000">
        <f t="shared" si="66"/>
        <v>0.40189410792601538</v>
      </c>
      <c r="Y118" s="790">
        <f t="shared" si="67"/>
        <v>0.54493739274137165</v>
      </c>
      <c r="Z118" s="790">
        <f t="shared" si="68"/>
        <v>1.490497680035594E-2</v>
      </c>
      <c r="AA118" s="790">
        <f t="shared" si="69"/>
        <v>7.1823555583804743E-3</v>
      </c>
      <c r="AB118" s="2001">
        <f t="shared" si="70"/>
        <v>3.1081166973876567E-2</v>
      </c>
      <c r="AC118" s="2002">
        <f t="shared" si="71"/>
        <v>0.23083116167715417</v>
      </c>
      <c r="AD118" s="341">
        <f t="shared" si="72"/>
        <v>0.61776732557893177</v>
      </c>
      <c r="AE118" s="2003">
        <f t="shared" si="73"/>
        <v>0.15140151274391406</v>
      </c>
      <c r="AF118" s="1999">
        <v>4438</v>
      </c>
      <c r="AG118" s="107">
        <f t="shared" si="74"/>
        <v>4.7013707917540629E-2</v>
      </c>
    </row>
    <row r="119" spans="1:33" x14ac:dyDescent="0.3">
      <c r="A119" s="105" t="s">
        <v>191</v>
      </c>
      <c r="B119" s="105" t="s">
        <v>192</v>
      </c>
      <c r="C119" s="105" t="s">
        <v>255</v>
      </c>
      <c r="D119" s="105">
        <v>1</v>
      </c>
      <c r="E119" s="1999">
        <v>18249</v>
      </c>
      <c r="F119" s="1999">
        <f t="shared" si="59"/>
        <v>8593</v>
      </c>
      <c r="G119" s="1427">
        <f t="shared" si="60"/>
        <v>9656</v>
      </c>
      <c r="H119" s="338">
        <v>15652</v>
      </c>
      <c r="I119" s="338">
        <v>1702</v>
      </c>
      <c r="J119" s="338">
        <v>379</v>
      </c>
      <c r="K119" s="338">
        <v>54</v>
      </c>
      <c r="L119" s="1427">
        <v>462</v>
      </c>
      <c r="M119" s="1999">
        <f t="shared" si="61"/>
        <v>2288</v>
      </c>
      <c r="N119" s="338">
        <f t="shared" si="62"/>
        <v>14239</v>
      </c>
      <c r="O119" s="1427">
        <f t="shared" si="63"/>
        <v>1722</v>
      </c>
      <c r="P119" s="1999">
        <v>1155</v>
      </c>
      <c r="Q119" s="338">
        <v>6689</v>
      </c>
      <c r="R119" s="338">
        <v>749</v>
      </c>
      <c r="S119" s="1999">
        <v>1133</v>
      </c>
      <c r="T119" s="338">
        <v>7550</v>
      </c>
      <c r="U119" s="1427">
        <v>973</v>
      </c>
      <c r="V119" s="790">
        <f t="shared" si="64"/>
        <v>0.47087511644473667</v>
      </c>
      <c r="W119" s="790">
        <f t="shared" si="65"/>
        <v>0.52912488355526333</v>
      </c>
      <c r="X119" s="2000">
        <f t="shared" si="66"/>
        <v>0.85769083237437671</v>
      </c>
      <c r="Y119" s="790">
        <f t="shared" si="67"/>
        <v>9.326538440462491E-2</v>
      </c>
      <c r="Z119" s="790">
        <f t="shared" si="68"/>
        <v>2.0768261274590388E-2</v>
      </c>
      <c r="AA119" s="790">
        <f t="shared" si="69"/>
        <v>2.9590662502054907E-3</v>
      </c>
      <c r="AB119" s="2001">
        <f t="shared" si="70"/>
        <v>2.5316455696202531E-2</v>
      </c>
      <c r="AC119" s="2002">
        <f t="shared" si="71"/>
        <v>0.12537673297166968</v>
      </c>
      <c r="AD119" s="341">
        <f t="shared" si="72"/>
        <v>0.7802619321606663</v>
      </c>
      <c r="AE119" s="2003">
        <f t="shared" si="73"/>
        <v>9.4361334867663987E-2</v>
      </c>
      <c r="AF119" s="1999">
        <v>550</v>
      </c>
      <c r="AG119" s="107">
        <f t="shared" si="74"/>
        <v>3.0138637733574444E-2</v>
      </c>
    </row>
    <row r="120" spans="1:33" x14ac:dyDescent="0.3">
      <c r="A120" s="105" t="s">
        <v>195</v>
      </c>
      <c r="B120" s="105" t="s">
        <v>285</v>
      </c>
      <c r="C120" s="105" t="s">
        <v>253</v>
      </c>
      <c r="D120" s="105">
        <v>3</v>
      </c>
      <c r="E120" s="1999">
        <v>230436</v>
      </c>
      <c r="F120" s="1999">
        <f t="shared" si="59"/>
        <v>109317</v>
      </c>
      <c r="G120" s="1427">
        <f t="shared" si="60"/>
        <v>121119</v>
      </c>
      <c r="H120" s="338">
        <v>109958</v>
      </c>
      <c r="I120" s="338">
        <v>108057</v>
      </c>
      <c r="J120" s="338">
        <v>5361</v>
      </c>
      <c r="K120" s="338">
        <v>1551</v>
      </c>
      <c r="L120" s="1427">
        <v>5509</v>
      </c>
      <c r="M120" s="1999">
        <f t="shared" si="61"/>
        <v>39686</v>
      </c>
      <c r="N120" s="338">
        <f t="shared" si="62"/>
        <v>158941</v>
      </c>
      <c r="O120" s="1427">
        <f t="shared" si="63"/>
        <v>31809</v>
      </c>
      <c r="P120" s="1999">
        <v>20124</v>
      </c>
      <c r="Q120" s="338">
        <v>75814</v>
      </c>
      <c r="R120" s="338">
        <v>13379</v>
      </c>
      <c r="S120" s="1999">
        <v>19562</v>
      </c>
      <c r="T120" s="338">
        <v>83127</v>
      </c>
      <c r="U120" s="1427">
        <v>18430</v>
      </c>
      <c r="V120" s="790">
        <f t="shared" si="64"/>
        <v>0.47439202207988335</v>
      </c>
      <c r="W120" s="790">
        <f t="shared" si="65"/>
        <v>0.5256079779201166</v>
      </c>
      <c r="X120" s="2000">
        <f t="shared" si="66"/>
        <v>0.4771737054974049</v>
      </c>
      <c r="Y120" s="790">
        <f t="shared" si="67"/>
        <v>0.46892412643857728</v>
      </c>
      <c r="Z120" s="790">
        <f t="shared" si="68"/>
        <v>2.3264594073842629E-2</v>
      </c>
      <c r="AA120" s="790">
        <f t="shared" si="69"/>
        <v>6.7307191584648233E-3</v>
      </c>
      <c r="AB120" s="2001">
        <f t="shared" si="70"/>
        <v>2.3906854831710324E-2</v>
      </c>
      <c r="AC120" s="2002">
        <f t="shared" si="71"/>
        <v>0.17222135430227917</v>
      </c>
      <c r="AD120" s="341">
        <f t="shared" si="72"/>
        <v>0.68974031835303506</v>
      </c>
      <c r="AE120" s="2003">
        <f t="shared" si="73"/>
        <v>0.13803832734468571</v>
      </c>
      <c r="AF120" s="1999">
        <v>16805</v>
      </c>
      <c r="AG120" s="107">
        <f t="shared" si="74"/>
        <v>7.2926973215990551E-2</v>
      </c>
    </row>
    <row r="121" spans="1:33" x14ac:dyDescent="0.3">
      <c r="A121" s="105" t="s">
        <v>199</v>
      </c>
      <c r="B121" s="105" t="s">
        <v>286</v>
      </c>
      <c r="C121" s="105" t="s">
        <v>252</v>
      </c>
      <c r="D121" s="105">
        <v>3</v>
      </c>
      <c r="E121" s="1999">
        <v>99143</v>
      </c>
      <c r="F121" s="1999">
        <f t="shared" si="59"/>
        <v>47300</v>
      </c>
      <c r="G121" s="1427">
        <f t="shared" si="60"/>
        <v>51843</v>
      </c>
      <c r="H121" s="338">
        <v>62703</v>
      </c>
      <c r="I121" s="338">
        <v>29205</v>
      </c>
      <c r="J121" s="338">
        <v>3529</v>
      </c>
      <c r="K121" s="338">
        <v>523</v>
      </c>
      <c r="L121" s="1427">
        <v>3183</v>
      </c>
      <c r="M121" s="1999">
        <f t="shared" si="61"/>
        <v>22083</v>
      </c>
      <c r="N121" s="338">
        <f t="shared" si="62"/>
        <v>60309</v>
      </c>
      <c r="O121" s="1427">
        <f t="shared" si="63"/>
        <v>16751</v>
      </c>
      <c r="P121" s="1999">
        <v>11235</v>
      </c>
      <c r="Q121" s="338">
        <v>29289</v>
      </c>
      <c r="R121" s="338">
        <v>6776</v>
      </c>
      <c r="S121" s="1999">
        <v>10848</v>
      </c>
      <c r="T121" s="338">
        <v>31020</v>
      </c>
      <c r="U121" s="1427">
        <v>9975</v>
      </c>
      <c r="V121" s="790">
        <f t="shared" si="64"/>
        <v>0.47708864972817044</v>
      </c>
      <c r="W121" s="790">
        <f t="shared" si="65"/>
        <v>0.52291135027182956</v>
      </c>
      <c r="X121" s="2000">
        <f t="shared" si="66"/>
        <v>0.63245009733415369</v>
      </c>
      <c r="Y121" s="790">
        <f t="shared" si="67"/>
        <v>0.29457450349495173</v>
      </c>
      <c r="Z121" s="790">
        <f t="shared" si="68"/>
        <v>3.559504957485652E-2</v>
      </c>
      <c r="AA121" s="790">
        <f t="shared" si="69"/>
        <v>5.2752085371634908E-3</v>
      </c>
      <c r="AB121" s="2001">
        <f t="shared" si="70"/>
        <v>3.2105141058874555E-2</v>
      </c>
      <c r="AC121" s="2002">
        <f t="shared" si="71"/>
        <v>0.22273887213419</v>
      </c>
      <c r="AD121" s="341">
        <f t="shared" si="72"/>
        <v>0.60830315806461377</v>
      </c>
      <c r="AE121" s="2003">
        <f t="shared" si="73"/>
        <v>0.16895796980119626</v>
      </c>
      <c r="AF121" s="1999">
        <v>6640</v>
      </c>
      <c r="AG121" s="107">
        <f t="shared" si="74"/>
        <v>6.6973966896301307E-2</v>
      </c>
    </row>
    <row r="122" spans="1:33" x14ac:dyDescent="0.3">
      <c r="A122" s="105" t="s">
        <v>221</v>
      </c>
      <c r="B122" s="105" t="s">
        <v>222</v>
      </c>
      <c r="C122" s="105" t="s">
        <v>251</v>
      </c>
      <c r="D122" s="105">
        <v>3</v>
      </c>
      <c r="E122" s="1999">
        <v>92108</v>
      </c>
      <c r="F122" s="1999">
        <f t="shared" si="59"/>
        <v>44720</v>
      </c>
      <c r="G122" s="1427">
        <f t="shared" si="60"/>
        <v>47388</v>
      </c>
      <c r="H122" s="338">
        <v>47993</v>
      </c>
      <c r="I122" s="338">
        <v>39246</v>
      </c>
      <c r="J122" s="338">
        <v>1754</v>
      </c>
      <c r="K122" s="338">
        <v>475</v>
      </c>
      <c r="L122" s="1427">
        <v>2640</v>
      </c>
      <c r="M122" s="1999">
        <f t="shared" si="61"/>
        <v>21956</v>
      </c>
      <c r="N122" s="338">
        <f t="shared" si="62"/>
        <v>56448</v>
      </c>
      <c r="O122" s="1427">
        <f t="shared" si="63"/>
        <v>13704</v>
      </c>
      <c r="P122" s="1999">
        <v>11326</v>
      </c>
      <c r="Q122" s="338">
        <v>27419</v>
      </c>
      <c r="R122" s="338">
        <v>5975</v>
      </c>
      <c r="S122" s="1999">
        <v>10630</v>
      </c>
      <c r="T122" s="338">
        <v>29029</v>
      </c>
      <c r="U122" s="1427">
        <v>7729</v>
      </c>
      <c r="V122" s="790">
        <f t="shared" si="64"/>
        <v>0.48551700178051854</v>
      </c>
      <c r="W122" s="790">
        <f t="shared" si="65"/>
        <v>0.51448299821948151</v>
      </c>
      <c r="X122" s="2000">
        <f t="shared" si="66"/>
        <v>0.52105137447344418</v>
      </c>
      <c r="Y122" s="790">
        <f t="shared" si="67"/>
        <v>0.42608676770747383</v>
      </c>
      <c r="Z122" s="790">
        <f t="shared" si="68"/>
        <v>1.9042862726364702E-2</v>
      </c>
      <c r="AA122" s="790">
        <f t="shared" si="69"/>
        <v>5.156989620879837E-3</v>
      </c>
      <c r="AB122" s="2001">
        <f t="shared" si="70"/>
        <v>2.8662005471837407E-2</v>
      </c>
      <c r="AC122" s="2002">
        <f t="shared" si="71"/>
        <v>0.23837234550744779</v>
      </c>
      <c r="AD122" s="341">
        <f t="shared" si="72"/>
        <v>0.61284578972510528</v>
      </c>
      <c r="AE122" s="2003">
        <f t="shared" si="73"/>
        <v>0.1487818647674469</v>
      </c>
      <c r="AF122" s="1999">
        <v>4300</v>
      </c>
      <c r="AG122" s="107">
        <f t="shared" si="74"/>
        <v>4.668432709428063E-2</v>
      </c>
    </row>
    <row r="123" spans="1:33" x14ac:dyDescent="0.3">
      <c r="A123" s="105" t="s">
        <v>229</v>
      </c>
      <c r="B123" s="105" t="s">
        <v>230</v>
      </c>
      <c r="C123" s="105" t="s">
        <v>251</v>
      </c>
      <c r="D123" s="105">
        <v>3</v>
      </c>
      <c r="E123" s="1999">
        <v>449974</v>
      </c>
      <c r="F123" s="1999">
        <f t="shared" si="59"/>
        <v>220738</v>
      </c>
      <c r="G123" s="1427">
        <f t="shared" si="60"/>
        <v>229236</v>
      </c>
      <c r="H123" s="338">
        <v>303182</v>
      </c>
      <c r="I123" s="338">
        <v>91161</v>
      </c>
      <c r="J123" s="338">
        <v>33241</v>
      </c>
      <c r="K123" s="338">
        <v>2907</v>
      </c>
      <c r="L123" s="1427">
        <v>19483</v>
      </c>
      <c r="M123" s="1999">
        <f t="shared" si="61"/>
        <v>98974</v>
      </c>
      <c r="N123" s="338">
        <f t="shared" si="62"/>
        <v>284601</v>
      </c>
      <c r="O123" s="1427">
        <f t="shared" si="63"/>
        <v>66399</v>
      </c>
      <c r="P123" s="1999">
        <v>50685</v>
      </c>
      <c r="Q123" s="338">
        <v>141593</v>
      </c>
      <c r="R123" s="338">
        <v>28460</v>
      </c>
      <c r="S123" s="1999">
        <v>48289</v>
      </c>
      <c r="T123" s="338">
        <v>143008</v>
      </c>
      <c r="U123" s="1427">
        <v>37939</v>
      </c>
      <c r="V123" s="790">
        <f t="shared" si="64"/>
        <v>0.49055723219563796</v>
      </c>
      <c r="W123" s="790">
        <f t="shared" si="65"/>
        <v>0.50944276780436204</v>
      </c>
      <c r="X123" s="2000">
        <f t="shared" si="66"/>
        <v>0.67377670709863235</v>
      </c>
      <c r="Y123" s="790">
        <f t="shared" si="67"/>
        <v>0.20259170529852835</v>
      </c>
      <c r="Z123" s="790">
        <f t="shared" si="68"/>
        <v>7.3873157115744464E-2</v>
      </c>
      <c r="AA123" s="790">
        <f t="shared" si="69"/>
        <v>6.4603732660109253E-3</v>
      </c>
      <c r="AB123" s="2001">
        <f t="shared" si="70"/>
        <v>4.3298057221083888E-2</v>
      </c>
      <c r="AC123" s="2002">
        <f t="shared" si="71"/>
        <v>0.21995493072933103</v>
      </c>
      <c r="AD123" s="341">
        <f t="shared" si="72"/>
        <v>0.63248321014103037</v>
      </c>
      <c r="AE123" s="2003">
        <f t="shared" si="73"/>
        <v>0.1475618591296386</v>
      </c>
      <c r="AF123" s="1999">
        <v>38235</v>
      </c>
      <c r="AG123" s="107">
        <f t="shared" si="74"/>
        <v>8.4971576135510055E-2</v>
      </c>
    </row>
    <row r="124" spans="1:33" x14ac:dyDescent="0.3">
      <c r="A124" s="105" t="s">
        <v>237</v>
      </c>
      <c r="B124" s="105" t="s">
        <v>238</v>
      </c>
      <c r="C124" s="105" t="s">
        <v>251</v>
      </c>
      <c r="D124" s="105">
        <v>1</v>
      </c>
      <c r="E124" s="1999">
        <v>14954</v>
      </c>
      <c r="F124" s="1999">
        <f t="shared" si="59"/>
        <v>6881</v>
      </c>
      <c r="G124" s="1427">
        <f t="shared" si="60"/>
        <v>8073</v>
      </c>
      <c r="H124" s="338">
        <v>11013</v>
      </c>
      <c r="I124" s="338">
        <v>2391</v>
      </c>
      <c r="J124" s="338">
        <v>904</v>
      </c>
      <c r="K124" s="338">
        <v>104</v>
      </c>
      <c r="L124" s="1427">
        <v>542</v>
      </c>
      <c r="M124" s="1999">
        <f t="shared" si="61"/>
        <v>1633</v>
      </c>
      <c r="N124" s="338">
        <f t="shared" si="62"/>
        <v>10701</v>
      </c>
      <c r="O124" s="1427">
        <f t="shared" si="63"/>
        <v>2620</v>
      </c>
      <c r="P124" s="1999">
        <v>796</v>
      </c>
      <c r="Q124" s="338">
        <v>4904</v>
      </c>
      <c r="R124" s="338">
        <v>1181</v>
      </c>
      <c r="S124" s="1999">
        <v>837</v>
      </c>
      <c r="T124" s="338">
        <v>5797</v>
      </c>
      <c r="U124" s="1427">
        <v>1439</v>
      </c>
      <c r="V124" s="790">
        <f t="shared" si="64"/>
        <v>0.46014444295840579</v>
      </c>
      <c r="W124" s="790">
        <f t="shared" si="65"/>
        <v>0.53985555704159427</v>
      </c>
      <c r="X124" s="2000">
        <f t="shared" si="66"/>
        <v>0.7364584726494583</v>
      </c>
      <c r="Y124" s="790">
        <f t="shared" si="67"/>
        <v>0.1598903303463956</v>
      </c>
      <c r="Z124" s="790">
        <f t="shared" si="68"/>
        <v>6.0452052962418082E-2</v>
      </c>
      <c r="AA124" s="790">
        <f t="shared" si="69"/>
        <v>6.9546609602781865E-3</v>
      </c>
      <c r="AB124" s="2001">
        <f t="shared" si="70"/>
        <v>3.6244483081449778E-2</v>
      </c>
      <c r="AC124" s="2002">
        <f t="shared" si="71"/>
        <v>0.10920155142436806</v>
      </c>
      <c r="AD124" s="341">
        <f t="shared" si="72"/>
        <v>0.71559448976862383</v>
      </c>
      <c r="AE124" s="2003">
        <f t="shared" si="73"/>
        <v>0.17520395880700815</v>
      </c>
      <c r="AF124" s="1999">
        <v>1069</v>
      </c>
      <c r="AG124" s="107">
        <f t="shared" si="74"/>
        <v>7.1485890062859436E-2</v>
      </c>
    </row>
    <row r="125" spans="1:33" x14ac:dyDescent="0.3">
      <c r="A125" s="105" t="s">
        <v>239</v>
      </c>
      <c r="B125" s="105" t="s">
        <v>240</v>
      </c>
      <c r="C125" s="105" t="s">
        <v>254</v>
      </c>
      <c r="D125" s="105">
        <v>2</v>
      </c>
      <c r="E125" s="1999">
        <v>28078</v>
      </c>
      <c r="F125" s="1999">
        <f t="shared" si="59"/>
        <v>13812</v>
      </c>
      <c r="G125" s="1427">
        <f t="shared" si="60"/>
        <v>14266</v>
      </c>
      <c r="H125" s="338">
        <v>22862</v>
      </c>
      <c r="I125" s="338">
        <v>3174</v>
      </c>
      <c r="J125" s="338">
        <v>764</v>
      </c>
      <c r="K125" s="338">
        <v>279</v>
      </c>
      <c r="L125" s="1427">
        <v>999</v>
      </c>
      <c r="M125" s="1999">
        <f t="shared" si="61"/>
        <v>6310</v>
      </c>
      <c r="N125" s="338">
        <f t="shared" si="62"/>
        <v>17168</v>
      </c>
      <c r="O125" s="1427">
        <f t="shared" si="63"/>
        <v>4600</v>
      </c>
      <c r="P125" s="1999">
        <v>3289</v>
      </c>
      <c r="Q125" s="338">
        <v>8489</v>
      </c>
      <c r="R125" s="338">
        <v>2034</v>
      </c>
      <c r="S125" s="1999">
        <v>3021</v>
      </c>
      <c r="T125" s="338">
        <v>8679</v>
      </c>
      <c r="U125" s="1427">
        <v>2566</v>
      </c>
      <c r="V125" s="790">
        <f t="shared" si="64"/>
        <v>0.49191537858821854</v>
      </c>
      <c r="W125" s="790">
        <f t="shared" si="65"/>
        <v>0.50808462141178146</v>
      </c>
      <c r="X125" s="2000">
        <f t="shared" si="66"/>
        <v>0.81423178289051923</v>
      </c>
      <c r="Y125" s="790">
        <f t="shared" si="67"/>
        <v>0.11304223947574614</v>
      </c>
      <c r="Z125" s="790">
        <f t="shared" si="68"/>
        <v>2.7209915236127931E-2</v>
      </c>
      <c r="AA125" s="790">
        <f t="shared" si="69"/>
        <v>9.936605171308498E-3</v>
      </c>
      <c r="AB125" s="2001">
        <f t="shared" si="70"/>
        <v>3.557945722629817E-2</v>
      </c>
      <c r="AC125" s="2002">
        <f t="shared" si="71"/>
        <v>0.2247311062041456</v>
      </c>
      <c r="AD125" s="341">
        <f t="shared" si="72"/>
        <v>0.61143956122230925</v>
      </c>
      <c r="AE125" s="2003">
        <f t="shared" si="73"/>
        <v>0.16382933257354512</v>
      </c>
      <c r="AF125" s="1999">
        <v>5127</v>
      </c>
      <c r="AG125" s="107">
        <f t="shared" si="74"/>
        <v>0.18259847567490561</v>
      </c>
    </row>
    <row r="126" spans="1:33" x14ac:dyDescent="0.3">
      <c r="E126" s="106"/>
      <c r="F126" s="106"/>
      <c r="G126" s="106"/>
      <c r="H126" s="106"/>
      <c r="I126" s="106"/>
      <c r="J126" s="106"/>
      <c r="K126" s="106"/>
      <c r="L126" s="106"/>
      <c r="M126" s="106"/>
      <c r="N126" s="106"/>
      <c r="O126" s="106"/>
      <c r="P126" s="106"/>
      <c r="Q126" s="106"/>
      <c r="R126" s="106"/>
      <c r="S126" s="106"/>
      <c r="T126" s="106"/>
      <c r="U126" s="106"/>
      <c r="V126" s="106"/>
      <c r="W126" s="106"/>
      <c r="X126" s="338"/>
      <c r="Y126" s="338"/>
      <c r="Z126" s="338"/>
      <c r="AA126" s="338"/>
      <c r="AB126" s="338"/>
      <c r="AC126" s="338"/>
      <c r="AD126" s="338"/>
      <c r="AE126" s="1427"/>
      <c r="AF126" s="106"/>
    </row>
    <row r="127" spans="1:33" x14ac:dyDescent="0.3">
      <c r="A127" s="105" t="s">
        <v>253</v>
      </c>
      <c r="E127" s="640">
        <v>1420420</v>
      </c>
      <c r="F127" s="2004">
        <f>SUM(P127:R127)</f>
        <v>685553</v>
      </c>
      <c r="G127" s="1431">
        <f>SUM(S127:U127)</f>
        <v>734867</v>
      </c>
      <c r="H127" s="2004">
        <v>897718</v>
      </c>
      <c r="I127" s="1430">
        <v>421976</v>
      </c>
      <c r="J127" s="1430">
        <v>54874</v>
      </c>
      <c r="K127" s="1430">
        <v>9569</v>
      </c>
      <c r="L127" s="1431">
        <v>36283</v>
      </c>
      <c r="M127" s="2004">
        <f>P127+S127</f>
        <v>298504</v>
      </c>
      <c r="N127" s="1430">
        <f>Q127+T127</f>
        <v>879830</v>
      </c>
      <c r="O127" s="1431">
        <f>R127+U127</f>
        <v>242086</v>
      </c>
      <c r="P127" s="2004">
        <v>152827</v>
      </c>
      <c r="Q127" s="1430">
        <v>427318</v>
      </c>
      <c r="R127" s="1430">
        <v>105408</v>
      </c>
      <c r="S127" s="2004">
        <v>145677</v>
      </c>
      <c r="T127" s="1430">
        <v>452512</v>
      </c>
      <c r="U127" s="1431">
        <v>136678</v>
      </c>
      <c r="V127" s="1433">
        <f t="shared" ref="V127:V131" si="75">F127/E127</f>
        <v>0.48264104983033185</v>
      </c>
      <c r="W127" s="1433">
        <f t="shared" ref="W127:W131" si="76">G127/E127</f>
        <v>0.51735895016966815</v>
      </c>
      <c r="X127" s="2005">
        <f t="shared" ref="X127:X131" si="77">H127/E127</f>
        <v>0.63200884245504851</v>
      </c>
      <c r="Y127" s="1434">
        <f t="shared" ref="Y127:Y131" si="78">I127/E127</f>
        <v>0.29707832894495995</v>
      </c>
      <c r="Z127" s="1434">
        <f t="shared" ref="Z127:Z131" si="79">J127/E127</f>
        <v>3.8632235535968236E-2</v>
      </c>
      <c r="AA127" s="1434">
        <f t="shared" ref="AA127:AA131" si="80">K127/E127</f>
        <v>6.7367398375128484E-3</v>
      </c>
      <c r="AB127" s="2006">
        <f t="shared" ref="AB127:AB131" si="81">L127/E127</f>
        <v>2.5543853226510468E-2</v>
      </c>
      <c r="AC127" s="2007">
        <f>M127/E127</f>
        <v>0.21015192689486209</v>
      </c>
      <c r="AD127" s="641">
        <f>N127/E127</f>
        <v>0.61941538418214326</v>
      </c>
      <c r="AE127" s="2008">
        <f>O127/E127</f>
        <v>0.1704326889229946</v>
      </c>
      <c r="AF127" s="640">
        <v>90263</v>
      </c>
      <c r="AG127" s="2009">
        <f>AF127/E127</f>
        <v>6.3546697455682116E-2</v>
      </c>
    </row>
    <row r="128" spans="1:33" x14ac:dyDescent="0.3">
      <c r="A128" s="105" t="s">
        <v>251</v>
      </c>
      <c r="E128" s="640">
        <v>1880126</v>
      </c>
      <c r="F128" s="2004">
        <f t="shared" ref="F128:F131" si="82">SUM(P128:R128)</f>
        <v>929085</v>
      </c>
      <c r="G128" s="1431">
        <f t="shared" ref="G128:G131" si="83">SUM(S128:U128)</f>
        <v>951041</v>
      </c>
      <c r="H128" s="2004">
        <v>1111238</v>
      </c>
      <c r="I128" s="1430">
        <v>613244</v>
      </c>
      <c r="J128" s="1430">
        <v>73635</v>
      </c>
      <c r="K128" s="1430">
        <v>13154</v>
      </c>
      <c r="L128" s="1431">
        <v>68855</v>
      </c>
      <c r="M128" s="2004">
        <f t="shared" ref="M128:M131" si="84">P128+S128</f>
        <v>407606</v>
      </c>
      <c r="N128" s="1430">
        <f t="shared" ref="N128:N131" si="85">Q128+T128</f>
        <v>1180812</v>
      </c>
      <c r="O128" s="1431">
        <f t="shared" ref="O128:O131" si="86">R128+U128</f>
        <v>291708</v>
      </c>
      <c r="P128" s="2004">
        <v>208023</v>
      </c>
      <c r="Q128" s="1430">
        <v>594620</v>
      </c>
      <c r="R128" s="1430">
        <v>126442</v>
      </c>
      <c r="S128" s="2004">
        <v>199583</v>
      </c>
      <c r="T128" s="1430">
        <v>586192</v>
      </c>
      <c r="U128" s="1431">
        <v>165266</v>
      </c>
      <c r="V128" s="1433">
        <f t="shared" si="75"/>
        <v>0.49416102963312031</v>
      </c>
      <c r="W128" s="1433">
        <f t="shared" si="76"/>
        <v>0.50583897036687964</v>
      </c>
      <c r="X128" s="2005">
        <f t="shared" si="77"/>
        <v>0.59104443000096807</v>
      </c>
      <c r="Y128" s="1434">
        <f t="shared" si="78"/>
        <v>0.32617175657376157</v>
      </c>
      <c r="Z128" s="1434">
        <f t="shared" si="79"/>
        <v>3.916492830799638E-2</v>
      </c>
      <c r="AA128" s="1434">
        <f t="shared" si="80"/>
        <v>6.9963396070263379E-3</v>
      </c>
      <c r="AB128" s="2006">
        <f t="shared" si="81"/>
        <v>3.6622545510247718E-2</v>
      </c>
      <c r="AC128" s="2007">
        <f>M128/E128</f>
        <v>0.21679717210442279</v>
      </c>
      <c r="AD128" s="641">
        <f>N128/E128</f>
        <v>0.62804939668937076</v>
      </c>
      <c r="AE128" s="2008">
        <f>O128/E128</f>
        <v>0.15515343120620639</v>
      </c>
      <c r="AF128" s="640">
        <v>133404</v>
      </c>
      <c r="AG128" s="2009">
        <f>AF128/E128</f>
        <v>7.0954818985536072E-2</v>
      </c>
    </row>
    <row r="129" spans="1:33" x14ac:dyDescent="0.3">
      <c r="A129" s="105" t="s">
        <v>254</v>
      </c>
      <c r="E129" s="640">
        <v>3483418</v>
      </c>
      <c r="F129" s="2004">
        <f t="shared" si="82"/>
        <v>1727777</v>
      </c>
      <c r="G129" s="1431">
        <f t="shared" si="83"/>
        <v>1755641</v>
      </c>
      <c r="H129" s="2004">
        <v>2457089</v>
      </c>
      <c r="I129" s="1430">
        <v>441794</v>
      </c>
      <c r="J129" s="1430">
        <v>427387</v>
      </c>
      <c r="K129" s="1430">
        <v>26783</v>
      </c>
      <c r="L129" s="1431">
        <v>130365</v>
      </c>
      <c r="M129" s="2004">
        <f t="shared" si="84"/>
        <v>822395</v>
      </c>
      <c r="N129" s="1430">
        <f t="shared" si="85"/>
        <v>2200201</v>
      </c>
      <c r="O129" s="1431">
        <f t="shared" si="86"/>
        <v>460822</v>
      </c>
      <c r="P129" s="2004">
        <v>420538</v>
      </c>
      <c r="Q129" s="1430">
        <v>1098032</v>
      </c>
      <c r="R129" s="1430">
        <v>209207</v>
      </c>
      <c r="S129" s="2004">
        <v>401857</v>
      </c>
      <c r="T129" s="1430">
        <v>1102169</v>
      </c>
      <c r="U129" s="1431">
        <v>251615</v>
      </c>
      <c r="V129" s="1433">
        <f t="shared" si="75"/>
        <v>0.4960004799883333</v>
      </c>
      <c r="W129" s="1433">
        <f t="shared" si="76"/>
        <v>0.5039995200116667</v>
      </c>
      <c r="X129" s="2005">
        <f t="shared" si="77"/>
        <v>0.70536725710207615</v>
      </c>
      <c r="Y129" s="1434">
        <f t="shared" si="78"/>
        <v>0.12682773069439268</v>
      </c>
      <c r="Z129" s="1434">
        <f t="shared" si="79"/>
        <v>0.12269185036076635</v>
      </c>
      <c r="AA129" s="1434">
        <f t="shared" si="80"/>
        <v>7.6887126379894689E-3</v>
      </c>
      <c r="AB129" s="2006">
        <f t="shared" si="81"/>
        <v>3.7424449204775306E-2</v>
      </c>
      <c r="AC129" s="2007">
        <f>M129/E129</f>
        <v>0.23608851995367769</v>
      </c>
      <c r="AD129" s="641">
        <f>N129/E129</f>
        <v>0.63162129839140757</v>
      </c>
      <c r="AE129" s="2008">
        <f>O129/E129</f>
        <v>0.1322901816549148</v>
      </c>
      <c r="AF129" s="640">
        <v>550474</v>
      </c>
      <c r="AG129" s="2009">
        <f>AF129/E129</f>
        <v>0.15802697235875798</v>
      </c>
    </row>
    <row r="130" spans="1:33" x14ac:dyDescent="0.3">
      <c r="A130" s="105" t="s">
        <v>252</v>
      </c>
      <c r="E130" s="640">
        <v>1174553</v>
      </c>
      <c r="F130" s="2004">
        <f t="shared" si="82"/>
        <v>568515</v>
      </c>
      <c r="G130" s="1431">
        <f t="shared" si="83"/>
        <v>606038</v>
      </c>
      <c r="H130" s="2004">
        <v>919243</v>
      </c>
      <c r="I130" s="1430">
        <v>199561</v>
      </c>
      <c r="J130" s="1430">
        <v>24979</v>
      </c>
      <c r="K130" s="1430">
        <v>5351</v>
      </c>
      <c r="L130" s="1431">
        <v>25419</v>
      </c>
      <c r="M130" s="2004">
        <f t="shared" si="84"/>
        <v>229369</v>
      </c>
      <c r="N130" s="1430">
        <f t="shared" si="85"/>
        <v>701412</v>
      </c>
      <c r="O130" s="1431">
        <f t="shared" si="86"/>
        <v>243772</v>
      </c>
      <c r="P130" s="2004">
        <v>116945</v>
      </c>
      <c r="Q130" s="1430">
        <v>344160</v>
      </c>
      <c r="R130" s="1430">
        <v>107410</v>
      </c>
      <c r="S130" s="2004">
        <v>112424</v>
      </c>
      <c r="T130" s="1430">
        <v>357252</v>
      </c>
      <c r="U130" s="1431">
        <v>136362</v>
      </c>
      <c r="V130" s="1433">
        <f t="shared" si="75"/>
        <v>0.48402668930222814</v>
      </c>
      <c r="W130" s="1433">
        <f t="shared" si="76"/>
        <v>0.51597331069777186</v>
      </c>
      <c r="X130" s="2005">
        <f t="shared" si="77"/>
        <v>0.78263220135660116</v>
      </c>
      <c r="Y130" s="1434">
        <f t="shared" si="78"/>
        <v>0.16990378467382911</v>
      </c>
      <c r="Z130" s="1434">
        <f t="shared" si="79"/>
        <v>2.1266813843223764E-2</v>
      </c>
      <c r="AA130" s="1434">
        <f t="shared" si="80"/>
        <v>4.5557756865803418E-3</v>
      </c>
      <c r="AB130" s="2006">
        <f t="shared" si="81"/>
        <v>2.1641424439765595E-2</v>
      </c>
      <c r="AC130" s="2007">
        <f>M130/E130</f>
        <v>0.19528194981409949</v>
      </c>
      <c r="AD130" s="641">
        <f>N130/E130</f>
        <v>0.59717356304909186</v>
      </c>
      <c r="AE130" s="2008">
        <f>O130/E130</f>
        <v>0.20754448713680865</v>
      </c>
      <c r="AF130" s="640">
        <v>46648</v>
      </c>
      <c r="AG130" s="2009">
        <f>AF130/E130</f>
        <v>3.9715534335189644E-2</v>
      </c>
    </row>
    <row r="131" spans="1:33" x14ac:dyDescent="0.3">
      <c r="A131" s="105" t="s">
        <v>255</v>
      </c>
      <c r="E131" s="640">
        <v>577002</v>
      </c>
      <c r="F131" s="2004">
        <f t="shared" si="82"/>
        <v>289327</v>
      </c>
      <c r="G131" s="1431">
        <f t="shared" si="83"/>
        <v>287675</v>
      </c>
      <c r="H131" s="2004">
        <v>537360</v>
      </c>
      <c r="I131" s="1430">
        <v>20336</v>
      </c>
      <c r="J131" s="1430">
        <v>8835</v>
      </c>
      <c r="K131" s="1430">
        <v>1837</v>
      </c>
      <c r="L131" s="1431">
        <v>8634</v>
      </c>
      <c r="M131" s="2004">
        <f t="shared" si="84"/>
        <v>102974</v>
      </c>
      <c r="N131" s="1430">
        <f t="shared" si="85"/>
        <v>353510</v>
      </c>
      <c r="O131" s="1431">
        <f t="shared" si="86"/>
        <v>120518</v>
      </c>
      <c r="P131" s="2004">
        <v>52505</v>
      </c>
      <c r="Q131" s="1430">
        <v>182364</v>
      </c>
      <c r="R131" s="1430">
        <v>54458</v>
      </c>
      <c r="S131" s="2004">
        <v>50469</v>
      </c>
      <c r="T131" s="1430">
        <v>171146</v>
      </c>
      <c r="U131" s="1431">
        <v>66060</v>
      </c>
      <c r="V131" s="1433">
        <f t="shared" si="75"/>
        <v>0.50143153749900349</v>
      </c>
      <c r="W131" s="1433">
        <f t="shared" si="76"/>
        <v>0.49856846250099651</v>
      </c>
      <c r="X131" s="2005">
        <f t="shared" si="77"/>
        <v>0.931296598625308</v>
      </c>
      <c r="Y131" s="1434">
        <f t="shared" si="78"/>
        <v>3.524424525391593E-2</v>
      </c>
      <c r="Z131" s="1434">
        <f t="shared" si="79"/>
        <v>1.5311905331350672E-2</v>
      </c>
      <c r="AA131" s="1434">
        <f t="shared" si="80"/>
        <v>3.1836978034738179E-3</v>
      </c>
      <c r="AB131" s="2006">
        <f t="shared" si="81"/>
        <v>1.4963552985951522E-2</v>
      </c>
      <c r="AC131" s="2007">
        <f>M131/E131</f>
        <v>0.17846385281160204</v>
      </c>
      <c r="AD131" s="641">
        <f>N131/E131</f>
        <v>0.61266685384106123</v>
      </c>
      <c r="AE131" s="2008">
        <f>O131/E131</f>
        <v>0.20886929334733675</v>
      </c>
      <c r="AF131" s="640">
        <v>13633</v>
      </c>
      <c r="AG131" s="2009">
        <f>AF131/E131</f>
        <v>2.3627301118540316E-2</v>
      </c>
    </row>
    <row r="133" spans="1:33" ht="16.8" x14ac:dyDescent="0.4">
      <c r="A133" s="1435" t="s">
        <v>846</v>
      </c>
      <c r="B133" s="1435"/>
      <c r="C133" s="1435"/>
      <c r="D133" s="1435"/>
      <c r="E133" s="1437"/>
    </row>
    <row r="134" spans="1:33" ht="16.8" x14ac:dyDescent="0.3">
      <c r="A134" s="2497" t="s">
        <v>886</v>
      </c>
      <c r="B134" s="2497"/>
      <c r="C134" s="2497"/>
      <c r="D134" s="2497"/>
      <c r="E134" s="2497"/>
    </row>
    <row r="135" spans="1:33" ht="16.8" x14ac:dyDescent="0.4">
      <c r="A135" s="1436" t="s">
        <v>755</v>
      </c>
      <c r="B135" s="1438"/>
      <c r="C135" s="1438"/>
      <c r="D135" s="1438"/>
      <c r="E135" s="1438"/>
    </row>
    <row r="136" spans="1:33" ht="16.8" x14ac:dyDescent="0.4">
      <c r="A136" s="1436" t="s">
        <v>758</v>
      </c>
    </row>
    <row r="137" spans="1:33" ht="16.8" x14ac:dyDescent="0.4">
      <c r="A137" s="1436"/>
    </row>
    <row r="138" spans="1:33" x14ac:dyDescent="0.3">
      <c r="A138" s="193" t="s">
        <v>247</v>
      </c>
      <c r="B138" s="193"/>
    </row>
    <row r="139" spans="1:33" x14ac:dyDescent="0.3">
      <c r="A139" s="194" t="s">
        <v>248</v>
      </c>
      <c r="B139" s="195" t="s">
        <v>249</v>
      </c>
    </row>
  </sheetData>
  <autoFilter ref="A4:D125"/>
  <sortState ref="A6:AG125">
    <sortCondition ref="A6:A125"/>
  </sortState>
  <mergeCells count="9">
    <mergeCell ref="S3:U3"/>
    <mergeCell ref="V3:W3"/>
    <mergeCell ref="X3:AB3"/>
    <mergeCell ref="AC3:AE3"/>
    <mergeCell ref="A134:E134"/>
    <mergeCell ref="F3:G3"/>
    <mergeCell ref="H3:L3"/>
    <mergeCell ref="M3:O3"/>
    <mergeCell ref="P3:R3"/>
  </mergeCells>
  <hyperlinks>
    <hyperlink ref="B139"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109" activePane="bottomRight" state="frozen"/>
      <selection pane="topRight" activeCell="E1" sqref="E1"/>
      <selection pane="bottomLeft" activeCell="A6" sqref="A6"/>
      <selection pane="bottomRight" activeCell="H5" sqref="H5:I125"/>
    </sheetView>
  </sheetViews>
  <sheetFormatPr defaultColWidth="9" defaultRowHeight="13.8" x14ac:dyDescent="0.3"/>
  <cols>
    <col min="1" max="1" width="9" style="89"/>
    <col min="2" max="2" width="26.69921875" style="89" customWidth="1"/>
    <col min="3" max="12" width="12.09765625" style="89" customWidth="1"/>
    <col min="13" max="16384" width="9" style="89"/>
  </cols>
  <sheetData>
    <row r="1" spans="1:12" ht="14.4" x14ac:dyDescent="0.3">
      <c r="A1" s="775" t="s">
        <v>940</v>
      </c>
    </row>
    <row r="3" spans="1:12" x14ac:dyDescent="0.3">
      <c r="D3" s="2498" t="s">
        <v>740</v>
      </c>
      <c r="E3" s="2499"/>
      <c r="F3" s="2500"/>
      <c r="G3" s="2498" t="s">
        <v>739</v>
      </c>
      <c r="H3" s="2499"/>
      <c r="I3" s="2500"/>
      <c r="J3" s="2498" t="s">
        <v>738</v>
      </c>
      <c r="K3" s="2499"/>
      <c r="L3" s="2500"/>
    </row>
    <row r="4" spans="1:12" ht="27.6" x14ac:dyDescent="0.3">
      <c r="A4" s="3" t="s">
        <v>4</v>
      </c>
      <c r="B4" s="3" t="s">
        <v>402</v>
      </c>
      <c r="C4" s="3" t="s">
        <v>250</v>
      </c>
      <c r="D4" s="2064" t="s">
        <v>565</v>
      </c>
      <c r="E4" s="2065" t="s">
        <v>566</v>
      </c>
      <c r="F4" s="2066" t="s">
        <v>567</v>
      </c>
      <c r="G4" s="2064" t="s">
        <v>565</v>
      </c>
      <c r="H4" s="2065" t="s">
        <v>566</v>
      </c>
      <c r="I4" s="2066" t="s">
        <v>567</v>
      </c>
      <c r="J4" s="2064" t="s">
        <v>565</v>
      </c>
      <c r="K4" s="2065" t="s">
        <v>566</v>
      </c>
      <c r="L4" s="2066" t="s">
        <v>567</v>
      </c>
    </row>
    <row r="5" spans="1:12" x14ac:dyDescent="0.3">
      <c r="A5" s="777">
        <v>999</v>
      </c>
      <c r="B5" s="776" t="s">
        <v>510</v>
      </c>
      <c r="C5" s="776"/>
      <c r="D5" s="2067">
        <v>8279326</v>
      </c>
      <c r="E5" s="2068">
        <v>822944</v>
      </c>
      <c r="F5" s="2069">
        <f t="shared" ref="F5" si="0">E5/D5</f>
        <v>9.9397463030203179E-2</v>
      </c>
      <c r="G5" s="2067">
        <v>1827105</v>
      </c>
      <c r="H5" s="2068">
        <v>242806</v>
      </c>
      <c r="I5" s="2069">
        <f t="shared" ref="I5" si="1">H5/G5</f>
        <v>0.13289110368588561</v>
      </c>
      <c r="J5" s="2067">
        <v>1327338</v>
      </c>
      <c r="K5" s="2068">
        <v>166023</v>
      </c>
      <c r="L5" s="2069">
        <f t="shared" ref="L5" si="2">K5/J5</f>
        <v>0.12507967073948006</v>
      </c>
    </row>
    <row r="6" spans="1:12" x14ac:dyDescent="0.3">
      <c r="A6" s="89" t="s">
        <v>9</v>
      </c>
      <c r="B6" s="89" t="s">
        <v>10</v>
      </c>
      <c r="C6" s="91" t="s">
        <v>251</v>
      </c>
      <c r="D6" s="2070">
        <v>31899</v>
      </c>
      <c r="E6" s="2071">
        <v>5225</v>
      </c>
      <c r="F6" s="2072">
        <f t="shared" ref="F6:F37" si="3">E6/D6</f>
        <v>0.16379823818928493</v>
      </c>
      <c r="G6" s="2070">
        <v>6554</v>
      </c>
      <c r="H6" s="2071">
        <v>1867</v>
      </c>
      <c r="I6" s="2072">
        <f t="shared" ref="I6:I37" si="4">H6/G6</f>
        <v>0.28486420506560878</v>
      </c>
      <c r="J6" s="2070">
        <v>4778</v>
      </c>
      <c r="K6" s="2071">
        <v>1412</v>
      </c>
      <c r="L6" s="2072">
        <f t="shared" ref="L6:L37" si="5">K6/J6</f>
        <v>0.29552113855169526</v>
      </c>
    </row>
    <row r="7" spans="1:12" x14ac:dyDescent="0.3">
      <c r="A7" s="89" t="s">
        <v>11</v>
      </c>
      <c r="B7" s="89" t="s">
        <v>12</v>
      </c>
      <c r="C7" s="91" t="s">
        <v>252</v>
      </c>
      <c r="D7" s="2070">
        <v>102658</v>
      </c>
      <c r="E7" s="2071">
        <v>6882</v>
      </c>
      <c r="F7" s="2072">
        <f t="shared" si="3"/>
        <v>6.7038126595102179E-2</v>
      </c>
      <c r="G7" s="2070">
        <v>21261</v>
      </c>
      <c r="H7" s="2071">
        <v>1559</v>
      </c>
      <c r="I7" s="2072">
        <f t="shared" si="4"/>
        <v>7.3326748506655381E-2</v>
      </c>
      <c r="J7" s="2070">
        <v>15571</v>
      </c>
      <c r="K7" s="2071">
        <v>1095</v>
      </c>
      <c r="L7" s="2072">
        <f t="shared" si="5"/>
        <v>7.0323036413846254E-2</v>
      </c>
    </row>
    <row r="8" spans="1:12" x14ac:dyDescent="0.3">
      <c r="A8" s="89" t="s">
        <v>15</v>
      </c>
      <c r="B8" s="89" t="s">
        <v>273</v>
      </c>
      <c r="C8" s="91" t="s">
        <v>252</v>
      </c>
      <c r="D8" s="2070">
        <v>20007</v>
      </c>
      <c r="E8" s="2071">
        <v>2465</v>
      </c>
      <c r="F8" s="2072">
        <f t="shared" si="3"/>
        <v>0.1232068775928425</v>
      </c>
      <c r="G8" s="2070">
        <v>3763</v>
      </c>
      <c r="H8" s="91">
        <v>758</v>
      </c>
      <c r="I8" s="2072">
        <f t="shared" si="4"/>
        <v>0.2014350252458145</v>
      </c>
      <c r="J8" s="2070">
        <v>2809</v>
      </c>
      <c r="K8" s="91">
        <v>523</v>
      </c>
      <c r="L8" s="2072">
        <f t="shared" si="5"/>
        <v>0.18618725525097898</v>
      </c>
    </row>
    <row r="9" spans="1:12" x14ac:dyDescent="0.3">
      <c r="A9" s="89" t="s">
        <v>17</v>
      </c>
      <c r="B9" s="89" t="s">
        <v>18</v>
      </c>
      <c r="C9" s="91" t="s">
        <v>253</v>
      </c>
      <c r="D9" s="2070">
        <v>12998</v>
      </c>
      <c r="E9" s="2071">
        <v>1211</v>
      </c>
      <c r="F9" s="2072">
        <f t="shared" si="3"/>
        <v>9.3168179719956917E-2</v>
      </c>
      <c r="G9" s="2070">
        <v>2689</v>
      </c>
      <c r="H9" s="91">
        <v>370</v>
      </c>
      <c r="I9" s="2072">
        <f t="shared" si="4"/>
        <v>0.13759761993306061</v>
      </c>
      <c r="J9" s="2070">
        <v>1963</v>
      </c>
      <c r="K9" s="91">
        <v>264</v>
      </c>
      <c r="L9" s="2072">
        <f t="shared" si="5"/>
        <v>0.13448802852776362</v>
      </c>
    </row>
    <row r="10" spans="1:12" x14ac:dyDescent="0.3">
      <c r="A10" s="89" t="s">
        <v>19</v>
      </c>
      <c r="B10" s="89" t="s">
        <v>20</v>
      </c>
      <c r="C10" s="91" t="s">
        <v>252</v>
      </c>
      <c r="D10" s="2070">
        <v>30489</v>
      </c>
      <c r="E10" s="2071">
        <v>3645</v>
      </c>
      <c r="F10" s="2072">
        <f t="shared" si="3"/>
        <v>0.11955131358850733</v>
      </c>
      <c r="G10" s="2070">
        <v>6001</v>
      </c>
      <c r="H10" s="2071">
        <v>1013</v>
      </c>
      <c r="I10" s="2072">
        <f t="shared" si="4"/>
        <v>0.16880519913347775</v>
      </c>
      <c r="J10" s="2070">
        <v>4363</v>
      </c>
      <c r="K10" s="91">
        <v>677</v>
      </c>
      <c r="L10" s="2072">
        <f t="shared" si="5"/>
        <v>0.15516846206738483</v>
      </c>
    </row>
    <row r="11" spans="1:12" x14ac:dyDescent="0.3">
      <c r="A11" s="89" t="s">
        <v>21</v>
      </c>
      <c r="B11" s="89" t="s">
        <v>22</v>
      </c>
      <c r="C11" s="91" t="s">
        <v>252</v>
      </c>
      <c r="D11" s="2070">
        <v>15791</v>
      </c>
      <c r="E11" s="2071">
        <v>1991</v>
      </c>
      <c r="F11" s="2072">
        <f t="shared" si="3"/>
        <v>0.12608447850041163</v>
      </c>
      <c r="G11" s="2070">
        <v>3275</v>
      </c>
      <c r="H11" s="91">
        <v>607</v>
      </c>
      <c r="I11" s="2072">
        <f t="shared" si="4"/>
        <v>0.18534351145038169</v>
      </c>
      <c r="J11" s="2070">
        <v>2363</v>
      </c>
      <c r="K11" s="91">
        <v>455</v>
      </c>
      <c r="L11" s="2072">
        <f t="shared" si="5"/>
        <v>0.192551840880237</v>
      </c>
    </row>
    <row r="12" spans="1:12" x14ac:dyDescent="0.3">
      <c r="A12" s="89" t="s">
        <v>23</v>
      </c>
      <c r="B12" s="89" t="s">
        <v>24</v>
      </c>
      <c r="C12" s="91" t="s">
        <v>254</v>
      </c>
      <c r="D12" s="2070">
        <v>233991</v>
      </c>
      <c r="E12" s="2071">
        <v>17774</v>
      </c>
      <c r="F12" s="2072">
        <f t="shared" si="3"/>
        <v>7.5960186502899679E-2</v>
      </c>
      <c r="G12" s="2070">
        <v>42357</v>
      </c>
      <c r="H12" s="2071">
        <v>3862</v>
      </c>
      <c r="I12" s="2072">
        <f t="shared" si="4"/>
        <v>9.1177373279505161E-2</v>
      </c>
      <c r="J12" s="2070">
        <v>28834</v>
      </c>
      <c r="K12" s="2071">
        <v>2594</v>
      </c>
      <c r="L12" s="2072">
        <f t="shared" si="5"/>
        <v>8.9963237844211688E-2</v>
      </c>
    </row>
    <row r="13" spans="1:12" x14ac:dyDescent="0.3">
      <c r="A13" s="89" t="s">
        <v>25</v>
      </c>
      <c r="B13" s="89" t="s">
        <v>274</v>
      </c>
      <c r="C13" s="91" t="s">
        <v>252</v>
      </c>
      <c r="D13" s="2070">
        <v>118810</v>
      </c>
      <c r="E13" s="2071">
        <v>10712</v>
      </c>
      <c r="F13" s="2072">
        <f t="shared" si="3"/>
        <v>9.0160760878713914E-2</v>
      </c>
      <c r="G13" s="2070">
        <v>23595</v>
      </c>
      <c r="H13" s="2071">
        <v>3346</v>
      </c>
      <c r="I13" s="2072">
        <f t="shared" si="4"/>
        <v>0.14180970544606908</v>
      </c>
      <c r="J13" s="2070">
        <v>17283</v>
      </c>
      <c r="K13" s="2071">
        <v>2218</v>
      </c>
      <c r="L13" s="2072">
        <f t="shared" si="5"/>
        <v>0.12833420123821096</v>
      </c>
    </row>
    <row r="14" spans="1:12" x14ac:dyDescent="0.3">
      <c r="A14" s="89" t="s">
        <v>26</v>
      </c>
      <c r="B14" s="89" t="s">
        <v>27</v>
      </c>
      <c r="C14" s="91" t="s">
        <v>252</v>
      </c>
      <c r="D14" s="2070">
        <v>4084</v>
      </c>
      <c r="E14" s="91">
        <v>406</v>
      </c>
      <c r="F14" s="2072">
        <f t="shared" si="3"/>
        <v>9.9412340842311459E-2</v>
      </c>
      <c r="G14" s="2073">
        <v>610</v>
      </c>
      <c r="H14" s="91">
        <v>83</v>
      </c>
      <c r="I14" s="2072">
        <f t="shared" si="4"/>
        <v>0.1360655737704918</v>
      </c>
      <c r="J14" s="2073">
        <v>446</v>
      </c>
      <c r="K14" s="91">
        <v>58</v>
      </c>
      <c r="L14" s="2072">
        <f t="shared" si="5"/>
        <v>0.13004484304932734</v>
      </c>
    </row>
    <row r="15" spans="1:12" x14ac:dyDescent="0.3">
      <c r="A15" s="89" t="s">
        <v>28</v>
      </c>
      <c r="B15" s="91" t="s">
        <v>568</v>
      </c>
      <c r="C15" s="91" t="s">
        <v>252</v>
      </c>
      <c r="D15" s="2070">
        <v>78457</v>
      </c>
      <c r="E15" s="2071">
        <v>6766</v>
      </c>
      <c r="F15" s="2072">
        <f t="shared" si="3"/>
        <v>8.6238321628407916E-2</v>
      </c>
      <c r="G15" s="2070">
        <v>15262</v>
      </c>
      <c r="H15" s="2071">
        <v>1684</v>
      </c>
      <c r="I15" s="2072">
        <f t="shared" si="4"/>
        <v>0.11033940505831477</v>
      </c>
      <c r="J15" s="2070">
        <v>11653</v>
      </c>
      <c r="K15" s="2071">
        <v>1128</v>
      </c>
      <c r="L15" s="2072">
        <f t="shared" si="5"/>
        <v>9.679910752595898E-2</v>
      </c>
    </row>
    <row r="16" spans="1:12" x14ac:dyDescent="0.3">
      <c r="A16" s="89" t="s">
        <v>29</v>
      </c>
      <c r="B16" s="89" t="s">
        <v>30</v>
      </c>
      <c r="C16" s="91" t="s">
        <v>255</v>
      </c>
      <c r="D16" s="2070">
        <v>5583</v>
      </c>
      <c r="E16" s="91">
        <v>749</v>
      </c>
      <c r="F16" s="2072">
        <f t="shared" si="3"/>
        <v>0.13415726312018628</v>
      </c>
      <c r="G16" s="2070">
        <v>917</v>
      </c>
      <c r="H16" s="91">
        <v>143</v>
      </c>
      <c r="I16" s="2072">
        <f t="shared" si="4"/>
        <v>0.15594329334787349</v>
      </c>
      <c r="J16" s="2073">
        <v>674</v>
      </c>
      <c r="K16" s="91">
        <v>95</v>
      </c>
      <c r="L16" s="2072">
        <f t="shared" si="5"/>
        <v>0.14094955489614244</v>
      </c>
    </row>
    <row r="17" spans="1:12" x14ac:dyDescent="0.3">
      <c r="A17" s="89" t="s">
        <v>31</v>
      </c>
      <c r="B17" s="89" t="s">
        <v>32</v>
      </c>
      <c r="C17" s="91" t="s">
        <v>252</v>
      </c>
      <c r="D17" s="2070">
        <v>33074</v>
      </c>
      <c r="E17" s="2071">
        <v>1895</v>
      </c>
      <c r="F17" s="2072">
        <f t="shared" si="3"/>
        <v>5.7295761020741368E-2</v>
      </c>
      <c r="G17" s="2070">
        <v>6178</v>
      </c>
      <c r="H17" s="91">
        <v>486</v>
      </c>
      <c r="I17" s="2072">
        <f t="shared" si="4"/>
        <v>7.866623502751699E-2</v>
      </c>
      <c r="J17" s="2070">
        <v>4777</v>
      </c>
      <c r="K17" s="91">
        <v>351</v>
      </c>
      <c r="L17" s="2072">
        <f t="shared" si="5"/>
        <v>7.3477077663805734E-2</v>
      </c>
    </row>
    <row r="18" spans="1:12" x14ac:dyDescent="0.3">
      <c r="A18" s="89" t="s">
        <v>35</v>
      </c>
      <c r="B18" s="89" t="s">
        <v>36</v>
      </c>
      <c r="C18" s="91" t="s">
        <v>251</v>
      </c>
      <c r="D18" s="2070">
        <v>14011</v>
      </c>
      <c r="E18" s="2071">
        <v>2935</v>
      </c>
      <c r="F18" s="2072">
        <f t="shared" si="3"/>
        <v>0.20947826707586897</v>
      </c>
      <c r="G18" s="2070">
        <v>2619</v>
      </c>
      <c r="H18" s="91">
        <v>698</v>
      </c>
      <c r="I18" s="2072">
        <f t="shared" si="4"/>
        <v>0.26651393661702938</v>
      </c>
      <c r="J18" s="2070">
        <v>1915</v>
      </c>
      <c r="K18" s="91">
        <v>482</v>
      </c>
      <c r="L18" s="2072">
        <f t="shared" si="5"/>
        <v>0.25169712793733684</v>
      </c>
    </row>
    <row r="19" spans="1:12" x14ac:dyDescent="0.3">
      <c r="A19" s="89" t="s">
        <v>37</v>
      </c>
      <c r="B19" s="89" t="s">
        <v>38</v>
      </c>
      <c r="C19" s="91" t="s">
        <v>255</v>
      </c>
      <c r="D19" s="2070">
        <v>19989</v>
      </c>
      <c r="E19" s="2071">
        <v>4332</v>
      </c>
      <c r="F19" s="2072">
        <f t="shared" si="3"/>
        <v>0.21671919555755664</v>
      </c>
      <c r="G19" s="2070">
        <v>3419</v>
      </c>
      <c r="H19" s="2071">
        <v>1069</v>
      </c>
      <c r="I19" s="2072">
        <f t="shared" si="4"/>
        <v>0.3126645217899971</v>
      </c>
      <c r="J19" s="2070">
        <v>2559</v>
      </c>
      <c r="K19" s="91">
        <v>738</v>
      </c>
      <c r="L19" s="2072">
        <f t="shared" si="5"/>
        <v>0.28839390386869873</v>
      </c>
    </row>
    <row r="20" spans="1:12" x14ac:dyDescent="0.3">
      <c r="A20" s="89" t="s">
        <v>39</v>
      </c>
      <c r="B20" s="89" t="s">
        <v>40</v>
      </c>
      <c r="C20" s="91" t="s">
        <v>253</v>
      </c>
      <c r="D20" s="2070">
        <v>14935</v>
      </c>
      <c r="E20" s="2071">
        <v>2516</v>
      </c>
      <c r="F20" s="2072">
        <f t="shared" si="3"/>
        <v>0.1684633411449615</v>
      </c>
      <c r="G20" s="2070">
        <v>2959</v>
      </c>
      <c r="H20" s="91">
        <v>656</v>
      </c>
      <c r="I20" s="2072">
        <f t="shared" si="4"/>
        <v>0.22169651909428861</v>
      </c>
      <c r="J20" s="2070">
        <v>2259</v>
      </c>
      <c r="K20" s="91">
        <v>473</v>
      </c>
      <c r="L20" s="2072">
        <f t="shared" si="5"/>
        <v>0.20938468348826914</v>
      </c>
    </row>
    <row r="21" spans="1:12" x14ac:dyDescent="0.3">
      <c r="A21" s="89" t="s">
        <v>41</v>
      </c>
      <c r="B21" s="89" t="s">
        <v>42</v>
      </c>
      <c r="C21" s="91" t="s">
        <v>252</v>
      </c>
      <c r="D21" s="2070">
        <v>54319</v>
      </c>
      <c r="E21" s="2071">
        <v>5845</v>
      </c>
      <c r="F21" s="2072">
        <f t="shared" si="3"/>
        <v>0.10760507373110698</v>
      </c>
      <c r="G21" s="2070">
        <v>10475</v>
      </c>
      <c r="H21" s="2071">
        <v>1502</v>
      </c>
      <c r="I21" s="2072">
        <f t="shared" si="4"/>
        <v>0.14338902147971361</v>
      </c>
      <c r="J21" s="2070">
        <v>7775</v>
      </c>
      <c r="K21" s="2071">
        <v>1039</v>
      </c>
      <c r="L21" s="2072">
        <f t="shared" si="5"/>
        <v>0.13363344051446946</v>
      </c>
    </row>
    <row r="22" spans="1:12" x14ac:dyDescent="0.3">
      <c r="A22" s="89" t="s">
        <v>43</v>
      </c>
      <c r="B22" s="89" t="s">
        <v>44</v>
      </c>
      <c r="C22" s="91" t="s">
        <v>253</v>
      </c>
      <c r="D22" s="2070">
        <v>30082</v>
      </c>
      <c r="E22" s="2071">
        <v>2883</v>
      </c>
      <c r="F22" s="2072">
        <f t="shared" si="3"/>
        <v>9.5838042683332222E-2</v>
      </c>
      <c r="G22" s="2070">
        <v>6851</v>
      </c>
      <c r="H22" s="2071">
        <v>963</v>
      </c>
      <c r="I22" s="2072">
        <f t="shared" si="4"/>
        <v>0.140563421398336</v>
      </c>
      <c r="J22" s="2070">
        <v>4938</v>
      </c>
      <c r="K22" s="91">
        <v>644</v>
      </c>
      <c r="L22" s="2072">
        <f t="shared" si="5"/>
        <v>0.13041717294451194</v>
      </c>
    </row>
    <row r="23" spans="1:12" x14ac:dyDescent="0.3">
      <c r="A23" s="89" t="s">
        <v>45</v>
      </c>
      <c r="B23" s="89" t="s">
        <v>46</v>
      </c>
      <c r="C23" s="91" t="s">
        <v>255</v>
      </c>
      <c r="D23" s="2070">
        <v>29569</v>
      </c>
      <c r="E23" s="2071">
        <v>4110</v>
      </c>
      <c r="F23" s="2072">
        <f t="shared" si="3"/>
        <v>0.13899692245256856</v>
      </c>
      <c r="G23" s="2070">
        <v>5183</v>
      </c>
      <c r="H23" s="2071">
        <v>1052</v>
      </c>
      <c r="I23" s="2072">
        <f t="shared" si="4"/>
        <v>0.20297125217055759</v>
      </c>
      <c r="J23" s="2070">
        <v>3940</v>
      </c>
      <c r="K23" s="91">
        <v>711</v>
      </c>
      <c r="L23" s="2072">
        <f t="shared" si="5"/>
        <v>0.18045685279187818</v>
      </c>
    </row>
    <row r="24" spans="1:12" x14ac:dyDescent="0.3">
      <c r="A24" s="89" t="s">
        <v>47</v>
      </c>
      <c r="B24" s="89" t="s">
        <v>256</v>
      </c>
      <c r="C24" s="91" t="s">
        <v>253</v>
      </c>
      <c r="D24" s="2070">
        <v>6943</v>
      </c>
      <c r="E24" s="91">
        <v>870</v>
      </c>
      <c r="F24" s="2072">
        <f t="shared" si="3"/>
        <v>0.12530606366124153</v>
      </c>
      <c r="G24" s="2070">
        <v>1002</v>
      </c>
      <c r="H24" s="91">
        <v>187</v>
      </c>
      <c r="I24" s="2072">
        <f t="shared" si="4"/>
        <v>0.18662674650698602</v>
      </c>
      <c r="J24" s="2073">
        <v>746</v>
      </c>
      <c r="K24" s="91">
        <v>134</v>
      </c>
      <c r="L24" s="2072">
        <f t="shared" si="5"/>
        <v>0.17962466487935658</v>
      </c>
    </row>
    <row r="25" spans="1:12" x14ac:dyDescent="0.3">
      <c r="A25" s="89" t="s">
        <v>49</v>
      </c>
      <c r="B25" s="89" t="s">
        <v>50</v>
      </c>
      <c r="C25" s="91" t="s">
        <v>252</v>
      </c>
      <c r="D25" s="2070">
        <v>11688</v>
      </c>
      <c r="E25" s="2071">
        <v>2257</v>
      </c>
      <c r="F25" s="2072">
        <f t="shared" si="3"/>
        <v>0.19310403832991102</v>
      </c>
      <c r="G25" s="2070">
        <v>2427</v>
      </c>
      <c r="H25" s="91">
        <v>715</v>
      </c>
      <c r="I25" s="2072">
        <f t="shared" si="4"/>
        <v>0.2946023897816234</v>
      </c>
      <c r="J25" s="2070">
        <v>1774</v>
      </c>
      <c r="K25" s="91">
        <v>538</v>
      </c>
      <c r="L25" s="2072">
        <f t="shared" si="5"/>
        <v>0.30326944757609919</v>
      </c>
    </row>
    <row r="26" spans="1:12" x14ac:dyDescent="0.3">
      <c r="A26" s="89" t="s">
        <v>55</v>
      </c>
      <c r="B26" s="89" t="s">
        <v>271</v>
      </c>
      <c r="C26" s="91" t="s">
        <v>253</v>
      </c>
      <c r="D26" s="2070">
        <v>364509</v>
      </c>
      <c r="E26" s="2071">
        <v>24556</v>
      </c>
      <c r="F26" s="2072">
        <f t="shared" si="3"/>
        <v>6.7367335237264375E-2</v>
      </c>
      <c r="G26" s="2070">
        <v>85490</v>
      </c>
      <c r="H26" s="2071">
        <v>8063</v>
      </c>
      <c r="I26" s="2072">
        <f t="shared" si="4"/>
        <v>9.4315124575973797E-2</v>
      </c>
      <c r="J26" s="2070">
        <v>63403</v>
      </c>
      <c r="K26" s="2071">
        <v>5481</v>
      </c>
      <c r="L26" s="2072">
        <f t="shared" si="5"/>
        <v>8.644701354825482E-2</v>
      </c>
    </row>
    <row r="27" spans="1:12" x14ac:dyDescent="0.3">
      <c r="A27" s="89" t="s">
        <v>57</v>
      </c>
      <c r="B27" s="89" t="s">
        <v>58</v>
      </c>
      <c r="C27" s="91" t="s">
        <v>254</v>
      </c>
      <c r="D27" s="2070">
        <v>14418</v>
      </c>
      <c r="E27" s="2071">
        <v>911</v>
      </c>
      <c r="F27" s="2072">
        <f t="shared" si="3"/>
        <v>6.3184907754196148E-2</v>
      </c>
      <c r="G27" s="2070">
        <v>2771</v>
      </c>
      <c r="H27" s="91">
        <v>210</v>
      </c>
      <c r="I27" s="2072">
        <f t="shared" si="4"/>
        <v>7.5784915193071095E-2</v>
      </c>
      <c r="J27" s="2070">
        <v>2142</v>
      </c>
      <c r="K27" s="91">
        <v>138</v>
      </c>
      <c r="L27" s="2072">
        <f t="shared" si="5"/>
        <v>6.4425770308123242E-2</v>
      </c>
    </row>
    <row r="28" spans="1:12" x14ac:dyDescent="0.3">
      <c r="A28" s="89" t="s">
        <v>59</v>
      </c>
      <c r="B28" s="89" t="s">
        <v>60</v>
      </c>
      <c r="C28" s="91" t="s">
        <v>252</v>
      </c>
      <c r="D28" s="2070">
        <v>5107</v>
      </c>
      <c r="E28" s="91">
        <v>572</v>
      </c>
      <c r="F28" s="2072">
        <f t="shared" si="3"/>
        <v>0.11200313295476796</v>
      </c>
      <c r="G28" s="2070">
        <v>874</v>
      </c>
      <c r="H28" s="91">
        <v>167</v>
      </c>
      <c r="I28" s="2072">
        <f t="shared" si="4"/>
        <v>0.19107551487414187</v>
      </c>
      <c r="J28" s="2073">
        <v>667</v>
      </c>
      <c r="K28" s="91">
        <v>121</v>
      </c>
      <c r="L28" s="2072">
        <f t="shared" si="5"/>
        <v>0.18140929535232383</v>
      </c>
    </row>
    <row r="29" spans="1:12" x14ac:dyDescent="0.3">
      <c r="A29" s="89" t="s">
        <v>61</v>
      </c>
      <c r="B29" s="89" t="s">
        <v>62</v>
      </c>
      <c r="C29" s="91" t="s">
        <v>254</v>
      </c>
      <c r="D29" s="2070">
        <v>50947</v>
      </c>
      <c r="E29" s="2071">
        <v>4709</v>
      </c>
      <c r="F29" s="2072">
        <f t="shared" si="3"/>
        <v>9.2429387402594848E-2</v>
      </c>
      <c r="G29" s="2070">
        <v>12678</v>
      </c>
      <c r="H29" s="2071">
        <v>1419</v>
      </c>
      <c r="I29" s="2072">
        <f t="shared" si="4"/>
        <v>0.11192617132039753</v>
      </c>
      <c r="J29" s="2070">
        <v>9336</v>
      </c>
      <c r="K29" s="2071">
        <v>1015</v>
      </c>
      <c r="L29" s="2072">
        <f t="shared" si="5"/>
        <v>0.10871893744644387</v>
      </c>
    </row>
    <row r="30" spans="1:12" x14ac:dyDescent="0.3">
      <c r="A30" s="89" t="s">
        <v>63</v>
      </c>
      <c r="B30" s="89" t="s">
        <v>64</v>
      </c>
      <c r="C30" s="91" t="s">
        <v>253</v>
      </c>
      <c r="D30" s="2070">
        <v>9904</v>
      </c>
      <c r="E30" s="2071">
        <v>1371</v>
      </c>
      <c r="F30" s="2072">
        <f t="shared" si="3"/>
        <v>0.13842891760904685</v>
      </c>
      <c r="G30" s="2070">
        <v>1850</v>
      </c>
      <c r="H30" s="91">
        <v>432</v>
      </c>
      <c r="I30" s="2072">
        <f t="shared" si="4"/>
        <v>0.23351351351351352</v>
      </c>
      <c r="J30" s="2070">
        <v>1388</v>
      </c>
      <c r="K30" s="91">
        <v>303</v>
      </c>
      <c r="L30" s="2072">
        <f t="shared" si="5"/>
        <v>0.21829971181556196</v>
      </c>
    </row>
    <row r="31" spans="1:12" x14ac:dyDescent="0.3">
      <c r="A31" s="89" t="s">
        <v>67</v>
      </c>
      <c r="B31" s="89" t="s">
        <v>68</v>
      </c>
      <c r="C31" s="91" t="s">
        <v>255</v>
      </c>
      <c r="D31" s="2070">
        <v>13780</v>
      </c>
      <c r="E31" s="2071">
        <v>3330</v>
      </c>
      <c r="F31" s="2072">
        <f t="shared" si="3"/>
        <v>0.24165457184325109</v>
      </c>
      <c r="G31" s="2070">
        <v>2762</v>
      </c>
      <c r="H31" s="91">
        <v>763</v>
      </c>
      <c r="I31" s="2072">
        <f t="shared" si="4"/>
        <v>0.27624909485879795</v>
      </c>
      <c r="J31" s="2070">
        <v>2089</v>
      </c>
      <c r="K31" s="91">
        <v>525</v>
      </c>
      <c r="L31" s="2072">
        <f t="shared" si="5"/>
        <v>0.25131641933939686</v>
      </c>
    </row>
    <row r="32" spans="1:12" x14ac:dyDescent="0.3">
      <c r="A32" s="89" t="s">
        <v>69</v>
      </c>
      <c r="B32" s="89" t="s">
        <v>70</v>
      </c>
      <c r="C32" s="91" t="s">
        <v>251</v>
      </c>
      <c r="D32" s="2070">
        <v>27988</v>
      </c>
      <c r="E32" s="2071">
        <v>2982</v>
      </c>
      <c r="F32" s="2072">
        <f t="shared" si="3"/>
        <v>0.10654566242675433</v>
      </c>
      <c r="G32" s="2070">
        <v>5582</v>
      </c>
      <c r="H32" s="91">
        <v>842</v>
      </c>
      <c r="I32" s="2072">
        <f t="shared" si="4"/>
        <v>0.15084199211752061</v>
      </c>
      <c r="J32" s="2070">
        <v>4251</v>
      </c>
      <c r="K32" s="91">
        <v>594</v>
      </c>
      <c r="L32" s="2072">
        <f t="shared" si="5"/>
        <v>0.13973182780522231</v>
      </c>
    </row>
    <row r="33" spans="1:12" x14ac:dyDescent="0.3">
      <c r="A33" s="89" t="s">
        <v>71</v>
      </c>
      <c r="B33" s="89" t="s">
        <v>72</v>
      </c>
      <c r="C33" s="91" t="s">
        <v>253</v>
      </c>
      <c r="D33" s="2070">
        <v>10808</v>
      </c>
      <c r="E33" s="2071">
        <v>1747</v>
      </c>
      <c r="F33" s="2072">
        <f t="shared" si="3"/>
        <v>0.16163952627683198</v>
      </c>
      <c r="G33" s="2070">
        <v>1949</v>
      </c>
      <c r="H33" s="91">
        <v>525</v>
      </c>
      <c r="I33" s="2072">
        <f t="shared" si="4"/>
        <v>0.26936890713186251</v>
      </c>
      <c r="J33" s="2070">
        <v>1368</v>
      </c>
      <c r="K33" s="91">
        <v>330</v>
      </c>
      <c r="L33" s="2072">
        <f t="shared" si="5"/>
        <v>0.2412280701754386</v>
      </c>
    </row>
    <row r="34" spans="1:12" x14ac:dyDescent="0.3">
      <c r="A34" s="89" t="s">
        <v>73</v>
      </c>
      <c r="B34" s="89" t="s">
        <v>272</v>
      </c>
      <c r="C34" s="91" t="s">
        <v>254</v>
      </c>
      <c r="D34" s="2070">
        <v>1172652</v>
      </c>
      <c r="E34" s="2071">
        <v>70722</v>
      </c>
      <c r="F34" s="2072">
        <f t="shared" si="3"/>
        <v>6.0309452420667001E-2</v>
      </c>
      <c r="G34" s="2070">
        <v>272363</v>
      </c>
      <c r="H34" s="2071">
        <v>21313</v>
      </c>
      <c r="I34" s="2072">
        <f t="shared" si="4"/>
        <v>7.8252185502436081E-2</v>
      </c>
      <c r="J34" s="2070">
        <v>198515</v>
      </c>
      <c r="K34" s="2071">
        <v>14122</v>
      </c>
      <c r="L34" s="2072">
        <f t="shared" si="5"/>
        <v>7.1138201143490412E-2</v>
      </c>
    </row>
    <row r="35" spans="1:12" x14ac:dyDescent="0.3">
      <c r="A35" s="89" t="s">
        <v>75</v>
      </c>
      <c r="B35" s="89" t="s">
        <v>76</v>
      </c>
      <c r="C35" s="91" t="s">
        <v>254</v>
      </c>
      <c r="D35" s="2070">
        <v>70612</v>
      </c>
      <c r="E35" s="2071">
        <v>4310</v>
      </c>
      <c r="F35" s="2072">
        <f t="shared" si="3"/>
        <v>6.103778394607149E-2</v>
      </c>
      <c r="G35" s="2070">
        <v>16146</v>
      </c>
      <c r="H35" s="2071">
        <v>1128</v>
      </c>
      <c r="I35" s="2072">
        <f t="shared" si="4"/>
        <v>6.9862504645113344E-2</v>
      </c>
      <c r="J35" s="2070">
        <v>12150</v>
      </c>
      <c r="K35" s="91">
        <v>702</v>
      </c>
      <c r="L35" s="2072">
        <f t="shared" si="5"/>
        <v>5.7777777777777775E-2</v>
      </c>
    </row>
    <row r="36" spans="1:12" x14ac:dyDescent="0.3">
      <c r="A36" s="89" t="s">
        <v>77</v>
      </c>
      <c r="B36" s="89" t="s">
        <v>78</v>
      </c>
      <c r="C36" s="91" t="s">
        <v>255</v>
      </c>
      <c r="D36" s="2070">
        <v>15617</v>
      </c>
      <c r="E36" s="2071">
        <v>1783</v>
      </c>
      <c r="F36" s="2072">
        <f t="shared" si="3"/>
        <v>0.11417045527309982</v>
      </c>
      <c r="G36" s="2070">
        <v>2996</v>
      </c>
      <c r="H36" s="91">
        <v>493</v>
      </c>
      <c r="I36" s="2072">
        <f t="shared" si="4"/>
        <v>0.16455273698264353</v>
      </c>
      <c r="J36" s="2070">
        <v>2236</v>
      </c>
      <c r="K36" s="91">
        <v>345</v>
      </c>
      <c r="L36" s="2072">
        <f t="shared" si="5"/>
        <v>0.1542933810375671</v>
      </c>
    </row>
    <row r="37" spans="1:12" x14ac:dyDescent="0.3">
      <c r="A37" s="89" t="s">
        <v>79</v>
      </c>
      <c r="B37" s="89" t="s">
        <v>80</v>
      </c>
      <c r="C37" s="91" t="s">
        <v>253</v>
      </c>
      <c r="D37" s="2070">
        <v>25937</v>
      </c>
      <c r="E37" s="2071">
        <v>1883</v>
      </c>
      <c r="F37" s="2072">
        <f t="shared" si="3"/>
        <v>7.2598989860045496E-2</v>
      </c>
      <c r="G37" s="2070">
        <v>5313</v>
      </c>
      <c r="H37" s="91">
        <v>498</v>
      </c>
      <c r="I37" s="2072">
        <f t="shared" si="4"/>
        <v>9.3732354601919823E-2</v>
      </c>
      <c r="J37" s="2070">
        <v>3889</v>
      </c>
      <c r="K37" s="91">
        <v>346</v>
      </c>
      <c r="L37" s="2072">
        <f t="shared" si="5"/>
        <v>8.8968886603239913E-2</v>
      </c>
    </row>
    <row r="38" spans="1:12" x14ac:dyDescent="0.3">
      <c r="A38" s="89" t="s">
        <v>83</v>
      </c>
      <c r="B38" s="89" t="s">
        <v>84</v>
      </c>
      <c r="C38" s="91" t="s">
        <v>252</v>
      </c>
      <c r="D38" s="2070">
        <v>54803</v>
      </c>
      <c r="E38" s="2071">
        <v>6315</v>
      </c>
      <c r="F38" s="2072">
        <f t="shared" ref="F38:F69" si="6">E38/D38</f>
        <v>0.11523091801543711</v>
      </c>
      <c r="G38" s="2070">
        <v>10304</v>
      </c>
      <c r="H38" s="2071">
        <v>1835</v>
      </c>
      <c r="I38" s="2072">
        <f t="shared" ref="I38:I69" si="7">H38/G38</f>
        <v>0.17808618012422361</v>
      </c>
      <c r="J38" s="2070">
        <v>7759</v>
      </c>
      <c r="K38" s="2071">
        <v>1227</v>
      </c>
      <c r="L38" s="2072">
        <f t="shared" ref="L38:L69" si="8">K38/J38</f>
        <v>0.15813893542982344</v>
      </c>
    </row>
    <row r="39" spans="1:12" x14ac:dyDescent="0.3">
      <c r="A39" s="89" t="s">
        <v>85</v>
      </c>
      <c r="B39" s="89" t="s">
        <v>86</v>
      </c>
      <c r="C39" s="91" t="s">
        <v>254</v>
      </c>
      <c r="D39" s="2070">
        <v>87976</v>
      </c>
      <c r="E39" s="2071">
        <v>5731</v>
      </c>
      <c r="F39" s="2072">
        <f t="shared" si="6"/>
        <v>6.5142766208966085E-2</v>
      </c>
      <c r="G39" s="2070">
        <v>19879</v>
      </c>
      <c r="H39" s="2071">
        <v>1781</v>
      </c>
      <c r="I39" s="2072">
        <f t="shared" si="7"/>
        <v>8.9592031792343679E-2</v>
      </c>
      <c r="J39" s="2070">
        <v>14697</v>
      </c>
      <c r="K39" s="2071">
        <v>1275</v>
      </c>
      <c r="L39" s="2072">
        <f t="shared" si="8"/>
        <v>8.675239844866299E-2</v>
      </c>
    </row>
    <row r="40" spans="1:12" x14ac:dyDescent="0.3">
      <c r="A40" s="89" t="s">
        <v>91</v>
      </c>
      <c r="B40" s="89" t="s">
        <v>92</v>
      </c>
      <c r="C40" s="91" t="s">
        <v>255</v>
      </c>
      <c r="D40" s="2070">
        <v>16533</v>
      </c>
      <c r="E40" s="2071">
        <v>1890</v>
      </c>
      <c r="F40" s="2072">
        <f t="shared" si="6"/>
        <v>0.11431682090364725</v>
      </c>
      <c r="G40" s="2070">
        <v>3337</v>
      </c>
      <c r="H40" s="91">
        <v>552</v>
      </c>
      <c r="I40" s="2072">
        <f t="shared" si="7"/>
        <v>0.16541804015582859</v>
      </c>
      <c r="J40" s="2070">
        <v>2467</v>
      </c>
      <c r="K40" s="91">
        <v>375</v>
      </c>
      <c r="L40" s="2072">
        <f t="shared" si="8"/>
        <v>0.1520064856100527</v>
      </c>
    </row>
    <row r="41" spans="1:12" x14ac:dyDescent="0.3">
      <c r="A41" s="89" t="s">
        <v>93</v>
      </c>
      <c r="B41" s="89" t="s">
        <v>94</v>
      </c>
      <c r="C41" s="91" t="s">
        <v>251</v>
      </c>
      <c r="D41" s="2070">
        <v>36934</v>
      </c>
      <c r="E41" s="2071">
        <v>3194</v>
      </c>
      <c r="F41" s="2072">
        <f t="shared" si="6"/>
        <v>8.6478583419071858E-2</v>
      </c>
      <c r="G41" s="2070">
        <v>7298</v>
      </c>
      <c r="H41" s="2071">
        <v>944</v>
      </c>
      <c r="I41" s="2072">
        <f t="shared" si="7"/>
        <v>0.12935050698821596</v>
      </c>
      <c r="J41" s="2070">
        <v>5418</v>
      </c>
      <c r="K41" s="91">
        <v>653</v>
      </c>
      <c r="L41" s="2072">
        <f t="shared" si="8"/>
        <v>0.12052417866371355</v>
      </c>
    </row>
    <row r="42" spans="1:12" x14ac:dyDescent="0.3">
      <c r="A42" s="89" t="s">
        <v>95</v>
      </c>
      <c r="B42" s="89" t="s">
        <v>520</v>
      </c>
      <c r="C42" s="91" t="s">
        <v>253</v>
      </c>
      <c r="D42" s="2070">
        <v>22757</v>
      </c>
      <c r="E42" s="2071">
        <v>1420</v>
      </c>
      <c r="F42" s="2072">
        <f t="shared" si="6"/>
        <v>6.2398382915146988E-2</v>
      </c>
      <c r="G42" s="2070">
        <v>3989</v>
      </c>
      <c r="H42" s="91">
        <v>287</v>
      </c>
      <c r="I42" s="2072">
        <f t="shared" si="7"/>
        <v>7.1947856605665578E-2</v>
      </c>
      <c r="J42" s="2070">
        <v>3093</v>
      </c>
      <c r="K42" s="91">
        <v>203</v>
      </c>
      <c r="L42" s="2072">
        <f t="shared" si="8"/>
        <v>6.563207242159716E-2</v>
      </c>
    </row>
    <row r="43" spans="1:12" x14ac:dyDescent="0.3">
      <c r="A43" s="89" t="s">
        <v>97</v>
      </c>
      <c r="B43" s="89" t="s">
        <v>98</v>
      </c>
      <c r="C43" s="91" t="s">
        <v>255</v>
      </c>
      <c r="D43" s="2070">
        <v>14500</v>
      </c>
      <c r="E43" s="2071">
        <v>2719</v>
      </c>
      <c r="F43" s="2072">
        <f t="shared" si="6"/>
        <v>0.18751724137931033</v>
      </c>
      <c r="G43" s="2070">
        <v>2511</v>
      </c>
      <c r="H43" s="91">
        <v>641</v>
      </c>
      <c r="I43" s="2072">
        <f t="shared" si="7"/>
        <v>0.25527678215850258</v>
      </c>
      <c r="J43" s="2070">
        <v>1884</v>
      </c>
      <c r="K43" s="91">
        <v>480</v>
      </c>
      <c r="L43" s="2072">
        <f t="shared" si="8"/>
        <v>0.25477707006369427</v>
      </c>
    </row>
    <row r="44" spans="1:12" x14ac:dyDescent="0.3">
      <c r="A44" s="89" t="s">
        <v>99</v>
      </c>
      <c r="B44" s="89" t="s">
        <v>100</v>
      </c>
      <c r="C44" s="91" t="s">
        <v>254</v>
      </c>
      <c r="D44" s="2070">
        <v>19621</v>
      </c>
      <c r="E44" s="2071">
        <v>1482</v>
      </c>
      <c r="F44" s="2072">
        <f t="shared" si="6"/>
        <v>7.5531318485296373E-2</v>
      </c>
      <c r="G44" s="2070">
        <v>4635</v>
      </c>
      <c r="H44" s="91">
        <v>513</v>
      </c>
      <c r="I44" s="2072">
        <f t="shared" si="7"/>
        <v>0.11067961165048544</v>
      </c>
      <c r="J44" s="2070">
        <v>3420</v>
      </c>
      <c r="K44" s="91">
        <v>383</v>
      </c>
      <c r="L44" s="2072">
        <f t="shared" si="8"/>
        <v>0.11198830409356725</v>
      </c>
    </row>
    <row r="45" spans="1:12" x14ac:dyDescent="0.3">
      <c r="A45" s="89" t="s">
        <v>101</v>
      </c>
      <c r="B45" s="89" t="s">
        <v>263</v>
      </c>
      <c r="C45" s="91" t="s">
        <v>251</v>
      </c>
      <c r="D45" s="2070">
        <v>12986</v>
      </c>
      <c r="E45" s="2071">
        <v>2973</v>
      </c>
      <c r="F45" s="2072">
        <f t="shared" si="6"/>
        <v>0.22893885723086402</v>
      </c>
      <c r="G45" s="2070">
        <v>3046</v>
      </c>
      <c r="H45" s="91">
        <v>891</v>
      </c>
      <c r="I45" s="2072">
        <f t="shared" si="7"/>
        <v>0.29251477347340776</v>
      </c>
      <c r="J45" s="2070">
        <v>2254</v>
      </c>
      <c r="K45" s="91">
        <v>645</v>
      </c>
      <c r="L45" s="2072">
        <f t="shared" si="8"/>
        <v>0.28615794143744455</v>
      </c>
    </row>
    <row r="46" spans="1:12" x14ac:dyDescent="0.3">
      <c r="A46" s="89" t="s">
        <v>103</v>
      </c>
      <c r="B46" s="89" t="s">
        <v>104</v>
      </c>
      <c r="C46" s="91" t="s">
        <v>252</v>
      </c>
      <c r="D46" s="2070">
        <v>33082</v>
      </c>
      <c r="E46" s="2071">
        <v>5655</v>
      </c>
      <c r="F46" s="2072">
        <f t="shared" si="6"/>
        <v>0.17093887914878181</v>
      </c>
      <c r="G46" s="2070">
        <v>6718</v>
      </c>
      <c r="H46" s="2071">
        <v>1587</v>
      </c>
      <c r="I46" s="2072">
        <f t="shared" si="7"/>
        <v>0.23623102113724323</v>
      </c>
      <c r="J46" s="2070">
        <v>4936</v>
      </c>
      <c r="K46" s="2071">
        <v>1149</v>
      </c>
      <c r="L46" s="2072">
        <f t="shared" si="8"/>
        <v>0.23277957860615883</v>
      </c>
    </row>
    <row r="47" spans="1:12" x14ac:dyDescent="0.3">
      <c r="A47" s="89" t="s">
        <v>107</v>
      </c>
      <c r="B47" s="89" t="s">
        <v>108</v>
      </c>
      <c r="C47" s="91" t="s">
        <v>253</v>
      </c>
      <c r="D47" s="2070">
        <v>105694</v>
      </c>
      <c r="E47" s="2071">
        <v>5393</v>
      </c>
      <c r="F47" s="2072">
        <f t="shared" si="6"/>
        <v>5.1024656082653698E-2</v>
      </c>
      <c r="G47" s="2070">
        <v>23070</v>
      </c>
      <c r="H47" s="2071">
        <v>1333</v>
      </c>
      <c r="I47" s="2072">
        <f t="shared" si="7"/>
        <v>5.7780667533593413E-2</v>
      </c>
      <c r="J47" s="2070">
        <v>17727</v>
      </c>
      <c r="K47" s="2071">
        <v>844</v>
      </c>
      <c r="L47" s="2072">
        <f t="shared" si="8"/>
        <v>4.7610988887008515E-2</v>
      </c>
    </row>
    <row r="48" spans="1:12" x14ac:dyDescent="0.3">
      <c r="A48" s="89" t="s">
        <v>109</v>
      </c>
      <c r="B48" s="89" t="s">
        <v>110</v>
      </c>
      <c r="C48" s="91" t="s">
        <v>253</v>
      </c>
      <c r="D48" s="2070">
        <v>327455</v>
      </c>
      <c r="E48" s="2071">
        <v>28486</v>
      </c>
      <c r="F48" s="2072">
        <f t="shared" si="6"/>
        <v>8.6992105785527782E-2</v>
      </c>
      <c r="G48" s="2070">
        <v>73112</v>
      </c>
      <c r="H48" s="2071">
        <v>9429</v>
      </c>
      <c r="I48" s="2072">
        <f t="shared" si="7"/>
        <v>0.12896651712441187</v>
      </c>
      <c r="J48" s="2070">
        <v>53436</v>
      </c>
      <c r="K48" s="2071">
        <v>6378</v>
      </c>
      <c r="L48" s="2072">
        <f t="shared" si="8"/>
        <v>0.11935773635751179</v>
      </c>
    </row>
    <row r="49" spans="1:12" x14ac:dyDescent="0.3">
      <c r="A49" s="89" t="s">
        <v>111</v>
      </c>
      <c r="B49" s="89" t="s">
        <v>275</v>
      </c>
      <c r="C49" s="91" t="s">
        <v>252</v>
      </c>
      <c r="D49" s="2070">
        <v>62095</v>
      </c>
      <c r="E49" s="2071">
        <v>9654</v>
      </c>
      <c r="F49" s="2072">
        <f t="shared" si="6"/>
        <v>0.15547145502858523</v>
      </c>
      <c r="G49" s="2070">
        <v>12666</v>
      </c>
      <c r="H49" s="2071">
        <v>3169</v>
      </c>
      <c r="I49" s="2072">
        <f t="shared" si="7"/>
        <v>0.25019737880941101</v>
      </c>
      <c r="J49" s="2070">
        <v>9489</v>
      </c>
      <c r="K49" s="2071">
        <v>2198</v>
      </c>
      <c r="L49" s="2072">
        <f t="shared" si="8"/>
        <v>0.23163663188955633</v>
      </c>
    </row>
    <row r="50" spans="1:12" x14ac:dyDescent="0.3">
      <c r="A50" s="89" t="s">
        <v>113</v>
      </c>
      <c r="B50" s="89" t="s">
        <v>114</v>
      </c>
      <c r="C50" s="91" t="s">
        <v>252</v>
      </c>
      <c r="D50" s="2070">
        <v>2182</v>
      </c>
      <c r="E50" s="91">
        <v>271</v>
      </c>
      <c r="F50" s="2072">
        <f t="shared" si="6"/>
        <v>0.12419798350137488</v>
      </c>
      <c r="G50" s="2073">
        <v>284</v>
      </c>
      <c r="H50" s="91">
        <v>56</v>
      </c>
      <c r="I50" s="2072">
        <f t="shared" si="7"/>
        <v>0.19718309859154928</v>
      </c>
      <c r="J50" s="2073">
        <v>189</v>
      </c>
      <c r="K50" s="91">
        <v>39</v>
      </c>
      <c r="L50" s="2072">
        <f t="shared" si="8"/>
        <v>0.20634920634920634</v>
      </c>
    </row>
    <row r="51" spans="1:12" x14ac:dyDescent="0.3">
      <c r="A51" s="89" t="s">
        <v>117</v>
      </c>
      <c r="B51" s="89" t="s">
        <v>257</v>
      </c>
      <c r="C51" s="91" t="s">
        <v>251</v>
      </c>
      <c r="D51" s="2070">
        <v>36789</v>
      </c>
      <c r="E51" s="2071">
        <v>3351</v>
      </c>
      <c r="F51" s="2072">
        <f t="shared" si="6"/>
        <v>9.1087009703987601E-2</v>
      </c>
      <c r="G51" s="2070">
        <v>7628</v>
      </c>
      <c r="H51" s="2071">
        <v>1047</v>
      </c>
      <c r="I51" s="2072">
        <f t="shared" si="7"/>
        <v>0.13725747246984793</v>
      </c>
      <c r="J51" s="2070">
        <v>5674</v>
      </c>
      <c r="K51" s="91">
        <v>834</v>
      </c>
      <c r="L51" s="2072">
        <f t="shared" si="8"/>
        <v>0.14698625308424393</v>
      </c>
    </row>
    <row r="52" spans="1:12" x14ac:dyDescent="0.3">
      <c r="A52" s="89" t="s">
        <v>119</v>
      </c>
      <c r="B52" s="89" t="s">
        <v>120</v>
      </c>
      <c r="C52" s="91" t="s">
        <v>251</v>
      </c>
      <c r="D52" s="2070">
        <v>75365</v>
      </c>
      <c r="E52" s="2071">
        <v>4366</v>
      </c>
      <c r="F52" s="2072">
        <f t="shared" si="6"/>
        <v>5.7931400517481586E-2</v>
      </c>
      <c r="G52" s="2070">
        <v>14908</v>
      </c>
      <c r="H52" s="2071">
        <v>1235</v>
      </c>
      <c r="I52" s="2072">
        <f t="shared" si="7"/>
        <v>8.2841427421518649E-2</v>
      </c>
      <c r="J52" s="2070">
        <v>11223</v>
      </c>
      <c r="K52" s="2071">
        <v>843</v>
      </c>
      <c r="L52" s="2072">
        <f t="shared" si="8"/>
        <v>7.5113605987703821E-2</v>
      </c>
    </row>
    <row r="53" spans="1:12" x14ac:dyDescent="0.3">
      <c r="A53" s="89" t="s">
        <v>121</v>
      </c>
      <c r="B53" s="89" t="s">
        <v>268</v>
      </c>
      <c r="C53" s="91" t="s">
        <v>253</v>
      </c>
      <c r="D53" s="2070">
        <v>7006</v>
      </c>
      <c r="E53" s="91">
        <v>820</v>
      </c>
      <c r="F53" s="2072">
        <f t="shared" si="6"/>
        <v>0.11704253497002569</v>
      </c>
      <c r="G53" s="2070">
        <v>1210</v>
      </c>
      <c r="H53" s="91">
        <v>218</v>
      </c>
      <c r="I53" s="2072">
        <f t="shared" si="7"/>
        <v>0.18016528925619835</v>
      </c>
      <c r="J53" s="2070">
        <v>888</v>
      </c>
      <c r="K53" s="91">
        <v>154</v>
      </c>
      <c r="L53" s="2072">
        <f t="shared" si="8"/>
        <v>0.17342342342342343</v>
      </c>
    </row>
    <row r="54" spans="1:12" x14ac:dyDescent="0.3">
      <c r="A54" s="89" t="s">
        <v>123</v>
      </c>
      <c r="B54" s="89" t="s">
        <v>124</v>
      </c>
      <c r="C54" s="91" t="s">
        <v>254</v>
      </c>
      <c r="D54" s="2070">
        <v>26431</v>
      </c>
      <c r="E54" s="2071">
        <v>1553</v>
      </c>
      <c r="F54" s="2072">
        <f t="shared" si="6"/>
        <v>5.875676289205857E-2</v>
      </c>
      <c r="G54" s="2070">
        <v>6474</v>
      </c>
      <c r="H54" s="91">
        <v>501</v>
      </c>
      <c r="I54" s="2072">
        <f t="shared" si="7"/>
        <v>7.7386468952734017E-2</v>
      </c>
      <c r="J54" s="2070">
        <v>4904</v>
      </c>
      <c r="K54" s="91">
        <v>341</v>
      </c>
      <c r="L54" s="2072">
        <f t="shared" si="8"/>
        <v>6.9535073409461662E-2</v>
      </c>
    </row>
    <row r="55" spans="1:12" x14ac:dyDescent="0.3">
      <c r="A55" s="89" t="s">
        <v>125</v>
      </c>
      <c r="B55" s="89" t="s">
        <v>126</v>
      </c>
      <c r="C55" s="91" t="s">
        <v>253</v>
      </c>
      <c r="D55" s="2070">
        <v>17023</v>
      </c>
      <c r="E55" s="2071">
        <v>1179</v>
      </c>
      <c r="F55" s="2072">
        <f t="shared" si="6"/>
        <v>6.9259237502202906E-2</v>
      </c>
      <c r="G55" s="2070">
        <v>3853</v>
      </c>
      <c r="H55" s="91">
        <v>384</v>
      </c>
      <c r="I55" s="2072">
        <f t="shared" si="7"/>
        <v>9.9662600570983653E-2</v>
      </c>
      <c r="J55" s="2070">
        <v>2849</v>
      </c>
      <c r="K55" s="91">
        <v>268</v>
      </c>
      <c r="L55" s="2072">
        <f t="shared" si="8"/>
        <v>9.4068094068094063E-2</v>
      </c>
    </row>
    <row r="56" spans="1:12" x14ac:dyDescent="0.3">
      <c r="A56" s="89" t="s">
        <v>127</v>
      </c>
      <c r="B56" s="89" t="s">
        <v>128</v>
      </c>
      <c r="C56" s="91" t="s">
        <v>253</v>
      </c>
      <c r="D56" s="2070">
        <v>10413</v>
      </c>
      <c r="E56" s="2071">
        <v>1383</v>
      </c>
      <c r="F56" s="2072">
        <f t="shared" si="6"/>
        <v>0.13281475079227889</v>
      </c>
      <c r="G56" s="2070">
        <v>1612</v>
      </c>
      <c r="H56" s="91">
        <v>385</v>
      </c>
      <c r="I56" s="2072">
        <f t="shared" si="7"/>
        <v>0.23883374689826303</v>
      </c>
      <c r="J56" s="2070">
        <v>1182</v>
      </c>
      <c r="K56" s="91">
        <v>276</v>
      </c>
      <c r="L56" s="2072">
        <f t="shared" si="8"/>
        <v>0.233502538071066</v>
      </c>
    </row>
    <row r="57" spans="1:12" x14ac:dyDescent="0.3">
      <c r="A57" s="89" t="s">
        <v>129</v>
      </c>
      <c r="B57" s="89" t="s">
        <v>130</v>
      </c>
      <c r="C57" s="91" t="s">
        <v>255</v>
      </c>
      <c r="D57" s="2070">
        <v>21937</v>
      </c>
      <c r="E57" s="2071">
        <v>5939</v>
      </c>
      <c r="F57" s="2072">
        <f t="shared" si="6"/>
        <v>0.2707298172038109</v>
      </c>
      <c r="G57" s="2070">
        <v>4255</v>
      </c>
      <c r="H57" s="2071">
        <v>1821</v>
      </c>
      <c r="I57" s="2072">
        <f t="shared" si="7"/>
        <v>0.42796709753231493</v>
      </c>
      <c r="J57" s="2070">
        <v>3203</v>
      </c>
      <c r="K57" s="2071">
        <v>1079</v>
      </c>
      <c r="L57" s="2072">
        <f t="shared" si="8"/>
        <v>0.33687168279737745</v>
      </c>
    </row>
    <row r="58" spans="1:12" x14ac:dyDescent="0.3">
      <c r="A58" s="89" t="s">
        <v>131</v>
      </c>
      <c r="B58" s="89" t="s">
        <v>132</v>
      </c>
      <c r="C58" s="91" t="s">
        <v>254</v>
      </c>
      <c r="D58" s="2070">
        <v>411084</v>
      </c>
      <c r="E58" s="2071">
        <v>12909</v>
      </c>
      <c r="F58" s="2072">
        <f t="shared" si="6"/>
        <v>3.140234112736083E-2</v>
      </c>
      <c r="G58" s="2070">
        <v>113942</v>
      </c>
      <c r="H58" s="2071">
        <v>3686</v>
      </c>
      <c r="I58" s="2072">
        <f t="shared" si="7"/>
        <v>3.2349791999438313E-2</v>
      </c>
      <c r="J58" s="2070">
        <v>86027</v>
      </c>
      <c r="K58" s="2071">
        <v>2395</v>
      </c>
      <c r="L58" s="2072">
        <f t="shared" si="8"/>
        <v>2.7840096713822406E-2</v>
      </c>
    </row>
    <row r="59" spans="1:12" x14ac:dyDescent="0.3">
      <c r="A59" s="89" t="s">
        <v>133</v>
      </c>
      <c r="B59" s="89" t="s">
        <v>134</v>
      </c>
      <c r="C59" s="91" t="s">
        <v>254</v>
      </c>
      <c r="D59" s="2070">
        <v>37353</v>
      </c>
      <c r="E59" s="2071">
        <v>3559</v>
      </c>
      <c r="F59" s="2072">
        <f t="shared" si="6"/>
        <v>9.5280164913126117E-2</v>
      </c>
      <c r="G59" s="2070">
        <v>7382</v>
      </c>
      <c r="H59" s="2071">
        <v>1068</v>
      </c>
      <c r="I59" s="2072">
        <f t="shared" si="7"/>
        <v>0.14467623950149011</v>
      </c>
      <c r="J59" s="2070">
        <v>5372</v>
      </c>
      <c r="K59" s="91">
        <v>699</v>
      </c>
      <c r="L59" s="2072">
        <f t="shared" si="8"/>
        <v>0.13011913626209978</v>
      </c>
    </row>
    <row r="60" spans="1:12" x14ac:dyDescent="0.3">
      <c r="A60" s="89" t="s">
        <v>135</v>
      </c>
      <c r="B60" s="89" t="s">
        <v>136</v>
      </c>
      <c r="C60" s="91" t="s">
        <v>253</v>
      </c>
      <c r="D60" s="2070">
        <v>11158</v>
      </c>
      <c r="E60" s="2071">
        <v>2140</v>
      </c>
      <c r="F60" s="2072">
        <f t="shared" si="6"/>
        <v>0.19179064348449543</v>
      </c>
      <c r="G60" s="2070">
        <v>2255</v>
      </c>
      <c r="H60" s="91">
        <v>602</v>
      </c>
      <c r="I60" s="2072">
        <f t="shared" si="7"/>
        <v>0.26696230598669624</v>
      </c>
      <c r="J60" s="2070">
        <v>1619</v>
      </c>
      <c r="K60" s="91">
        <v>404</v>
      </c>
      <c r="L60" s="2072">
        <f t="shared" si="8"/>
        <v>0.24953675108091414</v>
      </c>
    </row>
    <row r="61" spans="1:12" x14ac:dyDescent="0.3">
      <c r="A61" s="89" t="s">
        <v>139</v>
      </c>
      <c r="B61" s="89" t="s">
        <v>140</v>
      </c>
      <c r="C61" s="91" t="s">
        <v>254</v>
      </c>
      <c r="D61" s="2070">
        <v>13106</v>
      </c>
      <c r="E61" s="2071">
        <v>1224</v>
      </c>
      <c r="F61" s="2072">
        <f t="shared" si="6"/>
        <v>9.3392339386540513E-2</v>
      </c>
      <c r="G61" s="2070">
        <v>2623</v>
      </c>
      <c r="H61" s="91">
        <v>383</v>
      </c>
      <c r="I61" s="2072">
        <f t="shared" si="7"/>
        <v>0.14601601219977126</v>
      </c>
      <c r="J61" s="2070">
        <v>1951</v>
      </c>
      <c r="K61" s="91">
        <v>273</v>
      </c>
      <c r="L61" s="2072">
        <f t="shared" si="8"/>
        <v>0.13992824192721681</v>
      </c>
    </row>
    <row r="62" spans="1:12" x14ac:dyDescent="0.3">
      <c r="A62" s="89" t="s">
        <v>145</v>
      </c>
      <c r="B62" s="89" t="s">
        <v>146</v>
      </c>
      <c r="C62" s="91" t="s">
        <v>251</v>
      </c>
      <c r="D62" s="2070">
        <v>8747</v>
      </c>
      <c r="E62" s="91">
        <v>766</v>
      </c>
      <c r="F62" s="2072">
        <f t="shared" si="6"/>
        <v>8.7572882131016355E-2</v>
      </c>
      <c r="G62" s="2070">
        <v>1350</v>
      </c>
      <c r="H62" s="91">
        <v>212</v>
      </c>
      <c r="I62" s="2072">
        <f t="shared" si="7"/>
        <v>0.15703703703703703</v>
      </c>
      <c r="J62" s="2070">
        <v>1013</v>
      </c>
      <c r="K62" s="91">
        <v>152</v>
      </c>
      <c r="L62" s="2072">
        <f t="shared" si="8"/>
        <v>0.15004935834155972</v>
      </c>
    </row>
    <row r="63" spans="1:12" x14ac:dyDescent="0.3">
      <c r="A63" s="89" t="s">
        <v>147</v>
      </c>
      <c r="B63" s="89" t="s">
        <v>148</v>
      </c>
      <c r="C63" s="91" t="s">
        <v>252</v>
      </c>
      <c r="D63" s="2070">
        <v>29643</v>
      </c>
      <c r="E63" s="2071">
        <v>5137</v>
      </c>
      <c r="F63" s="2072">
        <f t="shared" si="6"/>
        <v>0.17329555038288971</v>
      </c>
      <c r="G63" s="2070">
        <v>5617</v>
      </c>
      <c r="H63" s="2071">
        <v>1364</v>
      </c>
      <c r="I63" s="2072">
        <f t="shared" si="7"/>
        <v>0.24283425316004986</v>
      </c>
      <c r="J63" s="2070">
        <v>4098</v>
      </c>
      <c r="K63" s="2071">
        <v>944</v>
      </c>
      <c r="L63" s="2072">
        <f t="shared" si="8"/>
        <v>0.23035627135187897</v>
      </c>
    </row>
    <row r="64" spans="1:12" x14ac:dyDescent="0.3">
      <c r="A64" s="89" t="s">
        <v>149</v>
      </c>
      <c r="B64" s="89" t="s">
        <v>150</v>
      </c>
      <c r="C64" s="91" t="s">
        <v>253</v>
      </c>
      <c r="D64" s="2070">
        <v>10212</v>
      </c>
      <c r="E64" s="2071">
        <v>1411</v>
      </c>
      <c r="F64" s="2072">
        <f t="shared" si="6"/>
        <v>0.13817077947512729</v>
      </c>
      <c r="G64" s="2070">
        <v>1656</v>
      </c>
      <c r="H64" s="91">
        <v>394</v>
      </c>
      <c r="I64" s="2072">
        <f t="shared" si="7"/>
        <v>0.23792270531400966</v>
      </c>
      <c r="J64" s="2070">
        <v>1191</v>
      </c>
      <c r="K64" s="91">
        <v>271</v>
      </c>
      <c r="L64" s="2072">
        <f t="shared" si="8"/>
        <v>0.22753988245172124</v>
      </c>
    </row>
    <row r="65" spans="1:12" x14ac:dyDescent="0.3">
      <c r="A65" s="89" t="s">
        <v>151</v>
      </c>
      <c r="B65" s="89" t="s">
        <v>152</v>
      </c>
      <c r="C65" s="91" t="s">
        <v>255</v>
      </c>
      <c r="D65" s="2070">
        <v>88569</v>
      </c>
      <c r="E65" s="2071">
        <v>18158</v>
      </c>
      <c r="F65" s="2072">
        <f t="shared" si="6"/>
        <v>0.20501529880658018</v>
      </c>
      <c r="G65" s="2070">
        <v>14733</v>
      </c>
      <c r="H65" s="2071">
        <v>2033</v>
      </c>
      <c r="I65" s="2072">
        <f t="shared" si="7"/>
        <v>0.13798954727482524</v>
      </c>
      <c r="J65" s="2070">
        <v>10673</v>
      </c>
      <c r="K65" s="2071">
        <v>1387</v>
      </c>
      <c r="L65" s="2072">
        <f t="shared" si="8"/>
        <v>0.12995408975920547</v>
      </c>
    </row>
    <row r="66" spans="1:12" x14ac:dyDescent="0.3">
      <c r="A66" s="89" t="s">
        <v>153</v>
      </c>
      <c r="B66" s="89" t="s">
        <v>154</v>
      </c>
      <c r="C66" s="91" t="s">
        <v>252</v>
      </c>
      <c r="D66" s="2070">
        <v>14825</v>
      </c>
      <c r="E66" s="2071">
        <v>1748</v>
      </c>
      <c r="F66" s="2072">
        <f t="shared" si="6"/>
        <v>0.11790893760539629</v>
      </c>
      <c r="G66" s="2070">
        <v>2615</v>
      </c>
      <c r="H66" s="91">
        <v>471</v>
      </c>
      <c r="I66" s="2072">
        <f t="shared" si="7"/>
        <v>0.18011472275334608</v>
      </c>
      <c r="J66" s="2070">
        <v>1911</v>
      </c>
      <c r="K66" s="91">
        <v>332</v>
      </c>
      <c r="L66" s="2072">
        <f t="shared" si="8"/>
        <v>0.17373103087388803</v>
      </c>
    </row>
    <row r="67" spans="1:12" x14ac:dyDescent="0.3">
      <c r="A67" s="89" t="s">
        <v>155</v>
      </c>
      <c r="B67" s="89" t="s">
        <v>156</v>
      </c>
      <c r="C67" s="91" t="s">
        <v>253</v>
      </c>
      <c r="D67" s="2070">
        <v>22485</v>
      </c>
      <c r="E67" s="2071">
        <v>1131</v>
      </c>
      <c r="F67" s="2072">
        <f t="shared" si="6"/>
        <v>5.0300200133422283E-2</v>
      </c>
      <c r="G67" s="2070">
        <v>4453</v>
      </c>
      <c r="H67" s="91">
        <v>324</v>
      </c>
      <c r="I67" s="2072">
        <f t="shared" si="7"/>
        <v>7.2759937121041993E-2</v>
      </c>
      <c r="J67" s="2070">
        <v>3277</v>
      </c>
      <c r="K67" s="91">
        <v>234</v>
      </c>
      <c r="L67" s="2072">
        <f t="shared" si="8"/>
        <v>7.1406774488861763E-2</v>
      </c>
    </row>
    <row r="68" spans="1:12" x14ac:dyDescent="0.3">
      <c r="A68" s="89" t="s">
        <v>161</v>
      </c>
      <c r="B68" s="89" t="s">
        <v>162</v>
      </c>
      <c r="C68" s="91" t="s">
        <v>251</v>
      </c>
      <c r="D68" s="2070">
        <v>11484</v>
      </c>
      <c r="E68" s="2071">
        <v>2077</v>
      </c>
      <c r="F68" s="2072">
        <f t="shared" si="6"/>
        <v>0.18086032741205155</v>
      </c>
      <c r="G68" s="2070">
        <v>2274</v>
      </c>
      <c r="H68" s="91">
        <v>674</v>
      </c>
      <c r="I68" s="2072">
        <f t="shared" si="7"/>
        <v>0.29639401934916448</v>
      </c>
      <c r="J68" s="2070">
        <v>1686</v>
      </c>
      <c r="K68" s="91">
        <v>463</v>
      </c>
      <c r="L68" s="2072">
        <f t="shared" si="8"/>
        <v>0.27461447212336892</v>
      </c>
    </row>
    <row r="69" spans="1:12" x14ac:dyDescent="0.3">
      <c r="A69" s="89" t="s">
        <v>163</v>
      </c>
      <c r="B69" s="89" t="s">
        <v>164</v>
      </c>
      <c r="C69" s="91" t="s">
        <v>253</v>
      </c>
      <c r="D69" s="2070">
        <v>12062</v>
      </c>
      <c r="E69" s="2071">
        <v>1533</v>
      </c>
      <c r="F69" s="2072">
        <f t="shared" si="6"/>
        <v>0.12709335101973138</v>
      </c>
      <c r="G69" s="2070">
        <v>1720</v>
      </c>
      <c r="H69" s="91">
        <v>449</v>
      </c>
      <c r="I69" s="2072">
        <f t="shared" si="7"/>
        <v>0.26104651162790699</v>
      </c>
      <c r="J69" s="2070">
        <v>1296</v>
      </c>
      <c r="K69" s="91">
        <v>311</v>
      </c>
      <c r="L69" s="2072">
        <f t="shared" si="8"/>
        <v>0.23996913580246915</v>
      </c>
    </row>
    <row r="70" spans="1:12" x14ac:dyDescent="0.3">
      <c r="A70" s="89" t="s">
        <v>167</v>
      </c>
      <c r="B70" s="89" t="s">
        <v>168</v>
      </c>
      <c r="C70" s="91" t="s">
        <v>253</v>
      </c>
      <c r="D70" s="2070">
        <v>12954</v>
      </c>
      <c r="E70" s="2071">
        <v>2789</v>
      </c>
      <c r="F70" s="2072">
        <f t="shared" ref="F70:F101" si="9">E70/D70</f>
        <v>0.21530029334568473</v>
      </c>
      <c r="G70" s="2070">
        <v>2919</v>
      </c>
      <c r="H70" s="91">
        <v>787</v>
      </c>
      <c r="I70" s="2072">
        <f t="shared" ref="I70:I101" si="10">H70/G70</f>
        <v>0.26961288112367249</v>
      </c>
      <c r="J70" s="2070">
        <v>2130</v>
      </c>
      <c r="K70" s="91">
        <v>524</v>
      </c>
      <c r="L70" s="2072">
        <f t="shared" ref="L70:L101" si="11">K70/J70</f>
        <v>0.24600938967136149</v>
      </c>
    </row>
    <row r="71" spans="1:12" x14ac:dyDescent="0.3">
      <c r="A71" s="89" t="s">
        <v>169</v>
      </c>
      <c r="B71" s="89" t="s">
        <v>170</v>
      </c>
      <c r="C71" s="91" t="s">
        <v>254</v>
      </c>
      <c r="D71" s="2070">
        <v>36368</v>
      </c>
      <c r="E71" s="2071">
        <v>3534</v>
      </c>
      <c r="F71" s="2072">
        <f t="shared" si="9"/>
        <v>9.7173339199296091E-2</v>
      </c>
      <c r="G71" s="2070">
        <v>7636</v>
      </c>
      <c r="H71" s="2071">
        <v>1067</v>
      </c>
      <c r="I71" s="2072">
        <f t="shared" si="10"/>
        <v>0.13973284442116291</v>
      </c>
      <c r="J71" s="2070">
        <v>5502</v>
      </c>
      <c r="K71" s="91">
        <v>750</v>
      </c>
      <c r="L71" s="2072">
        <f t="shared" si="11"/>
        <v>0.13631406761177753</v>
      </c>
    </row>
    <row r="72" spans="1:12" x14ac:dyDescent="0.3">
      <c r="A72" s="89" t="s">
        <v>171</v>
      </c>
      <c r="B72" s="89" t="s">
        <v>172</v>
      </c>
      <c r="C72" s="91" t="s">
        <v>254</v>
      </c>
      <c r="D72" s="2070">
        <v>23640</v>
      </c>
      <c r="E72" s="2071">
        <v>2668</v>
      </c>
      <c r="F72" s="2072">
        <f t="shared" si="9"/>
        <v>0.1128595600676819</v>
      </c>
      <c r="G72" s="2070">
        <v>4640</v>
      </c>
      <c r="H72" s="2071">
        <v>803</v>
      </c>
      <c r="I72" s="2072">
        <f t="shared" si="10"/>
        <v>0.1730603448275862</v>
      </c>
      <c r="J72" s="2070">
        <v>3387</v>
      </c>
      <c r="K72" s="91">
        <v>562</v>
      </c>
      <c r="L72" s="2072">
        <f t="shared" si="11"/>
        <v>0.16592855033953352</v>
      </c>
    </row>
    <row r="73" spans="1:12" x14ac:dyDescent="0.3">
      <c r="A73" s="89" t="s">
        <v>173</v>
      </c>
      <c r="B73" s="89" t="s">
        <v>174</v>
      </c>
      <c r="C73" s="91" t="s">
        <v>255</v>
      </c>
      <c r="D73" s="2070">
        <v>17269</v>
      </c>
      <c r="E73" s="2071">
        <v>2674</v>
      </c>
      <c r="F73" s="2072">
        <f t="shared" si="9"/>
        <v>0.154843940008107</v>
      </c>
      <c r="G73" s="2070">
        <v>2990</v>
      </c>
      <c r="H73" s="91">
        <v>683</v>
      </c>
      <c r="I73" s="2072">
        <f t="shared" si="10"/>
        <v>0.22842809364548494</v>
      </c>
      <c r="J73" s="2070">
        <v>2267</v>
      </c>
      <c r="K73" s="91">
        <v>480</v>
      </c>
      <c r="L73" s="2072">
        <f t="shared" si="11"/>
        <v>0.211733568592854</v>
      </c>
    </row>
    <row r="74" spans="1:12" x14ac:dyDescent="0.3">
      <c r="A74" s="89" t="s">
        <v>177</v>
      </c>
      <c r="B74" s="89" t="s">
        <v>178</v>
      </c>
      <c r="C74" s="91" t="s">
        <v>252</v>
      </c>
      <c r="D74" s="2070">
        <v>59223</v>
      </c>
      <c r="E74" s="2071">
        <v>8960</v>
      </c>
      <c r="F74" s="2072">
        <f t="shared" si="9"/>
        <v>0.15129257214257974</v>
      </c>
      <c r="G74" s="2070">
        <v>10933</v>
      </c>
      <c r="H74" s="2071">
        <v>2598</v>
      </c>
      <c r="I74" s="2072">
        <f t="shared" si="10"/>
        <v>0.23762919601207355</v>
      </c>
      <c r="J74" s="2070">
        <v>8379</v>
      </c>
      <c r="K74" s="2071">
        <v>1726</v>
      </c>
      <c r="L74" s="2072">
        <f t="shared" si="11"/>
        <v>0.20599116839718343</v>
      </c>
    </row>
    <row r="75" spans="1:12" x14ac:dyDescent="0.3">
      <c r="A75" s="89" t="s">
        <v>181</v>
      </c>
      <c r="B75" s="89" t="s">
        <v>182</v>
      </c>
      <c r="C75" s="91" t="s">
        <v>253</v>
      </c>
      <c r="D75" s="2070">
        <v>28509</v>
      </c>
      <c r="E75" s="2071">
        <v>1547</v>
      </c>
      <c r="F75" s="2072">
        <f t="shared" si="9"/>
        <v>5.4263565891472867E-2</v>
      </c>
      <c r="G75" s="2070">
        <v>5265</v>
      </c>
      <c r="H75" s="91">
        <v>351</v>
      </c>
      <c r="I75" s="2072">
        <f t="shared" si="10"/>
        <v>6.6666666666666666E-2</v>
      </c>
      <c r="J75" s="2070">
        <v>3946</v>
      </c>
      <c r="K75" s="91">
        <v>245</v>
      </c>
      <c r="L75" s="2072">
        <f t="shared" si="11"/>
        <v>6.2088190572731877E-2</v>
      </c>
    </row>
    <row r="76" spans="1:12" x14ac:dyDescent="0.3">
      <c r="A76" s="89" t="s">
        <v>183</v>
      </c>
      <c r="B76" s="89" t="s">
        <v>184</v>
      </c>
      <c r="C76" s="91" t="s">
        <v>253</v>
      </c>
      <c r="D76" s="2070">
        <v>18724</v>
      </c>
      <c r="E76" s="2071">
        <v>3852</v>
      </c>
      <c r="F76" s="2072">
        <f t="shared" si="9"/>
        <v>0.20572527237769708</v>
      </c>
      <c r="G76" s="2070">
        <v>3550</v>
      </c>
      <c r="H76" s="2071">
        <v>885</v>
      </c>
      <c r="I76" s="2072">
        <f t="shared" si="10"/>
        <v>0.24929577464788732</v>
      </c>
      <c r="J76" s="2070">
        <v>2487</v>
      </c>
      <c r="K76" s="91">
        <v>631</v>
      </c>
      <c r="L76" s="2072">
        <f t="shared" si="11"/>
        <v>0.25371934057096907</v>
      </c>
    </row>
    <row r="77" spans="1:12" x14ac:dyDescent="0.3">
      <c r="A77" s="89" t="s">
        <v>185</v>
      </c>
      <c r="B77" s="89" t="s">
        <v>186</v>
      </c>
      <c r="C77" s="91" t="s">
        <v>251</v>
      </c>
      <c r="D77" s="2070">
        <v>34222</v>
      </c>
      <c r="E77" s="2071">
        <v>2842</v>
      </c>
      <c r="F77" s="2072">
        <f t="shared" si="9"/>
        <v>8.304599380515458E-2</v>
      </c>
      <c r="G77" s="2070">
        <v>8326</v>
      </c>
      <c r="H77" s="2071">
        <v>846</v>
      </c>
      <c r="I77" s="2072">
        <f t="shared" si="10"/>
        <v>0.10160941628633197</v>
      </c>
      <c r="J77" s="2070">
        <v>6121</v>
      </c>
      <c r="K77" s="91">
        <v>595</v>
      </c>
      <c r="L77" s="2072">
        <f t="shared" si="11"/>
        <v>9.7206338833523934E-2</v>
      </c>
    </row>
    <row r="78" spans="1:12" x14ac:dyDescent="0.3">
      <c r="A78" s="89" t="s">
        <v>187</v>
      </c>
      <c r="B78" s="89" t="s">
        <v>188</v>
      </c>
      <c r="C78" s="91" t="s">
        <v>254</v>
      </c>
      <c r="D78" s="2070">
        <v>465607</v>
      </c>
      <c r="E78" s="2071">
        <v>28463</v>
      </c>
      <c r="F78" s="2072">
        <f t="shared" si="9"/>
        <v>6.1130953787206808E-2</v>
      </c>
      <c r="G78" s="2070">
        <v>123858</v>
      </c>
      <c r="H78" s="2071">
        <v>10357</v>
      </c>
      <c r="I78" s="2072">
        <f t="shared" si="10"/>
        <v>8.3619951880379143E-2</v>
      </c>
      <c r="J78" s="2070">
        <v>90433</v>
      </c>
      <c r="K78" s="2071">
        <v>6989</v>
      </c>
      <c r="L78" s="2072">
        <f t="shared" si="11"/>
        <v>7.728373491977486E-2</v>
      </c>
    </row>
    <row r="79" spans="1:12" x14ac:dyDescent="0.3">
      <c r="A79" s="89" t="s">
        <v>189</v>
      </c>
      <c r="B79" s="89" t="s">
        <v>190</v>
      </c>
      <c r="C79" s="91" t="s">
        <v>255</v>
      </c>
      <c r="D79" s="2070">
        <v>32872</v>
      </c>
      <c r="E79" s="2071">
        <v>4796</v>
      </c>
      <c r="F79" s="2072">
        <f t="shared" si="9"/>
        <v>0.14589924555853007</v>
      </c>
      <c r="G79" s="2070">
        <v>5810</v>
      </c>
      <c r="H79" s="2071">
        <v>1188</v>
      </c>
      <c r="I79" s="2072">
        <f t="shared" si="10"/>
        <v>0.2044750430292599</v>
      </c>
      <c r="J79" s="2070">
        <v>4232</v>
      </c>
      <c r="K79" s="91">
        <v>856</v>
      </c>
      <c r="L79" s="2072">
        <f t="shared" si="11"/>
        <v>0.20226843100189035</v>
      </c>
    </row>
    <row r="80" spans="1:12" x14ac:dyDescent="0.3">
      <c r="A80" s="89" t="s">
        <v>193</v>
      </c>
      <c r="B80" s="89" t="s">
        <v>194</v>
      </c>
      <c r="C80" s="91" t="s">
        <v>254</v>
      </c>
      <c r="D80" s="2070">
        <v>7323</v>
      </c>
      <c r="E80" s="91">
        <v>622</v>
      </c>
      <c r="F80" s="2072">
        <f t="shared" si="9"/>
        <v>8.4937866994401201E-2</v>
      </c>
      <c r="G80" s="2070">
        <v>1175</v>
      </c>
      <c r="H80" s="91">
        <v>161</v>
      </c>
      <c r="I80" s="2072">
        <f t="shared" si="10"/>
        <v>0.13702127659574467</v>
      </c>
      <c r="J80" s="2070">
        <v>886</v>
      </c>
      <c r="K80" s="91">
        <v>116</v>
      </c>
      <c r="L80" s="2072">
        <f t="shared" si="11"/>
        <v>0.1309255079006772</v>
      </c>
    </row>
    <row r="81" spans="1:12" x14ac:dyDescent="0.3">
      <c r="A81" s="89" t="s">
        <v>197</v>
      </c>
      <c r="B81" s="89" t="s">
        <v>259</v>
      </c>
      <c r="C81" s="91" t="s">
        <v>253</v>
      </c>
      <c r="D81" s="2070">
        <v>7333</v>
      </c>
      <c r="E81" s="2071">
        <v>1303</v>
      </c>
      <c r="F81" s="2072">
        <f t="shared" si="9"/>
        <v>0.17768989499522705</v>
      </c>
      <c r="G81" s="2070">
        <v>1483</v>
      </c>
      <c r="H81" s="91">
        <v>300</v>
      </c>
      <c r="I81" s="2072">
        <f t="shared" si="10"/>
        <v>0.20229265003371544</v>
      </c>
      <c r="J81" s="2070">
        <v>1108</v>
      </c>
      <c r="K81" s="91">
        <v>209</v>
      </c>
      <c r="L81" s="2072">
        <f t="shared" si="11"/>
        <v>0.18862815884476533</v>
      </c>
    </row>
    <row r="82" spans="1:12" x14ac:dyDescent="0.3">
      <c r="A82" s="89" t="s">
        <v>201</v>
      </c>
      <c r="B82" s="89" t="s">
        <v>276</v>
      </c>
      <c r="C82" s="91" t="s">
        <v>252</v>
      </c>
      <c r="D82" s="2070">
        <v>115006</v>
      </c>
      <c r="E82" s="2071">
        <v>8115</v>
      </c>
      <c r="F82" s="2072">
        <f t="shared" si="9"/>
        <v>7.0561535919865054E-2</v>
      </c>
      <c r="G82" s="2070">
        <v>23074</v>
      </c>
      <c r="H82" s="2071">
        <v>2045</v>
      </c>
      <c r="I82" s="2072">
        <f t="shared" si="10"/>
        <v>8.8627892866429747E-2</v>
      </c>
      <c r="J82" s="2070">
        <v>17653</v>
      </c>
      <c r="K82" s="2071">
        <v>1436</v>
      </c>
      <c r="L82" s="2072">
        <f t="shared" si="11"/>
        <v>8.1345946864555596E-2</v>
      </c>
    </row>
    <row r="83" spans="1:12" x14ac:dyDescent="0.3">
      <c r="A83" s="89" t="s">
        <v>203</v>
      </c>
      <c r="B83" s="89" t="s">
        <v>269</v>
      </c>
      <c r="C83" s="91" t="s">
        <v>252</v>
      </c>
      <c r="D83" s="2070">
        <v>32708</v>
      </c>
      <c r="E83" s="2071">
        <v>4622</v>
      </c>
      <c r="F83" s="2072">
        <f t="shared" si="9"/>
        <v>0.14131099425217072</v>
      </c>
      <c r="G83" s="2070">
        <v>6071</v>
      </c>
      <c r="H83" s="91">
        <v>1093</v>
      </c>
      <c r="I83" s="2072">
        <f t="shared" si="10"/>
        <v>0.18003623785208367</v>
      </c>
      <c r="J83" s="2070">
        <v>4396</v>
      </c>
      <c r="K83" s="91">
        <v>738</v>
      </c>
      <c r="L83" s="2072">
        <f t="shared" si="11"/>
        <v>0.16787989080982713</v>
      </c>
    </row>
    <row r="84" spans="1:12" x14ac:dyDescent="0.3">
      <c r="A84" s="89" t="s">
        <v>205</v>
      </c>
      <c r="B84" s="89" t="s">
        <v>270</v>
      </c>
      <c r="C84" s="91" t="s">
        <v>254</v>
      </c>
      <c r="D84" s="2070">
        <v>125441</v>
      </c>
      <c r="E84" s="2071">
        <v>17781</v>
      </c>
      <c r="F84" s="2072">
        <f t="shared" si="9"/>
        <v>0.14174791336166007</v>
      </c>
      <c r="G84" s="2070">
        <v>26096</v>
      </c>
      <c r="H84" s="2071">
        <v>3687</v>
      </c>
      <c r="I84" s="2072">
        <f t="shared" si="10"/>
        <v>0.1412860208461067</v>
      </c>
      <c r="J84" s="2070">
        <v>18860</v>
      </c>
      <c r="K84" s="2071">
        <v>2545</v>
      </c>
      <c r="L84" s="2072">
        <f t="shared" si="11"/>
        <v>0.13494167550371156</v>
      </c>
    </row>
    <row r="85" spans="1:12" x14ac:dyDescent="0.3">
      <c r="A85" s="89" t="s">
        <v>207</v>
      </c>
      <c r="B85" s="89" t="s">
        <v>208</v>
      </c>
      <c r="C85" s="91" t="s">
        <v>255</v>
      </c>
      <c r="D85" s="2070">
        <v>26305</v>
      </c>
      <c r="E85" s="2071">
        <v>5272</v>
      </c>
      <c r="F85" s="2072">
        <f t="shared" si="9"/>
        <v>0.20041817145029461</v>
      </c>
      <c r="G85" s="2070">
        <v>4897</v>
      </c>
      <c r="H85" s="2071">
        <v>1114</v>
      </c>
      <c r="I85" s="2072">
        <f t="shared" si="10"/>
        <v>0.22748621605064326</v>
      </c>
      <c r="J85" s="2070">
        <v>3653</v>
      </c>
      <c r="K85" s="91">
        <v>743</v>
      </c>
      <c r="L85" s="2072">
        <f t="shared" si="11"/>
        <v>0.20339447029838489</v>
      </c>
    </row>
    <row r="86" spans="1:12" x14ac:dyDescent="0.3">
      <c r="A86" s="89" t="s">
        <v>209</v>
      </c>
      <c r="B86" s="89" t="s">
        <v>210</v>
      </c>
      <c r="C86" s="91" t="s">
        <v>255</v>
      </c>
      <c r="D86" s="2070">
        <v>20722</v>
      </c>
      <c r="E86" s="2071">
        <v>3069</v>
      </c>
      <c r="F86" s="2072">
        <f t="shared" si="9"/>
        <v>0.14810346491651386</v>
      </c>
      <c r="G86" s="2070">
        <v>3762</v>
      </c>
      <c r="H86" s="2071">
        <v>769</v>
      </c>
      <c r="I86" s="2072">
        <f t="shared" si="10"/>
        <v>0.20441254651780968</v>
      </c>
      <c r="J86" s="2070">
        <v>2882</v>
      </c>
      <c r="K86" s="91">
        <v>549</v>
      </c>
      <c r="L86" s="2072">
        <f t="shared" si="11"/>
        <v>0.19049271339347676</v>
      </c>
    </row>
    <row r="87" spans="1:12" x14ac:dyDescent="0.3">
      <c r="A87" s="89" t="s">
        <v>211</v>
      </c>
      <c r="B87" s="89" t="s">
        <v>212</v>
      </c>
      <c r="C87" s="91" t="s">
        <v>254</v>
      </c>
      <c r="D87" s="2070">
        <v>43091</v>
      </c>
      <c r="E87" s="2071">
        <v>4421</v>
      </c>
      <c r="F87" s="2072">
        <f t="shared" si="9"/>
        <v>0.10259682996449375</v>
      </c>
      <c r="G87" s="2070">
        <v>8978</v>
      </c>
      <c r="H87" s="2071">
        <v>1366</v>
      </c>
      <c r="I87" s="2072">
        <f t="shared" si="10"/>
        <v>0.15214969926486968</v>
      </c>
      <c r="J87" s="2070">
        <v>6593</v>
      </c>
      <c r="K87" s="2071">
        <v>976</v>
      </c>
      <c r="L87" s="2072">
        <f t="shared" si="11"/>
        <v>0.14803579554072502</v>
      </c>
    </row>
    <row r="88" spans="1:12" x14ac:dyDescent="0.3">
      <c r="A88" s="89" t="s">
        <v>213</v>
      </c>
      <c r="B88" s="89" t="s">
        <v>214</v>
      </c>
      <c r="C88" s="91" t="s">
        <v>255</v>
      </c>
      <c r="D88" s="2070">
        <v>29395</v>
      </c>
      <c r="E88" s="2071">
        <v>4849</v>
      </c>
      <c r="F88" s="2072">
        <f t="shared" si="9"/>
        <v>0.16496002721551284</v>
      </c>
      <c r="G88" s="2070">
        <v>5636</v>
      </c>
      <c r="H88" s="2071">
        <v>1299</v>
      </c>
      <c r="I88" s="2072">
        <f t="shared" si="10"/>
        <v>0.23048261178140525</v>
      </c>
      <c r="J88" s="2070">
        <v>4216</v>
      </c>
      <c r="K88" s="2071">
        <v>890</v>
      </c>
      <c r="L88" s="2072">
        <f t="shared" si="11"/>
        <v>0.21110056925996204</v>
      </c>
    </row>
    <row r="89" spans="1:12" x14ac:dyDescent="0.3">
      <c r="A89" s="89" t="s">
        <v>215</v>
      </c>
      <c r="B89" s="89" t="s">
        <v>216</v>
      </c>
      <c r="C89" s="91" t="s">
        <v>251</v>
      </c>
      <c r="D89" s="2070">
        <v>16025</v>
      </c>
      <c r="E89" s="2071">
        <v>2132</v>
      </c>
      <c r="F89" s="2072">
        <f t="shared" si="9"/>
        <v>0.1330421216848674</v>
      </c>
      <c r="G89" s="2070">
        <v>3228</v>
      </c>
      <c r="H89" s="91">
        <v>625</v>
      </c>
      <c r="I89" s="2072">
        <f t="shared" si="10"/>
        <v>0.19361833952912019</v>
      </c>
      <c r="J89" s="2070">
        <v>2488</v>
      </c>
      <c r="K89" s="91">
        <v>445</v>
      </c>
      <c r="L89" s="2072">
        <f t="shared" si="11"/>
        <v>0.17885852090032153</v>
      </c>
    </row>
    <row r="90" spans="1:12" x14ac:dyDescent="0.3">
      <c r="A90" s="89" t="s">
        <v>217</v>
      </c>
      <c r="B90" s="89" t="s">
        <v>218</v>
      </c>
      <c r="C90" s="91" t="s">
        <v>254</v>
      </c>
      <c r="D90" s="2070">
        <v>135221</v>
      </c>
      <c r="E90" s="2071">
        <v>8903</v>
      </c>
      <c r="F90" s="2072">
        <f t="shared" si="9"/>
        <v>6.5840365032058631E-2</v>
      </c>
      <c r="G90" s="2070">
        <v>32819</v>
      </c>
      <c r="H90" s="2071">
        <v>3127</v>
      </c>
      <c r="I90" s="2072">
        <f t="shared" si="10"/>
        <v>9.5280173070477467E-2</v>
      </c>
      <c r="J90" s="2070">
        <v>24590</v>
      </c>
      <c r="K90" s="2071">
        <v>2289</v>
      </c>
      <c r="L90" s="2072">
        <f t="shared" si="11"/>
        <v>9.3086620577470511E-2</v>
      </c>
    </row>
    <row r="91" spans="1:12" x14ac:dyDescent="0.3">
      <c r="A91" s="89" t="s">
        <v>219</v>
      </c>
      <c r="B91" s="89" t="s">
        <v>220</v>
      </c>
      <c r="C91" s="91" t="s">
        <v>254</v>
      </c>
      <c r="D91" s="2070">
        <v>148816</v>
      </c>
      <c r="E91" s="2071">
        <v>8097</v>
      </c>
      <c r="F91" s="2072">
        <f t="shared" si="9"/>
        <v>5.4409472099774217E-2</v>
      </c>
      <c r="G91" s="2070">
        <v>39046</v>
      </c>
      <c r="H91" s="2071">
        <v>2686</v>
      </c>
      <c r="I91" s="2072">
        <f t="shared" si="10"/>
        <v>6.879065717359012E-2</v>
      </c>
      <c r="J91" s="2070">
        <v>29402</v>
      </c>
      <c r="K91" s="2071">
        <v>1819</v>
      </c>
      <c r="L91" s="2072">
        <f t="shared" si="11"/>
        <v>6.1866539691177468E-2</v>
      </c>
    </row>
    <row r="92" spans="1:12" x14ac:dyDescent="0.3">
      <c r="A92" s="89" t="s">
        <v>223</v>
      </c>
      <c r="B92" s="89" t="s">
        <v>224</v>
      </c>
      <c r="C92" s="91" t="s">
        <v>251</v>
      </c>
      <c r="D92" s="2070">
        <v>6411</v>
      </c>
      <c r="E92" s="91">
        <v>761</v>
      </c>
      <c r="F92" s="2072">
        <f t="shared" si="9"/>
        <v>0.11870223054125721</v>
      </c>
      <c r="G92" s="2070">
        <v>1051</v>
      </c>
      <c r="H92" s="91">
        <v>212</v>
      </c>
      <c r="I92" s="2072">
        <f t="shared" si="10"/>
        <v>0.20171265461465271</v>
      </c>
      <c r="J92" s="2070">
        <v>763</v>
      </c>
      <c r="K92" s="91">
        <v>142</v>
      </c>
      <c r="L92" s="2072">
        <f t="shared" si="11"/>
        <v>0.18610747051114024</v>
      </c>
    </row>
    <row r="93" spans="1:12" x14ac:dyDescent="0.3">
      <c r="A93" s="89" t="s">
        <v>225</v>
      </c>
      <c r="B93" s="89" t="s">
        <v>226</v>
      </c>
      <c r="C93" s="91" t="s">
        <v>251</v>
      </c>
      <c r="D93" s="2070">
        <v>8579</v>
      </c>
      <c r="E93" s="2071">
        <v>1851</v>
      </c>
      <c r="F93" s="2072">
        <f t="shared" si="9"/>
        <v>0.2157594125189416</v>
      </c>
      <c r="G93" s="2070">
        <v>1670</v>
      </c>
      <c r="H93" s="91">
        <v>474</v>
      </c>
      <c r="I93" s="2072">
        <f t="shared" si="10"/>
        <v>0.28383233532934132</v>
      </c>
      <c r="J93" s="2070">
        <v>1235</v>
      </c>
      <c r="K93" s="91">
        <v>339</v>
      </c>
      <c r="L93" s="2072">
        <f t="shared" si="11"/>
        <v>0.27449392712550608</v>
      </c>
    </row>
    <row r="94" spans="1:12" x14ac:dyDescent="0.3">
      <c r="A94" s="89" t="s">
        <v>227</v>
      </c>
      <c r="B94" s="89" t="s">
        <v>228</v>
      </c>
      <c r="C94" s="91" t="s">
        <v>255</v>
      </c>
      <c r="D94" s="2070">
        <v>38838</v>
      </c>
      <c r="E94" s="2071">
        <v>8417</v>
      </c>
      <c r="F94" s="2072">
        <f t="shared" si="9"/>
        <v>0.21672073742211237</v>
      </c>
      <c r="G94" s="2070">
        <v>7710</v>
      </c>
      <c r="H94" s="2071">
        <v>2258</v>
      </c>
      <c r="I94" s="2072">
        <f t="shared" si="10"/>
        <v>0.29286640726329444</v>
      </c>
      <c r="J94" s="2070">
        <v>5658</v>
      </c>
      <c r="K94" s="2071">
        <v>1695</v>
      </c>
      <c r="L94" s="2072">
        <f t="shared" si="11"/>
        <v>0.29957582184517495</v>
      </c>
    </row>
    <row r="95" spans="1:12" x14ac:dyDescent="0.3">
      <c r="A95" s="89" t="s">
        <v>231</v>
      </c>
      <c r="B95" s="89" t="s">
        <v>232</v>
      </c>
      <c r="C95" s="91" t="s">
        <v>254</v>
      </c>
      <c r="D95" s="2070">
        <v>39380</v>
      </c>
      <c r="E95" s="2071">
        <v>3803</v>
      </c>
      <c r="F95" s="2072">
        <f t="shared" si="9"/>
        <v>9.6571863890299647E-2</v>
      </c>
      <c r="G95" s="2070">
        <v>8515</v>
      </c>
      <c r="H95" s="2071">
        <v>1158</v>
      </c>
      <c r="I95" s="2072">
        <f t="shared" si="10"/>
        <v>0.13599530240751614</v>
      </c>
      <c r="J95" s="2070">
        <v>6165</v>
      </c>
      <c r="K95" s="91">
        <v>842</v>
      </c>
      <c r="L95" s="2072">
        <f t="shared" si="11"/>
        <v>0.13657745336577454</v>
      </c>
    </row>
    <row r="96" spans="1:12" x14ac:dyDescent="0.3">
      <c r="A96" s="89" t="s">
        <v>233</v>
      </c>
      <c r="B96" s="89" t="s">
        <v>234</v>
      </c>
      <c r="C96" s="91" t="s">
        <v>255</v>
      </c>
      <c r="D96" s="2070">
        <v>52024</v>
      </c>
      <c r="E96" s="2071">
        <v>6396</v>
      </c>
      <c r="F96" s="2072">
        <f t="shared" si="9"/>
        <v>0.12294325695832693</v>
      </c>
      <c r="G96" s="2070">
        <v>9474</v>
      </c>
      <c r="H96" s="2071">
        <v>1631</v>
      </c>
      <c r="I96" s="2072">
        <f t="shared" si="10"/>
        <v>0.17215537259869115</v>
      </c>
      <c r="J96" s="2070">
        <v>7175</v>
      </c>
      <c r="K96" s="2071">
        <v>1145</v>
      </c>
      <c r="L96" s="2072">
        <f t="shared" si="11"/>
        <v>0.15958188153310104</v>
      </c>
    </row>
    <row r="97" spans="1:12" x14ac:dyDescent="0.3">
      <c r="A97" s="89" t="s">
        <v>235</v>
      </c>
      <c r="B97" s="89" t="s">
        <v>236</v>
      </c>
      <c r="C97" s="91" t="s">
        <v>253</v>
      </c>
      <c r="D97" s="2070">
        <v>17895</v>
      </c>
      <c r="E97" s="2071">
        <v>2843</v>
      </c>
      <c r="F97" s="2072">
        <f t="shared" si="9"/>
        <v>0.15887119307069014</v>
      </c>
      <c r="G97" s="2070">
        <v>3379</v>
      </c>
      <c r="H97" s="91">
        <v>898</v>
      </c>
      <c r="I97" s="2072">
        <f t="shared" si="10"/>
        <v>0.26575910032554012</v>
      </c>
      <c r="J97" s="2070">
        <v>2402</v>
      </c>
      <c r="K97" s="91">
        <v>662</v>
      </c>
      <c r="L97" s="2072">
        <f t="shared" si="11"/>
        <v>0.27560366361365529</v>
      </c>
    </row>
    <row r="98" spans="1:12" x14ac:dyDescent="0.3">
      <c r="A98" s="89" t="s">
        <v>241</v>
      </c>
      <c r="B98" s="89" t="s">
        <v>242</v>
      </c>
      <c r="C98" s="91" t="s">
        <v>255</v>
      </c>
      <c r="D98" s="2070">
        <v>34569</v>
      </c>
      <c r="E98" s="2071">
        <v>7039</v>
      </c>
      <c r="F98" s="2072">
        <f t="shared" si="9"/>
        <v>0.20362174202319996</v>
      </c>
      <c r="G98" s="2070">
        <v>6994</v>
      </c>
      <c r="H98" s="2071">
        <v>2005</v>
      </c>
      <c r="I98" s="2072">
        <f t="shared" si="10"/>
        <v>0.28667429225050045</v>
      </c>
      <c r="J98" s="2070">
        <v>5277</v>
      </c>
      <c r="K98" s="2071">
        <v>1373</v>
      </c>
      <c r="L98" s="2072">
        <f t="shared" si="11"/>
        <v>0.26018571157854842</v>
      </c>
    </row>
    <row r="99" spans="1:12" x14ac:dyDescent="0.3">
      <c r="A99" s="89" t="s">
        <v>243</v>
      </c>
      <c r="B99" s="89" t="s">
        <v>244</v>
      </c>
      <c r="C99" s="91" t="s">
        <v>255</v>
      </c>
      <c r="D99" s="2070">
        <v>28378</v>
      </c>
      <c r="E99" s="2071">
        <v>3645</v>
      </c>
      <c r="F99" s="2072">
        <f t="shared" si="9"/>
        <v>0.12844456973712032</v>
      </c>
      <c r="G99" s="2070">
        <v>5545</v>
      </c>
      <c r="H99" s="2071">
        <v>1032</v>
      </c>
      <c r="I99" s="2072">
        <f t="shared" si="10"/>
        <v>0.18611361587015329</v>
      </c>
      <c r="J99" s="2070">
        <v>4075</v>
      </c>
      <c r="K99" s="91">
        <v>741</v>
      </c>
      <c r="L99" s="2072">
        <f t="shared" si="11"/>
        <v>0.18184049079754602</v>
      </c>
    </row>
    <row r="100" spans="1:12" x14ac:dyDescent="0.3">
      <c r="A100" s="89" t="s">
        <v>245</v>
      </c>
      <c r="B100" s="89" t="s">
        <v>246</v>
      </c>
      <c r="C100" s="91" t="s">
        <v>251</v>
      </c>
      <c r="D100" s="2070">
        <v>79720</v>
      </c>
      <c r="E100" s="2071">
        <v>4086</v>
      </c>
      <c r="F100" s="2072">
        <f t="shared" si="9"/>
        <v>5.1254390366281988E-2</v>
      </c>
      <c r="G100" s="2070">
        <v>18623</v>
      </c>
      <c r="H100" s="2071">
        <v>1096</v>
      </c>
      <c r="I100" s="2072">
        <f t="shared" si="10"/>
        <v>5.8851957257155134E-2</v>
      </c>
      <c r="J100" s="2070">
        <v>14398</v>
      </c>
      <c r="K100" s="91">
        <v>753</v>
      </c>
      <c r="L100" s="2072">
        <f t="shared" si="11"/>
        <v>5.2298930407000975E-2</v>
      </c>
    </row>
    <row r="101" spans="1:12" x14ac:dyDescent="0.3">
      <c r="A101" s="89" t="s">
        <v>13</v>
      </c>
      <c r="B101" s="89" t="s">
        <v>14</v>
      </c>
      <c r="C101" s="91" t="s">
        <v>254</v>
      </c>
      <c r="D101" s="2070">
        <v>157470</v>
      </c>
      <c r="E101" s="2071">
        <v>13593</v>
      </c>
      <c r="F101" s="2072">
        <f t="shared" si="9"/>
        <v>8.6321204038864549E-2</v>
      </c>
      <c r="G101" s="2070">
        <v>27778</v>
      </c>
      <c r="H101" s="2071">
        <v>3940</v>
      </c>
      <c r="I101" s="2072">
        <f t="shared" si="10"/>
        <v>0.14183886528907769</v>
      </c>
      <c r="J101" s="2070">
        <v>16980</v>
      </c>
      <c r="K101" s="2071">
        <v>2637</v>
      </c>
      <c r="L101" s="2072">
        <f t="shared" si="11"/>
        <v>0.15530035335689046</v>
      </c>
    </row>
    <row r="102" spans="1:12" x14ac:dyDescent="0.3">
      <c r="A102" s="89" t="s">
        <v>33</v>
      </c>
      <c r="B102" s="89" t="s">
        <v>34</v>
      </c>
      <c r="C102" s="91" t="s">
        <v>255</v>
      </c>
      <c r="D102" s="2070">
        <v>16527</v>
      </c>
      <c r="E102" s="2071">
        <v>3604</v>
      </c>
      <c r="F102" s="2072">
        <f t="shared" ref="F102:F125" si="12">E102/D102</f>
        <v>0.21806740485266535</v>
      </c>
      <c r="G102" s="2070">
        <v>3282</v>
      </c>
      <c r="H102" s="2071">
        <v>1256</v>
      </c>
      <c r="I102" s="2072">
        <f t="shared" ref="I102:I125" si="13">H102/G102</f>
        <v>0.3826934795856185</v>
      </c>
      <c r="J102" s="2070">
        <v>2446</v>
      </c>
      <c r="K102" s="91">
        <v>752</v>
      </c>
      <c r="L102" s="2072">
        <f t="shared" ref="L102:L125" si="14">K102/J102</f>
        <v>0.30744071954210955</v>
      </c>
    </row>
    <row r="103" spans="1:12" x14ac:dyDescent="0.3">
      <c r="A103" s="89" t="s">
        <v>51</v>
      </c>
      <c r="B103" s="89" t="s">
        <v>52</v>
      </c>
      <c r="C103" s="91" t="s">
        <v>252</v>
      </c>
      <c r="D103" s="2070">
        <v>45143</v>
      </c>
      <c r="E103" s="2071">
        <v>9965</v>
      </c>
      <c r="F103" s="2072">
        <f t="shared" si="12"/>
        <v>0.22074297233236603</v>
      </c>
      <c r="G103" s="2070">
        <v>7384</v>
      </c>
      <c r="H103" s="2071">
        <v>1595</v>
      </c>
      <c r="I103" s="2072">
        <f t="shared" si="13"/>
        <v>0.21600758396533046</v>
      </c>
      <c r="J103" s="2070">
        <v>4821</v>
      </c>
      <c r="K103" s="2071">
        <v>1218</v>
      </c>
      <c r="L103" s="2072">
        <f t="shared" si="14"/>
        <v>0.25264467952706909</v>
      </c>
    </row>
    <row r="104" spans="1:12" x14ac:dyDescent="0.3">
      <c r="A104" s="89" t="s">
        <v>53</v>
      </c>
      <c r="B104" s="89" t="s">
        <v>54</v>
      </c>
      <c r="C104" s="91" t="s">
        <v>251</v>
      </c>
      <c r="D104" s="2070">
        <v>239846</v>
      </c>
      <c r="E104" s="2071">
        <v>19812</v>
      </c>
      <c r="F104" s="2072">
        <f t="shared" si="12"/>
        <v>8.2603003593972796E-2</v>
      </c>
      <c r="G104" s="2070">
        <v>58159</v>
      </c>
      <c r="H104" s="2071">
        <v>6928</v>
      </c>
      <c r="I104" s="2072">
        <f t="shared" si="13"/>
        <v>0.11912171804879726</v>
      </c>
      <c r="J104" s="2070">
        <v>42989</v>
      </c>
      <c r="K104" s="2071">
        <v>4770</v>
      </c>
      <c r="L104" s="2072">
        <f t="shared" si="14"/>
        <v>0.11095861732070995</v>
      </c>
    </row>
    <row r="105" spans="1:12" x14ac:dyDescent="0.3">
      <c r="A105" s="89" t="s">
        <v>65</v>
      </c>
      <c r="B105" s="89" t="s">
        <v>66</v>
      </c>
      <c r="C105" s="91" t="s">
        <v>252</v>
      </c>
      <c r="D105" s="2070">
        <v>38472</v>
      </c>
      <c r="E105" s="2071">
        <v>9023</v>
      </c>
      <c r="F105" s="2072">
        <f t="shared" si="12"/>
        <v>0.23453420669577874</v>
      </c>
      <c r="G105" s="2070">
        <v>8492</v>
      </c>
      <c r="H105" s="2071">
        <v>3151</v>
      </c>
      <c r="I105" s="2072">
        <f t="shared" si="13"/>
        <v>0.37105511069241637</v>
      </c>
      <c r="J105" s="2070">
        <v>6182</v>
      </c>
      <c r="K105" s="2071">
        <v>2282</v>
      </c>
      <c r="L105" s="2072">
        <f t="shared" si="14"/>
        <v>0.36913620187641538</v>
      </c>
    </row>
    <row r="106" spans="1:12" x14ac:dyDescent="0.3">
      <c r="A106" s="89" t="s">
        <v>81</v>
      </c>
      <c r="B106" s="89" t="s">
        <v>82</v>
      </c>
      <c r="C106" s="91" t="s">
        <v>251</v>
      </c>
      <c r="D106" s="2070">
        <v>7829</v>
      </c>
      <c r="E106" s="2071">
        <v>1507</v>
      </c>
      <c r="F106" s="2072">
        <f t="shared" si="12"/>
        <v>0.19248946225571592</v>
      </c>
      <c r="G106" s="2070">
        <v>2048</v>
      </c>
      <c r="H106" s="91">
        <v>682</v>
      </c>
      <c r="I106" s="2072">
        <f t="shared" si="13"/>
        <v>0.3330078125</v>
      </c>
      <c r="J106" s="2070">
        <v>1401</v>
      </c>
      <c r="K106" s="91">
        <v>487</v>
      </c>
      <c r="L106" s="2072">
        <f t="shared" si="14"/>
        <v>0.34760885082084225</v>
      </c>
    </row>
    <row r="107" spans="1:12" x14ac:dyDescent="0.3">
      <c r="A107" s="89" t="s">
        <v>87</v>
      </c>
      <c r="B107" s="89" t="s">
        <v>88</v>
      </c>
      <c r="C107" s="91" t="s">
        <v>254</v>
      </c>
      <c r="D107" s="2070">
        <v>26360</v>
      </c>
      <c r="E107" s="2071">
        <v>4463</v>
      </c>
      <c r="F107" s="2072">
        <f t="shared" si="12"/>
        <v>0.16930955993930197</v>
      </c>
      <c r="G107" s="2070">
        <v>5957</v>
      </c>
      <c r="H107" s="2071">
        <v>1417</v>
      </c>
      <c r="I107" s="2072">
        <f t="shared" si="13"/>
        <v>0.23787141178445526</v>
      </c>
      <c r="J107" s="2070">
        <v>4048</v>
      </c>
      <c r="K107" s="91">
        <v>1046</v>
      </c>
      <c r="L107" s="2072">
        <f t="shared" si="14"/>
        <v>0.25839920948616601</v>
      </c>
    </row>
    <row r="108" spans="1:12" x14ac:dyDescent="0.3">
      <c r="A108" s="89" t="s">
        <v>89</v>
      </c>
      <c r="B108" s="89" t="s">
        <v>90</v>
      </c>
      <c r="C108" s="91" t="s">
        <v>255</v>
      </c>
      <c r="D108" s="2070">
        <v>6042</v>
      </c>
      <c r="E108" s="2071">
        <v>1151</v>
      </c>
      <c r="F108" s="2072">
        <f t="shared" si="12"/>
        <v>0.19049983449189009</v>
      </c>
      <c r="G108" s="2070">
        <v>1467</v>
      </c>
      <c r="H108" s="91">
        <v>485</v>
      </c>
      <c r="I108" s="2072">
        <f t="shared" si="13"/>
        <v>0.33060668029993184</v>
      </c>
      <c r="J108" s="2070">
        <v>1078</v>
      </c>
      <c r="K108" s="91">
        <v>350</v>
      </c>
      <c r="L108" s="2072">
        <f t="shared" si="14"/>
        <v>0.32467532467532467</v>
      </c>
    </row>
    <row r="109" spans="1:12" x14ac:dyDescent="0.3">
      <c r="A109" s="89" t="s">
        <v>105</v>
      </c>
      <c r="B109" s="89" t="s">
        <v>106</v>
      </c>
      <c r="C109" s="91" t="s">
        <v>251</v>
      </c>
      <c r="D109" s="2070">
        <v>129496</v>
      </c>
      <c r="E109" s="2071">
        <v>17926</v>
      </c>
      <c r="F109" s="2072">
        <f t="shared" si="12"/>
        <v>0.13842898622351268</v>
      </c>
      <c r="G109" s="2070">
        <v>27569</v>
      </c>
      <c r="H109" s="2071">
        <v>5790</v>
      </c>
      <c r="I109" s="2072">
        <f t="shared" si="13"/>
        <v>0.21001849903877542</v>
      </c>
      <c r="J109" s="2070">
        <v>19447</v>
      </c>
      <c r="K109" s="2071">
        <v>3962</v>
      </c>
      <c r="L109" s="2072">
        <f t="shared" si="14"/>
        <v>0.20373322363346533</v>
      </c>
    </row>
    <row r="110" spans="1:12" x14ac:dyDescent="0.3">
      <c r="A110" s="89" t="s">
        <v>115</v>
      </c>
      <c r="B110" s="89" t="s">
        <v>116</v>
      </c>
      <c r="C110" s="91" t="s">
        <v>253</v>
      </c>
      <c r="D110" s="2070">
        <v>22161</v>
      </c>
      <c r="E110" s="2071">
        <v>4287</v>
      </c>
      <c r="F110" s="2072">
        <f t="shared" si="12"/>
        <v>0.19344794909976987</v>
      </c>
      <c r="G110" s="2070">
        <v>5715</v>
      </c>
      <c r="H110" s="2071">
        <v>1766</v>
      </c>
      <c r="I110" s="2072">
        <f t="shared" si="13"/>
        <v>0.30901137357830272</v>
      </c>
      <c r="J110" s="2070">
        <v>4068</v>
      </c>
      <c r="K110" s="2071">
        <v>1203</v>
      </c>
      <c r="L110" s="2072">
        <f t="shared" si="14"/>
        <v>0.29572271386430676</v>
      </c>
    </row>
    <row r="111" spans="1:12" x14ac:dyDescent="0.3">
      <c r="A111" s="89" t="s">
        <v>137</v>
      </c>
      <c r="B111" s="89" t="s">
        <v>138</v>
      </c>
      <c r="C111" s="91" t="s">
        <v>252</v>
      </c>
      <c r="D111" s="2070">
        <v>71060</v>
      </c>
      <c r="E111" s="2071">
        <v>11947</v>
      </c>
      <c r="F111" s="2072">
        <f t="shared" si="12"/>
        <v>0.16812552772305095</v>
      </c>
      <c r="G111" s="2070">
        <v>15485</v>
      </c>
      <c r="H111" s="2071">
        <v>3255</v>
      </c>
      <c r="I111" s="2072">
        <f t="shared" si="13"/>
        <v>0.21020342266709718</v>
      </c>
      <c r="J111" s="2070">
        <v>10344</v>
      </c>
      <c r="K111" s="2071">
        <v>2060</v>
      </c>
      <c r="L111" s="2072">
        <f t="shared" si="14"/>
        <v>0.19914926527455529</v>
      </c>
    </row>
    <row r="112" spans="1:12" x14ac:dyDescent="0.3">
      <c r="A112" s="89" t="s">
        <v>141</v>
      </c>
      <c r="B112" s="89" t="s">
        <v>142</v>
      </c>
      <c r="C112" s="91" t="s">
        <v>254</v>
      </c>
      <c r="D112" s="2070">
        <v>40751</v>
      </c>
      <c r="E112" s="2071">
        <v>3031</v>
      </c>
      <c r="F112" s="2072">
        <f t="shared" si="12"/>
        <v>7.4378542857843982E-2</v>
      </c>
      <c r="G112" s="2070">
        <v>10679</v>
      </c>
      <c r="H112" s="2071">
        <v>1436</v>
      </c>
      <c r="I112" s="2072">
        <f t="shared" si="13"/>
        <v>0.13446951961794176</v>
      </c>
      <c r="J112" s="2070">
        <v>7301</v>
      </c>
      <c r="K112" s="2071">
        <v>975</v>
      </c>
      <c r="L112" s="2072">
        <f t="shared" si="14"/>
        <v>0.13354335022599645</v>
      </c>
    </row>
    <row r="113" spans="1:12" x14ac:dyDescent="0.3">
      <c r="A113" s="89" t="s">
        <v>143</v>
      </c>
      <c r="B113" s="89" t="s">
        <v>144</v>
      </c>
      <c r="C113" s="91" t="s">
        <v>254</v>
      </c>
      <c r="D113" s="2070">
        <v>17391</v>
      </c>
      <c r="E113" s="2071">
        <v>1095</v>
      </c>
      <c r="F113" s="2072">
        <f t="shared" si="12"/>
        <v>6.2963601863032598E-2</v>
      </c>
      <c r="G113" s="2070">
        <v>3848</v>
      </c>
      <c r="H113" s="91">
        <v>438</v>
      </c>
      <c r="I113" s="2072">
        <f t="shared" si="13"/>
        <v>0.11382536382536383</v>
      </c>
      <c r="J113" s="2070">
        <v>3084</v>
      </c>
      <c r="K113" s="91">
        <v>292</v>
      </c>
      <c r="L113" s="2072">
        <f t="shared" si="14"/>
        <v>9.4682230869001294E-2</v>
      </c>
    </row>
    <row r="114" spans="1:12" x14ac:dyDescent="0.3">
      <c r="A114" s="89" t="s">
        <v>157</v>
      </c>
      <c r="B114" s="89" t="s">
        <v>158</v>
      </c>
      <c r="C114" s="91" t="s">
        <v>251</v>
      </c>
      <c r="D114" s="2070">
        <v>171109</v>
      </c>
      <c r="E114" s="2071">
        <v>25769</v>
      </c>
      <c r="F114" s="2072">
        <f t="shared" si="12"/>
        <v>0.15059990999888959</v>
      </c>
      <c r="G114" s="2070">
        <v>40595</v>
      </c>
      <c r="H114" s="2071">
        <v>9596</v>
      </c>
      <c r="I114" s="2072">
        <f t="shared" si="13"/>
        <v>0.23638379110727922</v>
      </c>
      <c r="J114" s="2070">
        <v>27652</v>
      </c>
      <c r="K114" s="2071">
        <v>6354</v>
      </c>
      <c r="L114" s="2072">
        <f t="shared" si="14"/>
        <v>0.22978446405323305</v>
      </c>
    </row>
    <row r="115" spans="1:12" x14ac:dyDescent="0.3">
      <c r="A115" s="89" t="s">
        <v>159</v>
      </c>
      <c r="B115" s="89" t="s">
        <v>160</v>
      </c>
      <c r="C115" s="91" t="s">
        <v>251</v>
      </c>
      <c r="D115" s="2070">
        <v>208524</v>
      </c>
      <c r="E115" s="2071">
        <v>39553</v>
      </c>
      <c r="F115" s="2072">
        <f t="shared" si="12"/>
        <v>0.18968080412806199</v>
      </c>
      <c r="G115" s="2070">
        <v>45952</v>
      </c>
      <c r="H115" s="2071">
        <v>13094</v>
      </c>
      <c r="I115" s="2072">
        <f t="shared" si="13"/>
        <v>0.28494951253481893</v>
      </c>
      <c r="J115" s="2070">
        <v>30616</v>
      </c>
      <c r="K115" s="2071">
        <v>8835</v>
      </c>
      <c r="L115" s="2072">
        <f t="shared" si="14"/>
        <v>0.28857460151554742</v>
      </c>
    </row>
    <row r="116" spans="1:12" x14ac:dyDescent="0.3">
      <c r="A116" s="89" t="s">
        <v>165</v>
      </c>
      <c r="B116" s="89" t="s">
        <v>166</v>
      </c>
      <c r="C116" s="91" t="s">
        <v>255</v>
      </c>
      <c r="D116" s="2070">
        <v>3917</v>
      </c>
      <c r="E116" s="91">
        <v>756</v>
      </c>
      <c r="F116" s="2072">
        <f t="shared" si="12"/>
        <v>0.19300485065100842</v>
      </c>
      <c r="G116" s="2073">
        <v>835</v>
      </c>
      <c r="H116" s="91">
        <v>256</v>
      </c>
      <c r="I116" s="2072">
        <f t="shared" si="13"/>
        <v>0.30658682634730539</v>
      </c>
      <c r="J116" s="2073">
        <v>604</v>
      </c>
      <c r="K116" s="91">
        <v>176</v>
      </c>
      <c r="L116" s="2072">
        <f t="shared" si="14"/>
        <v>0.29139072847682118</v>
      </c>
    </row>
    <row r="117" spans="1:12" x14ac:dyDescent="0.3">
      <c r="A117" s="89" t="s">
        <v>175</v>
      </c>
      <c r="B117" s="89" t="s">
        <v>176</v>
      </c>
      <c r="C117" s="91" t="s">
        <v>253</v>
      </c>
      <c r="D117" s="2070">
        <v>30787</v>
      </c>
      <c r="E117" s="2071">
        <v>6643</v>
      </c>
      <c r="F117" s="2072">
        <f t="shared" si="12"/>
        <v>0.21577289115535778</v>
      </c>
      <c r="G117" s="2070">
        <v>6814</v>
      </c>
      <c r="H117" s="2071">
        <v>2356</v>
      </c>
      <c r="I117" s="2072">
        <f t="shared" si="13"/>
        <v>0.345758732022307</v>
      </c>
      <c r="J117" s="2070">
        <v>4232</v>
      </c>
      <c r="K117" s="2071">
        <v>1619</v>
      </c>
      <c r="L117" s="2072">
        <f t="shared" si="14"/>
        <v>0.38256143667296788</v>
      </c>
    </row>
    <row r="118" spans="1:12" x14ac:dyDescent="0.3">
      <c r="A118" s="89" t="s">
        <v>179</v>
      </c>
      <c r="B118" s="89" t="s">
        <v>180</v>
      </c>
      <c r="C118" s="91" t="s">
        <v>251</v>
      </c>
      <c r="D118" s="2070">
        <v>91167</v>
      </c>
      <c r="E118" s="2071">
        <v>16860</v>
      </c>
      <c r="F118" s="2072">
        <f t="shared" si="12"/>
        <v>0.18493533844483201</v>
      </c>
      <c r="G118" s="2070">
        <v>21127</v>
      </c>
      <c r="H118" s="2071">
        <v>6035</v>
      </c>
      <c r="I118" s="2072">
        <f t="shared" si="13"/>
        <v>0.28565342926113502</v>
      </c>
      <c r="J118" s="2070">
        <v>14363</v>
      </c>
      <c r="K118" s="2071">
        <v>4290</v>
      </c>
      <c r="L118" s="2072">
        <f t="shared" si="14"/>
        <v>0.29868411891666086</v>
      </c>
    </row>
    <row r="119" spans="1:12" x14ac:dyDescent="0.3">
      <c r="A119" s="89" t="s">
        <v>191</v>
      </c>
      <c r="B119" s="89" t="s">
        <v>192</v>
      </c>
      <c r="C119" s="91" t="s">
        <v>255</v>
      </c>
      <c r="D119" s="2070">
        <v>14780</v>
      </c>
      <c r="E119" s="2071">
        <v>4503</v>
      </c>
      <c r="F119" s="2072">
        <f t="shared" si="12"/>
        <v>0.30466847090663057</v>
      </c>
      <c r="G119" s="2070">
        <v>2235</v>
      </c>
      <c r="H119" s="91">
        <v>413</v>
      </c>
      <c r="I119" s="2072">
        <f t="shared" si="13"/>
        <v>0.18478747203579418</v>
      </c>
      <c r="J119" s="2070">
        <v>1604</v>
      </c>
      <c r="K119" s="91">
        <v>274</v>
      </c>
      <c r="L119" s="2072">
        <f t="shared" si="14"/>
        <v>0.17082294264339151</v>
      </c>
    </row>
    <row r="120" spans="1:12" x14ac:dyDescent="0.3">
      <c r="A120" s="89" t="s">
        <v>195</v>
      </c>
      <c r="B120" s="89" t="s">
        <v>196</v>
      </c>
      <c r="C120" s="91" t="s">
        <v>253</v>
      </c>
      <c r="D120" s="2070">
        <v>218787</v>
      </c>
      <c r="E120" s="2071">
        <v>42010</v>
      </c>
      <c r="F120" s="2072">
        <f t="shared" si="12"/>
        <v>0.19201323661826342</v>
      </c>
      <c r="G120" s="2070">
        <v>38806</v>
      </c>
      <c r="H120" s="2071">
        <v>10709</v>
      </c>
      <c r="I120" s="2072">
        <f t="shared" si="13"/>
        <v>0.27596248002886153</v>
      </c>
      <c r="J120" s="2070">
        <v>25651</v>
      </c>
      <c r="K120" s="2071">
        <v>6798</v>
      </c>
      <c r="L120" s="2072">
        <f t="shared" si="14"/>
        <v>0.26501890764492614</v>
      </c>
    </row>
    <row r="121" spans="1:12" x14ac:dyDescent="0.3">
      <c r="A121" s="89" t="s">
        <v>199</v>
      </c>
      <c r="B121" s="89" t="s">
        <v>200</v>
      </c>
      <c r="C121" s="91" t="s">
        <v>252</v>
      </c>
      <c r="D121" s="2070">
        <v>97507</v>
      </c>
      <c r="E121" s="2071">
        <v>19049</v>
      </c>
      <c r="F121" s="2072">
        <f t="shared" si="12"/>
        <v>0.19536033310428993</v>
      </c>
      <c r="G121" s="2070">
        <v>21557</v>
      </c>
      <c r="H121" s="2071">
        <v>6568</v>
      </c>
      <c r="I121" s="2072">
        <f t="shared" si="13"/>
        <v>0.30468061418564735</v>
      </c>
      <c r="J121" s="2070">
        <v>15145</v>
      </c>
      <c r="K121" s="2071">
        <v>4526</v>
      </c>
      <c r="L121" s="2072">
        <f t="shared" si="14"/>
        <v>0.29884450313634864</v>
      </c>
    </row>
    <row r="122" spans="1:12" x14ac:dyDescent="0.3">
      <c r="A122" s="89" t="s">
        <v>221</v>
      </c>
      <c r="B122" s="89" t="s">
        <v>222</v>
      </c>
      <c r="C122" s="91" t="s">
        <v>251</v>
      </c>
      <c r="D122" s="2070">
        <v>90841</v>
      </c>
      <c r="E122" s="2071">
        <v>8906</v>
      </c>
      <c r="F122" s="2072">
        <f t="shared" si="12"/>
        <v>9.8039431534219124E-2</v>
      </c>
      <c r="G122" s="2070">
        <v>21562</v>
      </c>
      <c r="H122" s="2071">
        <v>3175</v>
      </c>
      <c r="I122" s="2072">
        <f t="shared" si="13"/>
        <v>0.14724979129950838</v>
      </c>
      <c r="J122" s="2070">
        <v>15631</v>
      </c>
      <c r="K122" s="2071">
        <v>2199</v>
      </c>
      <c r="L122" s="2072">
        <f t="shared" si="14"/>
        <v>0.14068197812040176</v>
      </c>
    </row>
    <row r="123" spans="1:12" x14ac:dyDescent="0.3">
      <c r="A123" s="89" t="s">
        <v>229</v>
      </c>
      <c r="B123" s="89" t="s">
        <v>230</v>
      </c>
      <c r="C123" s="91" t="s">
        <v>251</v>
      </c>
      <c r="D123" s="2070">
        <v>439254</v>
      </c>
      <c r="E123" s="2071">
        <v>31898</v>
      </c>
      <c r="F123" s="2072">
        <f t="shared" si="12"/>
        <v>7.2618576040286487E-2</v>
      </c>
      <c r="G123" s="2070">
        <v>97311</v>
      </c>
      <c r="H123" s="2071">
        <v>9547</v>
      </c>
      <c r="I123" s="2072">
        <f t="shared" si="13"/>
        <v>9.8108127549814517E-2</v>
      </c>
      <c r="J123" s="2070">
        <v>69677</v>
      </c>
      <c r="K123" s="2071">
        <v>6870</v>
      </c>
      <c r="L123" s="2072">
        <f t="shared" si="14"/>
        <v>9.8597815635001501E-2</v>
      </c>
    </row>
    <row r="124" spans="1:12" x14ac:dyDescent="0.3">
      <c r="A124" s="89" t="s">
        <v>237</v>
      </c>
      <c r="B124" s="89" t="s">
        <v>238</v>
      </c>
      <c r="C124" s="91" t="s">
        <v>251</v>
      </c>
      <c r="D124" s="2070">
        <v>10658</v>
      </c>
      <c r="E124" s="2071">
        <v>1937</v>
      </c>
      <c r="F124" s="2072">
        <f t="shared" si="12"/>
        <v>0.18174141489960594</v>
      </c>
      <c r="G124" s="2070">
        <v>1602</v>
      </c>
      <c r="H124" s="91">
        <v>359</v>
      </c>
      <c r="I124" s="2072">
        <f t="shared" si="13"/>
        <v>0.22409488139825218</v>
      </c>
      <c r="J124" s="2070">
        <v>1159</v>
      </c>
      <c r="K124" s="91">
        <v>239</v>
      </c>
      <c r="L124" s="2072">
        <f t="shared" si="14"/>
        <v>0.20621225194132872</v>
      </c>
    </row>
    <row r="125" spans="1:12" x14ac:dyDescent="0.3">
      <c r="A125" s="89" t="s">
        <v>239</v>
      </c>
      <c r="B125" s="89" t="s">
        <v>240</v>
      </c>
      <c r="C125" s="91" t="s">
        <v>254</v>
      </c>
      <c r="D125" s="2070">
        <v>26911</v>
      </c>
      <c r="E125" s="2071">
        <v>3588</v>
      </c>
      <c r="F125" s="2072">
        <f t="shared" si="12"/>
        <v>0.1333283787298874</v>
      </c>
      <c r="G125" s="2070">
        <v>6115</v>
      </c>
      <c r="H125" s="2071">
        <v>1219</v>
      </c>
      <c r="I125" s="2072">
        <f t="shared" si="13"/>
        <v>0.19934587080948488</v>
      </c>
      <c r="J125" s="2070">
        <v>4398</v>
      </c>
      <c r="K125" s="91">
        <v>844</v>
      </c>
      <c r="L125" s="2072">
        <f t="shared" si="14"/>
        <v>0.19190541155070487</v>
      </c>
    </row>
    <row r="126" spans="1:12" x14ac:dyDescent="0.3">
      <c r="D126" s="2073"/>
      <c r="E126" s="91"/>
      <c r="F126" s="2074"/>
      <c r="G126" s="2073"/>
      <c r="H126" s="91"/>
      <c r="I126" s="2074"/>
      <c r="J126" s="2073"/>
      <c r="K126" s="91"/>
      <c r="L126" s="2074"/>
    </row>
    <row r="127" spans="1:12" x14ac:dyDescent="0.3">
      <c r="A127" s="89" t="s">
        <v>253</v>
      </c>
      <c r="D127" s="2075">
        <v>1379531</v>
      </c>
      <c r="E127" s="137">
        <v>147207</v>
      </c>
      <c r="F127" s="2072">
        <f t="shared" ref="F127:F131" si="15">E127/D127</f>
        <v>0.10670800438699819</v>
      </c>
      <c r="G127" s="2076">
        <v>292964</v>
      </c>
      <c r="H127" s="137">
        <v>43551</v>
      </c>
      <c r="I127" s="2072">
        <f t="shared" ref="I127:I131" si="16">H127/G127</f>
        <v>0.14865649021722804</v>
      </c>
      <c r="J127" s="2076">
        <v>212536</v>
      </c>
      <c r="K127" s="137">
        <v>29209</v>
      </c>
      <c r="L127" s="2072">
        <f t="shared" ref="L127:L131" si="17">K127/J127</f>
        <v>0.13743083524673466</v>
      </c>
    </row>
    <row r="128" spans="1:12" x14ac:dyDescent="0.3">
      <c r="A128" s="89" t="s">
        <v>251</v>
      </c>
      <c r="D128" s="2075">
        <v>1789884</v>
      </c>
      <c r="E128" s="137">
        <v>203709</v>
      </c>
      <c r="F128" s="2072">
        <f t="shared" si="15"/>
        <v>0.11381128609451786</v>
      </c>
      <c r="G128" s="2076">
        <v>400082</v>
      </c>
      <c r="H128" s="137">
        <v>66869</v>
      </c>
      <c r="I128" s="2072">
        <f t="shared" si="16"/>
        <v>0.16713823666148439</v>
      </c>
      <c r="J128" s="2076">
        <v>286152</v>
      </c>
      <c r="K128" s="137">
        <v>46358</v>
      </c>
      <c r="L128" s="2072">
        <f t="shared" si="17"/>
        <v>0.16200480863317399</v>
      </c>
    </row>
    <row r="129" spans="1:12" x14ac:dyDescent="0.3">
      <c r="A129" s="89" t="s">
        <v>254</v>
      </c>
      <c r="D129" s="2075">
        <v>3431961</v>
      </c>
      <c r="E129" s="137">
        <v>228946</v>
      </c>
      <c r="F129" s="2072">
        <f t="shared" si="15"/>
        <v>6.6709965526997539E-2</v>
      </c>
      <c r="G129" s="2076">
        <v>808390</v>
      </c>
      <c r="H129" s="137">
        <v>68726</v>
      </c>
      <c r="I129" s="2072">
        <f t="shared" si="16"/>
        <v>8.5015895792872248E-2</v>
      </c>
      <c r="J129" s="2076">
        <v>588977</v>
      </c>
      <c r="K129" s="137">
        <v>46619</v>
      </c>
      <c r="L129" s="2072">
        <f t="shared" si="17"/>
        <v>7.9152496617015608E-2</v>
      </c>
    </row>
    <row r="130" spans="1:12" x14ac:dyDescent="0.3">
      <c r="A130" s="89" t="s">
        <v>252</v>
      </c>
      <c r="D130" s="2075">
        <v>1130233</v>
      </c>
      <c r="E130" s="137">
        <v>143897</v>
      </c>
      <c r="F130" s="2072">
        <f t="shared" si="15"/>
        <v>0.12731622594633141</v>
      </c>
      <c r="G130" s="2076">
        <v>224921</v>
      </c>
      <c r="H130" s="137">
        <v>40707</v>
      </c>
      <c r="I130" s="2072">
        <f t="shared" si="16"/>
        <v>0.18098354533369493</v>
      </c>
      <c r="J130" s="2076">
        <v>164783</v>
      </c>
      <c r="K130" s="137">
        <v>28078</v>
      </c>
      <c r="L130" s="2072">
        <f t="shared" si="17"/>
        <v>0.1703937906216054</v>
      </c>
    </row>
    <row r="131" spans="1:12" x14ac:dyDescent="0.3">
      <c r="A131" s="89" t="s">
        <v>255</v>
      </c>
      <c r="D131" s="2075">
        <v>547715</v>
      </c>
      <c r="E131" s="137">
        <v>99181</v>
      </c>
      <c r="F131" s="2072">
        <f t="shared" si="15"/>
        <v>0.18108140182394128</v>
      </c>
      <c r="G131" s="2076">
        <v>100750</v>
      </c>
      <c r="H131" s="137">
        <v>22956</v>
      </c>
      <c r="I131" s="2072">
        <f t="shared" si="16"/>
        <v>0.22785111662531018</v>
      </c>
      <c r="J131" s="2076">
        <v>74892</v>
      </c>
      <c r="K131" s="137">
        <v>15759</v>
      </c>
      <c r="L131" s="2072">
        <f t="shared" si="17"/>
        <v>0.21042300913315173</v>
      </c>
    </row>
    <row r="134" spans="1:12" x14ac:dyDescent="0.3">
      <c r="B134" s="89" t="s">
        <v>723</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R135"/>
  <sheetViews>
    <sheetView workbookViewId="0">
      <pane ySplit="4" topLeftCell="A5" activePane="bottomLeft" state="frozen"/>
      <selection pane="bottomLeft" activeCell="J1" sqref="J1:J1048576"/>
    </sheetView>
  </sheetViews>
  <sheetFormatPr defaultColWidth="9" defaultRowHeight="15.6" x14ac:dyDescent="0.3"/>
  <cols>
    <col min="1" max="1" width="8.69921875" style="173" customWidth="1"/>
    <col min="2" max="2" width="34.59765625" style="173" customWidth="1"/>
    <col min="3" max="3" width="16.296875" style="173" customWidth="1"/>
    <col min="4" max="4" width="5.796875" style="173" customWidth="1"/>
    <col min="5" max="14" width="6" style="173" bestFit="1" customWidth="1"/>
    <col min="15" max="16" width="7.5" style="173" customWidth="1"/>
    <col min="17" max="17" width="7.09765625" style="173" customWidth="1"/>
    <col min="18" max="23" width="7.5" style="173" customWidth="1"/>
    <col min="24" max="24" width="3.59765625" style="173" customWidth="1"/>
    <col min="25" max="32" width="7.296875" style="173" bestFit="1" customWidth="1"/>
    <col min="33" max="35" width="7.796875" style="173" bestFit="1" customWidth="1"/>
    <col min="36" max="36" width="7.796875" style="173" customWidth="1"/>
    <col min="37" max="37" width="9.296875" style="173" customWidth="1"/>
    <col min="38" max="16384" width="9" style="173"/>
  </cols>
  <sheetData>
    <row r="1" spans="1:44" x14ac:dyDescent="0.3">
      <c r="A1" s="88" t="s">
        <v>941</v>
      </c>
    </row>
    <row r="2" spans="1:44" x14ac:dyDescent="0.3">
      <c r="D2" s="2501"/>
      <c r="E2" s="2501"/>
      <c r="F2" s="2501"/>
      <c r="G2" s="2501"/>
      <c r="H2" s="2501"/>
      <c r="I2" s="2501"/>
      <c r="J2" s="2501"/>
      <c r="K2" s="2501"/>
      <c r="L2" s="2501"/>
      <c r="M2" s="2501"/>
      <c r="N2" s="2501"/>
      <c r="O2" s="147"/>
      <c r="P2" s="147"/>
      <c r="Q2" s="147"/>
      <c r="R2" s="147"/>
      <c r="S2" s="147"/>
      <c r="T2" s="147"/>
      <c r="U2" s="147"/>
      <c r="V2" s="147"/>
      <c r="W2" s="147"/>
      <c r="Y2" s="2501"/>
      <c r="Z2" s="2501"/>
      <c r="AA2" s="2501"/>
      <c r="AB2" s="2501"/>
      <c r="AC2" s="2501"/>
      <c r="AD2" s="2501"/>
      <c r="AE2" s="2501"/>
      <c r="AF2" s="2501"/>
      <c r="AG2" s="2501"/>
      <c r="AH2" s="2501"/>
      <c r="AI2" s="2501"/>
      <c r="AJ2" s="147"/>
    </row>
    <row r="3" spans="1:44" ht="33" customHeight="1" x14ac:dyDescent="0.3">
      <c r="A3" s="255" t="s">
        <v>4</v>
      </c>
      <c r="B3" s="256" t="s">
        <v>5</v>
      </c>
      <c r="C3" s="939" t="s">
        <v>250</v>
      </c>
      <c r="D3" s="215">
        <v>2000</v>
      </c>
      <c r="E3" s="215">
        <v>2001</v>
      </c>
      <c r="F3" s="215">
        <v>2002</v>
      </c>
      <c r="G3" s="215">
        <v>2003</v>
      </c>
      <c r="H3" s="215">
        <v>2004</v>
      </c>
      <c r="I3" s="215">
        <v>2005</v>
      </c>
      <c r="J3" s="215">
        <v>2006</v>
      </c>
      <c r="K3" s="215">
        <v>2007</v>
      </c>
      <c r="L3" s="216">
        <v>2008</v>
      </c>
      <c r="M3" s="216">
        <v>2009</v>
      </c>
      <c r="N3" s="217">
        <v>2010</v>
      </c>
      <c r="O3" s="569">
        <v>2011</v>
      </c>
      <c r="P3" s="570">
        <v>2012</v>
      </c>
      <c r="Q3" s="778">
        <v>2013</v>
      </c>
      <c r="R3" s="217">
        <v>2014</v>
      </c>
      <c r="S3" s="1399">
        <v>2015</v>
      </c>
      <c r="T3" s="2042">
        <v>2016</v>
      </c>
      <c r="U3" s="2045">
        <v>2017</v>
      </c>
      <c r="V3" s="2049">
        <v>2018</v>
      </c>
      <c r="W3" s="2134">
        <v>2019</v>
      </c>
      <c r="X3" s="211"/>
      <c r="Y3" s="215">
        <v>2000</v>
      </c>
      <c r="Z3" s="215">
        <v>2001</v>
      </c>
      <c r="AA3" s="215">
        <v>2002</v>
      </c>
      <c r="AB3" s="215">
        <v>2003</v>
      </c>
      <c r="AC3" s="215">
        <v>2004</v>
      </c>
      <c r="AD3" s="215">
        <v>2005</v>
      </c>
      <c r="AE3" s="215">
        <v>2006</v>
      </c>
      <c r="AF3" s="215">
        <v>2007</v>
      </c>
      <c r="AG3" s="218">
        <v>2008</v>
      </c>
      <c r="AH3" s="218">
        <v>2009</v>
      </c>
      <c r="AI3" s="219">
        <v>2010</v>
      </c>
      <c r="AJ3" s="577">
        <v>2011</v>
      </c>
      <c r="AK3" s="780">
        <v>2012</v>
      </c>
      <c r="AL3" s="785">
        <v>2013</v>
      </c>
      <c r="AM3" s="1078">
        <v>2014</v>
      </c>
      <c r="AN3" s="1402">
        <v>2015</v>
      </c>
      <c r="AO3" s="1854">
        <v>2016</v>
      </c>
      <c r="AP3" s="2052">
        <v>2017</v>
      </c>
      <c r="AQ3" s="2056">
        <v>2018</v>
      </c>
      <c r="AR3" s="2129">
        <v>2019</v>
      </c>
    </row>
    <row r="4" spans="1:44" x14ac:dyDescent="0.3">
      <c r="A4" s="178" t="s">
        <v>7</v>
      </c>
      <c r="B4" s="179" t="s">
        <v>8</v>
      </c>
      <c r="C4" s="940"/>
      <c r="D4" s="212">
        <v>8.8499999999999995E-2</v>
      </c>
      <c r="E4" s="212">
        <v>8.77E-2</v>
      </c>
      <c r="F4" s="212">
        <v>9.5899999999999999E-2</v>
      </c>
      <c r="G4" s="212">
        <v>9.9399999999999988E-2</v>
      </c>
      <c r="H4" s="212">
        <v>9.5199999999999993E-2</v>
      </c>
      <c r="I4" s="212">
        <v>9.9600000000000008E-2</v>
      </c>
      <c r="J4" s="212">
        <v>9.6199999999999994E-2</v>
      </c>
      <c r="K4" s="212">
        <v>9.9000000000000005E-2</v>
      </c>
      <c r="L4" s="220">
        <v>0.10210000000000001</v>
      </c>
      <c r="M4" s="220">
        <v>0.1057</v>
      </c>
      <c r="N4" s="221">
        <v>0.11118840014389482</v>
      </c>
      <c r="O4" s="571">
        <v>0.11600000000000001</v>
      </c>
      <c r="P4" s="574">
        <v>0.11799999999999999</v>
      </c>
      <c r="Q4" s="574">
        <v>0.11747751027208382</v>
      </c>
      <c r="R4" s="1074">
        <v>0.1182560438559494</v>
      </c>
      <c r="S4" s="1400">
        <v>0.11243251566072024</v>
      </c>
      <c r="T4" s="2043">
        <v>0.11</v>
      </c>
      <c r="U4" s="2046">
        <v>0.10660964522446841</v>
      </c>
      <c r="V4" s="2050">
        <v>0.10707738460991145</v>
      </c>
      <c r="W4" s="2135">
        <v>9.9397463030203179E-2</v>
      </c>
      <c r="X4" s="213"/>
      <c r="Y4" s="214">
        <v>620936</v>
      </c>
      <c r="Z4" s="214">
        <v>620238</v>
      </c>
      <c r="AA4" s="214">
        <v>692133</v>
      </c>
      <c r="AB4" s="214">
        <v>724326</v>
      </c>
      <c r="AC4" s="214">
        <v>705038</v>
      </c>
      <c r="AD4" s="214">
        <v>728860</v>
      </c>
      <c r="AE4" s="214">
        <v>713179</v>
      </c>
      <c r="AF4" s="214">
        <v>739139</v>
      </c>
      <c r="AG4" s="222">
        <v>766854</v>
      </c>
      <c r="AH4" s="222">
        <v>805553</v>
      </c>
      <c r="AI4" s="223">
        <f>SUM(AI5:AI124)</f>
        <v>865746</v>
      </c>
      <c r="AJ4" s="578">
        <v>912779</v>
      </c>
      <c r="AK4" s="781">
        <v>936384</v>
      </c>
      <c r="AL4" s="788">
        <v>941059</v>
      </c>
      <c r="AM4" s="1079">
        <v>955541</v>
      </c>
      <c r="AN4" s="1403">
        <v>914226</v>
      </c>
      <c r="AO4" s="1855">
        <v>897244</v>
      </c>
      <c r="AP4" s="2053">
        <v>876438</v>
      </c>
      <c r="AQ4" s="2057">
        <v>884898</v>
      </c>
      <c r="AR4" s="2130">
        <v>822944</v>
      </c>
    </row>
    <row r="5" spans="1:44" ht="16.5" customHeight="1" x14ac:dyDescent="0.3">
      <c r="A5" s="183" t="s">
        <v>9</v>
      </c>
      <c r="B5" s="184" t="s">
        <v>303</v>
      </c>
      <c r="C5" s="941" t="s">
        <v>251</v>
      </c>
      <c r="D5" s="224">
        <v>0.17100000000000001</v>
      </c>
      <c r="E5" s="224">
        <v>0.16300000000000001</v>
      </c>
      <c r="F5" s="224">
        <v>0.17699999999999999</v>
      </c>
      <c r="G5" s="224">
        <v>0.156</v>
      </c>
      <c r="H5" s="224">
        <v>0.14899999999999999</v>
      </c>
      <c r="I5" s="224">
        <v>0.183</v>
      </c>
      <c r="J5" s="224">
        <v>0.154</v>
      </c>
      <c r="K5" s="224">
        <v>0.16800000000000001</v>
      </c>
      <c r="L5" s="224">
        <v>0.20600000000000002</v>
      </c>
      <c r="M5" s="224">
        <v>0.183</v>
      </c>
      <c r="N5" s="225">
        <v>0.20499999999999999</v>
      </c>
      <c r="O5" s="572">
        <v>0.193</v>
      </c>
      <c r="P5" s="572">
        <v>0.19900000000000001</v>
      </c>
      <c r="Q5" s="572">
        <v>0.19252741881281887</v>
      </c>
      <c r="R5" s="1075">
        <v>0.19371551195585529</v>
      </c>
      <c r="S5" s="1075">
        <v>0.20385040530582166</v>
      </c>
      <c r="T5" s="1075">
        <v>0.19962491545225358</v>
      </c>
      <c r="U5" s="2047">
        <v>0.17779367844698854</v>
      </c>
      <c r="V5" s="1401">
        <v>0.17348373589975941</v>
      </c>
      <c r="W5" s="2131">
        <v>0.16379823818928493</v>
      </c>
      <c r="X5" s="226"/>
      <c r="Y5" s="227">
        <v>6549</v>
      </c>
      <c r="Z5" s="227">
        <v>6239</v>
      </c>
      <c r="AA5" s="227">
        <v>6871</v>
      </c>
      <c r="AB5" s="227">
        <v>6072</v>
      </c>
      <c r="AC5" s="227">
        <v>5820</v>
      </c>
      <c r="AD5" s="227">
        <v>7044</v>
      </c>
      <c r="AE5" s="227">
        <v>5956</v>
      </c>
      <c r="AF5" s="227">
        <v>6349</v>
      </c>
      <c r="AG5" s="227">
        <v>7733</v>
      </c>
      <c r="AH5" s="227">
        <v>6906</v>
      </c>
      <c r="AI5" s="228">
        <v>6722</v>
      </c>
      <c r="AJ5" s="579">
        <v>6359</v>
      </c>
      <c r="AK5" s="782">
        <v>6541</v>
      </c>
      <c r="AL5" s="786">
        <v>6302</v>
      </c>
      <c r="AM5" s="1080">
        <v>6319</v>
      </c>
      <c r="AN5" s="1080">
        <v>6639</v>
      </c>
      <c r="AO5" s="1080">
        <v>6493</v>
      </c>
      <c r="AP5" s="1080">
        <v>5715</v>
      </c>
      <c r="AQ5" s="1404">
        <v>5552</v>
      </c>
      <c r="AR5" s="2127">
        <v>5225</v>
      </c>
    </row>
    <row r="6" spans="1:44" ht="16.5" customHeight="1" x14ac:dyDescent="0.3">
      <c r="A6" s="183" t="s">
        <v>11</v>
      </c>
      <c r="B6" s="184" t="s">
        <v>304</v>
      </c>
      <c r="C6" s="941" t="s">
        <v>252</v>
      </c>
      <c r="D6" s="224">
        <v>6.0999999999999999E-2</v>
      </c>
      <c r="E6" s="224">
        <v>6.5000000000000002E-2</v>
      </c>
      <c r="F6" s="224">
        <v>7.2000000000000008E-2</v>
      </c>
      <c r="G6" s="224">
        <v>7.5999999999999998E-2</v>
      </c>
      <c r="H6" s="224">
        <v>7.2999999999999995E-2</v>
      </c>
      <c r="I6" s="224">
        <v>7.0000000000000007E-2</v>
      </c>
      <c r="J6" s="224">
        <v>7.0999999999999994E-2</v>
      </c>
      <c r="K6" s="224">
        <v>8.5000000000000006E-2</v>
      </c>
      <c r="L6" s="224">
        <v>6.8000000000000005E-2</v>
      </c>
      <c r="M6" s="224">
        <v>8.8000000000000009E-2</v>
      </c>
      <c r="N6" s="225">
        <v>9.0999999999999998E-2</v>
      </c>
      <c r="O6" s="572">
        <v>9.6999999999999989E-2</v>
      </c>
      <c r="P6" s="572">
        <v>9.4E-2</v>
      </c>
      <c r="Q6" s="572">
        <v>9.5165866996852908E-2</v>
      </c>
      <c r="R6" s="1075">
        <v>9.127121227517529E-2</v>
      </c>
      <c r="S6" s="1075">
        <v>9.5152855993563962E-2</v>
      </c>
      <c r="T6" s="1075">
        <v>8.495285933544619E-2</v>
      </c>
      <c r="U6" s="2047">
        <v>7.9302258852862892E-2</v>
      </c>
      <c r="V6" s="1401">
        <v>8.7310917783525357E-2</v>
      </c>
      <c r="W6" s="2131">
        <v>6.7038126595102179E-2</v>
      </c>
      <c r="X6" s="226"/>
      <c r="Y6" s="227">
        <v>4843</v>
      </c>
      <c r="Z6" s="227">
        <v>5277</v>
      </c>
      <c r="AA6" s="227">
        <v>5901</v>
      </c>
      <c r="AB6" s="227">
        <v>6312</v>
      </c>
      <c r="AC6" s="227">
        <v>6205</v>
      </c>
      <c r="AD6" s="227">
        <v>5872</v>
      </c>
      <c r="AE6" s="227">
        <v>6107</v>
      </c>
      <c r="AF6" s="227">
        <v>7396</v>
      </c>
      <c r="AG6" s="227">
        <v>6008</v>
      </c>
      <c r="AH6" s="227">
        <v>7774</v>
      </c>
      <c r="AI6" s="228">
        <v>8419</v>
      </c>
      <c r="AJ6" s="579">
        <v>9139</v>
      </c>
      <c r="AK6" s="782">
        <v>9026</v>
      </c>
      <c r="AL6" s="786">
        <v>9223</v>
      </c>
      <c r="AM6" s="1080">
        <v>8982</v>
      </c>
      <c r="AN6" s="1080">
        <v>9462</v>
      </c>
      <c r="AO6" s="1080">
        <v>8524</v>
      </c>
      <c r="AP6" s="1080">
        <v>8015</v>
      </c>
      <c r="AQ6" s="1404">
        <v>8912</v>
      </c>
      <c r="AR6" s="2127">
        <v>6882</v>
      </c>
    </row>
    <row r="7" spans="1:44" ht="16.5" customHeight="1" x14ac:dyDescent="0.3">
      <c r="A7" s="183" t="s">
        <v>15</v>
      </c>
      <c r="B7" s="184" t="s">
        <v>484</v>
      </c>
      <c r="C7" s="941" t="s">
        <v>252</v>
      </c>
      <c r="D7" s="224">
        <v>0.1075</v>
      </c>
      <c r="E7" s="224">
        <v>0.10050000000000001</v>
      </c>
      <c r="F7" s="224">
        <v>0.10589999999999999</v>
      </c>
      <c r="G7" s="224">
        <v>0.11539999999999999</v>
      </c>
      <c r="H7" s="224">
        <v>0.1137</v>
      </c>
      <c r="I7" s="224">
        <v>0.12089999999999999</v>
      </c>
      <c r="J7" s="224">
        <v>0.12770000000000001</v>
      </c>
      <c r="K7" s="224">
        <v>0.12619999999999998</v>
      </c>
      <c r="L7" s="224">
        <v>0.13320000000000001</v>
      </c>
      <c r="M7" s="224">
        <v>0.13639999999999999</v>
      </c>
      <c r="N7" s="225">
        <v>0.13851337359792926</v>
      </c>
      <c r="O7" s="572">
        <v>0.14251596013411105</v>
      </c>
      <c r="P7" s="572">
        <v>0.14000000000000001</v>
      </c>
      <c r="Q7" s="572">
        <v>0.1451127471408066</v>
      </c>
      <c r="R7" s="1075">
        <v>0.15934117647058824</v>
      </c>
      <c r="S7" s="1075">
        <v>0.18249916503649982</v>
      </c>
      <c r="T7" s="1075">
        <v>0.15204170286707211</v>
      </c>
      <c r="U7" s="2047">
        <v>0.14904534017465093</v>
      </c>
      <c r="V7" s="1401">
        <v>0.14960472330631441</v>
      </c>
      <c r="W7" s="2131">
        <v>0.1232068775928425</v>
      </c>
      <c r="X7" s="226"/>
      <c r="Y7" s="227">
        <v>2473</v>
      </c>
      <c r="Z7" s="227">
        <v>2308</v>
      </c>
      <c r="AA7" s="227">
        <v>2422</v>
      </c>
      <c r="AB7" s="227">
        <v>2618</v>
      </c>
      <c r="AC7" s="227">
        <v>2574</v>
      </c>
      <c r="AD7" s="227">
        <v>2695</v>
      </c>
      <c r="AE7" s="227">
        <v>2836</v>
      </c>
      <c r="AF7" s="227">
        <v>2783</v>
      </c>
      <c r="AG7" s="227">
        <v>2902</v>
      </c>
      <c r="AH7" s="227">
        <v>2985</v>
      </c>
      <c r="AI7" s="228">
        <v>3029</v>
      </c>
      <c r="AJ7" s="579">
        <v>3103</v>
      </c>
      <c r="AK7" s="782">
        <v>3032</v>
      </c>
      <c r="AL7" s="786">
        <v>3134</v>
      </c>
      <c r="AM7" s="1080">
        <v>3386</v>
      </c>
      <c r="AN7" s="1080">
        <v>3825</v>
      </c>
      <c r="AO7" s="1080">
        <v>3150</v>
      </c>
      <c r="AP7" s="1080">
        <v>3021</v>
      </c>
      <c r="AQ7" s="1404">
        <v>2990</v>
      </c>
      <c r="AR7" s="2127">
        <v>2465</v>
      </c>
    </row>
    <row r="8" spans="1:44" ht="16.5" customHeight="1" x14ac:dyDescent="0.3">
      <c r="A8" s="183" t="s">
        <v>17</v>
      </c>
      <c r="B8" s="184" t="s">
        <v>305</v>
      </c>
      <c r="C8" s="941" t="s">
        <v>253</v>
      </c>
      <c r="D8" s="224">
        <v>9.3000000000000013E-2</v>
      </c>
      <c r="E8" s="224">
        <v>8.8000000000000009E-2</v>
      </c>
      <c r="F8" s="224">
        <v>9.0999999999999998E-2</v>
      </c>
      <c r="G8" s="224">
        <v>9.6999999999999989E-2</v>
      </c>
      <c r="H8" s="224">
        <v>9.0999999999999998E-2</v>
      </c>
      <c r="I8" s="224">
        <v>9.9000000000000005E-2</v>
      </c>
      <c r="J8" s="224">
        <v>9.1999999999999998E-2</v>
      </c>
      <c r="K8" s="224">
        <v>9.0999999999999998E-2</v>
      </c>
      <c r="L8" s="224">
        <v>9.6000000000000002E-2</v>
      </c>
      <c r="M8" s="224">
        <v>0.113</v>
      </c>
      <c r="N8" s="225">
        <v>0.114</v>
      </c>
      <c r="O8" s="572">
        <v>0.11900000000000001</v>
      </c>
      <c r="P8" s="572">
        <v>0.125</v>
      </c>
      <c r="Q8" s="572">
        <v>0.12147901293342855</v>
      </c>
      <c r="R8" s="1075">
        <v>0.12864669340253204</v>
      </c>
      <c r="S8" s="1075">
        <v>0.11071932299012693</v>
      </c>
      <c r="T8" s="1075">
        <v>0.10402631991226696</v>
      </c>
      <c r="U8" s="2047">
        <v>0.11381987577639752</v>
      </c>
      <c r="V8" s="1401">
        <v>9.890451402377437E-2</v>
      </c>
      <c r="W8" s="2131">
        <v>9.3168179719956917E-2</v>
      </c>
      <c r="X8" s="226"/>
      <c r="Y8" s="227">
        <v>1072</v>
      </c>
      <c r="Z8" s="227">
        <v>1027</v>
      </c>
      <c r="AA8" s="227">
        <v>1068</v>
      </c>
      <c r="AB8" s="227">
        <v>1151</v>
      </c>
      <c r="AC8" s="227">
        <v>1110</v>
      </c>
      <c r="AD8" s="227">
        <v>1198</v>
      </c>
      <c r="AE8" s="227">
        <v>1140</v>
      </c>
      <c r="AF8" s="227">
        <v>1145</v>
      </c>
      <c r="AG8" s="227">
        <v>1215</v>
      </c>
      <c r="AH8" s="227">
        <v>1433</v>
      </c>
      <c r="AI8" s="228">
        <v>1432</v>
      </c>
      <c r="AJ8" s="579">
        <v>1503</v>
      </c>
      <c r="AK8" s="782">
        <v>1578</v>
      </c>
      <c r="AL8" s="786">
        <v>1531</v>
      </c>
      <c r="AM8" s="1080">
        <v>1636</v>
      </c>
      <c r="AN8" s="1080">
        <v>1413</v>
      </c>
      <c r="AO8" s="1080">
        <v>1328</v>
      </c>
      <c r="AP8" s="1080">
        <v>1466</v>
      </c>
      <c r="AQ8" s="1404">
        <v>1273</v>
      </c>
      <c r="AR8" s="2127">
        <v>1211</v>
      </c>
    </row>
    <row r="9" spans="1:44" ht="16.5" customHeight="1" x14ac:dyDescent="0.3">
      <c r="A9" s="183" t="s">
        <v>19</v>
      </c>
      <c r="B9" s="184" t="s">
        <v>306</v>
      </c>
      <c r="C9" s="941" t="s">
        <v>252</v>
      </c>
      <c r="D9" s="224">
        <v>0.105</v>
      </c>
      <c r="E9" s="224">
        <v>0.10400000000000001</v>
      </c>
      <c r="F9" s="224">
        <v>0.11599999999999999</v>
      </c>
      <c r="G9" s="224">
        <v>0.111</v>
      </c>
      <c r="H9" s="224">
        <v>0.11199999999999999</v>
      </c>
      <c r="I9" s="224">
        <v>0.12</v>
      </c>
      <c r="J9" s="224">
        <v>0.11800000000000001</v>
      </c>
      <c r="K9" s="224">
        <v>0.122</v>
      </c>
      <c r="L9" s="224">
        <v>0.125</v>
      </c>
      <c r="M9" s="224">
        <v>0.13900000000000001</v>
      </c>
      <c r="N9" s="225">
        <v>0.13600000000000001</v>
      </c>
      <c r="O9" s="572">
        <v>0.13400000000000001</v>
      </c>
      <c r="P9" s="572">
        <v>0.14499999999999999</v>
      </c>
      <c r="Q9" s="572">
        <v>0.14199021207177814</v>
      </c>
      <c r="R9" s="1075">
        <v>0.1367115938236064</v>
      </c>
      <c r="S9" s="1075">
        <v>0.14976256754543965</v>
      </c>
      <c r="T9" s="1075">
        <v>0.1426130389064143</v>
      </c>
      <c r="U9" s="2047">
        <v>0.12656773261540483</v>
      </c>
      <c r="V9" s="1401">
        <v>0.12985865724381626</v>
      </c>
      <c r="W9" s="2131">
        <v>0.11955131358850733</v>
      </c>
      <c r="X9" s="226"/>
      <c r="Y9" s="227">
        <v>3204</v>
      </c>
      <c r="Z9" s="227">
        <v>3146</v>
      </c>
      <c r="AA9" s="227">
        <v>3542</v>
      </c>
      <c r="AB9" s="227">
        <v>3391</v>
      </c>
      <c r="AC9" s="227">
        <v>3447</v>
      </c>
      <c r="AD9" s="227">
        <v>3615</v>
      </c>
      <c r="AE9" s="227">
        <v>3631</v>
      </c>
      <c r="AF9" s="227">
        <v>3726</v>
      </c>
      <c r="AG9" s="227">
        <v>3868</v>
      </c>
      <c r="AH9" s="227">
        <v>4269</v>
      </c>
      <c r="AI9" s="228">
        <v>4221</v>
      </c>
      <c r="AJ9" s="579">
        <v>4136</v>
      </c>
      <c r="AK9" s="782">
        <v>4449</v>
      </c>
      <c r="AL9" s="786">
        <v>4352</v>
      </c>
      <c r="AM9" s="1080">
        <v>4179</v>
      </c>
      <c r="AN9" s="1080">
        <v>4573</v>
      </c>
      <c r="AO9" s="1080">
        <v>4340</v>
      </c>
      <c r="AP9" s="1080">
        <v>3855</v>
      </c>
      <c r="AQ9" s="1404">
        <v>3969</v>
      </c>
      <c r="AR9" s="2127">
        <v>3645</v>
      </c>
    </row>
    <row r="10" spans="1:44" ht="16.5" customHeight="1" x14ac:dyDescent="0.3">
      <c r="A10" s="183" t="s">
        <v>21</v>
      </c>
      <c r="B10" s="184" t="s">
        <v>307</v>
      </c>
      <c r="C10" s="941" t="s">
        <v>252</v>
      </c>
      <c r="D10" s="224">
        <v>0.111</v>
      </c>
      <c r="E10" s="224">
        <v>0.111</v>
      </c>
      <c r="F10" s="224">
        <v>0.122</v>
      </c>
      <c r="G10" s="224">
        <v>0.124</v>
      </c>
      <c r="H10" s="224">
        <v>0.11800000000000001</v>
      </c>
      <c r="I10" s="224">
        <v>0.121</v>
      </c>
      <c r="J10" s="224">
        <v>0.13300000000000001</v>
      </c>
      <c r="K10" s="224">
        <v>0.126</v>
      </c>
      <c r="L10" s="224">
        <v>0.13</v>
      </c>
      <c r="M10" s="224">
        <v>0.14300000000000002</v>
      </c>
      <c r="N10" s="225">
        <v>0.14100000000000001</v>
      </c>
      <c r="O10" s="572">
        <v>0.14800000000000002</v>
      </c>
      <c r="P10" s="572">
        <v>0.16500000000000001</v>
      </c>
      <c r="Q10" s="572">
        <v>0.16161416022719768</v>
      </c>
      <c r="R10" s="1075">
        <v>0.15095583388266315</v>
      </c>
      <c r="S10" s="1075">
        <v>0.142082216848572</v>
      </c>
      <c r="T10" s="1075">
        <v>0.13872606486908948</v>
      </c>
      <c r="U10" s="2047">
        <v>0.11914702293018177</v>
      </c>
      <c r="V10" s="1401">
        <v>0.13500794912559619</v>
      </c>
      <c r="W10" s="2131">
        <v>0.12608447850041163</v>
      </c>
      <c r="X10" s="226"/>
      <c r="Y10" s="227">
        <v>1526</v>
      </c>
      <c r="Z10" s="227">
        <v>1522</v>
      </c>
      <c r="AA10" s="227">
        <v>1668</v>
      </c>
      <c r="AB10" s="227">
        <v>1716</v>
      </c>
      <c r="AC10" s="227">
        <v>1649</v>
      </c>
      <c r="AD10" s="227">
        <v>1660</v>
      </c>
      <c r="AE10" s="227">
        <v>1859</v>
      </c>
      <c r="AF10" s="227">
        <v>1772</v>
      </c>
      <c r="AG10" s="227">
        <v>1863</v>
      </c>
      <c r="AH10" s="227">
        <v>2055</v>
      </c>
      <c r="AI10" s="228">
        <v>2099</v>
      </c>
      <c r="AJ10" s="579">
        <v>2209</v>
      </c>
      <c r="AK10" s="782">
        <v>2483</v>
      </c>
      <c r="AL10" s="786">
        <v>2447</v>
      </c>
      <c r="AM10" s="1080">
        <v>2290</v>
      </c>
      <c r="AN10" s="1080">
        <v>2174</v>
      </c>
      <c r="AO10" s="1080">
        <v>2130</v>
      </c>
      <c r="AP10" s="1080">
        <v>1855</v>
      </c>
      <c r="AQ10" s="1404">
        <v>2123</v>
      </c>
      <c r="AR10" s="2127">
        <v>1991</v>
      </c>
    </row>
    <row r="11" spans="1:44" ht="16.5" customHeight="1" x14ac:dyDescent="0.3">
      <c r="A11" s="183" t="s">
        <v>23</v>
      </c>
      <c r="B11" s="184" t="s">
        <v>308</v>
      </c>
      <c r="C11" s="941" t="s">
        <v>254</v>
      </c>
      <c r="D11" s="224">
        <v>5.7999999999999996E-2</v>
      </c>
      <c r="E11" s="224">
        <v>5.7999999999999996E-2</v>
      </c>
      <c r="F11" s="224">
        <v>6.3E-2</v>
      </c>
      <c r="G11" s="224">
        <v>7.400000000000001E-2</v>
      </c>
      <c r="H11" s="224">
        <v>7.0999999999999994E-2</v>
      </c>
      <c r="I11" s="224">
        <v>7.6999999999999999E-2</v>
      </c>
      <c r="J11" s="224">
        <v>7.0000000000000007E-2</v>
      </c>
      <c r="K11" s="224">
        <v>6.5000000000000002E-2</v>
      </c>
      <c r="L11" s="224">
        <v>6.7000000000000004E-2</v>
      </c>
      <c r="M11" s="224">
        <v>6.6000000000000003E-2</v>
      </c>
      <c r="N11" s="225">
        <v>7.2000000000000008E-2</v>
      </c>
      <c r="O11" s="572">
        <v>7.400000000000001E-2</v>
      </c>
      <c r="P11" s="572">
        <v>0.08</v>
      </c>
      <c r="Q11" s="572">
        <v>8.4502920026836334E-2</v>
      </c>
      <c r="R11" s="1075">
        <v>8.5298435206296652E-2</v>
      </c>
      <c r="S11" s="1075">
        <v>7.0820503531968851E-2</v>
      </c>
      <c r="T11" s="1075">
        <v>7.5476597018078115E-2</v>
      </c>
      <c r="U11" s="2047">
        <v>5.7207577721601843E-2</v>
      </c>
      <c r="V11" s="1401">
        <v>6.3219321037611284E-2</v>
      </c>
      <c r="W11" s="2131">
        <v>7.5960186502899679E-2</v>
      </c>
      <c r="X11" s="226"/>
      <c r="Y11" s="227">
        <v>10907</v>
      </c>
      <c r="Z11" s="227">
        <v>10867</v>
      </c>
      <c r="AA11" s="227">
        <v>11773</v>
      </c>
      <c r="AB11" s="227">
        <v>13587</v>
      </c>
      <c r="AC11" s="227">
        <v>13740</v>
      </c>
      <c r="AD11" s="227">
        <v>14781</v>
      </c>
      <c r="AE11" s="227">
        <v>13726</v>
      </c>
      <c r="AF11" s="227">
        <v>13005</v>
      </c>
      <c r="AG11" s="227">
        <v>13735</v>
      </c>
      <c r="AH11" s="227">
        <v>13988</v>
      </c>
      <c r="AI11" s="228">
        <v>14903</v>
      </c>
      <c r="AJ11" s="579">
        <v>15894</v>
      </c>
      <c r="AK11" s="782">
        <v>17555</v>
      </c>
      <c r="AL11" s="786">
        <v>18767</v>
      </c>
      <c r="AM11" s="1080">
        <v>19117</v>
      </c>
      <c r="AN11" s="1080">
        <v>16031</v>
      </c>
      <c r="AO11" s="1080">
        <v>17151</v>
      </c>
      <c r="AP11" s="1080">
        <v>13284</v>
      </c>
      <c r="AQ11" s="1404">
        <v>14842</v>
      </c>
      <c r="AR11" s="2127">
        <v>17774</v>
      </c>
    </row>
    <row r="12" spans="1:44" ht="16.5" customHeight="1" x14ac:dyDescent="0.3">
      <c r="A12" s="183" t="s">
        <v>25</v>
      </c>
      <c r="B12" s="229" t="s">
        <v>485</v>
      </c>
      <c r="C12" s="229" t="s">
        <v>252</v>
      </c>
      <c r="D12" s="224">
        <v>9.0800000000000006E-2</v>
      </c>
      <c r="E12" s="224">
        <v>9.1799999999999993E-2</v>
      </c>
      <c r="F12" s="224">
        <v>9.9299999999999999E-2</v>
      </c>
      <c r="G12" s="224">
        <v>9.7299999999999998E-2</v>
      </c>
      <c r="H12" s="224">
        <v>9.2200000000000004E-2</v>
      </c>
      <c r="I12" s="224">
        <v>9.7699999999999995E-2</v>
      </c>
      <c r="J12" s="224">
        <v>0.1012</v>
      </c>
      <c r="K12" s="224">
        <v>0.1026</v>
      </c>
      <c r="L12" s="224">
        <v>0.1016</v>
      </c>
      <c r="M12" s="224">
        <v>0.10949999999999999</v>
      </c>
      <c r="N12" s="225">
        <v>0.12085412542078605</v>
      </c>
      <c r="O12" s="572">
        <v>0.12665573799233823</v>
      </c>
      <c r="P12" s="572">
        <v>0.122</v>
      </c>
      <c r="Q12" s="572">
        <v>0.11686507419660146</v>
      </c>
      <c r="R12" s="1075">
        <v>0.12002390086337539</v>
      </c>
      <c r="S12" s="1075">
        <v>0.11723965646454813</v>
      </c>
      <c r="T12" s="1075">
        <v>0.10900461775269368</v>
      </c>
      <c r="U12" s="2047">
        <v>0.10847489313969595</v>
      </c>
      <c r="V12" s="1401">
        <v>0.10814954593702088</v>
      </c>
      <c r="W12" s="2131">
        <v>9.0160760878713914E-2</v>
      </c>
      <c r="X12" s="226"/>
      <c r="Y12" s="227">
        <v>9607</v>
      </c>
      <c r="Z12" s="227">
        <v>9789</v>
      </c>
      <c r="AA12" s="227">
        <v>10717</v>
      </c>
      <c r="AB12" s="227">
        <v>10642</v>
      </c>
      <c r="AC12" s="227">
        <v>10291</v>
      </c>
      <c r="AD12" s="227">
        <v>10737</v>
      </c>
      <c r="AE12" s="227">
        <v>11283</v>
      </c>
      <c r="AF12" s="227">
        <v>11545</v>
      </c>
      <c r="AG12" s="227">
        <v>11523</v>
      </c>
      <c r="AH12" s="227">
        <v>12447</v>
      </c>
      <c r="AI12" s="228">
        <v>13822</v>
      </c>
      <c r="AJ12" s="579">
        <v>14448</v>
      </c>
      <c r="AK12" s="782">
        <v>14004</v>
      </c>
      <c r="AL12" s="786">
        <v>13459</v>
      </c>
      <c r="AM12" s="1080">
        <v>13860</v>
      </c>
      <c r="AN12" s="1080">
        <v>13610</v>
      </c>
      <c r="AO12" s="1080">
        <v>12747</v>
      </c>
      <c r="AP12" s="1080">
        <v>12765</v>
      </c>
      <c r="AQ12" s="1404">
        <v>12838</v>
      </c>
      <c r="AR12" s="2127">
        <v>10712</v>
      </c>
    </row>
    <row r="13" spans="1:44" ht="16.5" customHeight="1" x14ac:dyDescent="0.3">
      <c r="A13" s="183" t="s">
        <v>26</v>
      </c>
      <c r="B13" s="184" t="s">
        <v>309</v>
      </c>
      <c r="C13" s="941" t="s">
        <v>252</v>
      </c>
      <c r="D13" s="224">
        <v>7.4999999999999997E-2</v>
      </c>
      <c r="E13" s="224">
        <v>7.5999999999999998E-2</v>
      </c>
      <c r="F13" s="224">
        <v>7.6999999999999999E-2</v>
      </c>
      <c r="G13" s="224">
        <v>7.9000000000000001E-2</v>
      </c>
      <c r="H13" s="224">
        <v>7.2999999999999995E-2</v>
      </c>
      <c r="I13" s="224">
        <v>7.6999999999999999E-2</v>
      </c>
      <c r="J13" s="224">
        <v>8.4000000000000005E-2</v>
      </c>
      <c r="K13" s="224">
        <v>8.5000000000000006E-2</v>
      </c>
      <c r="L13" s="224">
        <v>9.6000000000000002E-2</v>
      </c>
      <c r="M13" s="224">
        <v>0.11800000000000001</v>
      </c>
      <c r="N13" s="225">
        <v>0.11199999999999999</v>
      </c>
      <c r="O13" s="572">
        <v>0.10800000000000001</v>
      </c>
      <c r="P13" s="572">
        <v>0.115</v>
      </c>
      <c r="Q13" s="572">
        <v>0.11733684904416612</v>
      </c>
      <c r="R13" s="1075">
        <v>0.11533333333333333</v>
      </c>
      <c r="S13" s="1075">
        <v>0.10324483775811209</v>
      </c>
      <c r="T13" s="1075">
        <v>0.11700680272108843</v>
      </c>
      <c r="U13" s="2047">
        <v>0.10108644307982995</v>
      </c>
      <c r="V13" s="1401">
        <v>0.10664459683140222</v>
      </c>
      <c r="W13" s="2131">
        <v>9.9412340842311459E-2</v>
      </c>
      <c r="X13" s="226"/>
      <c r="Y13" s="230">
        <v>374</v>
      </c>
      <c r="Z13" s="230">
        <v>381</v>
      </c>
      <c r="AA13" s="230">
        <v>385</v>
      </c>
      <c r="AB13" s="230">
        <v>392</v>
      </c>
      <c r="AC13" s="230">
        <v>361</v>
      </c>
      <c r="AD13" s="230">
        <v>362</v>
      </c>
      <c r="AE13" s="230">
        <v>397</v>
      </c>
      <c r="AF13" s="230">
        <v>390</v>
      </c>
      <c r="AG13" s="227">
        <v>430</v>
      </c>
      <c r="AH13" s="227">
        <v>522</v>
      </c>
      <c r="AI13" s="228">
        <v>520</v>
      </c>
      <c r="AJ13" s="579">
        <v>498</v>
      </c>
      <c r="AK13" s="782">
        <v>526</v>
      </c>
      <c r="AL13" s="786">
        <v>534</v>
      </c>
      <c r="AM13" s="1080">
        <v>519</v>
      </c>
      <c r="AN13" s="1080">
        <v>455</v>
      </c>
      <c r="AO13" s="1080">
        <v>516</v>
      </c>
      <c r="AP13" s="1080">
        <v>428</v>
      </c>
      <c r="AQ13" s="1404">
        <v>451</v>
      </c>
      <c r="AR13" s="2127">
        <v>406</v>
      </c>
    </row>
    <row r="14" spans="1:44" ht="16.5" customHeight="1" x14ac:dyDescent="0.3">
      <c r="A14" s="183" t="s">
        <v>28</v>
      </c>
      <c r="B14" s="184" t="s">
        <v>568</v>
      </c>
      <c r="C14" s="941" t="s">
        <v>252</v>
      </c>
      <c r="D14" s="224">
        <v>7.4299999999999991E-2</v>
      </c>
      <c r="E14" s="224">
        <v>7.4499999999999997E-2</v>
      </c>
      <c r="F14" s="224">
        <v>0.08</v>
      </c>
      <c r="G14" s="224">
        <v>8.6699999999999999E-2</v>
      </c>
      <c r="H14" s="224">
        <v>8.3000000000000004E-2</v>
      </c>
      <c r="I14" s="224">
        <v>8.7899999999999992E-2</v>
      </c>
      <c r="J14" s="224">
        <v>8.6699999999999999E-2</v>
      </c>
      <c r="K14" s="224">
        <v>9.5600000000000004E-2</v>
      </c>
      <c r="L14" s="224">
        <v>8.5299999999999987E-2</v>
      </c>
      <c r="M14" s="224">
        <v>8.5999999999999993E-2</v>
      </c>
      <c r="N14" s="225">
        <v>0.10419212990455738</v>
      </c>
      <c r="O14" s="572">
        <v>0.10033904639863314</v>
      </c>
      <c r="P14" s="572">
        <v>0.106</v>
      </c>
      <c r="Q14" s="572">
        <v>9.7572970386517091E-2</v>
      </c>
      <c r="R14" s="1075">
        <v>9.4187849951368266E-2</v>
      </c>
      <c r="S14" s="1075">
        <v>9.0945595854922276E-2</v>
      </c>
      <c r="T14" s="1075">
        <v>9.6181174585949408E-2</v>
      </c>
      <c r="U14" s="2047">
        <v>8.970387008494049E-2</v>
      </c>
      <c r="V14" s="1401">
        <v>0.1043440464319501</v>
      </c>
      <c r="W14" s="2131">
        <v>8.6238321628407916E-2</v>
      </c>
      <c r="X14" s="226"/>
      <c r="Y14" s="227">
        <v>4969</v>
      </c>
      <c r="Z14" s="227">
        <v>5012</v>
      </c>
      <c r="AA14" s="227">
        <v>5501</v>
      </c>
      <c r="AB14" s="227">
        <v>6078</v>
      </c>
      <c r="AC14" s="227">
        <v>5949</v>
      </c>
      <c r="AD14" s="227">
        <v>6174</v>
      </c>
      <c r="AE14" s="227">
        <v>6218</v>
      </c>
      <c r="AF14" s="227">
        <v>6907</v>
      </c>
      <c r="AG14" s="227">
        <v>6202</v>
      </c>
      <c r="AH14" s="227">
        <v>6252</v>
      </c>
      <c r="AI14" s="228">
        <v>7717</v>
      </c>
      <c r="AJ14" s="579">
        <v>7517</v>
      </c>
      <c r="AK14" s="782">
        <v>7938</v>
      </c>
      <c r="AL14" s="786">
        <v>7341</v>
      </c>
      <c r="AM14" s="1080">
        <v>7166</v>
      </c>
      <c r="AN14" s="1080">
        <v>7021</v>
      </c>
      <c r="AO14" s="1080">
        <v>7445</v>
      </c>
      <c r="AP14" s="1080">
        <v>6949</v>
      </c>
      <c r="AQ14" s="1404">
        <v>8162</v>
      </c>
      <c r="AR14" s="2127">
        <v>6766</v>
      </c>
    </row>
    <row r="15" spans="1:44" ht="16.5" customHeight="1" x14ac:dyDescent="0.3">
      <c r="A15" s="183" t="s">
        <v>29</v>
      </c>
      <c r="B15" s="184" t="s">
        <v>310</v>
      </c>
      <c r="C15" s="941" t="s">
        <v>255</v>
      </c>
      <c r="D15" s="224">
        <v>0.113</v>
      </c>
      <c r="E15" s="224">
        <v>0.12</v>
      </c>
      <c r="F15" s="224">
        <v>0.125</v>
      </c>
      <c r="G15" s="224">
        <v>0.12300000000000001</v>
      </c>
      <c r="H15" s="224">
        <v>0.11900000000000001</v>
      </c>
      <c r="I15" s="224">
        <v>0.13500000000000001</v>
      </c>
      <c r="J15" s="224">
        <v>0.13</v>
      </c>
      <c r="K15" s="224">
        <v>0.13500000000000001</v>
      </c>
      <c r="L15" s="224">
        <v>0.14599999999999999</v>
      </c>
      <c r="M15" s="224">
        <v>0.15</v>
      </c>
      <c r="N15" s="225">
        <v>0.15</v>
      </c>
      <c r="O15" s="572">
        <v>0.14400000000000002</v>
      </c>
      <c r="P15" s="572">
        <v>0.154</v>
      </c>
      <c r="Q15" s="572">
        <v>0.150066401062417</v>
      </c>
      <c r="R15" s="1075">
        <v>0.14087837837837838</v>
      </c>
      <c r="S15" s="1075">
        <v>0.13565692807107466</v>
      </c>
      <c r="T15" s="1075">
        <v>0.13788348845225784</v>
      </c>
      <c r="U15" s="2047">
        <v>0.1368066631224526</v>
      </c>
      <c r="V15" s="1401">
        <v>0.1405579399141631</v>
      </c>
      <c r="W15" s="2131">
        <v>0.13415726312018628</v>
      </c>
      <c r="X15" s="226"/>
      <c r="Y15" s="230">
        <v>711</v>
      </c>
      <c r="Z15" s="230">
        <v>751</v>
      </c>
      <c r="AA15" s="230">
        <v>794</v>
      </c>
      <c r="AB15" s="230">
        <v>783</v>
      </c>
      <c r="AC15" s="230">
        <v>751</v>
      </c>
      <c r="AD15" s="230">
        <v>846</v>
      </c>
      <c r="AE15" s="230">
        <v>807</v>
      </c>
      <c r="AF15" s="230">
        <v>842</v>
      </c>
      <c r="AG15" s="227">
        <v>908</v>
      </c>
      <c r="AH15" s="227">
        <v>921</v>
      </c>
      <c r="AI15" s="228">
        <v>917</v>
      </c>
      <c r="AJ15" s="579">
        <v>879</v>
      </c>
      <c r="AK15" s="782">
        <v>928</v>
      </c>
      <c r="AL15" s="786">
        <v>904</v>
      </c>
      <c r="AM15" s="1080">
        <v>834</v>
      </c>
      <c r="AN15" s="1080">
        <v>794</v>
      </c>
      <c r="AO15" s="1080">
        <v>800</v>
      </c>
      <c r="AP15" s="1080">
        <v>772</v>
      </c>
      <c r="AQ15" s="1404">
        <v>786</v>
      </c>
      <c r="AR15" s="2127">
        <v>749</v>
      </c>
    </row>
    <row r="16" spans="1:44" ht="16.5" customHeight="1" x14ac:dyDescent="0.3">
      <c r="A16" s="183" t="s">
        <v>31</v>
      </c>
      <c r="B16" s="184" t="s">
        <v>311</v>
      </c>
      <c r="C16" s="941" t="s">
        <v>252</v>
      </c>
      <c r="D16" s="224">
        <v>5.2000000000000005E-2</v>
      </c>
      <c r="E16" s="224">
        <v>5.2999999999999999E-2</v>
      </c>
      <c r="F16" s="224">
        <v>5.7999999999999996E-2</v>
      </c>
      <c r="G16" s="224">
        <v>6.3E-2</v>
      </c>
      <c r="H16" s="224">
        <v>0.06</v>
      </c>
      <c r="I16" s="224">
        <v>6.0999999999999999E-2</v>
      </c>
      <c r="J16" s="224">
        <v>0.06</v>
      </c>
      <c r="K16" s="224">
        <v>6.2E-2</v>
      </c>
      <c r="L16" s="224">
        <v>6.4000000000000001E-2</v>
      </c>
      <c r="M16" s="224">
        <v>7.5999999999999998E-2</v>
      </c>
      <c r="N16" s="225">
        <v>6.5000000000000002E-2</v>
      </c>
      <c r="O16" s="572">
        <v>7.4999999999999997E-2</v>
      </c>
      <c r="P16" s="572">
        <v>7.5999999999999998E-2</v>
      </c>
      <c r="Q16" s="572">
        <v>7.4080876725747702E-2</v>
      </c>
      <c r="R16" s="1075">
        <v>7.7610665365020287E-2</v>
      </c>
      <c r="S16" s="1075">
        <v>7.3959658368162817E-2</v>
      </c>
      <c r="T16" s="1075">
        <v>7.783994162004379E-2</v>
      </c>
      <c r="U16" s="2047">
        <v>6.3956672549138921E-2</v>
      </c>
      <c r="V16" s="1401">
        <v>7.4108931932722083E-2</v>
      </c>
      <c r="W16" s="2131">
        <v>5.7295761020741368E-2</v>
      </c>
      <c r="X16" s="226"/>
      <c r="Y16" s="227">
        <v>1586</v>
      </c>
      <c r="Z16" s="227">
        <v>1615</v>
      </c>
      <c r="AA16" s="227">
        <v>1803</v>
      </c>
      <c r="AB16" s="227">
        <v>1986</v>
      </c>
      <c r="AC16" s="227">
        <v>1900</v>
      </c>
      <c r="AD16" s="227">
        <v>1925</v>
      </c>
      <c r="AE16" s="227">
        <v>1901</v>
      </c>
      <c r="AF16" s="227">
        <v>1949</v>
      </c>
      <c r="AG16" s="227">
        <v>2018</v>
      </c>
      <c r="AH16" s="227">
        <v>2441</v>
      </c>
      <c r="AI16" s="228">
        <v>2131</v>
      </c>
      <c r="AJ16" s="579">
        <v>2432</v>
      </c>
      <c r="AK16" s="782">
        <v>2503</v>
      </c>
      <c r="AL16" s="786">
        <v>2420</v>
      </c>
      <c r="AM16" s="1080">
        <v>2544</v>
      </c>
      <c r="AN16" s="1080">
        <v>2442</v>
      </c>
      <c r="AO16" s="1080">
        <v>2560</v>
      </c>
      <c r="AP16" s="1080">
        <v>2102</v>
      </c>
      <c r="AQ16" s="1404">
        <v>2441</v>
      </c>
      <c r="AR16" s="2127">
        <v>1895</v>
      </c>
    </row>
    <row r="17" spans="1:44" ht="16.5" customHeight="1" x14ac:dyDescent="0.3">
      <c r="A17" s="183" t="s">
        <v>35</v>
      </c>
      <c r="B17" s="184" t="s">
        <v>312</v>
      </c>
      <c r="C17" s="941" t="s">
        <v>251</v>
      </c>
      <c r="D17" s="224">
        <v>0.16899999999999998</v>
      </c>
      <c r="E17" s="224">
        <v>0.17300000000000001</v>
      </c>
      <c r="F17" s="224">
        <v>0.19500000000000001</v>
      </c>
      <c r="G17" s="224">
        <v>0.18</v>
      </c>
      <c r="H17" s="224">
        <v>0.18100000000000002</v>
      </c>
      <c r="I17" s="224">
        <v>0.20100000000000001</v>
      </c>
      <c r="J17" s="224">
        <v>0.19</v>
      </c>
      <c r="K17" s="224">
        <v>0.21299999999999999</v>
      </c>
      <c r="L17" s="224">
        <v>0.222</v>
      </c>
      <c r="M17" s="224">
        <v>0.22</v>
      </c>
      <c r="N17" s="225">
        <v>0.20499999999999999</v>
      </c>
      <c r="O17" s="572">
        <v>0.25600000000000001</v>
      </c>
      <c r="P17" s="572">
        <v>0.248</v>
      </c>
      <c r="Q17" s="572">
        <v>0.21667792032410532</v>
      </c>
      <c r="R17" s="1075">
        <v>0.21902549033007584</v>
      </c>
      <c r="S17" s="1075">
        <v>0.2214103536223892</v>
      </c>
      <c r="T17" s="1075">
        <v>0.22804818605946661</v>
      </c>
      <c r="U17" s="2047">
        <v>0.21544998606854276</v>
      </c>
      <c r="V17" s="1401">
        <v>0.22489591419095337</v>
      </c>
      <c r="W17" s="2131">
        <v>0.20947826707586897</v>
      </c>
      <c r="X17" s="226"/>
      <c r="Y17" s="227">
        <v>2619</v>
      </c>
      <c r="Z17" s="227">
        <v>2661</v>
      </c>
      <c r="AA17" s="227">
        <v>2973</v>
      </c>
      <c r="AB17" s="227">
        <v>2737</v>
      </c>
      <c r="AC17" s="227">
        <v>2729</v>
      </c>
      <c r="AD17" s="227">
        <v>3001</v>
      </c>
      <c r="AE17" s="227">
        <v>2837</v>
      </c>
      <c r="AF17" s="227">
        <v>3125</v>
      </c>
      <c r="AG17" s="227">
        <v>3234</v>
      </c>
      <c r="AH17" s="227">
        <v>3155</v>
      </c>
      <c r="AI17" s="228">
        <v>3120</v>
      </c>
      <c r="AJ17" s="579">
        <v>3840</v>
      </c>
      <c r="AK17" s="782">
        <v>3688</v>
      </c>
      <c r="AL17" s="786">
        <v>3209</v>
      </c>
      <c r="AM17" s="1080">
        <v>3205</v>
      </c>
      <c r="AN17" s="1080">
        <v>3212</v>
      </c>
      <c r="AO17" s="1080">
        <v>3275</v>
      </c>
      <c r="AP17" s="1080">
        <v>3093</v>
      </c>
      <c r="AQ17" s="1404">
        <v>3187</v>
      </c>
      <c r="AR17" s="2127">
        <v>2935</v>
      </c>
    </row>
    <row r="18" spans="1:44" ht="16.5" customHeight="1" x14ac:dyDescent="0.3">
      <c r="A18" s="183" t="s">
        <v>37</v>
      </c>
      <c r="B18" s="184" t="s">
        <v>313</v>
      </c>
      <c r="C18" s="941" t="s">
        <v>255</v>
      </c>
      <c r="D18" s="224">
        <v>0.215</v>
      </c>
      <c r="E18" s="224">
        <v>0.20600000000000002</v>
      </c>
      <c r="F18" s="224">
        <v>0.22899999999999998</v>
      </c>
      <c r="G18" s="224">
        <v>0.217</v>
      </c>
      <c r="H18" s="224">
        <v>0.21100000000000002</v>
      </c>
      <c r="I18" s="224">
        <v>0.26600000000000001</v>
      </c>
      <c r="J18" s="224">
        <v>0.22899999999999998</v>
      </c>
      <c r="K18" s="224">
        <v>0.217</v>
      </c>
      <c r="L18" s="224">
        <v>0.23</v>
      </c>
      <c r="M18" s="224">
        <v>0.26500000000000001</v>
      </c>
      <c r="N18" s="225">
        <v>0.248</v>
      </c>
      <c r="O18" s="572">
        <v>0.24299999999999999</v>
      </c>
      <c r="P18" s="572">
        <v>0.23</v>
      </c>
      <c r="Q18" s="572">
        <v>0.2443899174659826</v>
      </c>
      <c r="R18" s="1075">
        <v>0.23180163785259328</v>
      </c>
      <c r="S18" s="1075">
        <v>0.28767186490726215</v>
      </c>
      <c r="T18" s="1075">
        <v>0.25078459343794579</v>
      </c>
      <c r="U18" s="2047">
        <v>0.27939385080153972</v>
      </c>
      <c r="V18" s="1401">
        <v>0.27552080756098768</v>
      </c>
      <c r="W18" s="2131">
        <v>0.21671919555755664</v>
      </c>
      <c r="X18" s="226"/>
      <c r="Y18" s="227">
        <v>5434</v>
      </c>
      <c r="Z18" s="227">
        <v>5116</v>
      </c>
      <c r="AA18" s="227">
        <v>5610</v>
      </c>
      <c r="AB18" s="227">
        <v>5208</v>
      </c>
      <c r="AC18" s="227">
        <v>4990</v>
      </c>
      <c r="AD18" s="227">
        <v>6221</v>
      </c>
      <c r="AE18" s="227">
        <v>5282</v>
      </c>
      <c r="AF18" s="227">
        <v>4913</v>
      </c>
      <c r="AG18" s="227">
        <v>5127</v>
      </c>
      <c r="AH18" s="227">
        <v>5737</v>
      </c>
      <c r="AI18" s="228">
        <v>5676</v>
      </c>
      <c r="AJ18" s="579">
        <v>5459</v>
      </c>
      <c r="AK18" s="782">
        <v>5223</v>
      </c>
      <c r="AL18" s="786">
        <v>5478</v>
      </c>
      <c r="AM18" s="1080">
        <v>5095</v>
      </c>
      <c r="AN18" s="1080">
        <v>6235</v>
      </c>
      <c r="AO18" s="1080">
        <v>5274</v>
      </c>
      <c r="AP18" s="1080">
        <v>5734</v>
      </c>
      <c r="AQ18" s="1404">
        <v>5568</v>
      </c>
      <c r="AR18" s="2127">
        <v>4332</v>
      </c>
    </row>
    <row r="19" spans="1:44" ht="16.5" customHeight="1" x14ac:dyDescent="0.3">
      <c r="A19" s="183" t="s">
        <v>39</v>
      </c>
      <c r="B19" s="184" t="s">
        <v>314</v>
      </c>
      <c r="C19" s="941" t="s">
        <v>253</v>
      </c>
      <c r="D19" s="224">
        <v>0.16899999999999998</v>
      </c>
      <c r="E19" s="224">
        <v>0.16600000000000001</v>
      </c>
      <c r="F19" s="224">
        <v>0.18</v>
      </c>
      <c r="G19" s="224">
        <v>0.17300000000000001</v>
      </c>
      <c r="H19" s="224">
        <v>0.17300000000000001</v>
      </c>
      <c r="I19" s="224">
        <v>0.20800000000000002</v>
      </c>
      <c r="J19" s="224">
        <v>0.17600000000000002</v>
      </c>
      <c r="K19" s="224">
        <v>0.193</v>
      </c>
      <c r="L19" s="224">
        <v>0.19399999999999998</v>
      </c>
      <c r="M19" s="224">
        <v>0.21600000000000003</v>
      </c>
      <c r="N19" s="225">
        <v>0.20499999999999999</v>
      </c>
      <c r="O19" s="572">
        <v>0.21299999999999999</v>
      </c>
      <c r="P19" s="572">
        <v>0.23</v>
      </c>
      <c r="Q19" s="572">
        <v>0.22771415176478468</v>
      </c>
      <c r="R19" s="1075">
        <v>0.22807728685312795</v>
      </c>
      <c r="S19" s="1075">
        <v>0.20222446916076844</v>
      </c>
      <c r="T19" s="1075">
        <v>0.17600700525394045</v>
      </c>
      <c r="U19" s="2047">
        <v>0.17503702706341726</v>
      </c>
      <c r="V19" s="1401">
        <v>0.20228440118951069</v>
      </c>
      <c r="W19" s="2131">
        <v>0.1684633411449615</v>
      </c>
      <c r="X19" s="226"/>
      <c r="Y19" s="227">
        <v>2304</v>
      </c>
      <c r="Z19" s="227">
        <v>2261</v>
      </c>
      <c r="AA19" s="227">
        <v>2471</v>
      </c>
      <c r="AB19" s="227">
        <v>2376</v>
      </c>
      <c r="AC19" s="227">
        <v>2401</v>
      </c>
      <c r="AD19" s="227">
        <v>2859</v>
      </c>
      <c r="AE19" s="227">
        <v>2429</v>
      </c>
      <c r="AF19" s="227">
        <v>2631</v>
      </c>
      <c r="AG19" s="227">
        <v>2640</v>
      </c>
      <c r="AH19" s="227">
        <v>2964</v>
      </c>
      <c r="AI19" s="228">
        <v>3042</v>
      </c>
      <c r="AJ19" s="579">
        <v>3190</v>
      </c>
      <c r="AK19" s="782">
        <v>3414</v>
      </c>
      <c r="AL19" s="786">
        <v>3400</v>
      </c>
      <c r="AM19" s="1080">
        <v>3376</v>
      </c>
      <c r="AN19" s="1080">
        <v>3000</v>
      </c>
      <c r="AO19" s="1080">
        <v>2613</v>
      </c>
      <c r="AP19" s="1080">
        <v>2600</v>
      </c>
      <c r="AQ19" s="1404">
        <v>2993</v>
      </c>
      <c r="AR19" s="2127">
        <v>2516</v>
      </c>
    </row>
    <row r="20" spans="1:44" ht="16.5" customHeight="1" x14ac:dyDescent="0.3">
      <c r="A20" s="183" t="s">
        <v>41</v>
      </c>
      <c r="B20" s="184" t="s">
        <v>315</v>
      </c>
      <c r="C20" s="941" t="s">
        <v>252</v>
      </c>
      <c r="D20" s="224">
        <v>9.6000000000000002E-2</v>
      </c>
      <c r="E20" s="224">
        <v>9.6000000000000002E-2</v>
      </c>
      <c r="F20" s="224">
        <v>0.10800000000000001</v>
      </c>
      <c r="G20" s="224">
        <v>0.115</v>
      </c>
      <c r="H20" s="224">
        <v>0.111</v>
      </c>
      <c r="I20" s="224">
        <v>0.11199999999999999</v>
      </c>
      <c r="J20" s="224">
        <v>0.11800000000000001</v>
      </c>
      <c r="K20" s="224">
        <v>0.11599999999999999</v>
      </c>
      <c r="L20" s="224">
        <v>0.121</v>
      </c>
      <c r="M20" s="224">
        <v>0.13100000000000001</v>
      </c>
      <c r="N20" s="225">
        <v>0.14300000000000002</v>
      </c>
      <c r="O20" s="572">
        <v>0.152</v>
      </c>
      <c r="P20" s="572">
        <v>0.14399999999999999</v>
      </c>
      <c r="Q20" s="572">
        <v>0.13262599469496023</v>
      </c>
      <c r="R20" s="1075">
        <v>0.14507609915895248</v>
      </c>
      <c r="S20" s="1075">
        <v>0.11703103220600103</v>
      </c>
      <c r="T20" s="1075">
        <v>0.13272790778903248</v>
      </c>
      <c r="U20" s="2047">
        <v>0.11300772718095553</v>
      </c>
      <c r="V20" s="1401">
        <v>0.11268330331875483</v>
      </c>
      <c r="W20" s="2131">
        <v>0.10760507373110698</v>
      </c>
      <c r="X20" s="226"/>
      <c r="Y20" s="227">
        <v>4861</v>
      </c>
      <c r="Z20" s="227">
        <v>4873</v>
      </c>
      <c r="AA20" s="227">
        <v>5502</v>
      </c>
      <c r="AB20" s="227">
        <v>5936</v>
      </c>
      <c r="AC20" s="227">
        <v>5792</v>
      </c>
      <c r="AD20" s="227">
        <v>5770</v>
      </c>
      <c r="AE20" s="227">
        <v>6152</v>
      </c>
      <c r="AF20" s="227">
        <v>6028</v>
      </c>
      <c r="AG20" s="227">
        <v>6334</v>
      </c>
      <c r="AH20" s="227">
        <v>6859</v>
      </c>
      <c r="AI20" s="228">
        <v>7770</v>
      </c>
      <c r="AJ20" s="579">
        <v>8303</v>
      </c>
      <c r="AK20" s="782">
        <v>7899</v>
      </c>
      <c r="AL20" s="786">
        <v>7250</v>
      </c>
      <c r="AM20" s="1080">
        <v>7883</v>
      </c>
      <c r="AN20" s="1080">
        <v>6381</v>
      </c>
      <c r="AO20" s="1080">
        <v>7220</v>
      </c>
      <c r="AP20" s="1080">
        <v>6157</v>
      </c>
      <c r="AQ20" s="1404">
        <v>6132</v>
      </c>
      <c r="AR20" s="2127">
        <v>5845</v>
      </c>
    </row>
    <row r="21" spans="1:44" ht="16.5" customHeight="1" x14ac:dyDescent="0.3">
      <c r="A21" s="183" t="s">
        <v>43</v>
      </c>
      <c r="B21" s="184" t="s">
        <v>316</v>
      </c>
      <c r="C21" s="941" t="s">
        <v>253</v>
      </c>
      <c r="D21" s="224">
        <v>0.10400000000000001</v>
      </c>
      <c r="E21" s="224">
        <v>0.1</v>
      </c>
      <c r="F21" s="224">
        <v>0.109</v>
      </c>
      <c r="G21" s="224">
        <v>0.1</v>
      </c>
      <c r="H21" s="224">
        <v>9.5000000000000001E-2</v>
      </c>
      <c r="I21" s="224">
        <v>9.9000000000000005E-2</v>
      </c>
      <c r="J21" s="224">
        <v>9.4E-2</v>
      </c>
      <c r="K21" s="224">
        <v>9.1999999999999998E-2</v>
      </c>
      <c r="L21" s="224">
        <v>9.3000000000000013E-2</v>
      </c>
      <c r="M21" s="224">
        <v>0.105</v>
      </c>
      <c r="N21" s="225">
        <v>0.112</v>
      </c>
      <c r="O21" s="572">
        <v>0.122</v>
      </c>
      <c r="P21" s="572">
        <v>0.121</v>
      </c>
      <c r="Q21" s="572">
        <v>0.14478044016602143</v>
      </c>
      <c r="R21" s="1075">
        <v>0.10994890085393876</v>
      </c>
      <c r="S21" s="1075">
        <v>0.12029434810751882</v>
      </c>
      <c r="T21" s="1075">
        <v>9.9448075034706943E-2</v>
      </c>
      <c r="U21" s="2047">
        <v>9.5830260776295501E-2</v>
      </c>
      <c r="V21" s="1401">
        <v>9.7225909211574202E-2</v>
      </c>
      <c r="W21" s="2131">
        <v>9.5838042683332222E-2</v>
      </c>
      <c r="X21" s="226"/>
      <c r="Y21" s="227">
        <v>2265</v>
      </c>
      <c r="Z21" s="227">
        <v>2197</v>
      </c>
      <c r="AA21" s="227">
        <v>2470</v>
      </c>
      <c r="AB21" s="227">
        <v>2352</v>
      </c>
      <c r="AC21" s="227">
        <v>2396</v>
      </c>
      <c r="AD21" s="227">
        <v>2472</v>
      </c>
      <c r="AE21" s="227">
        <v>2449</v>
      </c>
      <c r="AF21" s="227">
        <v>2446</v>
      </c>
      <c r="AG21" s="227">
        <v>2518</v>
      </c>
      <c r="AH21" s="227">
        <v>2845</v>
      </c>
      <c r="AI21" s="228">
        <v>3150</v>
      </c>
      <c r="AJ21" s="579">
        <v>3422</v>
      </c>
      <c r="AK21" s="782">
        <v>3433</v>
      </c>
      <c r="AL21" s="786">
        <v>4151</v>
      </c>
      <c r="AM21" s="1080">
        <v>3206</v>
      </c>
      <c r="AN21" s="1080">
        <v>3531</v>
      </c>
      <c r="AO21" s="1080">
        <v>2937</v>
      </c>
      <c r="AP21" s="1080">
        <v>2859</v>
      </c>
      <c r="AQ21" s="1404">
        <v>2930</v>
      </c>
      <c r="AR21" s="2127">
        <v>2883</v>
      </c>
    </row>
    <row r="22" spans="1:44" ht="16.5" customHeight="1" x14ac:dyDescent="0.3">
      <c r="A22" s="183" t="s">
        <v>45</v>
      </c>
      <c r="B22" s="184" t="s">
        <v>317</v>
      </c>
      <c r="C22" s="941" t="s">
        <v>255</v>
      </c>
      <c r="D22" s="224">
        <v>0.12300000000000001</v>
      </c>
      <c r="E22" s="224">
        <v>0.128</v>
      </c>
      <c r="F22" s="224">
        <v>0.13600000000000001</v>
      </c>
      <c r="G22" s="224">
        <v>0.13900000000000001</v>
      </c>
      <c r="H22" s="224">
        <v>0.13300000000000001</v>
      </c>
      <c r="I22" s="224">
        <v>0.16399999999999998</v>
      </c>
      <c r="J22" s="224">
        <v>0.13900000000000001</v>
      </c>
      <c r="K22" s="224">
        <v>0.13900000000000001</v>
      </c>
      <c r="L22" s="224">
        <v>0.157</v>
      </c>
      <c r="M22" s="224">
        <v>0.16899999999999998</v>
      </c>
      <c r="N22" s="225">
        <v>0.17600000000000002</v>
      </c>
      <c r="O22" s="572">
        <v>0.19899999999999998</v>
      </c>
      <c r="P22" s="572">
        <v>0.19600000000000001</v>
      </c>
      <c r="Q22" s="572">
        <v>0.16512121927369591</v>
      </c>
      <c r="R22" s="1075">
        <v>0.1699537540805223</v>
      </c>
      <c r="S22" s="1075">
        <v>0.15021182850364345</v>
      </c>
      <c r="T22" s="1075">
        <v>0.16297484555786887</v>
      </c>
      <c r="U22" s="2047">
        <v>0.16774040417740405</v>
      </c>
      <c r="V22" s="1401">
        <v>0.15654213549988102</v>
      </c>
      <c r="W22" s="2131">
        <v>0.13899692245256856</v>
      </c>
      <c r="X22" s="226"/>
      <c r="Y22" s="227">
        <v>3612</v>
      </c>
      <c r="Z22" s="227">
        <v>3725</v>
      </c>
      <c r="AA22" s="227">
        <v>4004</v>
      </c>
      <c r="AB22" s="227">
        <v>4090</v>
      </c>
      <c r="AC22" s="227">
        <v>3931</v>
      </c>
      <c r="AD22" s="227">
        <v>4720</v>
      </c>
      <c r="AE22" s="227">
        <v>4070</v>
      </c>
      <c r="AF22" s="227">
        <v>4033</v>
      </c>
      <c r="AG22" s="227">
        <v>4549</v>
      </c>
      <c r="AH22" s="227">
        <v>4886</v>
      </c>
      <c r="AI22" s="228">
        <v>5248</v>
      </c>
      <c r="AJ22" s="579">
        <v>5929</v>
      </c>
      <c r="AK22" s="782">
        <v>5794</v>
      </c>
      <c r="AL22" s="786">
        <v>4897</v>
      </c>
      <c r="AM22" s="1080">
        <v>4998</v>
      </c>
      <c r="AN22" s="1080">
        <v>4432</v>
      </c>
      <c r="AO22" s="1080">
        <v>4775</v>
      </c>
      <c r="AP22" s="1080">
        <v>4947</v>
      </c>
      <c r="AQ22" s="1404">
        <v>4605</v>
      </c>
      <c r="AR22" s="2127">
        <v>4110</v>
      </c>
    </row>
    <row r="23" spans="1:44" ht="16.5" customHeight="1" x14ac:dyDescent="0.3">
      <c r="A23" s="183" t="s">
        <v>47</v>
      </c>
      <c r="B23" s="184" t="s">
        <v>318</v>
      </c>
      <c r="C23" s="941" t="s">
        <v>253</v>
      </c>
      <c r="D23" s="224">
        <v>9.5000000000000001E-2</v>
      </c>
      <c r="E23" s="224">
        <v>8.5999999999999993E-2</v>
      </c>
      <c r="F23" s="224">
        <v>9.6000000000000002E-2</v>
      </c>
      <c r="G23" s="224">
        <v>0.10400000000000001</v>
      </c>
      <c r="H23" s="224">
        <v>9.9000000000000005E-2</v>
      </c>
      <c r="I23" s="224">
        <v>0.109</v>
      </c>
      <c r="J23" s="224">
        <v>0.105</v>
      </c>
      <c r="K23" s="224">
        <v>0.106</v>
      </c>
      <c r="L23" s="224">
        <v>0.11199999999999999</v>
      </c>
      <c r="M23" s="224">
        <v>0.10199999999999999</v>
      </c>
      <c r="N23" s="225">
        <v>0.11900000000000001</v>
      </c>
      <c r="O23" s="572">
        <v>0.11699999999999999</v>
      </c>
      <c r="P23" s="572">
        <v>0.13300000000000001</v>
      </c>
      <c r="Q23" s="572">
        <v>0.12169386606640405</v>
      </c>
      <c r="R23" s="1075">
        <v>0.13121073672187322</v>
      </c>
      <c r="S23" s="1075">
        <v>0.11595441595441595</v>
      </c>
      <c r="T23" s="1075">
        <v>0.12443246311010216</v>
      </c>
      <c r="U23" s="2047">
        <v>0.1195589919816724</v>
      </c>
      <c r="V23" s="1401">
        <v>0.12295910995520878</v>
      </c>
      <c r="W23" s="2131">
        <v>0.12530606366124153</v>
      </c>
      <c r="X23" s="226"/>
      <c r="Y23" s="230">
        <v>672</v>
      </c>
      <c r="Z23" s="230">
        <v>611</v>
      </c>
      <c r="AA23" s="230">
        <v>686</v>
      </c>
      <c r="AB23" s="230">
        <v>744</v>
      </c>
      <c r="AC23" s="230">
        <v>712</v>
      </c>
      <c r="AD23" s="230">
        <v>772</v>
      </c>
      <c r="AE23" s="230">
        <v>753</v>
      </c>
      <c r="AF23" s="230">
        <v>755</v>
      </c>
      <c r="AG23" s="227">
        <v>809</v>
      </c>
      <c r="AH23" s="227">
        <v>735</v>
      </c>
      <c r="AI23" s="228">
        <v>864</v>
      </c>
      <c r="AJ23" s="579">
        <v>843</v>
      </c>
      <c r="AK23" s="782">
        <v>946</v>
      </c>
      <c r="AL23" s="786">
        <v>865</v>
      </c>
      <c r="AM23" s="1080">
        <v>919</v>
      </c>
      <c r="AN23" s="1080">
        <v>814</v>
      </c>
      <c r="AO23" s="1080">
        <v>877</v>
      </c>
      <c r="AP23" s="1080">
        <v>835</v>
      </c>
      <c r="AQ23" s="1404">
        <v>851</v>
      </c>
      <c r="AR23" s="2127">
        <v>870</v>
      </c>
    </row>
    <row r="24" spans="1:44" ht="16.5" customHeight="1" x14ac:dyDescent="0.3">
      <c r="A24" s="183" t="s">
        <v>49</v>
      </c>
      <c r="B24" s="184" t="s">
        <v>319</v>
      </c>
      <c r="C24" s="941" t="s">
        <v>252</v>
      </c>
      <c r="D24" s="224">
        <v>0.14699999999999999</v>
      </c>
      <c r="E24" s="224">
        <v>0.14400000000000002</v>
      </c>
      <c r="F24" s="224">
        <v>0.157</v>
      </c>
      <c r="G24" s="224">
        <v>0.161</v>
      </c>
      <c r="H24" s="224">
        <v>0.152</v>
      </c>
      <c r="I24" s="224">
        <v>0.17399999999999999</v>
      </c>
      <c r="J24" s="224">
        <v>0.17300000000000001</v>
      </c>
      <c r="K24" s="224">
        <v>0.18100000000000002</v>
      </c>
      <c r="L24" s="224">
        <v>0.17199999999999999</v>
      </c>
      <c r="M24" s="224">
        <v>0.18899999999999997</v>
      </c>
      <c r="N24" s="225">
        <v>0.18600000000000003</v>
      </c>
      <c r="O24" s="572">
        <v>0.20899999999999999</v>
      </c>
      <c r="P24" s="572">
        <v>0.185</v>
      </c>
      <c r="Q24" s="572">
        <v>0.19663199603764239</v>
      </c>
      <c r="R24" s="1075">
        <v>0.20732618988288065</v>
      </c>
      <c r="S24" s="1075">
        <v>0.19230769230769232</v>
      </c>
      <c r="T24" s="1075">
        <v>0.20849744406268331</v>
      </c>
      <c r="U24" s="2047">
        <v>0.17374905707819965</v>
      </c>
      <c r="V24" s="1401">
        <v>0.19269725082985786</v>
      </c>
      <c r="W24" s="2131">
        <v>0.19310403832991102</v>
      </c>
      <c r="X24" s="226"/>
      <c r="Y24" s="227">
        <v>1779</v>
      </c>
      <c r="Z24" s="227">
        <v>1781</v>
      </c>
      <c r="AA24" s="227">
        <v>1935</v>
      </c>
      <c r="AB24" s="227">
        <v>1974</v>
      </c>
      <c r="AC24" s="227">
        <v>1871</v>
      </c>
      <c r="AD24" s="227">
        <v>2097</v>
      </c>
      <c r="AE24" s="227">
        <v>2118</v>
      </c>
      <c r="AF24" s="227">
        <v>2187</v>
      </c>
      <c r="AG24" s="227">
        <v>2071</v>
      </c>
      <c r="AH24" s="227">
        <v>2237</v>
      </c>
      <c r="AI24" s="228">
        <v>2309</v>
      </c>
      <c r="AJ24" s="579">
        <v>2572</v>
      </c>
      <c r="AK24" s="782">
        <v>2262</v>
      </c>
      <c r="AL24" s="786">
        <v>2382</v>
      </c>
      <c r="AM24" s="1080">
        <v>2496</v>
      </c>
      <c r="AN24" s="1080">
        <v>2310</v>
      </c>
      <c r="AO24" s="1080">
        <v>2488</v>
      </c>
      <c r="AP24" s="1080">
        <v>2073</v>
      </c>
      <c r="AQ24" s="1404">
        <v>2264</v>
      </c>
      <c r="AR24" s="2127">
        <v>2257</v>
      </c>
    </row>
    <row r="25" spans="1:44" ht="16.5" customHeight="1" x14ac:dyDescent="0.3">
      <c r="A25" s="183" t="s">
        <v>55</v>
      </c>
      <c r="B25" s="184" t="s">
        <v>486</v>
      </c>
      <c r="C25" s="941" t="s">
        <v>253</v>
      </c>
      <c r="D25" s="224">
        <v>4.8799999999999996E-2</v>
      </c>
      <c r="E25" s="224">
        <v>5.0799999999999998E-2</v>
      </c>
      <c r="F25" s="224">
        <v>5.9500000000000004E-2</v>
      </c>
      <c r="G25" s="224">
        <v>6.7400000000000002E-2</v>
      </c>
      <c r="H25" s="224">
        <v>6.5500000000000003E-2</v>
      </c>
      <c r="I25" s="224">
        <v>6.4500000000000002E-2</v>
      </c>
      <c r="J25" s="224">
        <v>5.5999999999999994E-2</v>
      </c>
      <c r="K25" s="224">
        <v>5.8899999999999994E-2</v>
      </c>
      <c r="L25" s="224">
        <v>5.8799999999999998E-2</v>
      </c>
      <c r="M25" s="224">
        <v>6.2300000000000001E-2</v>
      </c>
      <c r="N25" s="225">
        <v>7.0308637779240374E-2</v>
      </c>
      <c r="O25" s="572">
        <v>7.3295784531991093E-2</v>
      </c>
      <c r="P25" s="572">
        <v>7.4999999999999997E-2</v>
      </c>
      <c r="Q25" s="572">
        <v>8.1271283302108005E-2</v>
      </c>
      <c r="R25" s="1075">
        <v>8.4319663951356497E-2</v>
      </c>
      <c r="S25" s="1075">
        <v>7.1249486644131665E-2</v>
      </c>
      <c r="T25" s="1075">
        <v>7.196339079134971E-2</v>
      </c>
      <c r="U25" s="2047">
        <v>6.8325596277231726E-2</v>
      </c>
      <c r="V25" s="1401">
        <v>7.7175898085359337E-2</v>
      </c>
      <c r="W25" s="2131">
        <v>6.7367335237264375E-2</v>
      </c>
      <c r="X25" s="226"/>
      <c r="Y25" s="227">
        <v>13693</v>
      </c>
      <c r="Z25" s="227">
        <v>14416</v>
      </c>
      <c r="AA25" s="227">
        <v>17303</v>
      </c>
      <c r="AB25" s="227">
        <v>19974</v>
      </c>
      <c r="AC25" s="227">
        <v>20050</v>
      </c>
      <c r="AD25" s="227">
        <v>19397</v>
      </c>
      <c r="AE25" s="227">
        <v>17221</v>
      </c>
      <c r="AF25" s="227">
        <v>18421</v>
      </c>
      <c r="AG25" s="227">
        <v>18608</v>
      </c>
      <c r="AH25" s="227">
        <v>19992</v>
      </c>
      <c r="AI25" s="228">
        <v>23091</v>
      </c>
      <c r="AJ25" s="579">
        <v>24231</v>
      </c>
      <c r="AK25" s="782">
        <v>25129</v>
      </c>
      <c r="AL25" s="786">
        <v>27589</v>
      </c>
      <c r="AM25" s="1080">
        <v>29066</v>
      </c>
      <c r="AN25" s="1080">
        <v>24809</v>
      </c>
      <c r="AO25" s="1080">
        <v>25287</v>
      </c>
      <c r="AP25" s="1080">
        <v>24344</v>
      </c>
      <c r="AQ25" s="1404">
        <v>27849</v>
      </c>
      <c r="AR25" s="2127">
        <v>24556</v>
      </c>
    </row>
    <row r="26" spans="1:44" ht="16.5" customHeight="1" x14ac:dyDescent="0.3">
      <c r="A26" s="183" t="s">
        <v>57</v>
      </c>
      <c r="B26" s="184" t="s">
        <v>320</v>
      </c>
      <c r="C26" s="941" t="s">
        <v>254</v>
      </c>
      <c r="D26" s="224">
        <v>6.5000000000000002E-2</v>
      </c>
      <c r="E26" s="224">
        <v>6.4000000000000001E-2</v>
      </c>
      <c r="F26" s="224">
        <v>6.7000000000000004E-2</v>
      </c>
      <c r="G26" s="224">
        <v>6.7000000000000004E-2</v>
      </c>
      <c r="H26" s="224">
        <v>6.0999999999999999E-2</v>
      </c>
      <c r="I26" s="224">
        <v>6.6000000000000003E-2</v>
      </c>
      <c r="J26" s="224">
        <v>6.4000000000000001E-2</v>
      </c>
      <c r="K26" s="224">
        <v>6.3E-2</v>
      </c>
      <c r="L26" s="224">
        <v>7.5999999999999998E-2</v>
      </c>
      <c r="M26" s="224">
        <v>7.5999999999999998E-2</v>
      </c>
      <c r="N26" s="225">
        <v>8.3000000000000004E-2</v>
      </c>
      <c r="O26" s="572">
        <v>8.199999999999999E-2</v>
      </c>
      <c r="P26" s="572">
        <v>8.5999999999999993E-2</v>
      </c>
      <c r="Q26" s="572">
        <v>7.9048295454545461E-2</v>
      </c>
      <c r="R26" s="1075">
        <v>8.2114338209313825E-2</v>
      </c>
      <c r="S26" s="1075">
        <v>8.3527501235613921E-2</v>
      </c>
      <c r="T26" s="1075">
        <v>7.8687367678193371E-2</v>
      </c>
      <c r="U26" s="2047">
        <v>6.6587479038569028E-2</v>
      </c>
      <c r="V26" s="1401">
        <v>6.5205249930187101E-2</v>
      </c>
      <c r="W26" s="2131">
        <v>6.3184907754196148E-2</v>
      </c>
      <c r="X26" s="226"/>
      <c r="Y26" s="230">
        <v>831</v>
      </c>
      <c r="Z26" s="230">
        <v>833</v>
      </c>
      <c r="AA26" s="230">
        <v>878</v>
      </c>
      <c r="AB26" s="230">
        <v>914</v>
      </c>
      <c r="AC26" s="230">
        <v>857</v>
      </c>
      <c r="AD26" s="230">
        <v>917</v>
      </c>
      <c r="AE26" s="230">
        <v>917</v>
      </c>
      <c r="AF26" s="230">
        <v>892</v>
      </c>
      <c r="AG26" s="227">
        <v>1085</v>
      </c>
      <c r="AH26" s="227">
        <v>1091</v>
      </c>
      <c r="AI26" s="228">
        <v>1147</v>
      </c>
      <c r="AJ26" s="579">
        <v>1145</v>
      </c>
      <c r="AK26" s="782">
        <v>1207</v>
      </c>
      <c r="AL26" s="786">
        <v>1113</v>
      </c>
      <c r="AM26" s="1080">
        <v>1162</v>
      </c>
      <c r="AN26" s="1080">
        <v>1183</v>
      </c>
      <c r="AO26" s="1080">
        <v>1115</v>
      </c>
      <c r="AP26" s="1080">
        <v>953</v>
      </c>
      <c r="AQ26" s="1404">
        <v>934</v>
      </c>
      <c r="AR26" s="2127">
        <v>911</v>
      </c>
    </row>
    <row r="27" spans="1:44" ht="16.5" customHeight="1" x14ac:dyDescent="0.3">
      <c r="A27" s="183" t="s">
        <v>59</v>
      </c>
      <c r="B27" s="184" t="s">
        <v>321</v>
      </c>
      <c r="C27" s="941" t="s">
        <v>252</v>
      </c>
      <c r="D27" s="224">
        <v>8.4000000000000005E-2</v>
      </c>
      <c r="E27" s="224">
        <v>0.08</v>
      </c>
      <c r="F27" s="224">
        <v>8.8000000000000009E-2</v>
      </c>
      <c r="G27" s="224">
        <v>9.6000000000000002E-2</v>
      </c>
      <c r="H27" s="224">
        <v>9.0999999999999998E-2</v>
      </c>
      <c r="I27" s="224">
        <v>0.10400000000000001</v>
      </c>
      <c r="J27" s="224">
        <v>0.106</v>
      </c>
      <c r="K27" s="224">
        <v>0.10300000000000001</v>
      </c>
      <c r="L27" s="224">
        <v>0.11199999999999999</v>
      </c>
      <c r="M27" s="224">
        <v>9.8000000000000004E-2</v>
      </c>
      <c r="N27" s="225">
        <v>0.11599999999999999</v>
      </c>
      <c r="O27" s="572">
        <v>0.122</v>
      </c>
      <c r="P27" s="572">
        <v>0.13500000000000001</v>
      </c>
      <c r="Q27" s="572">
        <v>0.12883317261330762</v>
      </c>
      <c r="R27" s="1075">
        <v>0.12358472462099405</v>
      </c>
      <c r="S27" s="1075">
        <v>0.11933680354732987</v>
      </c>
      <c r="T27" s="1075">
        <v>0.12626656274356976</v>
      </c>
      <c r="U27" s="2047">
        <v>0.11708672355626117</v>
      </c>
      <c r="V27" s="1401">
        <v>0.11882562983535012</v>
      </c>
      <c r="W27" s="2131">
        <v>0.11200313295476796</v>
      </c>
      <c r="X27" s="226"/>
      <c r="Y27" s="230">
        <v>428</v>
      </c>
      <c r="Z27" s="230">
        <v>407</v>
      </c>
      <c r="AA27" s="230">
        <v>457</v>
      </c>
      <c r="AB27" s="230">
        <v>493</v>
      </c>
      <c r="AC27" s="230">
        <v>471</v>
      </c>
      <c r="AD27" s="230">
        <v>531</v>
      </c>
      <c r="AE27" s="230">
        <v>544</v>
      </c>
      <c r="AF27" s="230">
        <v>528</v>
      </c>
      <c r="AG27" s="227">
        <v>565</v>
      </c>
      <c r="AH27" s="227">
        <v>486</v>
      </c>
      <c r="AI27" s="228">
        <v>599</v>
      </c>
      <c r="AJ27" s="579">
        <v>619</v>
      </c>
      <c r="AK27" s="782">
        <v>699</v>
      </c>
      <c r="AL27" s="786">
        <v>668</v>
      </c>
      <c r="AM27" s="1080">
        <v>644</v>
      </c>
      <c r="AN27" s="1080">
        <v>619</v>
      </c>
      <c r="AO27" s="1080">
        <v>648</v>
      </c>
      <c r="AP27" s="1080">
        <v>590</v>
      </c>
      <c r="AQ27" s="1404">
        <v>599</v>
      </c>
      <c r="AR27" s="2127">
        <v>572</v>
      </c>
    </row>
    <row r="28" spans="1:44" ht="16.5" customHeight="1" x14ac:dyDescent="0.3">
      <c r="A28" s="183" t="s">
        <v>61</v>
      </c>
      <c r="B28" s="184" t="s">
        <v>322</v>
      </c>
      <c r="C28" s="941" t="s">
        <v>254</v>
      </c>
      <c r="D28" s="224">
        <v>0.09</v>
      </c>
      <c r="E28" s="224">
        <v>8.5999999999999993E-2</v>
      </c>
      <c r="F28" s="224">
        <v>8.8000000000000009E-2</v>
      </c>
      <c r="G28" s="224">
        <v>9.1999999999999998E-2</v>
      </c>
      <c r="H28" s="224">
        <v>8.8000000000000009E-2</v>
      </c>
      <c r="I28" s="224">
        <v>9.0999999999999998E-2</v>
      </c>
      <c r="J28" s="224">
        <v>8.4000000000000005E-2</v>
      </c>
      <c r="K28" s="224">
        <v>8.3000000000000004E-2</v>
      </c>
      <c r="L28" s="224">
        <v>8.1000000000000003E-2</v>
      </c>
      <c r="M28" s="224">
        <v>9.6000000000000002E-2</v>
      </c>
      <c r="N28" s="225">
        <v>0.105</v>
      </c>
      <c r="O28" s="572">
        <v>0.11699999999999999</v>
      </c>
      <c r="P28" s="572">
        <v>0.109</v>
      </c>
      <c r="Q28" s="572">
        <v>0.10147036791301928</v>
      </c>
      <c r="R28" s="1075">
        <v>0.10986674525819422</v>
      </c>
      <c r="S28" s="1075">
        <v>0.10225943869027732</v>
      </c>
      <c r="T28" s="1075">
        <v>9.8300470258229522E-2</v>
      </c>
      <c r="U28" s="2047">
        <v>9.8659042403253738E-2</v>
      </c>
      <c r="V28" s="1401">
        <v>8.7116686579052166E-2</v>
      </c>
      <c r="W28" s="2131">
        <v>9.2429387402594848E-2</v>
      </c>
      <c r="X28" s="226"/>
      <c r="Y28" s="227">
        <v>3050</v>
      </c>
      <c r="Z28" s="227">
        <v>3019</v>
      </c>
      <c r="AA28" s="227">
        <v>3271</v>
      </c>
      <c r="AB28" s="227">
        <v>3571</v>
      </c>
      <c r="AC28" s="227">
        <v>3613</v>
      </c>
      <c r="AD28" s="227">
        <v>3722</v>
      </c>
      <c r="AE28" s="227">
        <v>3620</v>
      </c>
      <c r="AF28" s="227">
        <v>3621</v>
      </c>
      <c r="AG28" s="227">
        <v>3612</v>
      </c>
      <c r="AH28" s="227">
        <v>4296</v>
      </c>
      <c r="AI28" s="228">
        <v>4720</v>
      </c>
      <c r="AJ28" s="579">
        <v>5335</v>
      </c>
      <c r="AK28" s="782">
        <v>5034</v>
      </c>
      <c r="AL28" s="786">
        <v>4741</v>
      </c>
      <c r="AM28" s="1080">
        <v>5219</v>
      </c>
      <c r="AN28" s="1080">
        <v>4897</v>
      </c>
      <c r="AO28" s="1080">
        <v>4766</v>
      </c>
      <c r="AP28" s="1080">
        <v>4900</v>
      </c>
      <c r="AQ28" s="1404">
        <v>4375</v>
      </c>
      <c r="AR28" s="2127">
        <v>4709</v>
      </c>
    </row>
    <row r="29" spans="1:44" ht="16.5" customHeight="1" x14ac:dyDescent="0.3">
      <c r="A29" s="183" t="s">
        <v>63</v>
      </c>
      <c r="B29" s="184" t="s">
        <v>323</v>
      </c>
      <c r="C29" s="941" t="s">
        <v>253</v>
      </c>
      <c r="D29" s="224">
        <v>0.13500000000000001</v>
      </c>
      <c r="E29" s="224">
        <v>0.13100000000000001</v>
      </c>
      <c r="F29" s="224">
        <v>0.13699999999999998</v>
      </c>
      <c r="G29" s="224">
        <v>0.14099999999999999</v>
      </c>
      <c r="H29" s="224">
        <v>0.13900000000000001</v>
      </c>
      <c r="I29" s="224">
        <v>0.161</v>
      </c>
      <c r="J29" s="224">
        <v>0.15</v>
      </c>
      <c r="K29" s="224">
        <v>0.14899999999999999</v>
      </c>
      <c r="L29" s="224">
        <v>0.158</v>
      </c>
      <c r="M29" s="224">
        <v>0.155</v>
      </c>
      <c r="N29" s="225">
        <v>0.17199999999999999</v>
      </c>
      <c r="O29" s="572">
        <v>0.17899999999999999</v>
      </c>
      <c r="P29" s="572">
        <v>0.17299999999999999</v>
      </c>
      <c r="Q29" s="572">
        <v>0.18230918169774787</v>
      </c>
      <c r="R29" s="1075">
        <v>0.1898592124056315</v>
      </c>
      <c r="S29" s="1075">
        <v>0.19562525794469665</v>
      </c>
      <c r="T29" s="1075">
        <v>0.18156308459779671</v>
      </c>
      <c r="U29" s="2047">
        <v>0.15309146653040367</v>
      </c>
      <c r="V29" s="1401">
        <v>0.15692087507667143</v>
      </c>
      <c r="W29" s="2131">
        <v>0.13842891760904685</v>
      </c>
      <c r="X29" s="226"/>
      <c r="Y29" s="227">
        <v>1205</v>
      </c>
      <c r="Z29" s="227">
        <v>1185</v>
      </c>
      <c r="AA29" s="227">
        <v>1261</v>
      </c>
      <c r="AB29" s="227">
        <v>1301</v>
      </c>
      <c r="AC29" s="227">
        <v>1306</v>
      </c>
      <c r="AD29" s="227">
        <v>1502</v>
      </c>
      <c r="AE29" s="227">
        <v>1411</v>
      </c>
      <c r="AF29" s="227">
        <v>1432</v>
      </c>
      <c r="AG29" s="227">
        <v>1520</v>
      </c>
      <c r="AH29" s="227">
        <v>1503</v>
      </c>
      <c r="AI29" s="228">
        <v>1721</v>
      </c>
      <c r="AJ29" s="579">
        <v>1782</v>
      </c>
      <c r="AK29" s="782">
        <v>1695</v>
      </c>
      <c r="AL29" s="786">
        <v>1789</v>
      </c>
      <c r="AM29" s="1080">
        <v>1861</v>
      </c>
      <c r="AN29" s="1080">
        <v>1896</v>
      </c>
      <c r="AO29" s="1080">
        <v>1747</v>
      </c>
      <c r="AP29" s="1080">
        <v>1498</v>
      </c>
      <c r="AQ29" s="1404">
        <v>1535</v>
      </c>
      <c r="AR29" s="2127">
        <v>1371</v>
      </c>
    </row>
    <row r="30" spans="1:44" ht="16.5" customHeight="1" x14ac:dyDescent="0.3">
      <c r="A30" s="183" t="s">
        <v>67</v>
      </c>
      <c r="B30" s="184" t="s">
        <v>324</v>
      </c>
      <c r="C30" s="941" t="s">
        <v>255</v>
      </c>
      <c r="D30" s="224">
        <v>0.193</v>
      </c>
      <c r="E30" s="224">
        <v>0.183</v>
      </c>
      <c r="F30" s="224">
        <v>0.18899999999999997</v>
      </c>
      <c r="G30" s="224">
        <v>0.185</v>
      </c>
      <c r="H30" s="224">
        <v>0.183</v>
      </c>
      <c r="I30" s="224">
        <v>0.22800000000000001</v>
      </c>
      <c r="J30" s="224">
        <v>0.192</v>
      </c>
      <c r="K30" s="224">
        <v>0.21299999999999999</v>
      </c>
      <c r="L30" s="224">
        <v>0.218</v>
      </c>
      <c r="M30" s="224">
        <v>0.20499999999999999</v>
      </c>
      <c r="N30" s="225">
        <v>0.22999999999999998</v>
      </c>
      <c r="O30" s="572">
        <v>0.218</v>
      </c>
      <c r="P30" s="572">
        <v>0.21299999999999999</v>
      </c>
      <c r="Q30" s="572">
        <v>0.21787783920602144</v>
      </c>
      <c r="R30" s="1075">
        <v>0.21326056195674145</v>
      </c>
      <c r="S30" s="1075">
        <v>0.2503413435281267</v>
      </c>
      <c r="T30" s="1075">
        <v>0.25631392193696512</v>
      </c>
      <c r="U30" s="2047">
        <v>0.25049129702414374</v>
      </c>
      <c r="V30" s="1401">
        <v>0.25168025168025165</v>
      </c>
      <c r="W30" s="2131">
        <v>0.24165457184325109</v>
      </c>
      <c r="X30" s="226"/>
      <c r="Y30" s="227">
        <v>3126</v>
      </c>
      <c r="Z30" s="227">
        <v>2945</v>
      </c>
      <c r="AA30" s="227">
        <v>3038</v>
      </c>
      <c r="AB30" s="227">
        <v>2988</v>
      </c>
      <c r="AC30" s="227">
        <v>2972</v>
      </c>
      <c r="AD30" s="227">
        <v>3664</v>
      </c>
      <c r="AE30" s="227">
        <v>3078</v>
      </c>
      <c r="AF30" s="227">
        <v>3382</v>
      </c>
      <c r="AG30" s="227">
        <v>3508</v>
      </c>
      <c r="AH30" s="227">
        <v>3240</v>
      </c>
      <c r="AI30" s="228">
        <v>3567</v>
      </c>
      <c r="AJ30" s="579">
        <v>3357</v>
      </c>
      <c r="AK30" s="782">
        <v>3243</v>
      </c>
      <c r="AL30" s="786">
        <v>3271</v>
      </c>
      <c r="AM30" s="1080">
        <v>3165</v>
      </c>
      <c r="AN30" s="1080">
        <v>3667</v>
      </c>
      <c r="AO30" s="1080">
        <v>3684</v>
      </c>
      <c r="AP30" s="1080">
        <v>3569</v>
      </c>
      <c r="AQ30" s="1404">
        <v>3520</v>
      </c>
      <c r="AR30" s="2127">
        <v>3330</v>
      </c>
    </row>
    <row r="31" spans="1:44" ht="16.5" customHeight="1" x14ac:dyDescent="0.3">
      <c r="A31" s="183" t="s">
        <v>69</v>
      </c>
      <c r="B31" s="184" t="s">
        <v>325</v>
      </c>
      <c r="C31" s="941" t="s">
        <v>251</v>
      </c>
      <c r="D31" s="224">
        <v>9.4E-2</v>
      </c>
      <c r="E31" s="224">
        <v>8.8000000000000009E-2</v>
      </c>
      <c r="F31" s="224">
        <v>9.1999999999999998E-2</v>
      </c>
      <c r="G31" s="224">
        <v>0.10400000000000001</v>
      </c>
      <c r="H31" s="224">
        <v>0.10099999999999999</v>
      </c>
      <c r="I31" s="224">
        <v>0.10199999999999999</v>
      </c>
      <c r="J31" s="224">
        <v>0.111</v>
      </c>
      <c r="K31" s="224">
        <v>0.11</v>
      </c>
      <c r="L31" s="224">
        <v>0.113</v>
      </c>
      <c r="M31" s="224">
        <v>0.11199999999999999</v>
      </c>
      <c r="N31" s="225">
        <v>0.11900000000000001</v>
      </c>
      <c r="O31" s="572">
        <v>0.13300000000000001</v>
      </c>
      <c r="P31" s="572">
        <v>0.13100000000000001</v>
      </c>
      <c r="Q31" s="572">
        <v>0.1451978640918733</v>
      </c>
      <c r="R31" s="1075">
        <v>0.12132743039039919</v>
      </c>
      <c r="S31" s="1075">
        <v>0.12385152517456817</v>
      </c>
      <c r="T31" s="1075">
        <v>0.12982520029133285</v>
      </c>
      <c r="U31" s="2047">
        <v>0.10100606544873425</v>
      </c>
      <c r="V31" s="1401">
        <v>0.12458899213724088</v>
      </c>
      <c r="W31" s="2131">
        <v>0.10654566242675433</v>
      </c>
      <c r="X31" s="226"/>
      <c r="Y31" s="227">
        <v>2223</v>
      </c>
      <c r="Z31" s="227">
        <v>2095</v>
      </c>
      <c r="AA31" s="227">
        <v>2229</v>
      </c>
      <c r="AB31" s="227">
        <v>2547</v>
      </c>
      <c r="AC31" s="227">
        <v>2508</v>
      </c>
      <c r="AD31" s="227">
        <v>2499</v>
      </c>
      <c r="AE31" s="227">
        <v>2768</v>
      </c>
      <c r="AF31" s="227">
        <v>2748</v>
      </c>
      <c r="AG31" s="227">
        <v>2850</v>
      </c>
      <c r="AH31" s="227">
        <v>2839</v>
      </c>
      <c r="AI31" s="228">
        <v>3249</v>
      </c>
      <c r="AJ31" s="579">
        <v>3625</v>
      </c>
      <c r="AK31" s="782">
        <v>3596</v>
      </c>
      <c r="AL31" s="786">
        <v>3970</v>
      </c>
      <c r="AM31" s="1080">
        <v>3316</v>
      </c>
      <c r="AN31" s="1080">
        <v>3370</v>
      </c>
      <c r="AO31" s="1080">
        <v>3565</v>
      </c>
      <c r="AP31" s="1080">
        <v>2781</v>
      </c>
      <c r="AQ31" s="1404">
        <v>3486</v>
      </c>
      <c r="AR31" s="2127">
        <v>2982</v>
      </c>
    </row>
    <row r="32" spans="1:44" ht="16.5" customHeight="1" x14ac:dyDescent="0.3">
      <c r="A32" s="183" t="s">
        <v>71</v>
      </c>
      <c r="B32" s="184" t="s">
        <v>326</v>
      </c>
      <c r="C32" s="941" t="s">
        <v>253</v>
      </c>
      <c r="D32" s="224">
        <v>0.122</v>
      </c>
      <c r="E32" s="224">
        <v>0.113</v>
      </c>
      <c r="F32" s="224">
        <v>0.124</v>
      </c>
      <c r="G32" s="224">
        <v>0.126</v>
      </c>
      <c r="H32" s="224">
        <v>0.11699999999999999</v>
      </c>
      <c r="I32" s="224">
        <v>0.126</v>
      </c>
      <c r="J32" s="224">
        <v>0.124</v>
      </c>
      <c r="K32" s="224">
        <v>0.121</v>
      </c>
      <c r="L32" s="224">
        <v>0.13</v>
      </c>
      <c r="M32" s="224">
        <v>0.13300000000000001</v>
      </c>
      <c r="N32" s="225">
        <v>0.14099999999999999</v>
      </c>
      <c r="O32" s="572">
        <v>0.14899999999999999</v>
      </c>
      <c r="P32" s="572">
        <v>0.157</v>
      </c>
      <c r="Q32" s="572">
        <v>0.15535295179635314</v>
      </c>
      <c r="R32" s="1075">
        <v>0.14509947070633328</v>
      </c>
      <c r="S32" s="1075">
        <v>0.15514886642993717</v>
      </c>
      <c r="T32" s="1075">
        <v>0.13115202333211812</v>
      </c>
      <c r="U32" s="2047">
        <v>0.13616317530319735</v>
      </c>
      <c r="V32" s="1401">
        <v>0.13715664439495173</v>
      </c>
      <c r="W32" s="2131">
        <v>0.16163952627683198</v>
      </c>
      <c r="X32" s="226"/>
      <c r="Y32" s="227">
        <v>1195</v>
      </c>
      <c r="Z32" s="227">
        <v>1121</v>
      </c>
      <c r="AA32" s="227">
        <v>1264</v>
      </c>
      <c r="AB32" s="227">
        <v>1286</v>
      </c>
      <c r="AC32" s="227">
        <v>1211</v>
      </c>
      <c r="AD32" s="227">
        <v>1291</v>
      </c>
      <c r="AE32" s="227">
        <v>1294</v>
      </c>
      <c r="AF32" s="227">
        <v>1295</v>
      </c>
      <c r="AG32" s="227">
        <v>1412</v>
      </c>
      <c r="AH32" s="227">
        <v>1459</v>
      </c>
      <c r="AI32" s="228">
        <v>1553</v>
      </c>
      <c r="AJ32" s="579">
        <v>1646</v>
      </c>
      <c r="AK32" s="782">
        <v>1741</v>
      </c>
      <c r="AL32" s="786">
        <v>1721</v>
      </c>
      <c r="AM32" s="1080">
        <v>1590</v>
      </c>
      <c r="AN32" s="1080">
        <v>1704</v>
      </c>
      <c r="AO32" s="1080">
        <v>1439</v>
      </c>
      <c r="AP32" s="1080">
        <v>1482</v>
      </c>
      <c r="AQ32" s="1404">
        <v>1478</v>
      </c>
      <c r="AR32" s="2127">
        <v>1747</v>
      </c>
    </row>
    <row r="33" spans="1:44" ht="16.5" customHeight="1" x14ac:dyDescent="0.3">
      <c r="A33" s="183" t="s">
        <v>73</v>
      </c>
      <c r="B33" s="184" t="s">
        <v>405</v>
      </c>
      <c r="C33" s="941" t="s">
        <v>254</v>
      </c>
      <c r="D33" s="224">
        <v>4.0999999999999995E-2</v>
      </c>
      <c r="E33" s="224">
        <v>4.3899999999999995E-2</v>
      </c>
      <c r="F33" s="224">
        <v>0.05</v>
      </c>
      <c r="G33" s="224">
        <v>5.7599999999999998E-2</v>
      </c>
      <c r="H33" s="224">
        <v>5.2699999999999997E-2</v>
      </c>
      <c r="I33" s="224">
        <v>5.0799999999999998E-2</v>
      </c>
      <c r="J33" s="224">
        <v>5.1799999999999999E-2</v>
      </c>
      <c r="K33" s="224">
        <v>4.8899999999999999E-2</v>
      </c>
      <c r="L33" s="224">
        <v>4.8899999999999999E-2</v>
      </c>
      <c r="M33" s="224">
        <v>5.5999999999999994E-2</v>
      </c>
      <c r="N33" s="225">
        <v>5.8925506050903943E-2</v>
      </c>
      <c r="O33" s="572">
        <v>6.7652399342249744E-2</v>
      </c>
      <c r="P33" s="572">
        <v>0.06</v>
      </c>
      <c r="Q33" s="572">
        <v>5.96407525392708E-2</v>
      </c>
      <c r="R33" s="1075">
        <v>6.6558716423477798E-2</v>
      </c>
      <c r="S33" s="1075">
        <v>6.1822398928343229E-2</v>
      </c>
      <c r="T33" s="1075">
        <v>6.002282132006214E-2</v>
      </c>
      <c r="U33" s="2047">
        <v>6.6602194988235053E-2</v>
      </c>
      <c r="V33" s="1401">
        <v>6.0950223630011284E-2</v>
      </c>
      <c r="W33" s="2131">
        <v>6.0309452420667001E-2</v>
      </c>
      <c r="X33" s="226"/>
      <c r="Y33" s="227">
        <v>42235</v>
      </c>
      <c r="Z33" s="227">
        <v>44521</v>
      </c>
      <c r="AA33" s="227">
        <v>51470</v>
      </c>
      <c r="AB33" s="227">
        <v>59756</v>
      </c>
      <c r="AC33" s="227">
        <v>54921</v>
      </c>
      <c r="AD33" s="227">
        <v>52050</v>
      </c>
      <c r="AE33" s="227">
        <v>53870</v>
      </c>
      <c r="AF33" s="227">
        <v>50909</v>
      </c>
      <c r="AG33" s="227">
        <v>50622</v>
      </c>
      <c r="AH33" s="227">
        <v>59537</v>
      </c>
      <c r="AI33" s="228">
        <v>65890</v>
      </c>
      <c r="AJ33" s="579">
        <v>75783</v>
      </c>
      <c r="AK33" s="782">
        <v>68906</v>
      </c>
      <c r="AL33" s="786">
        <v>68953</v>
      </c>
      <c r="AM33" s="1080">
        <v>77441</v>
      </c>
      <c r="AN33" s="1080">
        <v>72180</v>
      </c>
      <c r="AO33" s="1080">
        <v>69856</v>
      </c>
      <c r="AP33" s="1080">
        <v>78236</v>
      </c>
      <c r="AQ33" s="1404">
        <v>71735</v>
      </c>
      <c r="AR33" s="2127">
        <v>70722</v>
      </c>
    </row>
    <row r="34" spans="1:44" ht="16.5" customHeight="1" x14ac:dyDescent="0.3">
      <c r="A34" s="183" t="s">
        <v>75</v>
      </c>
      <c r="B34" s="184" t="s">
        <v>327</v>
      </c>
      <c r="C34" s="941" t="s">
        <v>254</v>
      </c>
      <c r="D34" s="224">
        <v>5.4000000000000006E-2</v>
      </c>
      <c r="E34" s="224">
        <v>0.05</v>
      </c>
      <c r="F34" s="224">
        <v>5.2999999999999999E-2</v>
      </c>
      <c r="G34" s="224">
        <v>5.7999999999999996E-2</v>
      </c>
      <c r="H34" s="224">
        <v>5.7999999999999996E-2</v>
      </c>
      <c r="I34" s="224">
        <v>5.2000000000000005E-2</v>
      </c>
      <c r="J34" s="224">
        <v>5.2999999999999999E-2</v>
      </c>
      <c r="K34" s="224">
        <v>5.7000000000000002E-2</v>
      </c>
      <c r="L34" s="224">
        <v>6.0999999999999999E-2</v>
      </c>
      <c r="M34" s="224">
        <v>5.9000000000000004E-2</v>
      </c>
      <c r="N34" s="225">
        <v>7.4999999999999997E-2</v>
      </c>
      <c r="O34" s="572">
        <v>6.3E-2</v>
      </c>
      <c r="P34" s="572">
        <v>6.9000000000000006E-2</v>
      </c>
      <c r="Q34" s="572">
        <v>7.0431624444711252E-2</v>
      </c>
      <c r="R34" s="1075">
        <v>7.3564169227133061E-2</v>
      </c>
      <c r="S34" s="1075">
        <v>6.8117174442131195E-2</v>
      </c>
      <c r="T34" s="1075">
        <v>5.810777253538614E-2</v>
      </c>
      <c r="U34" s="2047">
        <v>5.7285921625544266E-2</v>
      </c>
      <c r="V34" s="1401">
        <v>6.0785936474415686E-2</v>
      </c>
      <c r="W34" s="2131">
        <v>6.103778394607149E-2</v>
      </c>
      <c r="X34" s="226"/>
      <c r="Y34" s="227">
        <v>3072</v>
      </c>
      <c r="Z34" s="227">
        <v>2928</v>
      </c>
      <c r="AA34" s="227">
        <v>3249</v>
      </c>
      <c r="AB34" s="227">
        <v>3642</v>
      </c>
      <c r="AC34" s="227">
        <v>3741</v>
      </c>
      <c r="AD34" s="227">
        <v>3360</v>
      </c>
      <c r="AE34" s="227">
        <v>3484</v>
      </c>
      <c r="AF34" s="227">
        <v>3736</v>
      </c>
      <c r="AG34" s="227">
        <v>4048</v>
      </c>
      <c r="AH34" s="227">
        <v>4003</v>
      </c>
      <c r="AI34" s="228">
        <v>4839</v>
      </c>
      <c r="AJ34" s="579">
        <v>4148</v>
      </c>
      <c r="AK34" s="782">
        <v>4523</v>
      </c>
      <c r="AL34" s="786">
        <v>4693</v>
      </c>
      <c r="AM34" s="1080">
        <v>4980</v>
      </c>
      <c r="AN34" s="1080">
        <v>4646</v>
      </c>
      <c r="AO34" s="1080">
        <v>3978</v>
      </c>
      <c r="AP34" s="1080">
        <v>3947</v>
      </c>
      <c r="AQ34" s="1404">
        <v>4260</v>
      </c>
      <c r="AR34" s="2127">
        <v>4310</v>
      </c>
    </row>
    <row r="35" spans="1:44" ht="16.5" customHeight="1" x14ac:dyDescent="0.3">
      <c r="A35" s="183" t="s">
        <v>77</v>
      </c>
      <c r="B35" s="184" t="s">
        <v>328</v>
      </c>
      <c r="C35" s="941" t="s">
        <v>255</v>
      </c>
      <c r="D35" s="224">
        <v>0.106</v>
      </c>
      <c r="E35" s="224">
        <v>0.105</v>
      </c>
      <c r="F35" s="224">
        <v>0.111</v>
      </c>
      <c r="G35" s="224">
        <v>0.114</v>
      </c>
      <c r="H35" s="224">
        <v>0.109</v>
      </c>
      <c r="I35" s="224">
        <v>0.12300000000000001</v>
      </c>
      <c r="J35" s="224">
        <v>0.13400000000000001</v>
      </c>
      <c r="K35" s="224">
        <v>0.129</v>
      </c>
      <c r="L35" s="224">
        <v>0.11900000000000001</v>
      </c>
      <c r="M35" s="224">
        <v>0.15</v>
      </c>
      <c r="N35" s="225">
        <v>0.13599999999999998</v>
      </c>
      <c r="O35" s="572">
        <v>0.13500000000000001</v>
      </c>
      <c r="P35" s="572">
        <v>0.14099999999999999</v>
      </c>
      <c r="Q35" s="572">
        <v>0.14217055270507242</v>
      </c>
      <c r="R35" s="1075">
        <v>0.14094350611531742</v>
      </c>
      <c r="S35" s="1075">
        <v>0.11944337069965211</v>
      </c>
      <c r="T35" s="1075">
        <v>0.13651811478037831</v>
      </c>
      <c r="U35" s="2047">
        <v>0.12408011774492865</v>
      </c>
      <c r="V35" s="1401">
        <v>0.12269390360676667</v>
      </c>
      <c r="W35" s="2131">
        <v>0.11417045527309982</v>
      </c>
      <c r="X35" s="226"/>
      <c r="Y35" s="227">
        <v>1491</v>
      </c>
      <c r="Z35" s="227">
        <v>1499</v>
      </c>
      <c r="AA35" s="227">
        <v>1593</v>
      </c>
      <c r="AB35" s="227">
        <v>1649</v>
      </c>
      <c r="AC35" s="227">
        <v>1598</v>
      </c>
      <c r="AD35" s="227">
        <v>1788</v>
      </c>
      <c r="AE35" s="227">
        <v>1975</v>
      </c>
      <c r="AF35" s="227">
        <v>1883</v>
      </c>
      <c r="AG35" s="227">
        <v>1751</v>
      </c>
      <c r="AH35" s="227">
        <v>2236</v>
      </c>
      <c r="AI35" s="228">
        <v>2066</v>
      </c>
      <c r="AJ35" s="579">
        <v>2056</v>
      </c>
      <c r="AK35" s="782">
        <v>2156</v>
      </c>
      <c r="AL35" s="786">
        <v>2189</v>
      </c>
      <c r="AM35" s="1080">
        <v>2178</v>
      </c>
      <c r="AN35" s="1080">
        <v>1854</v>
      </c>
      <c r="AO35" s="1080">
        <v>2129</v>
      </c>
      <c r="AP35" s="1080">
        <v>1939</v>
      </c>
      <c r="AQ35" s="1404">
        <v>1922</v>
      </c>
      <c r="AR35" s="2127">
        <v>1783</v>
      </c>
    </row>
    <row r="36" spans="1:44" ht="16.5" customHeight="1" x14ac:dyDescent="0.3">
      <c r="A36" s="183" t="s">
        <v>79</v>
      </c>
      <c r="B36" s="184" t="s">
        <v>329</v>
      </c>
      <c r="C36" s="941" t="s">
        <v>253</v>
      </c>
      <c r="D36" s="224">
        <v>6.5000000000000002E-2</v>
      </c>
      <c r="E36" s="224">
        <v>6.0999999999999999E-2</v>
      </c>
      <c r="F36" s="224">
        <v>6.8000000000000005E-2</v>
      </c>
      <c r="G36" s="224">
        <v>6.6000000000000003E-2</v>
      </c>
      <c r="H36" s="224">
        <v>6.2E-2</v>
      </c>
      <c r="I36" s="224">
        <v>7.8E-2</v>
      </c>
      <c r="J36" s="224">
        <v>6.7000000000000004E-2</v>
      </c>
      <c r="K36" s="224">
        <v>7.0000000000000007E-2</v>
      </c>
      <c r="L36" s="224">
        <v>6.7000000000000004E-2</v>
      </c>
      <c r="M36" s="224">
        <v>7.2000000000000008E-2</v>
      </c>
      <c r="N36" s="225">
        <v>7.2999999999999995E-2</v>
      </c>
      <c r="O36" s="572">
        <v>7.5999999999999998E-2</v>
      </c>
      <c r="P36" s="572">
        <v>8.7999999999999995E-2</v>
      </c>
      <c r="Q36" s="572">
        <v>8.2229625416429669E-2</v>
      </c>
      <c r="R36" s="1075">
        <v>7.8642149929278649E-2</v>
      </c>
      <c r="S36" s="1075">
        <v>7.7872477285519021E-2</v>
      </c>
      <c r="T36" s="1075">
        <v>7.4647155251689259E-2</v>
      </c>
      <c r="U36" s="2047">
        <v>6.7122634006680448E-2</v>
      </c>
      <c r="V36" s="1401">
        <v>6.8701390525571532E-2</v>
      </c>
      <c r="W36" s="2131">
        <v>7.2598989860045496E-2</v>
      </c>
      <c r="X36" s="226"/>
      <c r="Y36" s="227">
        <v>1307</v>
      </c>
      <c r="Z36" s="227">
        <v>1287</v>
      </c>
      <c r="AA36" s="227">
        <v>1498</v>
      </c>
      <c r="AB36" s="227">
        <v>1499</v>
      </c>
      <c r="AC36" s="227">
        <v>1477</v>
      </c>
      <c r="AD36" s="227">
        <v>1834</v>
      </c>
      <c r="AE36" s="227">
        <v>1597</v>
      </c>
      <c r="AF36" s="227">
        <v>1674</v>
      </c>
      <c r="AG36" s="227">
        <v>1624</v>
      </c>
      <c r="AH36" s="227">
        <v>1747</v>
      </c>
      <c r="AI36" s="228">
        <v>1784</v>
      </c>
      <c r="AJ36" s="579">
        <v>1876</v>
      </c>
      <c r="AK36" s="782">
        <v>2155</v>
      </c>
      <c r="AL36" s="786">
        <v>2024</v>
      </c>
      <c r="AM36" s="1080">
        <v>1946</v>
      </c>
      <c r="AN36" s="1080">
        <v>1937</v>
      </c>
      <c r="AO36" s="1080">
        <v>1867</v>
      </c>
      <c r="AP36" s="1080">
        <v>1688</v>
      </c>
      <c r="AQ36" s="1404">
        <v>1749</v>
      </c>
      <c r="AR36" s="2127">
        <v>1883</v>
      </c>
    </row>
    <row r="37" spans="1:44" ht="16.5" customHeight="1" x14ac:dyDescent="0.3">
      <c r="A37" s="183" t="s">
        <v>83</v>
      </c>
      <c r="B37" s="184" t="s">
        <v>84</v>
      </c>
      <c r="C37" s="941" t="s">
        <v>252</v>
      </c>
      <c r="D37" s="224">
        <v>0.1</v>
      </c>
      <c r="E37" s="224">
        <v>0.10099999999999999</v>
      </c>
      <c r="F37" s="224">
        <v>0.113</v>
      </c>
      <c r="G37" s="224">
        <v>0.115</v>
      </c>
      <c r="H37" s="224">
        <v>0.109</v>
      </c>
      <c r="I37" s="224">
        <v>0.105</v>
      </c>
      <c r="J37" s="224">
        <v>0.106</v>
      </c>
      <c r="K37" s="224">
        <v>0.115</v>
      </c>
      <c r="L37" s="224">
        <v>0.13200000000000001</v>
      </c>
      <c r="M37" s="224">
        <v>0.14000000000000001</v>
      </c>
      <c r="N37" s="225">
        <v>0.14400000000000002</v>
      </c>
      <c r="O37" s="572">
        <v>0.13100000000000001</v>
      </c>
      <c r="P37" s="572">
        <v>0.14099999999999999</v>
      </c>
      <c r="Q37" s="572">
        <v>0.14405155260227459</v>
      </c>
      <c r="R37" s="1075">
        <v>0.16289848725388223</v>
      </c>
      <c r="S37" s="1075">
        <v>0.13115023559922562</v>
      </c>
      <c r="T37" s="1075">
        <v>0.13168784560735342</v>
      </c>
      <c r="U37" s="2047">
        <v>0.13324617312196982</v>
      </c>
      <c r="V37" s="1401">
        <v>0.15265092245551473</v>
      </c>
      <c r="W37" s="2131">
        <v>0.11523091801543711</v>
      </c>
      <c r="X37" s="226"/>
      <c r="Y37" s="227">
        <v>4701</v>
      </c>
      <c r="Z37" s="227">
        <v>4813</v>
      </c>
      <c r="AA37" s="227">
        <v>5464</v>
      </c>
      <c r="AB37" s="227">
        <v>5618</v>
      </c>
      <c r="AC37" s="227">
        <v>5402</v>
      </c>
      <c r="AD37" s="227">
        <v>5187</v>
      </c>
      <c r="AE37" s="227">
        <v>5254</v>
      </c>
      <c r="AF37" s="227">
        <v>5704</v>
      </c>
      <c r="AG37" s="227">
        <v>6610</v>
      </c>
      <c r="AH37" s="227">
        <v>7043</v>
      </c>
      <c r="AI37" s="228">
        <v>7844</v>
      </c>
      <c r="AJ37" s="579">
        <v>7171</v>
      </c>
      <c r="AK37" s="782">
        <v>7751</v>
      </c>
      <c r="AL37" s="786">
        <v>7891</v>
      </c>
      <c r="AM37" s="1080">
        <v>8927</v>
      </c>
      <c r="AN37" s="1080">
        <v>7181</v>
      </c>
      <c r="AO37" s="1080">
        <v>7192</v>
      </c>
      <c r="AP37" s="1080">
        <v>7338</v>
      </c>
      <c r="AQ37" s="1404">
        <v>8390</v>
      </c>
      <c r="AR37" s="2127">
        <v>6315</v>
      </c>
    </row>
    <row r="38" spans="1:44" ht="16.5" customHeight="1" x14ac:dyDescent="0.3">
      <c r="A38" s="183" t="s">
        <v>85</v>
      </c>
      <c r="B38" s="184" t="s">
        <v>330</v>
      </c>
      <c r="C38" s="941" t="s">
        <v>254</v>
      </c>
      <c r="D38" s="224">
        <v>6.0999999999999999E-2</v>
      </c>
      <c r="E38" s="224">
        <v>0.06</v>
      </c>
      <c r="F38" s="224">
        <v>6.4000000000000001E-2</v>
      </c>
      <c r="G38" s="224">
        <v>6.7000000000000004E-2</v>
      </c>
      <c r="H38" s="224">
        <v>5.7999999999999996E-2</v>
      </c>
      <c r="I38" s="224">
        <v>6.5000000000000002E-2</v>
      </c>
      <c r="J38" s="224">
        <v>7.0999999999999994E-2</v>
      </c>
      <c r="K38" s="224">
        <v>6.6000000000000003E-2</v>
      </c>
      <c r="L38" s="224">
        <v>7.2999999999999995E-2</v>
      </c>
      <c r="M38" s="224">
        <v>9.1999999999999998E-2</v>
      </c>
      <c r="N38" s="225">
        <v>7.3999999999999996E-2</v>
      </c>
      <c r="O38" s="572">
        <v>8.900000000000001E-2</v>
      </c>
      <c r="P38" s="572">
        <v>8.7999999999999995E-2</v>
      </c>
      <c r="Q38" s="572">
        <v>7.8719237629566799E-2</v>
      </c>
      <c r="R38" s="1075">
        <v>7.6704405611617038E-2</v>
      </c>
      <c r="S38" s="1075">
        <v>7.7289622813966244E-2</v>
      </c>
      <c r="T38" s="1075">
        <v>6.8269277021501762E-2</v>
      </c>
      <c r="U38" s="2047">
        <v>6.7168208065349039E-2</v>
      </c>
      <c r="V38" s="1401">
        <v>7.0164755623980335E-2</v>
      </c>
      <c r="W38" s="2131">
        <v>6.5142766208966085E-2</v>
      </c>
      <c r="X38" s="226"/>
      <c r="Y38" s="227">
        <v>3719</v>
      </c>
      <c r="Z38" s="227">
        <v>3714</v>
      </c>
      <c r="AA38" s="227">
        <v>4114</v>
      </c>
      <c r="AB38" s="227">
        <v>4446</v>
      </c>
      <c r="AC38" s="227">
        <v>3989</v>
      </c>
      <c r="AD38" s="227">
        <v>4429</v>
      </c>
      <c r="AE38" s="227">
        <v>5012</v>
      </c>
      <c r="AF38" s="227">
        <v>4736</v>
      </c>
      <c r="AG38" s="227">
        <v>5310</v>
      </c>
      <c r="AH38" s="227">
        <v>6796</v>
      </c>
      <c r="AI38" s="228">
        <v>5756</v>
      </c>
      <c r="AJ38" s="579">
        <v>7026</v>
      </c>
      <c r="AK38" s="782">
        <v>6968</v>
      </c>
      <c r="AL38" s="786">
        <v>6311</v>
      </c>
      <c r="AM38" s="1080">
        <v>6233</v>
      </c>
      <c r="AN38" s="1080">
        <v>6342</v>
      </c>
      <c r="AO38" s="1080">
        <v>5677</v>
      </c>
      <c r="AP38" s="1080">
        <v>5723</v>
      </c>
      <c r="AQ38" s="1404">
        <v>6107</v>
      </c>
      <c r="AR38" s="2127">
        <v>5731</v>
      </c>
    </row>
    <row r="39" spans="1:44" ht="16.5" customHeight="1" x14ac:dyDescent="0.3">
      <c r="A39" s="183" t="s">
        <v>91</v>
      </c>
      <c r="B39" s="184" t="s">
        <v>331</v>
      </c>
      <c r="C39" s="941" t="s">
        <v>255</v>
      </c>
      <c r="D39" s="224">
        <v>9.5000000000000001E-2</v>
      </c>
      <c r="E39" s="224">
        <v>9.6000000000000002E-2</v>
      </c>
      <c r="F39" s="224">
        <v>0.10400000000000001</v>
      </c>
      <c r="G39" s="224">
        <v>0.10800000000000001</v>
      </c>
      <c r="H39" s="224">
        <v>0.10300000000000001</v>
      </c>
      <c r="I39" s="224">
        <v>0.122</v>
      </c>
      <c r="J39" s="224">
        <v>0.11</v>
      </c>
      <c r="K39" s="224">
        <v>0.114</v>
      </c>
      <c r="L39" s="224">
        <v>0.125</v>
      </c>
      <c r="M39" s="224">
        <v>0.13100000000000001</v>
      </c>
      <c r="N39" s="225">
        <v>0.13399999999999998</v>
      </c>
      <c r="O39" s="572">
        <v>0.126</v>
      </c>
      <c r="P39" s="572">
        <v>0.127</v>
      </c>
      <c r="Q39" s="572">
        <v>0.13273596176821983</v>
      </c>
      <c r="R39" s="1075">
        <v>0.13548115645849612</v>
      </c>
      <c r="S39" s="1075">
        <v>0.10594784292370062</v>
      </c>
      <c r="T39" s="1075">
        <v>0.1219248769950798</v>
      </c>
      <c r="U39" s="2047">
        <v>0.11407985589912939</v>
      </c>
      <c r="V39" s="1401">
        <v>0.12389699261660364</v>
      </c>
      <c r="W39" s="2131">
        <v>0.11431682090364725</v>
      </c>
      <c r="X39" s="226"/>
      <c r="Y39" s="227">
        <v>1611</v>
      </c>
      <c r="Z39" s="227">
        <v>1612</v>
      </c>
      <c r="AA39" s="227">
        <v>1771</v>
      </c>
      <c r="AB39" s="227">
        <v>1837</v>
      </c>
      <c r="AC39" s="227">
        <v>1770</v>
      </c>
      <c r="AD39" s="227">
        <v>2068</v>
      </c>
      <c r="AE39" s="227">
        <v>1896</v>
      </c>
      <c r="AF39" s="227">
        <v>1953</v>
      </c>
      <c r="AG39" s="227">
        <v>2149</v>
      </c>
      <c r="AH39" s="227">
        <v>2255</v>
      </c>
      <c r="AI39" s="228">
        <v>2292</v>
      </c>
      <c r="AJ39" s="579">
        <v>2136</v>
      </c>
      <c r="AK39" s="782">
        <v>2126</v>
      </c>
      <c r="AL39" s="786">
        <v>2222</v>
      </c>
      <c r="AM39" s="1080">
        <v>2254</v>
      </c>
      <c r="AN39" s="1080">
        <v>1751</v>
      </c>
      <c r="AO39" s="1080">
        <v>2032</v>
      </c>
      <c r="AP39" s="1080">
        <v>1900</v>
      </c>
      <c r="AQ39" s="1404">
        <v>2064</v>
      </c>
      <c r="AR39" s="2127">
        <v>1890</v>
      </c>
    </row>
    <row r="40" spans="1:44" ht="16.5" customHeight="1" x14ac:dyDescent="0.3">
      <c r="A40" s="183" t="s">
        <v>93</v>
      </c>
      <c r="B40" s="184" t="s">
        <v>332</v>
      </c>
      <c r="C40" s="941" t="s">
        <v>251</v>
      </c>
      <c r="D40" s="224">
        <v>8.3000000000000004E-2</v>
      </c>
      <c r="E40" s="224">
        <v>7.8E-2</v>
      </c>
      <c r="F40" s="224">
        <v>8.5999999999999993E-2</v>
      </c>
      <c r="G40" s="224">
        <v>0.09</v>
      </c>
      <c r="H40" s="224">
        <v>8.6999999999999994E-2</v>
      </c>
      <c r="I40" s="224">
        <v>8.8000000000000009E-2</v>
      </c>
      <c r="J40" s="224">
        <v>9.6000000000000002E-2</v>
      </c>
      <c r="K40" s="224">
        <v>8.4000000000000005E-2</v>
      </c>
      <c r="L40" s="224">
        <v>9.0999999999999998E-2</v>
      </c>
      <c r="M40" s="224">
        <v>9.5000000000000001E-2</v>
      </c>
      <c r="N40" s="225">
        <v>9.9000000000000005E-2</v>
      </c>
      <c r="O40" s="572">
        <v>0.10199999999999999</v>
      </c>
      <c r="P40" s="572">
        <v>9.7000000000000003E-2</v>
      </c>
      <c r="Q40" s="572">
        <v>0.10574699988990421</v>
      </c>
      <c r="R40" s="1075">
        <v>9.655680453999782E-2</v>
      </c>
      <c r="S40" s="1075">
        <v>9.2839209693264924E-2</v>
      </c>
      <c r="T40" s="1075">
        <v>9.3873329522876345E-2</v>
      </c>
      <c r="U40" s="2047">
        <v>9.769740414901705E-2</v>
      </c>
      <c r="V40" s="1401">
        <v>9.0628552866655845E-2</v>
      </c>
      <c r="W40" s="2131">
        <v>8.6478583419071858E-2</v>
      </c>
      <c r="X40" s="226"/>
      <c r="Y40" s="227">
        <v>2911</v>
      </c>
      <c r="Z40" s="227">
        <v>2787</v>
      </c>
      <c r="AA40" s="227">
        <v>3150</v>
      </c>
      <c r="AB40" s="227">
        <v>3349</v>
      </c>
      <c r="AC40" s="227">
        <v>3285</v>
      </c>
      <c r="AD40" s="227">
        <v>3292</v>
      </c>
      <c r="AE40" s="227">
        <v>3621</v>
      </c>
      <c r="AF40" s="227">
        <v>3179</v>
      </c>
      <c r="AG40" s="227">
        <v>3487</v>
      </c>
      <c r="AH40" s="227">
        <v>3704</v>
      </c>
      <c r="AI40" s="228">
        <v>3603</v>
      </c>
      <c r="AJ40" s="579">
        <v>3721</v>
      </c>
      <c r="AK40" s="782">
        <v>3540</v>
      </c>
      <c r="AL40" s="786">
        <v>3842</v>
      </c>
      <c r="AM40" s="1080">
        <v>3539</v>
      </c>
      <c r="AN40" s="1080">
        <v>3402</v>
      </c>
      <c r="AO40" s="1080">
        <v>3449</v>
      </c>
      <c r="AP40" s="1080">
        <v>3598</v>
      </c>
      <c r="AQ40" s="1404">
        <v>3348</v>
      </c>
      <c r="AR40" s="2127">
        <v>3194</v>
      </c>
    </row>
    <row r="41" spans="1:44" ht="16.5" customHeight="1" x14ac:dyDescent="0.3">
      <c r="A41" s="183" t="s">
        <v>95</v>
      </c>
      <c r="B41" s="184" t="s">
        <v>333</v>
      </c>
      <c r="C41" s="941" t="s">
        <v>253</v>
      </c>
      <c r="D41" s="224">
        <v>6.7000000000000004E-2</v>
      </c>
      <c r="E41" s="224">
        <v>5.7000000000000002E-2</v>
      </c>
      <c r="F41" s="224">
        <v>6.5000000000000002E-2</v>
      </c>
      <c r="G41" s="224">
        <v>7.2000000000000008E-2</v>
      </c>
      <c r="H41" s="224">
        <v>6.9000000000000006E-2</v>
      </c>
      <c r="I41" s="224">
        <v>6.7000000000000004E-2</v>
      </c>
      <c r="J41" s="224">
        <v>6.3E-2</v>
      </c>
      <c r="K41" s="224">
        <v>8.5000000000000006E-2</v>
      </c>
      <c r="L41" s="224">
        <v>6.4000000000000001E-2</v>
      </c>
      <c r="M41" s="224">
        <v>6.6000000000000003E-2</v>
      </c>
      <c r="N41" s="225">
        <v>7.7000000000000013E-2</v>
      </c>
      <c r="O41" s="572">
        <v>8.1000000000000003E-2</v>
      </c>
      <c r="P41" s="572">
        <v>7.3999999999999996E-2</v>
      </c>
      <c r="Q41" s="572">
        <v>7.4595014065379772E-2</v>
      </c>
      <c r="R41" s="1075">
        <v>7.4843578354109944E-2</v>
      </c>
      <c r="S41" s="1075">
        <v>7.4373940877424216E-2</v>
      </c>
      <c r="T41" s="1075">
        <v>6.4149205618236241E-2</v>
      </c>
      <c r="U41" s="2047">
        <v>6.1462251169617468E-2</v>
      </c>
      <c r="V41" s="1401">
        <v>6.7319791479417579E-2</v>
      </c>
      <c r="W41" s="2131">
        <v>6.2398382915146988E-2</v>
      </c>
      <c r="X41" s="226"/>
      <c r="Y41" s="227">
        <v>1071</v>
      </c>
      <c r="Z41" s="230">
        <v>925</v>
      </c>
      <c r="AA41" s="227">
        <v>1098</v>
      </c>
      <c r="AB41" s="227">
        <v>1263</v>
      </c>
      <c r="AC41" s="227">
        <v>1252</v>
      </c>
      <c r="AD41" s="227">
        <v>1192</v>
      </c>
      <c r="AE41" s="227">
        <v>1176</v>
      </c>
      <c r="AF41" s="227">
        <v>1620</v>
      </c>
      <c r="AG41" s="227">
        <v>1240</v>
      </c>
      <c r="AH41" s="227">
        <v>1298</v>
      </c>
      <c r="AI41" s="228">
        <v>1566</v>
      </c>
      <c r="AJ41" s="579">
        <v>1661</v>
      </c>
      <c r="AK41" s="782">
        <v>1515</v>
      </c>
      <c r="AL41" s="786">
        <v>1538</v>
      </c>
      <c r="AM41" s="1080">
        <v>1567</v>
      </c>
      <c r="AN41" s="1080">
        <v>1580</v>
      </c>
      <c r="AO41" s="1080">
        <v>1393</v>
      </c>
      <c r="AP41" s="1080">
        <v>1340</v>
      </c>
      <c r="AQ41" s="1404">
        <v>1498</v>
      </c>
      <c r="AR41" s="2127">
        <v>1420</v>
      </c>
    </row>
    <row r="42" spans="1:44" ht="16.5" customHeight="1" x14ac:dyDescent="0.3">
      <c r="A42" s="183" t="s">
        <v>97</v>
      </c>
      <c r="B42" s="184" t="s">
        <v>334</v>
      </c>
      <c r="C42" s="941" t="s">
        <v>255</v>
      </c>
      <c r="D42" s="224">
        <v>0.13500000000000001</v>
      </c>
      <c r="E42" s="224">
        <v>0.13900000000000001</v>
      </c>
      <c r="F42" s="224">
        <v>0.15</v>
      </c>
      <c r="G42" s="224">
        <v>0.14899999999999999</v>
      </c>
      <c r="H42" s="224">
        <v>0.14300000000000002</v>
      </c>
      <c r="I42" s="224">
        <v>0.16699999999999998</v>
      </c>
      <c r="J42" s="224">
        <v>0.159</v>
      </c>
      <c r="K42" s="224">
        <v>0.17600000000000002</v>
      </c>
      <c r="L42" s="224">
        <v>0.17699999999999999</v>
      </c>
      <c r="M42" s="224">
        <v>0.16500000000000001</v>
      </c>
      <c r="N42" s="225">
        <v>0.17100000000000001</v>
      </c>
      <c r="O42" s="572">
        <v>0.18600000000000003</v>
      </c>
      <c r="P42" s="572">
        <v>0.19400000000000001</v>
      </c>
      <c r="Q42" s="572">
        <v>0.18346666666666667</v>
      </c>
      <c r="R42" s="1075">
        <v>0.19875485339402865</v>
      </c>
      <c r="S42" s="1075">
        <v>0.20131173872306252</v>
      </c>
      <c r="T42" s="1075">
        <v>0.17436621612534464</v>
      </c>
      <c r="U42" s="2047">
        <v>0.190564355756703</v>
      </c>
      <c r="V42" s="1401">
        <v>0.18419969825812646</v>
      </c>
      <c r="W42" s="2131">
        <v>0.18751724137931033</v>
      </c>
      <c r="X42" s="226"/>
      <c r="Y42" s="227">
        <v>2230</v>
      </c>
      <c r="Z42" s="227">
        <v>2302</v>
      </c>
      <c r="AA42" s="227">
        <v>2478</v>
      </c>
      <c r="AB42" s="227">
        <v>2448</v>
      </c>
      <c r="AC42" s="227">
        <v>2339</v>
      </c>
      <c r="AD42" s="227">
        <v>2710</v>
      </c>
      <c r="AE42" s="227">
        <v>2546</v>
      </c>
      <c r="AF42" s="227">
        <v>2801</v>
      </c>
      <c r="AG42" s="227">
        <v>2790</v>
      </c>
      <c r="AH42" s="227">
        <v>2574</v>
      </c>
      <c r="AI42" s="228">
        <v>2617</v>
      </c>
      <c r="AJ42" s="579">
        <v>2817</v>
      </c>
      <c r="AK42" s="782">
        <v>2916</v>
      </c>
      <c r="AL42" s="786">
        <v>2752</v>
      </c>
      <c r="AM42" s="1080">
        <v>2969</v>
      </c>
      <c r="AN42" s="1080">
        <v>3008</v>
      </c>
      <c r="AO42" s="1080">
        <v>2593</v>
      </c>
      <c r="AP42" s="1080">
        <v>2779</v>
      </c>
      <c r="AQ42" s="1404">
        <v>2686</v>
      </c>
      <c r="AR42" s="2127">
        <v>2719</v>
      </c>
    </row>
    <row r="43" spans="1:44" ht="16.5" customHeight="1" x14ac:dyDescent="0.3">
      <c r="A43" s="183" t="s">
        <v>99</v>
      </c>
      <c r="B43" s="184" t="s">
        <v>335</v>
      </c>
      <c r="C43" s="941" t="s">
        <v>254</v>
      </c>
      <c r="D43" s="224">
        <v>7.0999999999999994E-2</v>
      </c>
      <c r="E43" s="224">
        <v>6.9000000000000006E-2</v>
      </c>
      <c r="F43" s="224">
        <v>7.400000000000001E-2</v>
      </c>
      <c r="G43" s="224">
        <v>7.9000000000000001E-2</v>
      </c>
      <c r="H43" s="224">
        <v>7.8E-2</v>
      </c>
      <c r="I43" s="224">
        <v>0.08</v>
      </c>
      <c r="J43" s="224">
        <v>7.6999999999999999E-2</v>
      </c>
      <c r="K43" s="224">
        <v>7.400000000000001E-2</v>
      </c>
      <c r="L43" s="224">
        <v>7.2999999999999995E-2</v>
      </c>
      <c r="M43" s="224">
        <v>8.5999999999999993E-2</v>
      </c>
      <c r="N43" s="225">
        <v>9.7000000000000003E-2</v>
      </c>
      <c r="O43" s="572">
        <v>9.1999999999999998E-2</v>
      </c>
      <c r="P43" s="572">
        <v>9.5000000000000001E-2</v>
      </c>
      <c r="Q43" s="572">
        <v>0.11543213192243648</v>
      </c>
      <c r="R43" s="1075">
        <v>9.6339522546419101E-2</v>
      </c>
      <c r="S43" s="1075">
        <v>9.3433811129848235E-2</v>
      </c>
      <c r="T43" s="1075">
        <v>8.4389506076253062E-2</v>
      </c>
      <c r="U43" s="2047">
        <v>8.2514026869820359E-2</v>
      </c>
      <c r="V43" s="1401">
        <v>8.0818910501863475E-2</v>
      </c>
      <c r="W43" s="2131">
        <v>7.5531318485296373E-2</v>
      </c>
      <c r="X43" s="226"/>
      <c r="Y43" s="227">
        <v>1121</v>
      </c>
      <c r="Z43" s="227">
        <v>1124</v>
      </c>
      <c r="AA43" s="227">
        <v>1244</v>
      </c>
      <c r="AB43" s="227">
        <v>1342</v>
      </c>
      <c r="AC43" s="227">
        <v>1355</v>
      </c>
      <c r="AD43" s="227">
        <v>1369</v>
      </c>
      <c r="AE43" s="227">
        <v>1343</v>
      </c>
      <c r="AF43" s="227">
        <v>1309</v>
      </c>
      <c r="AG43" s="227">
        <v>1294</v>
      </c>
      <c r="AH43" s="227">
        <v>1568</v>
      </c>
      <c r="AI43" s="228">
        <v>1774</v>
      </c>
      <c r="AJ43" s="579">
        <v>1693</v>
      </c>
      <c r="AK43" s="782">
        <v>1773</v>
      </c>
      <c r="AL43" s="786">
        <v>2149</v>
      </c>
      <c r="AM43" s="1080">
        <v>1816</v>
      </c>
      <c r="AN43" s="1080">
        <v>1773</v>
      </c>
      <c r="AO43" s="1080">
        <v>1618</v>
      </c>
      <c r="AP43" s="1080">
        <v>1603</v>
      </c>
      <c r="AQ43" s="1404">
        <v>1583</v>
      </c>
      <c r="AR43" s="2127">
        <v>1482</v>
      </c>
    </row>
    <row r="44" spans="1:44" ht="16.5" customHeight="1" x14ac:dyDescent="0.3">
      <c r="A44" s="183" t="s">
        <v>101</v>
      </c>
      <c r="B44" s="184" t="s">
        <v>487</v>
      </c>
      <c r="C44" s="941" t="s">
        <v>251</v>
      </c>
      <c r="D44" s="224">
        <v>0.17</v>
      </c>
      <c r="E44" s="224">
        <v>0.18280000000000002</v>
      </c>
      <c r="F44" s="224">
        <v>0.19070000000000001</v>
      </c>
      <c r="G44" s="224">
        <v>0.16339999999999999</v>
      </c>
      <c r="H44" s="224">
        <v>0.16500000000000001</v>
      </c>
      <c r="I44" s="224">
        <v>0.18809999999999999</v>
      </c>
      <c r="J44" s="224">
        <v>0.18760000000000002</v>
      </c>
      <c r="K44" s="224">
        <v>0.1948</v>
      </c>
      <c r="L44" s="224">
        <v>0.22699999999999998</v>
      </c>
      <c r="M44" s="224">
        <v>0.23089999999999999</v>
      </c>
      <c r="N44" s="225">
        <v>0.23464616256133752</v>
      </c>
      <c r="O44" s="572">
        <v>0.23945846848117333</v>
      </c>
      <c r="P44" s="572">
        <v>0.255</v>
      </c>
      <c r="Q44" s="572">
        <v>0.26195737401097724</v>
      </c>
      <c r="R44" s="1075">
        <v>0.25522528386490201</v>
      </c>
      <c r="S44" s="1075">
        <v>0.2584113516676419</v>
      </c>
      <c r="T44" s="1075">
        <v>0.24545047732696898</v>
      </c>
      <c r="U44" s="2047">
        <v>0.23739543296405155</v>
      </c>
      <c r="V44" s="1401">
        <v>0.24456188725490197</v>
      </c>
      <c r="W44" s="2131">
        <v>0.22893885723086402</v>
      </c>
      <c r="X44" s="226"/>
      <c r="Y44" s="227">
        <v>2389</v>
      </c>
      <c r="Z44" s="227">
        <v>2561</v>
      </c>
      <c r="AA44" s="227">
        <v>2682</v>
      </c>
      <c r="AB44" s="227">
        <v>2277</v>
      </c>
      <c r="AC44" s="227">
        <v>2312</v>
      </c>
      <c r="AD44" s="227">
        <v>2595</v>
      </c>
      <c r="AE44" s="227">
        <v>2602</v>
      </c>
      <c r="AF44" s="227">
        <v>2716</v>
      </c>
      <c r="AG44" s="227">
        <v>3193</v>
      </c>
      <c r="AH44" s="227">
        <v>3240</v>
      </c>
      <c r="AI44" s="228">
        <v>3375</v>
      </c>
      <c r="AJ44" s="579">
        <v>3396</v>
      </c>
      <c r="AK44" s="782">
        <v>3608</v>
      </c>
      <c r="AL44" s="786">
        <v>3675</v>
      </c>
      <c r="AM44" s="1080">
        <v>3529</v>
      </c>
      <c r="AN44" s="1080">
        <v>3533</v>
      </c>
      <c r="AO44" s="1080">
        <v>3291</v>
      </c>
      <c r="AP44" s="1080">
        <v>3150</v>
      </c>
      <c r="AQ44" s="1404">
        <v>3193</v>
      </c>
      <c r="AR44" s="2127">
        <v>2973</v>
      </c>
    </row>
    <row r="45" spans="1:44" ht="16.5" customHeight="1" x14ac:dyDescent="0.3">
      <c r="A45" s="183" t="s">
        <v>103</v>
      </c>
      <c r="B45" s="184" t="s">
        <v>488</v>
      </c>
      <c r="C45" s="941" t="s">
        <v>252</v>
      </c>
      <c r="D45" s="224">
        <v>0.14599999999999999</v>
      </c>
      <c r="E45" s="224">
        <v>0.14800000000000002</v>
      </c>
      <c r="F45" s="224">
        <v>0.16699999999999998</v>
      </c>
      <c r="G45" s="224">
        <v>0.16399999999999998</v>
      </c>
      <c r="H45" s="224">
        <v>0.16</v>
      </c>
      <c r="I45" s="224">
        <v>0.156</v>
      </c>
      <c r="J45" s="224">
        <v>0.184</v>
      </c>
      <c r="K45" s="224">
        <v>0.18600000000000003</v>
      </c>
      <c r="L45" s="224">
        <v>0.19500000000000001</v>
      </c>
      <c r="M45" s="224">
        <v>0.19800000000000001</v>
      </c>
      <c r="N45" s="225">
        <v>0.193</v>
      </c>
      <c r="O45" s="572">
        <v>0.193</v>
      </c>
      <c r="P45" s="572">
        <v>0.20100000000000001</v>
      </c>
      <c r="Q45" s="572">
        <v>0.22242790616955427</v>
      </c>
      <c r="R45" s="1075">
        <v>0.1797190798848402</v>
      </c>
      <c r="S45" s="1075">
        <v>0.16881905372707925</v>
      </c>
      <c r="T45" s="1075">
        <v>0.18677361749465735</v>
      </c>
      <c r="U45" s="2047">
        <v>0.17887094384353239</v>
      </c>
      <c r="V45" s="1401">
        <v>0.14490359781368251</v>
      </c>
      <c r="W45" s="2131">
        <v>0.17093887914878181</v>
      </c>
      <c r="X45" s="226"/>
      <c r="Y45" s="227">
        <v>5297</v>
      </c>
      <c r="Z45" s="227">
        <v>5345</v>
      </c>
      <c r="AA45" s="227">
        <v>6015</v>
      </c>
      <c r="AB45" s="227">
        <v>5875</v>
      </c>
      <c r="AC45" s="227">
        <v>5715</v>
      </c>
      <c r="AD45" s="227">
        <v>5506</v>
      </c>
      <c r="AE45" s="227">
        <v>6507</v>
      </c>
      <c r="AF45" s="227">
        <v>6462</v>
      </c>
      <c r="AG45" s="227">
        <v>6732</v>
      </c>
      <c r="AH45" s="227">
        <v>6819</v>
      </c>
      <c r="AI45" s="228">
        <v>6833</v>
      </c>
      <c r="AJ45" s="579">
        <v>6795</v>
      </c>
      <c r="AK45" s="782">
        <v>7054</v>
      </c>
      <c r="AL45" s="786">
        <v>7690</v>
      </c>
      <c r="AM45" s="1080">
        <v>6180</v>
      </c>
      <c r="AN45" s="1080">
        <v>5791</v>
      </c>
      <c r="AO45" s="1080">
        <v>6380</v>
      </c>
      <c r="AP45" s="1080">
        <v>6036</v>
      </c>
      <c r="AQ45" s="1404">
        <v>4825</v>
      </c>
      <c r="AR45" s="2127">
        <v>5655</v>
      </c>
    </row>
    <row r="46" spans="1:44" ht="16.5" customHeight="1" x14ac:dyDescent="0.3">
      <c r="A46" s="183" t="s">
        <v>107</v>
      </c>
      <c r="B46" s="184" t="s">
        <v>336</v>
      </c>
      <c r="C46" s="941" t="s">
        <v>253</v>
      </c>
      <c r="D46" s="224">
        <v>4.0999999999999995E-2</v>
      </c>
      <c r="E46" s="224">
        <v>0.04</v>
      </c>
      <c r="F46" s="224">
        <v>4.5999999999999999E-2</v>
      </c>
      <c r="G46" s="224">
        <v>5.2999999999999999E-2</v>
      </c>
      <c r="H46" s="224">
        <v>5.0999999999999997E-2</v>
      </c>
      <c r="I46" s="224">
        <v>4.8000000000000001E-2</v>
      </c>
      <c r="J46" s="224">
        <v>4.0999999999999995E-2</v>
      </c>
      <c r="K46" s="224">
        <v>5.0999999999999997E-2</v>
      </c>
      <c r="L46" s="224">
        <v>4.5999999999999999E-2</v>
      </c>
      <c r="M46" s="224">
        <v>4.9000000000000002E-2</v>
      </c>
      <c r="N46" s="225">
        <v>5.2999999999999999E-2</v>
      </c>
      <c r="O46" s="572">
        <v>6.0999999999999999E-2</v>
      </c>
      <c r="P46" s="572">
        <v>6.5000000000000002E-2</v>
      </c>
      <c r="Q46" s="572">
        <v>5.6380867971275769E-2</v>
      </c>
      <c r="R46" s="1075">
        <v>6.1393246742858287E-2</v>
      </c>
      <c r="S46" s="1075">
        <v>6.1947777272637429E-2</v>
      </c>
      <c r="T46" s="1075">
        <v>5.7708484125276314E-2</v>
      </c>
      <c r="U46" s="2047">
        <v>5.4466650614013963E-2</v>
      </c>
      <c r="V46" s="1401">
        <v>5.2373392149219961E-2</v>
      </c>
      <c r="W46" s="2131">
        <v>5.1024656082653698E-2</v>
      </c>
      <c r="X46" s="226"/>
      <c r="Y46" s="227">
        <v>3611</v>
      </c>
      <c r="Z46" s="227">
        <v>3637</v>
      </c>
      <c r="AA46" s="227">
        <v>4303</v>
      </c>
      <c r="AB46" s="227">
        <v>5030</v>
      </c>
      <c r="AC46" s="227">
        <v>4938</v>
      </c>
      <c r="AD46" s="227">
        <v>4542</v>
      </c>
      <c r="AE46" s="227">
        <v>3965</v>
      </c>
      <c r="AF46" s="227">
        <v>4909</v>
      </c>
      <c r="AG46" s="227">
        <v>4518</v>
      </c>
      <c r="AH46" s="227">
        <v>4747</v>
      </c>
      <c r="AI46" s="228">
        <v>5218</v>
      </c>
      <c r="AJ46" s="579">
        <v>6001</v>
      </c>
      <c r="AK46" s="782">
        <v>6372</v>
      </c>
      <c r="AL46" s="786">
        <v>5598</v>
      </c>
      <c r="AM46" s="1080">
        <v>6140</v>
      </c>
      <c r="AN46" s="1080">
        <v>6268</v>
      </c>
      <c r="AO46" s="1080">
        <v>5900</v>
      </c>
      <c r="AP46" s="1080">
        <v>5655</v>
      </c>
      <c r="AQ46" s="1404">
        <v>5509</v>
      </c>
      <c r="AR46" s="2127">
        <v>5393</v>
      </c>
    </row>
    <row r="47" spans="1:44" ht="16.5" customHeight="1" x14ac:dyDescent="0.3">
      <c r="A47" s="183" t="s">
        <v>109</v>
      </c>
      <c r="B47" s="184" t="s">
        <v>337</v>
      </c>
      <c r="C47" s="941" t="s">
        <v>253</v>
      </c>
      <c r="D47" s="224">
        <v>6.2E-2</v>
      </c>
      <c r="E47" s="224">
        <v>6.3E-2</v>
      </c>
      <c r="F47" s="224">
        <v>7.0000000000000007E-2</v>
      </c>
      <c r="G47" s="224">
        <v>7.9000000000000001E-2</v>
      </c>
      <c r="H47" s="224">
        <v>7.8E-2</v>
      </c>
      <c r="I47" s="224">
        <v>7.9000000000000001E-2</v>
      </c>
      <c r="J47" s="224">
        <v>7.9000000000000001E-2</v>
      </c>
      <c r="K47" s="224">
        <v>8.5000000000000006E-2</v>
      </c>
      <c r="L47" s="224">
        <v>8.4000000000000005E-2</v>
      </c>
      <c r="M47" s="224">
        <v>0.1</v>
      </c>
      <c r="N47" s="225">
        <v>9.8000000000000004E-2</v>
      </c>
      <c r="O47" s="572">
        <v>0.10800000000000001</v>
      </c>
      <c r="P47" s="572">
        <v>0.10100000000000001</v>
      </c>
      <c r="Q47" s="572">
        <v>0.11338197509195573</v>
      </c>
      <c r="R47" s="1075">
        <v>0.10964919153897507</v>
      </c>
      <c r="S47" s="1075">
        <v>9.3226151864554074E-2</v>
      </c>
      <c r="T47" s="1075">
        <v>9.1514570314916791E-2</v>
      </c>
      <c r="U47" s="2047">
        <v>9.4972927356613543E-2</v>
      </c>
      <c r="V47" s="1401">
        <v>9.0497210114141455E-2</v>
      </c>
      <c r="W47" s="2131">
        <v>8.6992105785527782E-2</v>
      </c>
      <c r="X47" s="226"/>
      <c r="Y47" s="227">
        <v>16209</v>
      </c>
      <c r="Z47" s="227">
        <v>16609</v>
      </c>
      <c r="AA47" s="227">
        <v>18976</v>
      </c>
      <c r="AB47" s="227">
        <v>21631</v>
      </c>
      <c r="AC47" s="227">
        <v>21612</v>
      </c>
      <c r="AD47" s="227">
        <v>21858</v>
      </c>
      <c r="AE47" s="227">
        <v>22038</v>
      </c>
      <c r="AF47" s="227">
        <v>24163</v>
      </c>
      <c r="AG47" s="227">
        <v>24078</v>
      </c>
      <c r="AH47" s="227">
        <v>29165</v>
      </c>
      <c r="AI47" s="228">
        <v>29987</v>
      </c>
      <c r="AJ47" s="579">
        <v>33123</v>
      </c>
      <c r="AK47" s="782">
        <v>31395</v>
      </c>
      <c r="AL47" s="786">
        <v>35788</v>
      </c>
      <c r="AM47" s="1080">
        <v>34985</v>
      </c>
      <c r="AN47" s="1080">
        <v>30037</v>
      </c>
      <c r="AO47" s="1080">
        <v>29583</v>
      </c>
      <c r="AP47" s="1080">
        <v>30836</v>
      </c>
      <c r="AQ47" s="1404">
        <v>29502</v>
      </c>
      <c r="AR47" s="2127">
        <v>28486</v>
      </c>
    </row>
    <row r="48" spans="1:44" ht="16.5" customHeight="1" x14ac:dyDescent="0.3">
      <c r="A48" s="183" t="s">
        <v>111</v>
      </c>
      <c r="B48" s="184" t="s">
        <v>489</v>
      </c>
      <c r="C48" s="941" t="s">
        <v>252</v>
      </c>
      <c r="D48" s="224">
        <v>0.12179999999999999</v>
      </c>
      <c r="E48" s="224">
        <v>0.1265</v>
      </c>
      <c r="F48" s="224">
        <v>0.14000000000000001</v>
      </c>
      <c r="G48" s="224">
        <v>0.14419999999999999</v>
      </c>
      <c r="H48" s="224">
        <v>0.1444</v>
      </c>
      <c r="I48" s="224">
        <v>0.16</v>
      </c>
      <c r="J48" s="224">
        <v>0.15590000000000001</v>
      </c>
      <c r="K48" s="224">
        <v>0.16949999999999998</v>
      </c>
      <c r="L48" s="224">
        <v>0.17499999999999999</v>
      </c>
      <c r="M48" s="224">
        <v>0.18659999999999999</v>
      </c>
      <c r="N48" s="225">
        <v>0.18966798312007913</v>
      </c>
      <c r="O48" s="572">
        <v>0.21296101159114858</v>
      </c>
      <c r="P48" s="572">
        <v>0.19600000000000001</v>
      </c>
      <c r="Q48" s="572">
        <v>0.20040392912879831</v>
      </c>
      <c r="R48" s="1075">
        <v>0.21203049288602205</v>
      </c>
      <c r="S48" s="1075">
        <v>0.20471208246144307</v>
      </c>
      <c r="T48" s="1075">
        <v>0.19367669396639473</v>
      </c>
      <c r="U48" s="2047">
        <v>0.1745483234714004</v>
      </c>
      <c r="V48" s="1401">
        <v>0.20948289578361176</v>
      </c>
      <c r="W48" s="2131">
        <v>0.15547145502858523</v>
      </c>
      <c r="X48" s="226"/>
      <c r="Y48" s="227">
        <v>8798</v>
      </c>
      <c r="Z48" s="227">
        <v>9061</v>
      </c>
      <c r="AA48" s="227">
        <v>10017</v>
      </c>
      <c r="AB48" s="227">
        <v>10271</v>
      </c>
      <c r="AC48" s="227">
        <v>10210</v>
      </c>
      <c r="AD48" s="227">
        <v>11198</v>
      </c>
      <c r="AE48" s="227">
        <v>10877</v>
      </c>
      <c r="AF48" s="227">
        <v>11653</v>
      </c>
      <c r="AG48" s="227">
        <v>12089</v>
      </c>
      <c r="AH48" s="227">
        <v>12724</v>
      </c>
      <c r="AI48" s="228">
        <v>12671</v>
      </c>
      <c r="AJ48" s="579">
        <v>14147</v>
      </c>
      <c r="AK48" s="782">
        <v>12855</v>
      </c>
      <c r="AL48" s="786">
        <v>13098</v>
      </c>
      <c r="AM48" s="1080">
        <v>13740</v>
      </c>
      <c r="AN48" s="1080">
        <v>13207</v>
      </c>
      <c r="AO48" s="1080">
        <v>12368</v>
      </c>
      <c r="AP48" s="1080">
        <v>11062</v>
      </c>
      <c r="AQ48" s="1404">
        <v>13166</v>
      </c>
      <c r="AR48" s="2127">
        <v>9654</v>
      </c>
    </row>
    <row r="49" spans="1:44" ht="16.5" customHeight="1" x14ac:dyDescent="0.3">
      <c r="A49" s="183" t="s">
        <v>113</v>
      </c>
      <c r="B49" s="184" t="s">
        <v>338</v>
      </c>
      <c r="C49" s="941" t="s">
        <v>252</v>
      </c>
      <c r="D49" s="224">
        <v>0.11900000000000001</v>
      </c>
      <c r="E49" s="224">
        <v>0.12</v>
      </c>
      <c r="F49" s="224">
        <v>0.121</v>
      </c>
      <c r="G49" s="224">
        <v>0.11599999999999999</v>
      </c>
      <c r="H49" s="224">
        <v>0.10800000000000001</v>
      </c>
      <c r="I49" s="224">
        <v>0.128</v>
      </c>
      <c r="J49" s="224">
        <v>0.129</v>
      </c>
      <c r="K49" s="224">
        <v>0.128</v>
      </c>
      <c r="L49" s="224">
        <v>0.128</v>
      </c>
      <c r="M49" s="224">
        <v>0.13800000000000001</v>
      </c>
      <c r="N49" s="225">
        <v>0.14400000000000002</v>
      </c>
      <c r="O49" s="572">
        <v>0.13800000000000001</v>
      </c>
      <c r="P49" s="572">
        <v>0.15</v>
      </c>
      <c r="Q49" s="572">
        <v>0.14628623188405798</v>
      </c>
      <c r="R49" s="1075">
        <v>0.1463632307005801</v>
      </c>
      <c r="S49" s="1075">
        <v>0.13774354327140914</v>
      </c>
      <c r="T49" s="1075">
        <v>0.13269927536231885</v>
      </c>
      <c r="U49" s="2047">
        <v>0.12471655328798185</v>
      </c>
      <c r="V49" s="1401">
        <v>0.12709940989559693</v>
      </c>
      <c r="W49" s="2131">
        <v>0.12419798350137488</v>
      </c>
      <c r="X49" s="226"/>
      <c r="Y49" s="230">
        <v>300</v>
      </c>
      <c r="Z49" s="230">
        <v>298</v>
      </c>
      <c r="AA49" s="230">
        <v>304</v>
      </c>
      <c r="AB49" s="230">
        <v>290</v>
      </c>
      <c r="AC49" s="230">
        <v>270</v>
      </c>
      <c r="AD49" s="230">
        <v>316</v>
      </c>
      <c r="AE49" s="230">
        <v>324</v>
      </c>
      <c r="AF49" s="230">
        <v>313</v>
      </c>
      <c r="AG49" s="227">
        <v>311</v>
      </c>
      <c r="AH49" s="227">
        <v>323</v>
      </c>
      <c r="AI49" s="228">
        <v>330</v>
      </c>
      <c r="AJ49" s="579">
        <v>312</v>
      </c>
      <c r="AK49" s="782">
        <v>336</v>
      </c>
      <c r="AL49" s="786">
        <v>323</v>
      </c>
      <c r="AM49" s="1080">
        <v>328</v>
      </c>
      <c r="AN49" s="1080">
        <v>304</v>
      </c>
      <c r="AO49" s="1080">
        <v>293</v>
      </c>
      <c r="AP49" s="1080">
        <v>275</v>
      </c>
      <c r="AQ49" s="1404">
        <v>280</v>
      </c>
      <c r="AR49" s="2127">
        <v>271</v>
      </c>
    </row>
    <row r="50" spans="1:44" ht="16.5" customHeight="1" x14ac:dyDescent="0.3">
      <c r="A50" s="183" t="s">
        <v>117</v>
      </c>
      <c r="B50" s="184" t="s">
        <v>490</v>
      </c>
      <c r="C50" s="941" t="s">
        <v>251</v>
      </c>
      <c r="D50" s="224">
        <v>8.6999999999999994E-2</v>
      </c>
      <c r="E50" s="224">
        <v>0.08</v>
      </c>
      <c r="F50" s="224">
        <v>8.5000000000000006E-2</v>
      </c>
      <c r="G50" s="224">
        <v>9.3000000000000013E-2</v>
      </c>
      <c r="H50" s="224">
        <v>9.1999999999999998E-2</v>
      </c>
      <c r="I50" s="224">
        <v>8.5999999999999993E-2</v>
      </c>
      <c r="J50" s="224">
        <v>8.199999999999999E-2</v>
      </c>
      <c r="K50" s="224">
        <v>8.3000000000000004E-2</v>
      </c>
      <c r="L50" s="224">
        <v>7.8E-2</v>
      </c>
      <c r="M50" s="224">
        <v>0.10099999999999999</v>
      </c>
      <c r="N50" s="225">
        <v>8.7999999999999995E-2</v>
      </c>
      <c r="O50" s="572">
        <v>0.11199999999999999</v>
      </c>
      <c r="P50" s="572">
        <v>9.2999999999999999E-2</v>
      </c>
      <c r="Q50" s="572">
        <v>0.1055415688382224</v>
      </c>
      <c r="R50" s="1075">
        <v>0.10172196556068878</v>
      </c>
      <c r="S50" s="1075">
        <v>9.9219682874677181E-2</v>
      </c>
      <c r="T50" s="1075">
        <v>9.4558085681204163E-2</v>
      </c>
      <c r="U50" s="2047">
        <v>8.5153922542204566E-2</v>
      </c>
      <c r="V50" s="1401">
        <v>9.1913871680812165E-2</v>
      </c>
      <c r="W50" s="2131">
        <v>9.1087009703987601E-2</v>
      </c>
      <c r="X50" s="226"/>
      <c r="Y50" s="227">
        <v>2640</v>
      </c>
      <c r="Z50" s="227">
        <v>2463</v>
      </c>
      <c r="AA50" s="227">
        <v>2727</v>
      </c>
      <c r="AB50" s="227">
        <v>3052</v>
      </c>
      <c r="AC50" s="227">
        <v>3070</v>
      </c>
      <c r="AD50" s="227">
        <v>2842</v>
      </c>
      <c r="AE50" s="227">
        <v>2829</v>
      </c>
      <c r="AF50" s="227">
        <v>2902</v>
      </c>
      <c r="AG50" s="227">
        <v>2740</v>
      </c>
      <c r="AH50" s="227">
        <v>3612</v>
      </c>
      <c r="AI50" s="228">
        <v>3082</v>
      </c>
      <c r="AJ50" s="579">
        <v>3914</v>
      </c>
      <c r="AK50" s="782">
        <v>3278</v>
      </c>
      <c r="AL50" s="786">
        <v>3731</v>
      </c>
      <c r="AM50" s="1080">
        <v>3633</v>
      </c>
      <c r="AN50" s="1080">
        <v>3573</v>
      </c>
      <c r="AO50" s="1080">
        <v>3430</v>
      </c>
      <c r="AP50" s="1080">
        <v>3087</v>
      </c>
      <c r="AQ50" s="1404">
        <v>3368</v>
      </c>
      <c r="AR50" s="2127">
        <v>3351</v>
      </c>
    </row>
    <row r="51" spans="1:44" ht="16.5" customHeight="1" x14ac:dyDescent="0.3">
      <c r="A51" s="183" t="s">
        <v>119</v>
      </c>
      <c r="B51" s="184" t="s">
        <v>266</v>
      </c>
      <c r="C51" s="941" t="s">
        <v>251</v>
      </c>
      <c r="D51" s="224">
        <v>5.7999999999999996E-2</v>
      </c>
      <c r="E51" s="224">
        <v>5.9000000000000004E-2</v>
      </c>
      <c r="F51" s="224">
        <v>6.4000000000000001E-2</v>
      </c>
      <c r="G51" s="224">
        <v>7.2000000000000008E-2</v>
      </c>
      <c r="H51" s="224">
        <v>6.6000000000000003E-2</v>
      </c>
      <c r="I51" s="224">
        <v>6.0999999999999999E-2</v>
      </c>
      <c r="J51" s="224">
        <v>6.4000000000000001E-2</v>
      </c>
      <c r="K51" s="224">
        <v>5.7000000000000002E-2</v>
      </c>
      <c r="L51" s="224">
        <v>0.06</v>
      </c>
      <c r="M51" s="224">
        <v>7.0999999999999994E-2</v>
      </c>
      <c r="N51" s="225">
        <v>7.7000000000000013E-2</v>
      </c>
      <c r="O51" s="572">
        <v>7.400000000000001E-2</v>
      </c>
      <c r="P51" s="572">
        <v>8.4000000000000005E-2</v>
      </c>
      <c r="Q51" s="572">
        <v>7.5441273863341873E-2</v>
      </c>
      <c r="R51" s="1075">
        <v>7.9360643827194988E-2</v>
      </c>
      <c r="S51" s="1075">
        <v>7.1432535168280575E-2</v>
      </c>
      <c r="T51" s="1075">
        <v>6.4655642872735217E-2</v>
      </c>
      <c r="U51" s="2047">
        <v>6.7814594442131282E-2</v>
      </c>
      <c r="V51" s="1401">
        <v>7.0267756295262773E-2</v>
      </c>
      <c r="W51" s="2131">
        <v>5.7931400517481586E-2</v>
      </c>
      <c r="X51" s="226"/>
      <c r="Y51" s="227">
        <v>2805</v>
      </c>
      <c r="Z51" s="227">
        <v>2962</v>
      </c>
      <c r="AA51" s="227">
        <v>3406</v>
      </c>
      <c r="AB51" s="227">
        <v>3922</v>
      </c>
      <c r="AC51" s="227">
        <v>3780</v>
      </c>
      <c r="AD51" s="227">
        <v>3445</v>
      </c>
      <c r="AE51" s="227">
        <v>3771</v>
      </c>
      <c r="AF51" s="227">
        <v>3440</v>
      </c>
      <c r="AG51" s="227">
        <v>3706</v>
      </c>
      <c r="AH51" s="227">
        <v>4449</v>
      </c>
      <c r="AI51" s="228">
        <v>5067</v>
      </c>
      <c r="AJ51" s="579">
        <v>4991</v>
      </c>
      <c r="AK51" s="782">
        <v>5730</v>
      </c>
      <c r="AL51" s="786">
        <v>5240</v>
      </c>
      <c r="AM51" s="1080">
        <v>5680</v>
      </c>
      <c r="AN51" s="1080">
        <v>5149</v>
      </c>
      <c r="AO51" s="1080">
        <v>4739</v>
      </c>
      <c r="AP51" s="1080">
        <v>5049</v>
      </c>
      <c r="AQ51" s="1404">
        <v>5288</v>
      </c>
      <c r="AR51" s="2127">
        <v>4366</v>
      </c>
    </row>
    <row r="52" spans="1:44" ht="16.5" customHeight="1" x14ac:dyDescent="0.3">
      <c r="A52" s="183" t="s">
        <v>121</v>
      </c>
      <c r="B52" s="184" t="s">
        <v>491</v>
      </c>
      <c r="C52" s="941" t="s">
        <v>253</v>
      </c>
      <c r="D52" s="224">
        <v>0.11900000000000001</v>
      </c>
      <c r="E52" s="224">
        <v>0.11699999999999999</v>
      </c>
      <c r="F52" s="224">
        <v>0.121</v>
      </c>
      <c r="G52" s="224">
        <v>0.11599999999999999</v>
      </c>
      <c r="H52" s="224">
        <v>0.11199999999999999</v>
      </c>
      <c r="I52" s="224">
        <v>0.13400000000000001</v>
      </c>
      <c r="J52" s="224">
        <v>0.122</v>
      </c>
      <c r="K52" s="224">
        <v>0.121</v>
      </c>
      <c r="L52" s="224">
        <v>0.12300000000000001</v>
      </c>
      <c r="M52" s="224">
        <v>0.13200000000000001</v>
      </c>
      <c r="N52" s="225">
        <v>0.128</v>
      </c>
      <c r="O52" s="572">
        <v>0.13200000000000001</v>
      </c>
      <c r="P52" s="572">
        <v>0.13800000000000001</v>
      </c>
      <c r="Q52" s="572">
        <v>0.13415834622415976</v>
      </c>
      <c r="R52" s="1075">
        <v>0.14806537225869534</v>
      </c>
      <c r="S52" s="1075">
        <v>0.14033613445378151</v>
      </c>
      <c r="T52" s="1075">
        <v>0.13449145418884842</v>
      </c>
      <c r="U52" s="2047">
        <v>0.12338963641568852</v>
      </c>
      <c r="V52" s="1401">
        <v>0.12213523131672598</v>
      </c>
      <c r="W52" s="2131">
        <v>0.11704253497002569</v>
      </c>
      <c r="X52" s="226"/>
      <c r="Y52" s="230">
        <v>786</v>
      </c>
      <c r="Z52" s="230">
        <v>771</v>
      </c>
      <c r="AA52" s="230">
        <v>798</v>
      </c>
      <c r="AB52" s="230">
        <v>787</v>
      </c>
      <c r="AC52" s="230">
        <v>761</v>
      </c>
      <c r="AD52" s="230">
        <v>905</v>
      </c>
      <c r="AE52" s="230">
        <v>839</v>
      </c>
      <c r="AF52" s="230">
        <v>829</v>
      </c>
      <c r="AG52" s="227">
        <v>840</v>
      </c>
      <c r="AH52" s="227">
        <v>895</v>
      </c>
      <c r="AI52" s="228">
        <v>888</v>
      </c>
      <c r="AJ52" s="579">
        <v>919</v>
      </c>
      <c r="AK52" s="782">
        <v>973</v>
      </c>
      <c r="AL52" s="786">
        <v>954</v>
      </c>
      <c r="AM52" s="1080">
        <v>1060</v>
      </c>
      <c r="AN52" s="1080">
        <v>1002</v>
      </c>
      <c r="AO52" s="1080">
        <v>960</v>
      </c>
      <c r="AP52" s="1080">
        <v>862</v>
      </c>
      <c r="AQ52" s="1404">
        <v>858</v>
      </c>
      <c r="AR52" s="2127">
        <v>820</v>
      </c>
    </row>
    <row r="53" spans="1:44" ht="16.5" customHeight="1" x14ac:dyDescent="0.3">
      <c r="A53" s="183" t="s">
        <v>123</v>
      </c>
      <c r="B53" s="184" t="s">
        <v>339</v>
      </c>
      <c r="C53" s="941" t="s">
        <v>254</v>
      </c>
      <c r="D53" s="224">
        <v>7.0000000000000007E-2</v>
      </c>
      <c r="E53" s="224">
        <v>6.3E-2</v>
      </c>
      <c r="F53" s="224">
        <v>6.5000000000000002E-2</v>
      </c>
      <c r="G53" s="224">
        <v>7.0000000000000007E-2</v>
      </c>
      <c r="H53" s="224">
        <v>6.6000000000000003E-2</v>
      </c>
      <c r="I53" s="224">
        <v>6.2E-2</v>
      </c>
      <c r="J53" s="224">
        <v>0.06</v>
      </c>
      <c r="K53" s="224">
        <v>6.2E-2</v>
      </c>
      <c r="L53" s="224">
        <v>6.2E-2</v>
      </c>
      <c r="M53" s="224">
        <v>7.0000000000000007E-2</v>
      </c>
      <c r="N53" s="225">
        <v>6.9000000000000006E-2</v>
      </c>
      <c r="O53" s="572">
        <v>6.9000000000000006E-2</v>
      </c>
      <c r="P53" s="572">
        <v>7.3999999999999996E-2</v>
      </c>
      <c r="Q53" s="572">
        <v>7.9488015653024616E-2</v>
      </c>
      <c r="R53" s="1075">
        <v>7.5159082723015969E-2</v>
      </c>
      <c r="S53" s="1075">
        <v>7.1289256856267164E-2</v>
      </c>
      <c r="T53" s="1075">
        <v>6.755805770584096E-2</v>
      </c>
      <c r="U53" s="2047">
        <v>6.7558193309696313E-2</v>
      </c>
      <c r="V53" s="1401">
        <v>6.8227833594376744E-2</v>
      </c>
      <c r="W53" s="2131">
        <v>5.875676289205857E-2</v>
      </c>
      <c r="X53" s="226"/>
      <c r="Y53" s="227">
        <v>1176</v>
      </c>
      <c r="Z53" s="227">
        <v>1088</v>
      </c>
      <c r="AA53" s="227">
        <v>1157</v>
      </c>
      <c r="AB53" s="227">
        <v>1336</v>
      </c>
      <c r="AC53" s="227">
        <v>1338</v>
      </c>
      <c r="AD53" s="227">
        <v>1259</v>
      </c>
      <c r="AE53" s="227">
        <v>1276</v>
      </c>
      <c r="AF53" s="227">
        <v>1384</v>
      </c>
      <c r="AG53" s="227">
        <v>1399</v>
      </c>
      <c r="AH53" s="227">
        <v>1614</v>
      </c>
      <c r="AI53" s="228">
        <v>1609</v>
      </c>
      <c r="AJ53" s="579">
        <v>1645</v>
      </c>
      <c r="AK53" s="782">
        <v>1783</v>
      </c>
      <c r="AL53" s="786">
        <v>1950</v>
      </c>
      <c r="AM53" s="1080">
        <v>1878</v>
      </c>
      <c r="AN53" s="1080">
        <v>1791</v>
      </c>
      <c r="AO53" s="1080">
        <v>1728</v>
      </c>
      <c r="AP53" s="1080">
        <v>1753</v>
      </c>
      <c r="AQ53" s="1404">
        <v>1786</v>
      </c>
      <c r="AR53" s="2127">
        <v>1553</v>
      </c>
    </row>
    <row r="54" spans="1:44" ht="16.5" customHeight="1" x14ac:dyDescent="0.3">
      <c r="A54" s="183" t="s">
        <v>125</v>
      </c>
      <c r="B54" s="184" t="s">
        <v>340</v>
      </c>
      <c r="C54" s="941" t="s">
        <v>253</v>
      </c>
      <c r="D54" s="224">
        <v>6.6000000000000003E-2</v>
      </c>
      <c r="E54" s="224">
        <v>6.3E-2</v>
      </c>
      <c r="F54" s="224">
        <v>6.5000000000000002E-2</v>
      </c>
      <c r="G54" s="224">
        <v>7.0999999999999994E-2</v>
      </c>
      <c r="H54" s="224">
        <v>6.8000000000000005E-2</v>
      </c>
      <c r="I54" s="224">
        <v>6.8000000000000005E-2</v>
      </c>
      <c r="J54" s="224">
        <v>6.9000000000000006E-2</v>
      </c>
      <c r="K54" s="224">
        <v>6.3E-2</v>
      </c>
      <c r="L54" s="224">
        <v>6.5000000000000002E-2</v>
      </c>
      <c r="M54" s="224">
        <v>7.2000000000000008E-2</v>
      </c>
      <c r="N54" s="225">
        <v>7.6999999999999999E-2</v>
      </c>
      <c r="O54" s="572">
        <v>8.6999999999999994E-2</v>
      </c>
      <c r="P54" s="572">
        <v>8.4000000000000005E-2</v>
      </c>
      <c r="Q54" s="572">
        <v>9.098873591989988E-2</v>
      </c>
      <c r="R54" s="1075">
        <v>8.7651632970451004E-2</v>
      </c>
      <c r="S54" s="1075">
        <v>7.9489878041230727E-2</v>
      </c>
      <c r="T54" s="1075">
        <v>7.6984763432237369E-2</v>
      </c>
      <c r="U54" s="2047">
        <v>6.8398216222731109E-2</v>
      </c>
      <c r="V54" s="1401">
        <v>7.2715381413877164E-2</v>
      </c>
      <c r="W54" s="2131">
        <v>6.9259237502202906E-2</v>
      </c>
      <c r="X54" s="226"/>
      <c r="Y54" s="230">
        <v>894</v>
      </c>
      <c r="Z54" s="230">
        <v>872</v>
      </c>
      <c r="AA54" s="230">
        <v>921</v>
      </c>
      <c r="AB54" s="227">
        <v>1014</v>
      </c>
      <c r="AC54" s="227">
        <v>1007</v>
      </c>
      <c r="AD54" s="230">
        <v>994</v>
      </c>
      <c r="AE54" s="227">
        <v>1060</v>
      </c>
      <c r="AF54" s="230">
        <v>981</v>
      </c>
      <c r="AG54" s="227">
        <v>1033</v>
      </c>
      <c r="AH54" s="227">
        <v>1158</v>
      </c>
      <c r="AI54" s="228">
        <v>1230</v>
      </c>
      <c r="AJ54" s="579">
        <v>1387</v>
      </c>
      <c r="AK54" s="782">
        <v>1333</v>
      </c>
      <c r="AL54" s="786">
        <v>1454</v>
      </c>
      <c r="AM54" s="1080">
        <v>1409</v>
      </c>
      <c r="AN54" s="1080">
        <v>1284</v>
      </c>
      <c r="AO54" s="1080">
        <v>1248</v>
      </c>
      <c r="AP54" s="1080">
        <v>1135</v>
      </c>
      <c r="AQ54" s="1404">
        <v>1223</v>
      </c>
      <c r="AR54" s="2127">
        <v>1179</v>
      </c>
    </row>
    <row r="55" spans="1:44" ht="16.5" customHeight="1" x14ac:dyDescent="0.3">
      <c r="A55" s="183" t="s">
        <v>127</v>
      </c>
      <c r="B55" s="184" t="s">
        <v>341</v>
      </c>
      <c r="C55" s="941" t="s">
        <v>253</v>
      </c>
      <c r="D55" s="224">
        <v>0.129</v>
      </c>
      <c r="E55" s="224">
        <v>0.125</v>
      </c>
      <c r="F55" s="224">
        <v>0.13400000000000001</v>
      </c>
      <c r="G55" s="224">
        <v>0.13300000000000001</v>
      </c>
      <c r="H55" s="224">
        <v>0.12300000000000001</v>
      </c>
      <c r="I55" s="224">
        <v>0.13600000000000001</v>
      </c>
      <c r="J55" s="224">
        <v>0.13500000000000001</v>
      </c>
      <c r="K55" s="224">
        <v>0.129</v>
      </c>
      <c r="L55" s="224">
        <v>0.13200000000000001</v>
      </c>
      <c r="M55" s="224">
        <v>0.127</v>
      </c>
      <c r="N55" s="225">
        <v>0.13900000000000001</v>
      </c>
      <c r="O55" s="572">
        <v>0.157</v>
      </c>
      <c r="P55" s="572">
        <v>0.13600000000000001</v>
      </c>
      <c r="Q55" s="572">
        <v>0.15181668796786563</v>
      </c>
      <c r="R55" s="1075">
        <v>0.13735605711653615</v>
      </c>
      <c r="S55" s="1075">
        <v>0.13132250580046403</v>
      </c>
      <c r="T55" s="1075">
        <v>0.14045829854346414</v>
      </c>
      <c r="U55" s="2047">
        <v>0.12881004057752193</v>
      </c>
      <c r="V55" s="1401">
        <v>0.12328896441045974</v>
      </c>
      <c r="W55" s="2131">
        <v>0.13281475079227889</v>
      </c>
      <c r="X55" s="226"/>
      <c r="Y55" s="227">
        <v>1435</v>
      </c>
      <c r="Z55" s="227">
        <v>1399</v>
      </c>
      <c r="AA55" s="227">
        <v>1513</v>
      </c>
      <c r="AB55" s="227">
        <v>1498</v>
      </c>
      <c r="AC55" s="227">
        <v>1395</v>
      </c>
      <c r="AD55" s="227">
        <v>1518</v>
      </c>
      <c r="AE55" s="227">
        <v>1507</v>
      </c>
      <c r="AF55" s="227">
        <v>1434</v>
      </c>
      <c r="AG55" s="227">
        <v>1463</v>
      </c>
      <c r="AH55" s="227">
        <v>1379</v>
      </c>
      <c r="AI55" s="228">
        <v>1557</v>
      </c>
      <c r="AJ55" s="579">
        <v>1741</v>
      </c>
      <c r="AK55" s="782">
        <v>1504</v>
      </c>
      <c r="AL55" s="786">
        <v>1663</v>
      </c>
      <c r="AM55" s="1080">
        <v>1491</v>
      </c>
      <c r="AN55" s="1080">
        <v>1415</v>
      </c>
      <c r="AO55" s="1080">
        <v>1514</v>
      </c>
      <c r="AP55" s="1080">
        <v>1365</v>
      </c>
      <c r="AQ55" s="1404">
        <v>1306</v>
      </c>
      <c r="AR55" s="2127">
        <v>1383</v>
      </c>
    </row>
    <row r="56" spans="1:44" ht="16.5" customHeight="1" x14ac:dyDescent="0.3">
      <c r="A56" s="183" t="s">
        <v>129</v>
      </c>
      <c r="B56" s="184" t="s">
        <v>342</v>
      </c>
      <c r="C56" s="941" t="s">
        <v>255</v>
      </c>
      <c r="D56" s="224">
        <v>0.223</v>
      </c>
      <c r="E56" s="224">
        <v>0.21199999999999999</v>
      </c>
      <c r="F56" s="224">
        <v>0.23300000000000001</v>
      </c>
      <c r="G56" s="224">
        <v>0.21600000000000003</v>
      </c>
      <c r="H56" s="224">
        <v>0.21100000000000002</v>
      </c>
      <c r="I56" s="224">
        <v>0.26400000000000001</v>
      </c>
      <c r="J56" s="224">
        <v>0.22399999999999998</v>
      </c>
      <c r="K56" s="224">
        <v>0.22899999999999998</v>
      </c>
      <c r="L56" s="224">
        <v>0.23300000000000001</v>
      </c>
      <c r="M56" s="224">
        <v>0.26100000000000001</v>
      </c>
      <c r="N56" s="225">
        <v>0.255</v>
      </c>
      <c r="O56" s="572">
        <v>0.27600000000000002</v>
      </c>
      <c r="P56" s="572">
        <v>0.28399999999999997</v>
      </c>
      <c r="Q56" s="572">
        <v>0.2902290271676547</v>
      </c>
      <c r="R56" s="1075">
        <v>0.26576654300750585</v>
      </c>
      <c r="S56" s="1075">
        <v>0.2588460868049503</v>
      </c>
      <c r="T56" s="1075">
        <v>0.29873878674837906</v>
      </c>
      <c r="U56" s="2047">
        <v>0.28183575313525422</v>
      </c>
      <c r="V56" s="1401">
        <v>0.24757457611750838</v>
      </c>
      <c r="W56" s="2131">
        <v>0.2707298172038109</v>
      </c>
      <c r="X56" s="226"/>
      <c r="Y56" s="227">
        <v>5171</v>
      </c>
      <c r="Z56" s="227">
        <v>4988</v>
      </c>
      <c r="AA56" s="227">
        <v>5547</v>
      </c>
      <c r="AB56" s="227">
        <v>5144</v>
      </c>
      <c r="AC56" s="227">
        <v>4987</v>
      </c>
      <c r="AD56" s="227">
        <v>6163</v>
      </c>
      <c r="AE56" s="227">
        <v>5285</v>
      </c>
      <c r="AF56" s="227">
        <v>5343</v>
      </c>
      <c r="AG56" s="227">
        <v>5433</v>
      </c>
      <c r="AH56" s="227">
        <v>6079</v>
      </c>
      <c r="AI56" s="228">
        <v>6087</v>
      </c>
      <c r="AJ56" s="579">
        <v>6454</v>
      </c>
      <c r="AK56" s="782">
        <v>6734</v>
      </c>
      <c r="AL56" s="786">
        <v>6805</v>
      </c>
      <c r="AM56" s="1080">
        <v>6161</v>
      </c>
      <c r="AN56" s="1080">
        <v>5940</v>
      </c>
      <c r="AO56" s="1080">
        <v>6727</v>
      </c>
      <c r="AP56" s="1080">
        <v>6270</v>
      </c>
      <c r="AQ56" s="1404">
        <v>5461</v>
      </c>
      <c r="AR56" s="2127">
        <v>5939</v>
      </c>
    </row>
    <row r="57" spans="1:44" ht="16.5" customHeight="1" x14ac:dyDescent="0.3">
      <c r="A57" s="183" t="s">
        <v>131</v>
      </c>
      <c r="B57" s="184" t="s">
        <v>343</v>
      </c>
      <c r="C57" s="941" t="s">
        <v>254</v>
      </c>
      <c r="D57" s="224">
        <v>2.7999999999999997E-2</v>
      </c>
      <c r="E57" s="224">
        <v>2.8999999999999998E-2</v>
      </c>
      <c r="F57" s="224">
        <v>3.2000000000000001E-2</v>
      </c>
      <c r="G57" s="224">
        <v>3.6000000000000004E-2</v>
      </c>
      <c r="H57" s="224">
        <v>3.4000000000000002E-2</v>
      </c>
      <c r="I57" s="224">
        <v>2.7000000000000003E-2</v>
      </c>
      <c r="J57" s="224">
        <v>2.8999999999999998E-2</v>
      </c>
      <c r="K57" s="224">
        <v>0.03</v>
      </c>
      <c r="L57" s="224">
        <v>3.1E-2</v>
      </c>
      <c r="M57" s="224">
        <v>3.4000000000000002E-2</v>
      </c>
      <c r="N57" s="225">
        <v>3.7000000000000005E-2</v>
      </c>
      <c r="O57" s="572">
        <v>0.04</v>
      </c>
      <c r="P57" s="572">
        <v>0.04</v>
      </c>
      <c r="Q57" s="572">
        <v>3.8353526207620114E-2</v>
      </c>
      <c r="R57" s="1075">
        <v>3.8950546060258932E-2</v>
      </c>
      <c r="S57" s="1075">
        <v>3.7325950002006343E-2</v>
      </c>
      <c r="T57" s="1075">
        <v>3.5196536354471404E-2</v>
      </c>
      <c r="U57" s="2047">
        <v>3.001301951918613E-2</v>
      </c>
      <c r="V57" s="1401">
        <v>3.6337478772238169E-2</v>
      </c>
      <c r="W57" s="2131">
        <v>3.140234112736083E-2</v>
      </c>
      <c r="X57" s="226"/>
      <c r="Y57" s="227">
        <v>5340</v>
      </c>
      <c r="Z57" s="227">
        <v>5869</v>
      </c>
      <c r="AA57" s="227">
        <v>7055</v>
      </c>
      <c r="AB57" s="227">
        <v>8721</v>
      </c>
      <c r="AC57" s="227">
        <v>8788</v>
      </c>
      <c r="AD57" s="227">
        <v>6966</v>
      </c>
      <c r="AE57" s="227">
        <v>7794</v>
      </c>
      <c r="AF57" s="227">
        <v>8284</v>
      </c>
      <c r="AG57" s="227">
        <v>9033</v>
      </c>
      <c r="AH57" s="227">
        <v>10069</v>
      </c>
      <c r="AI57" s="228">
        <v>11525</v>
      </c>
      <c r="AJ57" s="579">
        <v>12996</v>
      </c>
      <c r="AK57" s="782">
        <v>13489</v>
      </c>
      <c r="AL57" s="786">
        <v>13343</v>
      </c>
      <c r="AM57" s="1080">
        <v>14077</v>
      </c>
      <c r="AN57" s="1080">
        <v>13953</v>
      </c>
      <c r="AO57" s="1080">
        <v>13511</v>
      </c>
      <c r="AP57" s="1080">
        <v>11895</v>
      </c>
      <c r="AQ57" s="1404">
        <v>14700</v>
      </c>
      <c r="AR57" s="2127">
        <v>12909</v>
      </c>
    </row>
    <row r="58" spans="1:44" ht="16.5" customHeight="1" x14ac:dyDescent="0.3">
      <c r="A58" s="183" t="s">
        <v>133</v>
      </c>
      <c r="B58" s="184" t="s">
        <v>344</v>
      </c>
      <c r="C58" s="941" t="s">
        <v>254</v>
      </c>
      <c r="D58" s="224">
        <v>9.1999999999999998E-2</v>
      </c>
      <c r="E58" s="224">
        <v>9.0999999999999998E-2</v>
      </c>
      <c r="F58" s="224">
        <v>0.1</v>
      </c>
      <c r="G58" s="224">
        <v>0.10199999999999999</v>
      </c>
      <c r="H58" s="224">
        <v>9.6999999999999989E-2</v>
      </c>
      <c r="I58" s="224">
        <v>0.113</v>
      </c>
      <c r="J58" s="224">
        <v>9.9000000000000005E-2</v>
      </c>
      <c r="K58" s="224">
        <v>9.6999999999999989E-2</v>
      </c>
      <c r="L58" s="224">
        <v>9.6000000000000002E-2</v>
      </c>
      <c r="M58" s="224">
        <v>0.11699999999999999</v>
      </c>
      <c r="N58" s="225">
        <v>9.9000000000000019E-2</v>
      </c>
      <c r="O58" s="572">
        <v>0.10800000000000001</v>
      </c>
      <c r="P58" s="572">
        <v>0.11700000000000001</v>
      </c>
      <c r="Q58" s="572">
        <v>0.11738021821631879</v>
      </c>
      <c r="R58" s="1075">
        <v>0.11482132396016403</v>
      </c>
      <c r="S58" s="1075">
        <v>0.10574378362658136</v>
      </c>
      <c r="T58" s="1075">
        <v>0.1217393788748893</v>
      </c>
      <c r="U58" s="2047">
        <v>0.10803759293028475</v>
      </c>
      <c r="V58" s="1401">
        <v>0.11326329612606698</v>
      </c>
      <c r="W58" s="2131">
        <v>9.5280164913126117E-2</v>
      </c>
      <c r="X58" s="226"/>
      <c r="Y58" s="227">
        <v>2411</v>
      </c>
      <c r="Z58" s="227">
        <v>2456</v>
      </c>
      <c r="AA58" s="227">
        <v>2793</v>
      </c>
      <c r="AB58" s="227">
        <v>2928</v>
      </c>
      <c r="AC58" s="227">
        <v>2911</v>
      </c>
      <c r="AD58" s="227">
        <v>3364</v>
      </c>
      <c r="AE58" s="227">
        <v>3054</v>
      </c>
      <c r="AF58" s="227">
        <v>3080</v>
      </c>
      <c r="AG58" s="227">
        <v>3119</v>
      </c>
      <c r="AH58" s="227">
        <v>3828</v>
      </c>
      <c r="AI58" s="228">
        <v>3259</v>
      </c>
      <c r="AJ58" s="579">
        <v>3597</v>
      </c>
      <c r="AK58" s="782">
        <v>3891</v>
      </c>
      <c r="AL58" s="786">
        <v>3959</v>
      </c>
      <c r="AM58" s="1080">
        <v>3920</v>
      </c>
      <c r="AN58" s="1080">
        <v>3636</v>
      </c>
      <c r="AO58" s="1080">
        <v>4261</v>
      </c>
      <c r="AP58" s="1080">
        <v>3851</v>
      </c>
      <c r="AQ58" s="1404">
        <v>4140</v>
      </c>
      <c r="AR58" s="2127">
        <v>3559</v>
      </c>
    </row>
    <row r="59" spans="1:44" ht="16.5" customHeight="1" x14ac:dyDescent="0.3">
      <c r="A59" s="183" t="s">
        <v>135</v>
      </c>
      <c r="B59" s="184" t="s">
        <v>345</v>
      </c>
      <c r="C59" s="941" t="s">
        <v>253</v>
      </c>
      <c r="D59" s="224">
        <v>0.16300000000000001</v>
      </c>
      <c r="E59" s="224">
        <v>0.16600000000000001</v>
      </c>
      <c r="F59" s="224">
        <v>0.18</v>
      </c>
      <c r="G59" s="224">
        <v>0.17300000000000001</v>
      </c>
      <c r="H59" s="224">
        <v>0.17100000000000001</v>
      </c>
      <c r="I59" s="224">
        <v>0.22800000000000001</v>
      </c>
      <c r="J59" s="224">
        <v>0.19800000000000001</v>
      </c>
      <c r="K59" s="224">
        <v>0.193</v>
      </c>
      <c r="L59" s="224">
        <v>0.215</v>
      </c>
      <c r="M59" s="224">
        <v>0.22500000000000001</v>
      </c>
      <c r="N59" s="225">
        <v>0.20499999999999999</v>
      </c>
      <c r="O59" s="572">
        <v>0.22600000000000001</v>
      </c>
      <c r="P59" s="572">
        <v>0.27300000000000002</v>
      </c>
      <c r="Q59" s="572">
        <v>0.21353528278760286</v>
      </c>
      <c r="R59" s="1075">
        <v>0.22378293491537254</v>
      </c>
      <c r="S59" s="1075">
        <v>0.21113074204946997</v>
      </c>
      <c r="T59" s="1075">
        <v>0.19809980465281476</v>
      </c>
      <c r="U59" s="2047">
        <v>0.20502987603674305</v>
      </c>
      <c r="V59" s="1401">
        <v>0.18170301330196362</v>
      </c>
      <c r="W59" s="2131">
        <v>0.19179064348449543</v>
      </c>
      <c r="X59" s="226"/>
      <c r="Y59" s="227">
        <v>1965</v>
      </c>
      <c r="Z59" s="227">
        <v>1986</v>
      </c>
      <c r="AA59" s="227">
        <v>2164</v>
      </c>
      <c r="AB59" s="227">
        <v>2061</v>
      </c>
      <c r="AC59" s="227">
        <v>2055</v>
      </c>
      <c r="AD59" s="227">
        <v>2718</v>
      </c>
      <c r="AE59" s="227">
        <v>2368</v>
      </c>
      <c r="AF59" s="227">
        <v>2276</v>
      </c>
      <c r="AG59" s="227">
        <v>2516</v>
      </c>
      <c r="AH59" s="227">
        <v>2597</v>
      </c>
      <c r="AI59" s="228">
        <v>2396</v>
      </c>
      <c r="AJ59" s="579">
        <v>2636</v>
      </c>
      <c r="AK59" s="782">
        <v>3131</v>
      </c>
      <c r="AL59" s="786">
        <v>2439</v>
      </c>
      <c r="AM59" s="1080">
        <v>2565</v>
      </c>
      <c r="AN59" s="1080">
        <v>2390</v>
      </c>
      <c r="AO59" s="1080">
        <v>2231</v>
      </c>
      <c r="AP59" s="1080">
        <v>2299</v>
      </c>
      <c r="AQ59" s="1404">
        <v>2008</v>
      </c>
      <c r="AR59" s="2127">
        <v>2140</v>
      </c>
    </row>
    <row r="60" spans="1:44" ht="16.5" customHeight="1" x14ac:dyDescent="0.3">
      <c r="A60" s="183" t="s">
        <v>139</v>
      </c>
      <c r="B60" s="184" t="s">
        <v>346</v>
      </c>
      <c r="C60" s="941" t="s">
        <v>254</v>
      </c>
      <c r="D60" s="224">
        <v>9.8000000000000004E-2</v>
      </c>
      <c r="E60" s="224">
        <v>8.900000000000001E-2</v>
      </c>
      <c r="F60" s="224">
        <v>9.4E-2</v>
      </c>
      <c r="G60" s="224">
        <v>9.5000000000000001E-2</v>
      </c>
      <c r="H60" s="224">
        <v>9.0999999999999998E-2</v>
      </c>
      <c r="I60" s="224">
        <v>9.8000000000000004E-2</v>
      </c>
      <c r="J60" s="224">
        <v>0.10199999999999999</v>
      </c>
      <c r="K60" s="224">
        <v>9.8000000000000004E-2</v>
      </c>
      <c r="L60" s="224">
        <v>0.107</v>
      </c>
      <c r="M60" s="224">
        <v>0.10800000000000001</v>
      </c>
      <c r="N60" s="225">
        <v>0.11699999999999999</v>
      </c>
      <c r="O60" s="572">
        <v>0.11900000000000001</v>
      </c>
      <c r="P60" s="572">
        <v>0.13</v>
      </c>
      <c r="Q60" s="572">
        <v>0.1266191461638691</v>
      </c>
      <c r="R60" s="1075">
        <v>0.12283803520639557</v>
      </c>
      <c r="S60" s="1075">
        <v>0.10405915427867211</v>
      </c>
      <c r="T60" s="1075">
        <v>0.11174740752205541</v>
      </c>
      <c r="U60" s="2047">
        <v>0.11335415555724843</v>
      </c>
      <c r="V60" s="1401">
        <v>0.1011945522331279</v>
      </c>
      <c r="W60" s="2131">
        <v>9.3392339386540513E-2</v>
      </c>
      <c r="X60" s="226"/>
      <c r="Y60" s="227">
        <v>1235</v>
      </c>
      <c r="Z60" s="227">
        <v>1141</v>
      </c>
      <c r="AA60" s="227">
        <v>1221</v>
      </c>
      <c r="AB60" s="227">
        <v>1231</v>
      </c>
      <c r="AC60" s="227">
        <v>1209</v>
      </c>
      <c r="AD60" s="227">
        <v>1293</v>
      </c>
      <c r="AE60" s="227">
        <v>1369</v>
      </c>
      <c r="AF60" s="227">
        <v>1319</v>
      </c>
      <c r="AG60" s="227">
        <v>1434</v>
      </c>
      <c r="AH60" s="227">
        <v>1456</v>
      </c>
      <c r="AI60" s="228">
        <v>1544</v>
      </c>
      <c r="AJ60" s="579">
        <v>1549</v>
      </c>
      <c r="AK60" s="782">
        <v>1693</v>
      </c>
      <c r="AL60" s="786">
        <v>1652</v>
      </c>
      <c r="AM60" s="1080">
        <v>1598</v>
      </c>
      <c r="AN60" s="1080">
        <v>1351</v>
      </c>
      <c r="AO60" s="1080">
        <v>1444</v>
      </c>
      <c r="AP60" s="1080">
        <v>1488</v>
      </c>
      <c r="AQ60" s="1404">
        <v>1330</v>
      </c>
      <c r="AR60" s="2127">
        <v>1224</v>
      </c>
    </row>
    <row r="61" spans="1:44" ht="16.5" customHeight="1" x14ac:dyDescent="0.3">
      <c r="A61" s="183" t="s">
        <v>145</v>
      </c>
      <c r="B61" s="184" t="s">
        <v>347</v>
      </c>
      <c r="C61" s="941" t="s">
        <v>251</v>
      </c>
      <c r="D61" s="224">
        <v>8.6999999999999994E-2</v>
      </c>
      <c r="E61" s="224">
        <v>8.5999999999999993E-2</v>
      </c>
      <c r="F61" s="224">
        <v>8.900000000000001E-2</v>
      </c>
      <c r="G61" s="224">
        <v>8.6999999999999994E-2</v>
      </c>
      <c r="H61" s="224">
        <v>8.3000000000000004E-2</v>
      </c>
      <c r="I61" s="224">
        <v>8.1000000000000003E-2</v>
      </c>
      <c r="J61" s="224">
        <v>8.3000000000000004E-2</v>
      </c>
      <c r="K61" s="224">
        <v>8.1000000000000003E-2</v>
      </c>
      <c r="L61" s="224">
        <v>8.6999999999999994E-2</v>
      </c>
      <c r="M61" s="224">
        <v>9.6999999999999989E-2</v>
      </c>
      <c r="N61" s="225">
        <v>0.10199999999999999</v>
      </c>
      <c r="O61" s="572">
        <v>0.1</v>
      </c>
      <c r="P61" s="572">
        <v>0.104</v>
      </c>
      <c r="Q61" s="572">
        <v>0.10547229791099001</v>
      </c>
      <c r="R61" s="1075">
        <v>0.10593075077134041</v>
      </c>
      <c r="S61" s="1075">
        <v>0.10198268003646307</v>
      </c>
      <c r="T61" s="1075">
        <v>0.10123087541700218</v>
      </c>
      <c r="U61" s="2047">
        <v>9.694876223373633E-2</v>
      </c>
      <c r="V61" s="1401">
        <v>9.3151313525295404E-2</v>
      </c>
      <c r="W61" s="2131">
        <v>8.7572882131016355E-2</v>
      </c>
      <c r="X61" s="226"/>
      <c r="Y61" s="230">
        <v>799</v>
      </c>
      <c r="Z61" s="230">
        <v>785</v>
      </c>
      <c r="AA61" s="230">
        <v>819</v>
      </c>
      <c r="AB61" s="230">
        <v>800</v>
      </c>
      <c r="AC61" s="230">
        <v>766</v>
      </c>
      <c r="AD61" s="230">
        <v>735</v>
      </c>
      <c r="AE61" s="230">
        <v>756</v>
      </c>
      <c r="AF61" s="230">
        <v>723</v>
      </c>
      <c r="AG61" s="227">
        <v>777</v>
      </c>
      <c r="AH61" s="227">
        <v>860</v>
      </c>
      <c r="AI61" s="228">
        <v>903</v>
      </c>
      <c r="AJ61" s="579">
        <v>888</v>
      </c>
      <c r="AK61" s="782">
        <v>917</v>
      </c>
      <c r="AL61" s="786">
        <v>929</v>
      </c>
      <c r="AM61" s="1080">
        <v>927</v>
      </c>
      <c r="AN61" s="1080">
        <v>895</v>
      </c>
      <c r="AO61" s="1080">
        <v>880</v>
      </c>
      <c r="AP61" s="1080">
        <v>842</v>
      </c>
      <c r="AQ61" s="1404">
        <v>812</v>
      </c>
      <c r="AR61" s="2127">
        <v>766</v>
      </c>
    </row>
    <row r="62" spans="1:44" ht="16.5" customHeight="1" x14ac:dyDescent="0.3">
      <c r="A62" s="183" t="s">
        <v>147</v>
      </c>
      <c r="B62" s="184" t="s">
        <v>348</v>
      </c>
      <c r="C62" s="941" t="s">
        <v>252</v>
      </c>
      <c r="D62" s="224">
        <v>0.13400000000000001</v>
      </c>
      <c r="E62" s="224">
        <v>0.13300000000000001</v>
      </c>
      <c r="F62" s="224">
        <v>0.153</v>
      </c>
      <c r="G62" s="224">
        <v>0.154</v>
      </c>
      <c r="H62" s="224">
        <v>0.14800000000000002</v>
      </c>
      <c r="I62" s="224">
        <v>0.16399999999999998</v>
      </c>
      <c r="J62" s="224">
        <v>0.14800000000000002</v>
      </c>
      <c r="K62" s="224">
        <v>0.16</v>
      </c>
      <c r="L62" s="224">
        <v>0.17399999999999999</v>
      </c>
      <c r="M62" s="224">
        <v>0.188</v>
      </c>
      <c r="N62" s="225">
        <v>0.20199999999999999</v>
      </c>
      <c r="O62" s="572">
        <v>0.19</v>
      </c>
      <c r="P62" s="572">
        <v>0.19900000000000001</v>
      </c>
      <c r="Q62" s="572">
        <v>0.17092054327143888</v>
      </c>
      <c r="R62" s="1075">
        <v>0.21091581868640147</v>
      </c>
      <c r="S62" s="1075">
        <v>0.20371599203715993</v>
      </c>
      <c r="T62" s="1075">
        <v>0.15882922270800653</v>
      </c>
      <c r="U62" s="2047">
        <v>0.17540559604984718</v>
      </c>
      <c r="V62" s="1401">
        <v>0.18729175781644397</v>
      </c>
      <c r="W62" s="2131">
        <v>0.17329555038288971</v>
      </c>
      <c r="X62" s="226"/>
      <c r="Y62" s="227">
        <v>4156</v>
      </c>
      <c r="Z62" s="227">
        <v>4113</v>
      </c>
      <c r="AA62" s="227">
        <v>4773</v>
      </c>
      <c r="AB62" s="227">
        <v>4779</v>
      </c>
      <c r="AC62" s="227">
        <v>4609</v>
      </c>
      <c r="AD62" s="227">
        <v>5062</v>
      </c>
      <c r="AE62" s="227">
        <v>4570</v>
      </c>
      <c r="AF62" s="227">
        <v>4889</v>
      </c>
      <c r="AG62" s="227">
        <v>5331</v>
      </c>
      <c r="AH62" s="227">
        <v>5731</v>
      </c>
      <c r="AI62" s="228">
        <v>6241</v>
      </c>
      <c r="AJ62" s="579">
        <v>5870</v>
      </c>
      <c r="AK62" s="782">
        <v>6119</v>
      </c>
      <c r="AL62" s="786">
        <v>5210</v>
      </c>
      <c r="AM62" s="1080">
        <v>6384</v>
      </c>
      <c r="AN62" s="1080">
        <v>6140</v>
      </c>
      <c r="AO62" s="1080">
        <v>4759</v>
      </c>
      <c r="AP62" s="1080">
        <v>5222</v>
      </c>
      <c r="AQ62" s="1404">
        <v>5565</v>
      </c>
      <c r="AR62" s="2127">
        <v>5137</v>
      </c>
    </row>
    <row r="63" spans="1:44" ht="16.5" customHeight="1" x14ac:dyDescent="0.3">
      <c r="A63" s="183" t="s">
        <v>149</v>
      </c>
      <c r="B63" s="184" t="s">
        <v>349</v>
      </c>
      <c r="C63" s="941" t="s">
        <v>253</v>
      </c>
      <c r="D63" s="224">
        <v>0.115</v>
      </c>
      <c r="E63" s="224">
        <v>0.11199999999999999</v>
      </c>
      <c r="F63" s="224">
        <v>0.11800000000000001</v>
      </c>
      <c r="G63" s="224">
        <v>0.11599999999999999</v>
      </c>
      <c r="H63" s="224">
        <v>0.11599999999999999</v>
      </c>
      <c r="I63" s="224">
        <v>0.13300000000000001</v>
      </c>
      <c r="J63" s="224">
        <v>0.127</v>
      </c>
      <c r="K63" s="224">
        <v>0.122</v>
      </c>
      <c r="L63" s="224">
        <v>0.124</v>
      </c>
      <c r="M63" s="224">
        <v>0.13800000000000001</v>
      </c>
      <c r="N63" s="225">
        <v>0.13599999999999998</v>
      </c>
      <c r="O63" s="572">
        <v>0.128</v>
      </c>
      <c r="P63" s="572">
        <v>0.14799999999999999</v>
      </c>
      <c r="Q63" s="572">
        <v>0.15497160458176917</v>
      </c>
      <c r="R63" s="1075">
        <v>0.14419910904512881</v>
      </c>
      <c r="S63" s="1075">
        <v>0.12779677576941867</v>
      </c>
      <c r="T63" s="1075">
        <v>0.14159036144578313</v>
      </c>
      <c r="U63" s="2047">
        <v>0.13634600465477115</v>
      </c>
      <c r="V63" s="1401">
        <v>0.12664679296086162</v>
      </c>
      <c r="W63" s="2131">
        <v>0.13817077947512729</v>
      </c>
      <c r="X63" s="226"/>
      <c r="Y63" s="227">
        <v>1117</v>
      </c>
      <c r="Z63" s="227">
        <v>1103</v>
      </c>
      <c r="AA63" s="227">
        <v>1189</v>
      </c>
      <c r="AB63" s="227">
        <v>1193</v>
      </c>
      <c r="AC63" s="227">
        <v>1190</v>
      </c>
      <c r="AD63" s="227">
        <v>1354</v>
      </c>
      <c r="AE63" s="227">
        <v>1307</v>
      </c>
      <c r="AF63" s="227">
        <v>1259</v>
      </c>
      <c r="AG63" s="227">
        <v>1272</v>
      </c>
      <c r="AH63" s="227">
        <v>1435</v>
      </c>
      <c r="AI63" s="228">
        <v>1442</v>
      </c>
      <c r="AJ63" s="579">
        <v>1343</v>
      </c>
      <c r="AK63" s="782">
        <v>1544</v>
      </c>
      <c r="AL63" s="786">
        <v>1610</v>
      </c>
      <c r="AM63" s="1080">
        <v>1489</v>
      </c>
      <c r="AN63" s="1080">
        <v>1308</v>
      </c>
      <c r="AO63" s="1080">
        <v>1469</v>
      </c>
      <c r="AP63" s="1080">
        <v>1406</v>
      </c>
      <c r="AQ63" s="1404">
        <v>1317</v>
      </c>
      <c r="AR63" s="2127">
        <v>1411</v>
      </c>
    </row>
    <row r="64" spans="1:44" ht="16.5" customHeight="1" x14ac:dyDescent="0.3">
      <c r="A64" s="183" t="s">
        <v>151</v>
      </c>
      <c r="B64" s="184" t="s">
        <v>350</v>
      </c>
      <c r="C64" s="941" t="s">
        <v>255</v>
      </c>
      <c r="D64" s="224">
        <v>0.125</v>
      </c>
      <c r="E64" s="224">
        <v>0.128</v>
      </c>
      <c r="F64" s="224">
        <v>0.14000000000000001</v>
      </c>
      <c r="G64" s="224">
        <v>0.152</v>
      </c>
      <c r="H64" s="224">
        <v>0.14899999999999999</v>
      </c>
      <c r="I64" s="224">
        <v>0.20899999999999999</v>
      </c>
      <c r="J64" s="224">
        <v>0.20300000000000001</v>
      </c>
      <c r="K64" s="224">
        <v>0.19899999999999998</v>
      </c>
      <c r="L64" s="224">
        <v>0.20600000000000002</v>
      </c>
      <c r="M64" s="224">
        <v>0.19</v>
      </c>
      <c r="N64" s="225">
        <v>0.20500000000000002</v>
      </c>
      <c r="O64" s="572">
        <v>0.22500000000000001</v>
      </c>
      <c r="P64" s="572">
        <v>0.23300000000000001</v>
      </c>
      <c r="Q64" s="572">
        <v>0.23402582688817211</v>
      </c>
      <c r="R64" s="1075">
        <v>0.24846957969015401</v>
      </c>
      <c r="S64" s="1075">
        <v>0.2082472823003427</v>
      </c>
      <c r="T64" s="1075">
        <v>0.20342310426139248</v>
      </c>
      <c r="U64" s="2047">
        <v>0.22982517207693776</v>
      </c>
      <c r="V64" s="1401">
        <v>0.24086263057396384</v>
      </c>
      <c r="W64" s="2131">
        <v>0.20501529880658018</v>
      </c>
      <c r="X64" s="226"/>
      <c r="Y64" s="227">
        <v>9453</v>
      </c>
      <c r="Z64" s="227">
        <v>9761</v>
      </c>
      <c r="AA64" s="227">
        <v>10779</v>
      </c>
      <c r="AB64" s="227">
        <v>11417</v>
      </c>
      <c r="AC64" s="227">
        <v>11267</v>
      </c>
      <c r="AD64" s="227">
        <v>15671</v>
      </c>
      <c r="AE64" s="227">
        <v>15296</v>
      </c>
      <c r="AF64" s="227">
        <v>15836</v>
      </c>
      <c r="AG64" s="227">
        <v>16498</v>
      </c>
      <c r="AH64" s="227">
        <v>15475</v>
      </c>
      <c r="AI64" s="228">
        <v>17470</v>
      </c>
      <c r="AJ64" s="579">
        <v>19169</v>
      </c>
      <c r="AK64" s="782">
        <v>20087</v>
      </c>
      <c r="AL64" s="786">
        <v>20243</v>
      </c>
      <c r="AM64" s="1080">
        <v>21796</v>
      </c>
      <c r="AN64" s="1080">
        <v>18352</v>
      </c>
      <c r="AO64" s="1080">
        <v>18030</v>
      </c>
      <c r="AP64" s="1080">
        <v>20468</v>
      </c>
      <c r="AQ64" s="1404">
        <v>21444</v>
      </c>
      <c r="AR64" s="2127">
        <v>18158</v>
      </c>
    </row>
    <row r="65" spans="1:44" ht="16.5" customHeight="1" x14ac:dyDescent="0.3">
      <c r="A65" s="183" t="s">
        <v>153</v>
      </c>
      <c r="B65" s="184" t="s">
        <v>351</v>
      </c>
      <c r="C65" s="941" t="s">
        <v>252</v>
      </c>
      <c r="D65" s="224">
        <v>0.10300000000000001</v>
      </c>
      <c r="E65" s="224">
        <v>0.10199999999999999</v>
      </c>
      <c r="F65" s="224">
        <v>0.109</v>
      </c>
      <c r="G65" s="224">
        <v>0.11199999999999999</v>
      </c>
      <c r="H65" s="224">
        <v>0.10400000000000001</v>
      </c>
      <c r="I65" s="224">
        <v>0.11900000000000001</v>
      </c>
      <c r="J65" s="224">
        <v>0.113</v>
      </c>
      <c r="K65" s="224">
        <v>0.114</v>
      </c>
      <c r="L65" s="224">
        <v>0.13200000000000001</v>
      </c>
      <c r="M65" s="224">
        <v>0.127</v>
      </c>
      <c r="N65" s="225">
        <v>0.13100000000000001</v>
      </c>
      <c r="O65" s="572">
        <v>0.13600000000000001</v>
      </c>
      <c r="P65" s="572">
        <v>0.14099999999999999</v>
      </c>
      <c r="Q65" s="572">
        <v>0.15804167234100505</v>
      </c>
      <c r="R65" s="1075">
        <v>0.1338801518438178</v>
      </c>
      <c r="S65" s="1075">
        <v>0.13879052029419778</v>
      </c>
      <c r="T65" s="1075">
        <v>0.12634645349231083</v>
      </c>
      <c r="U65" s="2047">
        <v>0.13198140537627165</v>
      </c>
      <c r="V65" s="1401">
        <v>0.12309989142236699</v>
      </c>
      <c r="W65" s="2131">
        <v>0.11790893760539629</v>
      </c>
      <c r="X65" s="226"/>
      <c r="Y65" s="227">
        <v>1493</v>
      </c>
      <c r="Z65" s="227">
        <v>1495</v>
      </c>
      <c r="AA65" s="227">
        <v>1638</v>
      </c>
      <c r="AB65" s="227">
        <v>1674</v>
      </c>
      <c r="AC65" s="227">
        <v>1574</v>
      </c>
      <c r="AD65" s="227">
        <v>1770</v>
      </c>
      <c r="AE65" s="227">
        <v>1704</v>
      </c>
      <c r="AF65" s="227">
        <v>1730</v>
      </c>
      <c r="AG65" s="227">
        <v>2009</v>
      </c>
      <c r="AH65" s="227">
        <v>1960</v>
      </c>
      <c r="AI65" s="228">
        <v>1956</v>
      </c>
      <c r="AJ65" s="579">
        <v>2036</v>
      </c>
      <c r="AK65" s="782">
        <v>2075</v>
      </c>
      <c r="AL65" s="786">
        <v>2321</v>
      </c>
      <c r="AM65" s="1080">
        <v>1975</v>
      </c>
      <c r="AN65" s="1080">
        <v>2038</v>
      </c>
      <c r="AO65" s="1080">
        <v>1865</v>
      </c>
      <c r="AP65" s="1080">
        <v>1959</v>
      </c>
      <c r="AQ65" s="1404">
        <v>1814</v>
      </c>
      <c r="AR65" s="2127">
        <v>1748</v>
      </c>
    </row>
    <row r="66" spans="1:44" ht="16.5" customHeight="1" x14ac:dyDescent="0.3">
      <c r="A66" s="183" t="s">
        <v>155</v>
      </c>
      <c r="B66" s="184" t="s">
        <v>352</v>
      </c>
      <c r="C66" s="941" t="s">
        <v>253</v>
      </c>
      <c r="D66" s="224">
        <v>5.0999999999999997E-2</v>
      </c>
      <c r="E66" s="224">
        <v>5.2000000000000005E-2</v>
      </c>
      <c r="F66" s="224">
        <v>5.7000000000000002E-2</v>
      </c>
      <c r="G66" s="224">
        <v>5.5999999999999994E-2</v>
      </c>
      <c r="H66" s="224">
        <v>5.5E-2</v>
      </c>
      <c r="I66" s="224">
        <v>5.2000000000000005E-2</v>
      </c>
      <c r="J66" s="224">
        <v>5.5E-2</v>
      </c>
      <c r="K66" s="224">
        <v>5.2999999999999999E-2</v>
      </c>
      <c r="L66" s="224">
        <v>5.5999999999999994E-2</v>
      </c>
      <c r="M66" s="224">
        <v>5.5999999999999994E-2</v>
      </c>
      <c r="N66" s="225">
        <v>5.7999999999999996E-2</v>
      </c>
      <c r="O66" s="572">
        <v>6.9000000000000006E-2</v>
      </c>
      <c r="P66" s="572">
        <v>6.7000000000000004E-2</v>
      </c>
      <c r="Q66" s="572">
        <v>6.6663142313385493E-2</v>
      </c>
      <c r="R66" s="1075">
        <v>6.1789370787672993E-2</v>
      </c>
      <c r="S66" s="1075">
        <v>6.7215432784567222E-2</v>
      </c>
      <c r="T66" s="1075">
        <v>5.8508566978193149E-2</v>
      </c>
      <c r="U66" s="2047">
        <v>5.5239449976292085E-2</v>
      </c>
      <c r="V66" s="1401">
        <v>5.1945668135095449E-2</v>
      </c>
      <c r="W66" s="2131">
        <v>5.0300200133422283E-2</v>
      </c>
      <c r="X66" s="226"/>
      <c r="Y66" s="230">
        <v>683</v>
      </c>
      <c r="Z66" s="230">
        <v>720</v>
      </c>
      <c r="AA66" s="230">
        <v>823</v>
      </c>
      <c r="AB66" s="230">
        <v>858</v>
      </c>
      <c r="AC66" s="230">
        <v>864</v>
      </c>
      <c r="AD66" s="230">
        <v>821</v>
      </c>
      <c r="AE66" s="230">
        <v>905</v>
      </c>
      <c r="AF66" s="230">
        <v>880</v>
      </c>
      <c r="AG66" s="227">
        <v>959</v>
      </c>
      <c r="AH66" s="227">
        <v>981</v>
      </c>
      <c r="AI66" s="228">
        <v>1037</v>
      </c>
      <c r="AJ66" s="579">
        <v>1257</v>
      </c>
      <c r="AK66" s="782">
        <v>1238</v>
      </c>
      <c r="AL66" s="786">
        <v>1261</v>
      </c>
      <c r="AM66" s="1080">
        <v>1201</v>
      </c>
      <c r="AN66" s="1080">
        <v>1331</v>
      </c>
      <c r="AO66" s="1080">
        <v>1202</v>
      </c>
      <c r="AP66" s="1080">
        <v>1165</v>
      </c>
      <c r="AQ66" s="1404">
        <v>1132</v>
      </c>
      <c r="AR66" s="2127">
        <v>1131</v>
      </c>
    </row>
    <row r="67" spans="1:44" ht="16.5" customHeight="1" x14ac:dyDescent="0.3">
      <c r="A67" s="183" t="s">
        <v>161</v>
      </c>
      <c r="B67" s="184" t="s">
        <v>353</v>
      </c>
      <c r="C67" s="941" t="s">
        <v>251</v>
      </c>
      <c r="D67" s="224">
        <v>0.18600000000000003</v>
      </c>
      <c r="E67" s="224">
        <v>0.17600000000000002</v>
      </c>
      <c r="F67" s="224">
        <v>0.184</v>
      </c>
      <c r="G67" s="224">
        <v>0.18100000000000002</v>
      </c>
      <c r="H67" s="224">
        <v>0.17600000000000002</v>
      </c>
      <c r="I67" s="224">
        <v>0.19899999999999998</v>
      </c>
      <c r="J67" s="224">
        <v>0.18899999999999997</v>
      </c>
      <c r="K67" s="224">
        <v>0.20800000000000002</v>
      </c>
      <c r="L67" s="224">
        <v>0.19500000000000001</v>
      </c>
      <c r="M67" s="224">
        <v>0.20600000000000002</v>
      </c>
      <c r="N67" s="225">
        <v>0.18699999999999997</v>
      </c>
      <c r="O67" s="572">
        <v>0.22699999999999998</v>
      </c>
      <c r="P67" s="572">
        <v>0.22500000000000001</v>
      </c>
      <c r="Q67" s="572">
        <v>0.22372624852866993</v>
      </c>
      <c r="R67" s="1075">
        <v>0.21479613282891971</v>
      </c>
      <c r="S67" s="1075">
        <v>0.20504864139550485</v>
      </c>
      <c r="T67" s="1075">
        <v>0.20309087854863095</v>
      </c>
      <c r="U67" s="2047">
        <v>0.18561225367868514</v>
      </c>
      <c r="V67" s="1401">
        <v>0.18823835997220292</v>
      </c>
      <c r="W67" s="2131">
        <v>0.18086032741205155</v>
      </c>
      <c r="X67" s="226"/>
      <c r="Y67" s="227">
        <v>2377</v>
      </c>
      <c r="Z67" s="227">
        <v>2271</v>
      </c>
      <c r="AA67" s="227">
        <v>2426</v>
      </c>
      <c r="AB67" s="227">
        <v>2380</v>
      </c>
      <c r="AC67" s="227">
        <v>2359</v>
      </c>
      <c r="AD67" s="227">
        <v>2614</v>
      </c>
      <c r="AE67" s="227">
        <v>2527</v>
      </c>
      <c r="AF67" s="227">
        <v>2732</v>
      </c>
      <c r="AG67" s="227">
        <v>2560</v>
      </c>
      <c r="AH67" s="227">
        <v>2723</v>
      </c>
      <c r="AI67" s="228">
        <v>2258</v>
      </c>
      <c r="AJ67" s="579">
        <v>2744</v>
      </c>
      <c r="AK67" s="782">
        <v>2705</v>
      </c>
      <c r="AL67" s="786">
        <v>2661</v>
      </c>
      <c r="AM67" s="1080">
        <v>2555</v>
      </c>
      <c r="AN67" s="1080">
        <v>2445</v>
      </c>
      <c r="AO67" s="1080">
        <v>2418</v>
      </c>
      <c r="AP67" s="1080">
        <v>2157</v>
      </c>
      <c r="AQ67" s="1404">
        <v>2167</v>
      </c>
      <c r="AR67" s="2127">
        <v>2077</v>
      </c>
    </row>
    <row r="68" spans="1:44" ht="16.5" customHeight="1" x14ac:dyDescent="0.3">
      <c r="A68" s="183" t="s">
        <v>163</v>
      </c>
      <c r="B68" s="184" t="s">
        <v>354</v>
      </c>
      <c r="C68" s="941" t="s">
        <v>253</v>
      </c>
      <c r="D68" s="224">
        <v>0.11800000000000001</v>
      </c>
      <c r="E68" s="224">
        <v>0.11699999999999999</v>
      </c>
      <c r="F68" s="224">
        <v>0.13</v>
      </c>
      <c r="G68" s="224">
        <v>0.12300000000000001</v>
      </c>
      <c r="H68" s="224">
        <v>0.11800000000000001</v>
      </c>
      <c r="I68" s="224">
        <v>0.124</v>
      </c>
      <c r="J68" s="224">
        <v>0.13400000000000001</v>
      </c>
      <c r="K68" s="224">
        <v>0.13600000000000001</v>
      </c>
      <c r="L68" s="224">
        <v>0.13</v>
      </c>
      <c r="M68" s="224">
        <v>0.13600000000000001</v>
      </c>
      <c r="N68" s="225">
        <v>0.14399999999999999</v>
      </c>
      <c r="O68" s="572">
        <v>0.13800000000000001</v>
      </c>
      <c r="P68" s="572">
        <v>0.14699999999999999</v>
      </c>
      <c r="Q68" s="572">
        <v>0.16063794804340678</v>
      </c>
      <c r="R68" s="1075">
        <v>0.14321957607005484</v>
      </c>
      <c r="S68" s="1075">
        <v>0.13657976717494671</v>
      </c>
      <c r="T68" s="1075">
        <v>0.133946158896914</v>
      </c>
      <c r="U68" s="2047">
        <v>0.14386079568662691</v>
      </c>
      <c r="V68" s="1401">
        <v>0.14775072224515065</v>
      </c>
      <c r="W68" s="2131">
        <v>0.12709335101973138</v>
      </c>
      <c r="X68" s="226"/>
      <c r="Y68" s="227">
        <v>1458</v>
      </c>
      <c r="Z68" s="227">
        <v>1477</v>
      </c>
      <c r="AA68" s="227">
        <v>1666</v>
      </c>
      <c r="AB68" s="227">
        <v>1592</v>
      </c>
      <c r="AC68" s="227">
        <v>1523</v>
      </c>
      <c r="AD68" s="227">
        <v>1591</v>
      </c>
      <c r="AE68" s="227">
        <v>1709</v>
      </c>
      <c r="AF68" s="227">
        <v>1756</v>
      </c>
      <c r="AG68" s="227">
        <v>1679</v>
      </c>
      <c r="AH68" s="227">
        <v>1766</v>
      </c>
      <c r="AI68" s="228">
        <v>1766</v>
      </c>
      <c r="AJ68" s="579">
        <v>1719</v>
      </c>
      <c r="AK68" s="782">
        <v>1816</v>
      </c>
      <c r="AL68" s="786">
        <v>1954</v>
      </c>
      <c r="AM68" s="1080">
        <v>1750</v>
      </c>
      <c r="AN68" s="1080">
        <v>1666</v>
      </c>
      <c r="AO68" s="1080">
        <v>1632</v>
      </c>
      <c r="AP68" s="1080">
        <v>1761</v>
      </c>
      <c r="AQ68" s="1404">
        <v>1790</v>
      </c>
      <c r="AR68" s="2127">
        <v>1533</v>
      </c>
    </row>
    <row r="69" spans="1:44" ht="16.5" customHeight="1" x14ac:dyDescent="0.3">
      <c r="A69" s="183" t="s">
        <v>167</v>
      </c>
      <c r="B69" s="184" t="s">
        <v>355</v>
      </c>
      <c r="C69" s="941" t="s">
        <v>253</v>
      </c>
      <c r="D69" s="224">
        <v>0.16399999999999998</v>
      </c>
      <c r="E69" s="224">
        <v>0.156</v>
      </c>
      <c r="F69" s="224">
        <v>0.17</v>
      </c>
      <c r="G69" s="224">
        <v>0.17300000000000001</v>
      </c>
      <c r="H69" s="224">
        <v>0.16800000000000001</v>
      </c>
      <c r="I69" s="224">
        <v>0.19399999999999998</v>
      </c>
      <c r="J69" s="224">
        <v>0.193</v>
      </c>
      <c r="K69" s="224">
        <v>0.19899999999999998</v>
      </c>
      <c r="L69" s="224">
        <v>0.20600000000000002</v>
      </c>
      <c r="M69" s="224">
        <v>0.20300000000000001</v>
      </c>
      <c r="N69" s="225">
        <v>0.20799999999999999</v>
      </c>
      <c r="O69" s="572">
        <v>0.221</v>
      </c>
      <c r="P69" s="572">
        <v>0.23300000000000001</v>
      </c>
      <c r="Q69" s="572">
        <v>0.2353453911527566</v>
      </c>
      <c r="R69" s="1075">
        <v>0.24342873831775702</v>
      </c>
      <c r="S69" s="1075">
        <v>0.23663838022926903</v>
      </c>
      <c r="T69" s="1075">
        <v>0.22918707149853085</v>
      </c>
      <c r="U69" s="2047">
        <v>0.22122684482235044</v>
      </c>
      <c r="V69" s="1401">
        <v>0.22445255474452555</v>
      </c>
      <c r="W69" s="2131">
        <v>0.21530029334568473</v>
      </c>
      <c r="X69" s="226"/>
      <c r="Y69" s="227">
        <v>2331</v>
      </c>
      <c r="Z69" s="227">
        <v>2210</v>
      </c>
      <c r="AA69" s="227">
        <v>2405</v>
      </c>
      <c r="AB69" s="227">
        <v>2444</v>
      </c>
      <c r="AC69" s="227">
        <v>2367</v>
      </c>
      <c r="AD69" s="227">
        <v>2703</v>
      </c>
      <c r="AE69" s="227">
        <v>2702</v>
      </c>
      <c r="AF69" s="227">
        <v>2785</v>
      </c>
      <c r="AG69" s="227">
        <v>2921</v>
      </c>
      <c r="AH69" s="227">
        <v>2880</v>
      </c>
      <c r="AI69" s="228">
        <v>2903</v>
      </c>
      <c r="AJ69" s="579">
        <v>3085</v>
      </c>
      <c r="AK69" s="782">
        <v>3226</v>
      </c>
      <c r="AL69" s="786">
        <v>3240</v>
      </c>
      <c r="AM69" s="1080">
        <v>3334</v>
      </c>
      <c r="AN69" s="1080">
        <v>3179</v>
      </c>
      <c r="AO69" s="1080">
        <v>3042</v>
      </c>
      <c r="AP69" s="1080">
        <v>2914</v>
      </c>
      <c r="AQ69" s="1404">
        <v>2952</v>
      </c>
      <c r="AR69" s="2127">
        <v>2789</v>
      </c>
    </row>
    <row r="70" spans="1:44" ht="16.5" customHeight="1" x14ac:dyDescent="0.3">
      <c r="A70" s="183" t="s">
        <v>169</v>
      </c>
      <c r="B70" s="184" t="s">
        <v>356</v>
      </c>
      <c r="C70" s="941" t="s">
        <v>254</v>
      </c>
      <c r="D70" s="224">
        <v>8.900000000000001E-2</v>
      </c>
      <c r="E70" s="224">
        <v>8.6999999999999994E-2</v>
      </c>
      <c r="F70" s="224">
        <v>8.8000000000000009E-2</v>
      </c>
      <c r="G70" s="224">
        <v>8.5999999999999993E-2</v>
      </c>
      <c r="H70" s="224">
        <v>0.08</v>
      </c>
      <c r="I70" s="224">
        <v>8.4000000000000005E-2</v>
      </c>
      <c r="J70" s="224">
        <v>7.8E-2</v>
      </c>
      <c r="K70" s="224">
        <v>8.5999999999999993E-2</v>
      </c>
      <c r="L70" s="224">
        <v>8.199999999999999E-2</v>
      </c>
      <c r="M70" s="224">
        <v>9.5000000000000001E-2</v>
      </c>
      <c r="N70" s="225">
        <v>0.10699999999999998</v>
      </c>
      <c r="O70" s="572">
        <v>0.11900000000000001</v>
      </c>
      <c r="P70" s="572">
        <v>0.1</v>
      </c>
      <c r="Q70" s="572">
        <v>0.10405337879544987</v>
      </c>
      <c r="R70" s="1075">
        <v>0.10683735816118708</v>
      </c>
      <c r="S70" s="1075">
        <v>0.10368364966446819</v>
      </c>
      <c r="T70" s="1075">
        <v>9.2163782961751456E-2</v>
      </c>
      <c r="U70" s="2047">
        <v>9.1240257539817016E-2</v>
      </c>
      <c r="V70" s="1401">
        <v>9.4153948794929526E-2</v>
      </c>
      <c r="W70" s="2131">
        <v>9.7173339199296091E-2</v>
      </c>
      <c r="X70" s="226"/>
      <c r="Y70" s="227">
        <v>2338</v>
      </c>
      <c r="Z70" s="227">
        <v>2333</v>
      </c>
      <c r="AA70" s="227">
        <v>2447</v>
      </c>
      <c r="AB70" s="227">
        <v>2444</v>
      </c>
      <c r="AC70" s="227">
        <v>2375</v>
      </c>
      <c r="AD70" s="227">
        <v>2490</v>
      </c>
      <c r="AE70" s="227">
        <v>2412</v>
      </c>
      <c r="AF70" s="227">
        <v>2728</v>
      </c>
      <c r="AG70" s="227">
        <v>2677</v>
      </c>
      <c r="AH70" s="227">
        <v>3130</v>
      </c>
      <c r="AI70" s="228">
        <v>3517</v>
      </c>
      <c r="AJ70" s="579">
        <v>3950</v>
      </c>
      <c r="AK70" s="782">
        <v>3364</v>
      </c>
      <c r="AL70" s="786">
        <v>3540</v>
      </c>
      <c r="AM70" s="1080">
        <v>3672</v>
      </c>
      <c r="AN70" s="1080">
        <v>3600</v>
      </c>
      <c r="AO70" s="1080">
        <v>3212</v>
      </c>
      <c r="AP70" s="1080">
        <v>3231</v>
      </c>
      <c r="AQ70" s="1404">
        <v>3387</v>
      </c>
      <c r="AR70" s="2127">
        <v>3534</v>
      </c>
    </row>
    <row r="71" spans="1:44" ht="16.5" customHeight="1" x14ac:dyDescent="0.3">
      <c r="A71" s="183" t="s">
        <v>171</v>
      </c>
      <c r="B71" s="184" t="s">
        <v>357</v>
      </c>
      <c r="C71" s="941" t="s">
        <v>254</v>
      </c>
      <c r="D71" s="224">
        <v>0.106</v>
      </c>
      <c r="E71" s="224">
        <v>0.10099999999999999</v>
      </c>
      <c r="F71" s="224">
        <v>0.11</v>
      </c>
      <c r="G71" s="224">
        <v>0.12</v>
      </c>
      <c r="H71" s="224">
        <v>0.11599999999999999</v>
      </c>
      <c r="I71" s="224">
        <v>0.13300000000000001</v>
      </c>
      <c r="J71" s="224">
        <v>0.13</v>
      </c>
      <c r="K71" s="224">
        <v>0.122</v>
      </c>
      <c r="L71" s="224">
        <v>0.14199999999999999</v>
      </c>
      <c r="M71" s="224">
        <v>0.125</v>
      </c>
      <c r="N71" s="225">
        <v>0.15699999999999997</v>
      </c>
      <c r="O71" s="572">
        <v>0.17100000000000001</v>
      </c>
      <c r="P71" s="572">
        <v>0.156</v>
      </c>
      <c r="Q71" s="572">
        <v>0.15255675790367071</v>
      </c>
      <c r="R71" s="1075">
        <v>0.16910300410999535</v>
      </c>
      <c r="S71" s="1075">
        <v>0.15047075363183232</v>
      </c>
      <c r="T71" s="1075">
        <v>0.16386644435894146</v>
      </c>
      <c r="U71" s="2047">
        <v>0.15408858603066439</v>
      </c>
      <c r="V71" s="1401">
        <v>0.13908599425578644</v>
      </c>
      <c r="W71" s="2131">
        <v>0.1128595600676819</v>
      </c>
      <c r="X71" s="226"/>
      <c r="Y71" s="227">
        <v>2439</v>
      </c>
      <c r="Z71" s="227">
        <v>2339</v>
      </c>
      <c r="AA71" s="227">
        <v>2578</v>
      </c>
      <c r="AB71" s="227">
        <v>2818</v>
      </c>
      <c r="AC71" s="227">
        <v>2752</v>
      </c>
      <c r="AD71" s="227">
        <v>3116</v>
      </c>
      <c r="AE71" s="227">
        <v>3093</v>
      </c>
      <c r="AF71" s="227">
        <v>2912</v>
      </c>
      <c r="AG71" s="227">
        <v>3370</v>
      </c>
      <c r="AH71" s="227">
        <v>2964</v>
      </c>
      <c r="AI71" s="228">
        <v>3725</v>
      </c>
      <c r="AJ71" s="579">
        <v>4055</v>
      </c>
      <c r="AK71" s="782">
        <v>3683</v>
      </c>
      <c r="AL71" s="786">
        <v>3595</v>
      </c>
      <c r="AM71" s="1080">
        <v>3991</v>
      </c>
      <c r="AN71" s="1080">
        <v>3532</v>
      </c>
      <c r="AO71" s="1080">
        <v>3833</v>
      </c>
      <c r="AP71" s="1080">
        <v>3618</v>
      </c>
      <c r="AQ71" s="1404">
        <v>3293</v>
      </c>
      <c r="AR71" s="2127">
        <v>2668</v>
      </c>
    </row>
    <row r="72" spans="1:44" ht="16.5" customHeight="1" x14ac:dyDescent="0.3">
      <c r="A72" s="183" t="s">
        <v>173</v>
      </c>
      <c r="B72" s="184" t="s">
        <v>358</v>
      </c>
      <c r="C72" s="941" t="s">
        <v>255</v>
      </c>
      <c r="D72" s="224">
        <v>0.125</v>
      </c>
      <c r="E72" s="224">
        <v>0.129</v>
      </c>
      <c r="F72" s="224">
        <v>0.13600000000000001</v>
      </c>
      <c r="G72" s="224">
        <v>0.14099999999999999</v>
      </c>
      <c r="H72" s="224">
        <v>0.14000000000000001</v>
      </c>
      <c r="I72" s="224">
        <v>0.161</v>
      </c>
      <c r="J72" s="224">
        <v>0.14099999999999999</v>
      </c>
      <c r="K72" s="224">
        <v>0.15</v>
      </c>
      <c r="L72" s="224">
        <v>0.17100000000000001</v>
      </c>
      <c r="M72" s="224">
        <v>0.17600000000000002</v>
      </c>
      <c r="N72" s="225">
        <v>0.187</v>
      </c>
      <c r="O72" s="572">
        <v>0.18</v>
      </c>
      <c r="P72" s="572">
        <v>0.18099999999999999</v>
      </c>
      <c r="Q72" s="572">
        <v>0.19443982942903029</v>
      </c>
      <c r="R72" s="1075">
        <v>0.21903012081732642</v>
      </c>
      <c r="S72" s="1075">
        <v>0.16968262021534472</v>
      </c>
      <c r="T72" s="1075">
        <v>0.17891210538269361</v>
      </c>
      <c r="U72" s="2047">
        <v>0.14533910533910535</v>
      </c>
      <c r="V72" s="1401">
        <v>0.15476465159206276</v>
      </c>
      <c r="W72" s="2131">
        <v>0.154843940008107</v>
      </c>
      <c r="X72" s="226"/>
      <c r="Y72" s="227">
        <v>2427</v>
      </c>
      <c r="Z72" s="227">
        <v>2471</v>
      </c>
      <c r="AA72" s="227">
        <v>2610</v>
      </c>
      <c r="AB72" s="227">
        <v>2701</v>
      </c>
      <c r="AC72" s="227">
        <v>2690</v>
      </c>
      <c r="AD72" s="227">
        <v>3039</v>
      </c>
      <c r="AE72" s="227">
        <v>2686</v>
      </c>
      <c r="AF72" s="227">
        <v>2797</v>
      </c>
      <c r="AG72" s="227">
        <v>3185</v>
      </c>
      <c r="AH72" s="227">
        <v>3246</v>
      </c>
      <c r="AI72" s="228">
        <v>3407</v>
      </c>
      <c r="AJ72" s="579">
        <v>3260</v>
      </c>
      <c r="AK72" s="782">
        <v>3280</v>
      </c>
      <c r="AL72" s="786">
        <v>3511</v>
      </c>
      <c r="AM72" s="1080">
        <v>3934</v>
      </c>
      <c r="AN72" s="1080">
        <v>3010</v>
      </c>
      <c r="AO72" s="1080">
        <v>3151</v>
      </c>
      <c r="AP72" s="1080">
        <v>2518</v>
      </c>
      <c r="AQ72" s="1404">
        <v>2683</v>
      </c>
      <c r="AR72" s="2127">
        <v>2674</v>
      </c>
    </row>
    <row r="73" spans="1:44" ht="16.5" customHeight="1" x14ac:dyDescent="0.3">
      <c r="A73" s="183" t="s">
        <v>177</v>
      </c>
      <c r="B73" s="184" t="s">
        <v>178</v>
      </c>
      <c r="C73" s="941" t="s">
        <v>252</v>
      </c>
      <c r="D73" s="224">
        <v>0.10099999999999999</v>
      </c>
      <c r="E73" s="224">
        <v>0.10199999999999999</v>
      </c>
      <c r="F73" s="224">
        <v>0.11599999999999999</v>
      </c>
      <c r="G73" s="224">
        <v>0.124</v>
      </c>
      <c r="H73" s="224">
        <v>0.121</v>
      </c>
      <c r="I73" s="224">
        <v>0.14300000000000002</v>
      </c>
      <c r="J73" s="224">
        <v>0.13</v>
      </c>
      <c r="K73" s="224">
        <v>0.121</v>
      </c>
      <c r="L73" s="224">
        <v>0.14400000000000002</v>
      </c>
      <c r="M73" s="224">
        <v>0.156</v>
      </c>
      <c r="N73" s="225">
        <v>0.159</v>
      </c>
      <c r="O73" s="572">
        <v>0.14699999999999999</v>
      </c>
      <c r="P73" s="572">
        <v>0.14499999999999999</v>
      </c>
      <c r="Q73" s="572">
        <v>0.15218242317478958</v>
      </c>
      <c r="R73" s="1075">
        <v>0.14556993001288807</v>
      </c>
      <c r="S73" s="1075">
        <v>0.17141968436906554</v>
      </c>
      <c r="T73" s="1075">
        <v>0.13562933597621407</v>
      </c>
      <c r="U73" s="2047">
        <v>0.12636321319324378</v>
      </c>
      <c r="V73" s="1401">
        <v>0.16405362037841814</v>
      </c>
      <c r="W73" s="2131">
        <v>0.15129257214257974</v>
      </c>
      <c r="X73" s="226"/>
      <c r="Y73" s="227">
        <v>6252</v>
      </c>
      <c r="Z73" s="227">
        <v>6276</v>
      </c>
      <c r="AA73" s="227">
        <v>7149</v>
      </c>
      <c r="AB73" s="227">
        <v>7661</v>
      </c>
      <c r="AC73" s="227">
        <v>7497</v>
      </c>
      <c r="AD73" s="227">
        <v>8779</v>
      </c>
      <c r="AE73" s="227">
        <v>7914</v>
      </c>
      <c r="AF73" s="227">
        <v>7281</v>
      </c>
      <c r="AG73" s="227">
        <v>8732</v>
      </c>
      <c r="AH73" s="227">
        <v>9386</v>
      </c>
      <c r="AI73" s="228">
        <v>9951</v>
      </c>
      <c r="AJ73" s="579">
        <v>9113</v>
      </c>
      <c r="AK73" s="782">
        <v>8965</v>
      </c>
      <c r="AL73" s="786">
        <v>9330</v>
      </c>
      <c r="AM73" s="1080">
        <v>8923</v>
      </c>
      <c r="AN73" s="1080">
        <v>10471</v>
      </c>
      <c r="AO73" s="1080">
        <v>8211</v>
      </c>
      <c r="AP73" s="1080">
        <v>7601</v>
      </c>
      <c r="AQ73" s="1404">
        <v>9815</v>
      </c>
      <c r="AR73" s="2127">
        <v>8960</v>
      </c>
    </row>
    <row r="74" spans="1:44" ht="16.5" customHeight="1" x14ac:dyDescent="0.3">
      <c r="A74" s="183" t="s">
        <v>181</v>
      </c>
      <c r="B74" s="184" t="s">
        <v>359</v>
      </c>
      <c r="C74" s="941" t="s">
        <v>253</v>
      </c>
      <c r="D74" s="224">
        <v>5.4000000000000006E-2</v>
      </c>
      <c r="E74" s="224">
        <v>5.2999999999999999E-2</v>
      </c>
      <c r="F74" s="224">
        <v>5.5999999999999994E-2</v>
      </c>
      <c r="G74" s="224">
        <v>5.9000000000000004E-2</v>
      </c>
      <c r="H74" s="224">
        <v>5.7000000000000002E-2</v>
      </c>
      <c r="I74" s="224">
        <v>5.9000000000000004E-2</v>
      </c>
      <c r="J74" s="224">
        <v>5.7999999999999996E-2</v>
      </c>
      <c r="K74" s="224">
        <v>5.7999999999999996E-2</v>
      </c>
      <c r="L74" s="224">
        <v>5.7999999999999996E-2</v>
      </c>
      <c r="M74" s="224">
        <v>6.0999999999999999E-2</v>
      </c>
      <c r="N74" s="225">
        <v>7.1000000000000008E-2</v>
      </c>
      <c r="O74" s="572">
        <v>7.400000000000001E-2</v>
      </c>
      <c r="P74" s="572">
        <v>7.0999999999999994E-2</v>
      </c>
      <c r="Q74" s="572">
        <v>7.7032700381311867E-2</v>
      </c>
      <c r="R74" s="1075">
        <v>7.0709765952580619E-2</v>
      </c>
      <c r="S74" s="1075">
        <v>6.3804973477295815E-2</v>
      </c>
      <c r="T74" s="1075">
        <v>6.5818195271745164E-2</v>
      </c>
      <c r="U74" s="2047">
        <v>5.4209625122955296E-2</v>
      </c>
      <c r="V74" s="1401">
        <v>6.8831539174449272E-2</v>
      </c>
      <c r="W74" s="2131">
        <v>5.4263565891472867E-2</v>
      </c>
      <c r="X74" s="226"/>
      <c r="Y74" s="227">
        <v>1116</v>
      </c>
      <c r="Z74" s="227">
        <v>1152</v>
      </c>
      <c r="AA74" s="227">
        <v>1271</v>
      </c>
      <c r="AB74" s="227">
        <v>1383</v>
      </c>
      <c r="AC74" s="227">
        <v>1375</v>
      </c>
      <c r="AD74" s="227">
        <v>1404</v>
      </c>
      <c r="AE74" s="227">
        <v>1445</v>
      </c>
      <c r="AF74" s="227">
        <v>1451</v>
      </c>
      <c r="AG74" s="227">
        <v>1489</v>
      </c>
      <c r="AH74" s="227">
        <v>1573</v>
      </c>
      <c r="AI74" s="228">
        <v>1821</v>
      </c>
      <c r="AJ74" s="579">
        <v>1894</v>
      </c>
      <c r="AK74" s="782">
        <v>1821</v>
      </c>
      <c r="AL74" s="786">
        <v>2000</v>
      </c>
      <c r="AM74" s="1080">
        <v>1855</v>
      </c>
      <c r="AN74" s="1080">
        <v>1696</v>
      </c>
      <c r="AO74" s="1080">
        <v>1779</v>
      </c>
      <c r="AP74" s="1080">
        <v>1488</v>
      </c>
      <c r="AQ74" s="1404">
        <v>1931</v>
      </c>
      <c r="AR74" s="2127">
        <v>1547</v>
      </c>
    </row>
    <row r="75" spans="1:44" ht="16.5" customHeight="1" x14ac:dyDescent="0.3">
      <c r="A75" s="183" t="s">
        <v>183</v>
      </c>
      <c r="B75" s="184" t="s">
        <v>360</v>
      </c>
      <c r="C75" s="941" t="s">
        <v>253</v>
      </c>
      <c r="D75" s="224">
        <v>0.18600000000000003</v>
      </c>
      <c r="E75" s="224">
        <v>0.19699999999999998</v>
      </c>
      <c r="F75" s="224">
        <v>0.221</v>
      </c>
      <c r="G75" s="224">
        <v>0.184</v>
      </c>
      <c r="H75" s="224">
        <v>0.187</v>
      </c>
      <c r="I75" s="224">
        <v>0.222</v>
      </c>
      <c r="J75" s="224">
        <v>0.19600000000000001</v>
      </c>
      <c r="K75" s="224">
        <v>0.20300000000000001</v>
      </c>
      <c r="L75" s="224">
        <v>0.23699999999999999</v>
      </c>
      <c r="M75" s="224">
        <v>0.222</v>
      </c>
      <c r="N75" s="225">
        <v>0.22800000000000001</v>
      </c>
      <c r="O75" s="572">
        <v>0.25</v>
      </c>
      <c r="P75" s="572">
        <v>0.23699999999999999</v>
      </c>
      <c r="Q75" s="572">
        <v>0.23520915801861561</v>
      </c>
      <c r="R75" s="1075">
        <v>0.25497038917089676</v>
      </c>
      <c r="S75" s="1075">
        <v>0.22297044519266743</v>
      </c>
      <c r="T75" s="1075">
        <v>0.22626925723966329</v>
      </c>
      <c r="U75" s="2047">
        <v>0.23365430653827737</v>
      </c>
      <c r="V75" s="1401">
        <v>0.20033901896387329</v>
      </c>
      <c r="W75" s="2131">
        <v>0.20572527237769708</v>
      </c>
      <c r="X75" s="226"/>
      <c r="Y75" s="227">
        <v>2980</v>
      </c>
      <c r="Z75" s="227">
        <v>3195</v>
      </c>
      <c r="AA75" s="227">
        <v>3635</v>
      </c>
      <c r="AB75" s="227">
        <v>3050</v>
      </c>
      <c r="AC75" s="227">
        <v>3136</v>
      </c>
      <c r="AD75" s="227">
        <v>3653</v>
      </c>
      <c r="AE75" s="227">
        <v>3275</v>
      </c>
      <c r="AF75" s="227">
        <v>3449</v>
      </c>
      <c r="AG75" s="227">
        <v>4105</v>
      </c>
      <c r="AH75" s="227">
        <v>3897</v>
      </c>
      <c r="AI75" s="228">
        <v>4338</v>
      </c>
      <c r="AJ75" s="579">
        <v>4748</v>
      </c>
      <c r="AK75" s="782">
        <v>4460</v>
      </c>
      <c r="AL75" s="786">
        <v>4397</v>
      </c>
      <c r="AM75" s="1080">
        <v>4822</v>
      </c>
      <c r="AN75" s="1080">
        <v>4172</v>
      </c>
      <c r="AO75" s="1080">
        <v>4274</v>
      </c>
      <c r="AP75" s="1080">
        <v>4392</v>
      </c>
      <c r="AQ75" s="1404">
        <v>3782</v>
      </c>
      <c r="AR75" s="2127">
        <v>3852</v>
      </c>
    </row>
    <row r="76" spans="1:44" ht="16.5" customHeight="1" x14ac:dyDescent="0.3">
      <c r="A76" s="183" t="s">
        <v>185</v>
      </c>
      <c r="B76" s="184" t="s">
        <v>361</v>
      </c>
      <c r="C76" s="941" t="s">
        <v>251</v>
      </c>
      <c r="D76" s="224">
        <v>7.5999999999999998E-2</v>
      </c>
      <c r="E76" s="224">
        <v>7.5999999999999998E-2</v>
      </c>
      <c r="F76" s="224">
        <v>8.1000000000000003E-2</v>
      </c>
      <c r="G76" s="224">
        <v>9.1999999999999998E-2</v>
      </c>
      <c r="H76" s="224">
        <v>8.5999999999999993E-2</v>
      </c>
      <c r="I76" s="224">
        <v>9.1999999999999998E-2</v>
      </c>
      <c r="J76" s="224">
        <v>8.5999999999999993E-2</v>
      </c>
      <c r="K76" s="224">
        <v>9.3000000000000013E-2</v>
      </c>
      <c r="L76" s="224">
        <v>0.105</v>
      </c>
      <c r="M76" s="224">
        <v>0.10199999999999999</v>
      </c>
      <c r="N76" s="225">
        <v>9.6999999999999989E-2</v>
      </c>
      <c r="O76" s="572">
        <v>0.107</v>
      </c>
      <c r="P76" s="572">
        <v>8.6999999999999994E-2</v>
      </c>
      <c r="Q76" s="572">
        <v>0.12900234886883422</v>
      </c>
      <c r="R76" s="1075">
        <v>0.10496949630583402</v>
      </c>
      <c r="S76" s="1075">
        <v>9.9328373942113662E-2</v>
      </c>
      <c r="T76" s="1075">
        <v>9.5203836930455629E-2</v>
      </c>
      <c r="U76" s="2047">
        <v>0.10739499820509753</v>
      </c>
      <c r="V76" s="1401">
        <v>8.9462454809458899E-2</v>
      </c>
      <c r="W76" s="2131">
        <v>8.304599380515458E-2</v>
      </c>
      <c r="X76" s="226"/>
      <c r="Y76" s="227">
        <v>2206</v>
      </c>
      <c r="Z76" s="227">
        <v>2201</v>
      </c>
      <c r="AA76" s="227">
        <v>2373</v>
      </c>
      <c r="AB76" s="227">
        <v>2716</v>
      </c>
      <c r="AC76" s="227">
        <v>2557</v>
      </c>
      <c r="AD76" s="227">
        <v>2706</v>
      </c>
      <c r="AE76" s="227">
        <v>2498</v>
      </c>
      <c r="AF76" s="227">
        <v>2663</v>
      </c>
      <c r="AG76" s="227">
        <v>3018</v>
      </c>
      <c r="AH76" s="227">
        <v>3025</v>
      </c>
      <c r="AI76" s="228">
        <v>3002</v>
      </c>
      <c r="AJ76" s="579">
        <v>3404</v>
      </c>
      <c r="AK76" s="782">
        <v>2781</v>
      </c>
      <c r="AL76" s="786">
        <v>4174</v>
      </c>
      <c r="AM76" s="1080">
        <v>3424</v>
      </c>
      <c r="AN76" s="1080">
        <v>3298</v>
      </c>
      <c r="AO76" s="1080">
        <v>3176</v>
      </c>
      <c r="AP76" s="1080">
        <v>3590</v>
      </c>
      <c r="AQ76" s="1404">
        <v>3019</v>
      </c>
      <c r="AR76" s="2127">
        <v>2842</v>
      </c>
    </row>
    <row r="77" spans="1:44" ht="16.5" customHeight="1" x14ac:dyDescent="0.3">
      <c r="A77" s="183" t="s">
        <v>187</v>
      </c>
      <c r="B77" s="184" t="s">
        <v>362</v>
      </c>
      <c r="C77" s="941" t="s">
        <v>254</v>
      </c>
      <c r="D77" s="224">
        <v>4.8000000000000001E-2</v>
      </c>
      <c r="E77" s="224">
        <v>4.8000000000000001E-2</v>
      </c>
      <c r="F77" s="224">
        <v>5.5E-2</v>
      </c>
      <c r="G77" s="224">
        <v>0.06</v>
      </c>
      <c r="H77" s="224">
        <v>5.5999999999999994E-2</v>
      </c>
      <c r="I77" s="224">
        <v>0.05</v>
      </c>
      <c r="J77" s="224">
        <v>5.0999999999999997E-2</v>
      </c>
      <c r="K77" s="224">
        <v>0.05</v>
      </c>
      <c r="L77" s="224">
        <v>5.2999999999999999E-2</v>
      </c>
      <c r="M77" s="224">
        <v>0.06</v>
      </c>
      <c r="N77" s="225">
        <v>6.0999999999999999E-2</v>
      </c>
      <c r="O77" s="572">
        <v>6.9000000000000006E-2</v>
      </c>
      <c r="P77" s="572">
        <v>6.7000000000000004E-2</v>
      </c>
      <c r="Q77" s="572">
        <v>6.9617601561636766E-2</v>
      </c>
      <c r="R77" s="1075">
        <v>7.2213511440537032E-2</v>
      </c>
      <c r="S77" s="1075">
        <v>6.6880924018353424E-2</v>
      </c>
      <c r="T77" s="1075">
        <v>7.3915445949274669E-2</v>
      </c>
      <c r="U77" s="2047">
        <v>6.1194595937798357E-2</v>
      </c>
      <c r="V77" s="1401">
        <v>6.3742707722047709E-2</v>
      </c>
      <c r="W77" s="2131">
        <v>6.1130953787206808E-2</v>
      </c>
      <c r="X77" s="226"/>
      <c r="Y77" s="227">
        <v>14234</v>
      </c>
      <c r="Z77" s="227">
        <v>14982</v>
      </c>
      <c r="AA77" s="227">
        <v>17871</v>
      </c>
      <c r="AB77" s="227">
        <v>20293</v>
      </c>
      <c r="AC77" s="227">
        <v>19550</v>
      </c>
      <c r="AD77" s="227">
        <v>17235</v>
      </c>
      <c r="AE77" s="227">
        <v>18174</v>
      </c>
      <c r="AF77" s="227">
        <v>17703</v>
      </c>
      <c r="AG77" s="227">
        <v>19016</v>
      </c>
      <c r="AH77" s="227">
        <v>22535</v>
      </c>
      <c r="AI77" s="228">
        <v>24696</v>
      </c>
      <c r="AJ77" s="579">
        <v>28639</v>
      </c>
      <c r="AK77" s="782">
        <v>28559</v>
      </c>
      <c r="AL77" s="786">
        <v>30243</v>
      </c>
      <c r="AM77" s="1080">
        <v>31917</v>
      </c>
      <c r="AN77" s="1080">
        <v>29925</v>
      </c>
      <c r="AO77" s="1080">
        <v>33308</v>
      </c>
      <c r="AP77" s="1080">
        <v>28074</v>
      </c>
      <c r="AQ77" s="1404">
        <v>29545</v>
      </c>
      <c r="AR77" s="2127">
        <v>28463</v>
      </c>
    </row>
    <row r="78" spans="1:44" ht="16.5" customHeight="1" x14ac:dyDescent="0.3">
      <c r="A78" s="183" t="s">
        <v>189</v>
      </c>
      <c r="B78" s="184" t="s">
        <v>363</v>
      </c>
      <c r="C78" s="941" t="s">
        <v>255</v>
      </c>
      <c r="D78" s="224">
        <v>0.11199999999999999</v>
      </c>
      <c r="E78" s="224">
        <v>0.113</v>
      </c>
      <c r="F78" s="224">
        <v>0.124</v>
      </c>
      <c r="G78" s="224">
        <v>0.13</v>
      </c>
      <c r="H78" s="224">
        <v>0.13100000000000001</v>
      </c>
      <c r="I78" s="224">
        <v>0.157</v>
      </c>
      <c r="J78" s="224">
        <v>0.14099999999999999</v>
      </c>
      <c r="K78" s="224">
        <v>0.14099999999999999</v>
      </c>
      <c r="L78" s="224">
        <v>0.154</v>
      </c>
      <c r="M78" s="224">
        <v>0.14199999999999999</v>
      </c>
      <c r="N78" s="225">
        <v>0.158</v>
      </c>
      <c r="O78" s="572">
        <v>0.16500000000000001</v>
      </c>
      <c r="P78" s="572">
        <v>0.16600000000000001</v>
      </c>
      <c r="Q78" s="572">
        <v>0.15722911472258103</v>
      </c>
      <c r="R78" s="1075">
        <v>0.14719647332346991</v>
      </c>
      <c r="S78" s="1075">
        <v>0.15029285671155124</v>
      </c>
      <c r="T78" s="1075">
        <v>0.14430425815843745</v>
      </c>
      <c r="U78" s="2047">
        <v>0.1479752667313288</v>
      </c>
      <c r="V78" s="1401">
        <v>0.14557442800279541</v>
      </c>
      <c r="W78" s="2131">
        <v>0.14589924555853007</v>
      </c>
      <c r="X78" s="226"/>
      <c r="Y78" s="227">
        <v>3813</v>
      </c>
      <c r="Z78" s="227">
        <v>3825</v>
      </c>
      <c r="AA78" s="227">
        <v>4236</v>
      </c>
      <c r="AB78" s="227">
        <v>4427</v>
      </c>
      <c r="AC78" s="227">
        <v>4463</v>
      </c>
      <c r="AD78" s="227">
        <v>5295</v>
      </c>
      <c r="AE78" s="227">
        <v>4751</v>
      </c>
      <c r="AF78" s="227">
        <v>4753</v>
      </c>
      <c r="AG78" s="227">
        <v>5193</v>
      </c>
      <c r="AH78" s="227">
        <v>4766</v>
      </c>
      <c r="AI78" s="228">
        <v>5355</v>
      </c>
      <c r="AJ78" s="579">
        <v>5533</v>
      </c>
      <c r="AK78" s="782">
        <v>5563</v>
      </c>
      <c r="AL78" s="786">
        <v>5234</v>
      </c>
      <c r="AM78" s="1080">
        <v>4875</v>
      </c>
      <c r="AN78" s="1080">
        <v>4978</v>
      </c>
      <c r="AO78" s="1080">
        <v>4758</v>
      </c>
      <c r="AP78" s="1080">
        <v>4882</v>
      </c>
      <c r="AQ78" s="1404">
        <v>4791</v>
      </c>
      <c r="AR78" s="2127">
        <v>4796</v>
      </c>
    </row>
    <row r="79" spans="1:44" ht="16.5" customHeight="1" x14ac:dyDescent="0.3">
      <c r="A79" s="183" t="s">
        <v>193</v>
      </c>
      <c r="B79" s="184" t="s">
        <v>194</v>
      </c>
      <c r="C79" s="941" t="s">
        <v>254</v>
      </c>
      <c r="D79" s="224">
        <v>7.9000000000000001E-2</v>
      </c>
      <c r="E79" s="224">
        <v>7.5999999999999998E-2</v>
      </c>
      <c r="F79" s="224">
        <v>7.5999999999999998E-2</v>
      </c>
      <c r="G79" s="224">
        <v>7.400000000000001E-2</v>
      </c>
      <c r="H79" s="224">
        <v>6.6000000000000003E-2</v>
      </c>
      <c r="I79" s="224">
        <v>7.0999999999999994E-2</v>
      </c>
      <c r="J79" s="224">
        <v>7.8E-2</v>
      </c>
      <c r="K79" s="224">
        <v>7.8E-2</v>
      </c>
      <c r="L79" s="224">
        <v>8.199999999999999E-2</v>
      </c>
      <c r="M79" s="224">
        <v>9.1999999999999998E-2</v>
      </c>
      <c r="N79" s="225">
        <v>9.8000000000000004E-2</v>
      </c>
      <c r="O79" s="572">
        <v>0.1</v>
      </c>
      <c r="P79" s="572">
        <v>0.106</v>
      </c>
      <c r="Q79" s="572">
        <v>0.10336473755047107</v>
      </c>
      <c r="R79" s="1075">
        <v>9.3493712411153632E-2</v>
      </c>
      <c r="S79" s="1075">
        <v>9.8063284233497E-2</v>
      </c>
      <c r="T79" s="1075">
        <v>9.9345870809484871E-2</v>
      </c>
      <c r="U79" s="2047">
        <v>8.9484536082474225E-2</v>
      </c>
      <c r="V79" s="1401">
        <v>8.7276259192451786E-2</v>
      </c>
      <c r="W79" s="2131">
        <v>8.4937866994401201E-2</v>
      </c>
      <c r="X79" s="226"/>
      <c r="Y79" s="230">
        <v>557</v>
      </c>
      <c r="Z79" s="230">
        <v>541</v>
      </c>
      <c r="AA79" s="230">
        <v>542</v>
      </c>
      <c r="AB79" s="230">
        <v>532</v>
      </c>
      <c r="AC79" s="230">
        <v>482</v>
      </c>
      <c r="AD79" s="230">
        <v>515</v>
      </c>
      <c r="AE79" s="230">
        <v>555</v>
      </c>
      <c r="AF79" s="230">
        <v>561</v>
      </c>
      <c r="AG79" s="227">
        <v>581</v>
      </c>
      <c r="AH79" s="227">
        <v>644</v>
      </c>
      <c r="AI79" s="228">
        <v>720</v>
      </c>
      <c r="AJ79" s="579">
        <v>742</v>
      </c>
      <c r="AK79" s="782">
        <v>783</v>
      </c>
      <c r="AL79" s="786">
        <v>768</v>
      </c>
      <c r="AM79" s="1080">
        <v>684</v>
      </c>
      <c r="AN79" s="1080">
        <v>719</v>
      </c>
      <c r="AO79" s="1080">
        <v>729</v>
      </c>
      <c r="AP79" s="1080">
        <v>651</v>
      </c>
      <c r="AQ79" s="1404">
        <v>629</v>
      </c>
      <c r="AR79" s="2127">
        <v>622</v>
      </c>
    </row>
    <row r="80" spans="1:44" ht="16.5" customHeight="1" x14ac:dyDescent="0.3">
      <c r="A80" s="183" t="s">
        <v>197</v>
      </c>
      <c r="B80" s="184" t="s">
        <v>259</v>
      </c>
      <c r="C80" s="941" t="s">
        <v>253</v>
      </c>
      <c r="D80" s="224">
        <v>0.157</v>
      </c>
      <c r="E80" s="224">
        <v>0.16</v>
      </c>
      <c r="F80" s="224">
        <v>0.16800000000000001</v>
      </c>
      <c r="G80" s="224">
        <v>0.156</v>
      </c>
      <c r="H80" s="224">
        <v>0.158</v>
      </c>
      <c r="I80" s="224">
        <v>0.17</v>
      </c>
      <c r="J80" s="224">
        <v>0.16500000000000001</v>
      </c>
      <c r="K80" s="224">
        <v>0.17699999999999999</v>
      </c>
      <c r="L80" s="224">
        <v>0.184</v>
      </c>
      <c r="M80" s="224">
        <v>0.193</v>
      </c>
      <c r="N80" s="225">
        <v>0.185</v>
      </c>
      <c r="O80" s="572">
        <v>0.20399999999999999</v>
      </c>
      <c r="P80" s="572">
        <v>0.20300000000000001</v>
      </c>
      <c r="Q80" s="572">
        <v>0.20313143798928718</v>
      </c>
      <c r="R80" s="1075">
        <v>0.19712328767123288</v>
      </c>
      <c r="S80" s="1075">
        <v>0.17666528754654531</v>
      </c>
      <c r="T80" s="1075">
        <v>0.19269972451790635</v>
      </c>
      <c r="U80" s="2047">
        <v>0.18377120963327859</v>
      </c>
      <c r="V80" s="1401">
        <v>0.15911256295086429</v>
      </c>
      <c r="W80" s="2131">
        <v>0.17768989499522705</v>
      </c>
      <c r="X80" s="226"/>
      <c r="Y80" s="227">
        <v>1110</v>
      </c>
      <c r="Z80" s="227">
        <v>1144</v>
      </c>
      <c r="AA80" s="227">
        <v>1216</v>
      </c>
      <c r="AB80" s="227">
        <v>1120</v>
      </c>
      <c r="AC80" s="227">
        <v>1141</v>
      </c>
      <c r="AD80" s="227">
        <v>1219</v>
      </c>
      <c r="AE80" s="227">
        <v>1192</v>
      </c>
      <c r="AF80" s="227">
        <v>1272</v>
      </c>
      <c r="AG80" s="227">
        <v>1315</v>
      </c>
      <c r="AH80" s="227">
        <v>1342</v>
      </c>
      <c r="AI80" s="228">
        <v>1377</v>
      </c>
      <c r="AJ80" s="579">
        <v>1510</v>
      </c>
      <c r="AK80" s="782">
        <v>1484</v>
      </c>
      <c r="AL80" s="786">
        <v>1479</v>
      </c>
      <c r="AM80" s="1080">
        <v>1439</v>
      </c>
      <c r="AN80" s="1080">
        <v>1281</v>
      </c>
      <c r="AO80" s="1080">
        <v>1399</v>
      </c>
      <c r="AP80" s="1080">
        <v>1343</v>
      </c>
      <c r="AQ80" s="1404">
        <v>1169</v>
      </c>
      <c r="AR80" s="2127">
        <v>1303</v>
      </c>
    </row>
    <row r="81" spans="1:44" ht="16.5" customHeight="1" x14ac:dyDescent="0.3">
      <c r="A81" s="183" t="s">
        <v>201</v>
      </c>
      <c r="B81" s="184" t="s">
        <v>406</v>
      </c>
      <c r="C81" s="941" t="s">
        <v>252</v>
      </c>
      <c r="D81" s="224">
        <v>5.2900000000000003E-2</v>
      </c>
      <c r="E81" s="224">
        <v>5.7000000000000002E-2</v>
      </c>
      <c r="F81" s="224">
        <v>6.5299999999999997E-2</v>
      </c>
      <c r="G81" s="224">
        <v>7.2300000000000003E-2</v>
      </c>
      <c r="H81" s="224">
        <v>6.8699999999999997E-2</v>
      </c>
      <c r="I81" s="224">
        <v>6.3E-2</v>
      </c>
      <c r="J81" s="224">
        <v>6.1500000000000006E-2</v>
      </c>
      <c r="K81" s="224">
        <v>6.480000000000001E-2</v>
      </c>
      <c r="L81" s="224">
        <v>7.0800000000000002E-2</v>
      </c>
      <c r="M81" s="224">
        <v>6.8199999999999997E-2</v>
      </c>
      <c r="N81" s="225">
        <v>7.553320643060675E-2</v>
      </c>
      <c r="O81" s="572">
        <v>0.191</v>
      </c>
      <c r="P81" s="572">
        <v>8.4000000000000005E-2</v>
      </c>
      <c r="Q81" s="572">
        <v>8.2284058881530148E-2</v>
      </c>
      <c r="R81" s="1075">
        <v>8.5998974029022804E-2</v>
      </c>
      <c r="S81" s="1075">
        <v>7.9032062706556161E-2</v>
      </c>
      <c r="T81" s="1075">
        <v>7.7581715238459137E-2</v>
      </c>
      <c r="U81" s="2047">
        <v>8.0307056392087392E-2</v>
      </c>
      <c r="V81" s="1401">
        <v>7.3096878307796417E-2</v>
      </c>
      <c r="W81" s="2131">
        <v>7.0561535919865054E-2</v>
      </c>
      <c r="X81" s="226"/>
      <c r="Y81" s="227">
        <v>5681</v>
      </c>
      <c r="Z81" s="227">
        <v>6098</v>
      </c>
      <c r="AA81" s="227">
        <v>7107</v>
      </c>
      <c r="AB81" s="227">
        <v>7856</v>
      </c>
      <c r="AC81" s="227">
        <v>7558</v>
      </c>
      <c r="AD81" s="227">
        <v>6809</v>
      </c>
      <c r="AE81" s="227">
        <v>6852</v>
      </c>
      <c r="AF81" s="227">
        <v>7238</v>
      </c>
      <c r="AG81" s="227">
        <v>7950</v>
      </c>
      <c r="AH81" s="227">
        <v>7619</v>
      </c>
      <c r="AI81" s="228">
        <v>8538</v>
      </c>
      <c r="AJ81" s="579">
        <v>9852</v>
      </c>
      <c r="AK81" s="782">
        <v>9504</v>
      </c>
      <c r="AL81" s="786">
        <v>9430</v>
      </c>
      <c r="AM81" s="1080">
        <v>9891</v>
      </c>
      <c r="AN81" s="1080">
        <v>9135</v>
      </c>
      <c r="AO81" s="1080">
        <v>8934</v>
      </c>
      <c r="AP81" s="1080">
        <v>9248</v>
      </c>
      <c r="AQ81" s="1404">
        <v>8425</v>
      </c>
      <c r="AR81" s="2127">
        <v>8115</v>
      </c>
    </row>
    <row r="82" spans="1:44" ht="16.5" customHeight="1" x14ac:dyDescent="0.3">
      <c r="A82" s="183" t="s">
        <v>203</v>
      </c>
      <c r="B82" s="184" t="s">
        <v>492</v>
      </c>
      <c r="C82" s="941" t="s">
        <v>252</v>
      </c>
      <c r="D82" s="224">
        <v>0.1038</v>
      </c>
      <c r="E82" s="224">
        <v>0.10199999999999999</v>
      </c>
      <c r="F82" s="224">
        <v>0.1124</v>
      </c>
      <c r="G82" s="224">
        <v>0.1109</v>
      </c>
      <c r="H82" s="224">
        <v>0.10630000000000001</v>
      </c>
      <c r="I82" s="224">
        <v>0.12130000000000001</v>
      </c>
      <c r="J82" s="224">
        <v>0.13339999999999999</v>
      </c>
      <c r="K82" s="224">
        <v>0.1273</v>
      </c>
      <c r="L82" s="224">
        <v>0.1346</v>
      </c>
      <c r="M82" s="224">
        <v>0.1338</v>
      </c>
      <c r="N82" s="225">
        <v>0.14077673638184915</v>
      </c>
      <c r="O82" s="572">
        <v>0.14656092725331707</v>
      </c>
      <c r="P82" s="572">
        <v>0.153</v>
      </c>
      <c r="Q82" s="572">
        <v>0.15709268590624523</v>
      </c>
      <c r="R82" s="1075">
        <v>0.15356089850755342</v>
      </c>
      <c r="S82" s="1075">
        <v>0.150208707839493</v>
      </c>
      <c r="T82" s="1075">
        <v>0.14378421603001784</v>
      </c>
      <c r="U82" s="2047">
        <v>0.14456417698459259</v>
      </c>
      <c r="V82" s="1401">
        <v>0.14180188533456961</v>
      </c>
      <c r="W82" s="2131">
        <v>0.14131099425217072</v>
      </c>
      <c r="X82" s="226"/>
      <c r="Y82" s="227">
        <v>3255</v>
      </c>
      <c r="Z82" s="227">
        <v>3202</v>
      </c>
      <c r="AA82" s="227">
        <v>3574</v>
      </c>
      <c r="AB82" s="227">
        <v>3517</v>
      </c>
      <c r="AC82" s="227">
        <v>3365</v>
      </c>
      <c r="AD82" s="227">
        <v>3820</v>
      </c>
      <c r="AE82" s="227">
        <v>4213</v>
      </c>
      <c r="AF82" s="227">
        <v>4049</v>
      </c>
      <c r="AG82" s="227">
        <v>4265</v>
      </c>
      <c r="AH82" s="227">
        <v>4221</v>
      </c>
      <c r="AI82" s="228">
        <v>4625</v>
      </c>
      <c r="AJ82" s="579">
        <v>4805</v>
      </c>
      <c r="AK82" s="782">
        <v>4988</v>
      </c>
      <c r="AL82" s="786">
        <v>5144</v>
      </c>
      <c r="AM82" s="1080">
        <v>5052</v>
      </c>
      <c r="AN82" s="1080">
        <v>4930</v>
      </c>
      <c r="AO82" s="1080">
        <v>4675</v>
      </c>
      <c r="AP82" s="1080">
        <v>4682</v>
      </c>
      <c r="AQ82" s="1404">
        <v>4588</v>
      </c>
      <c r="AR82" s="2127">
        <v>4622</v>
      </c>
    </row>
    <row r="83" spans="1:44" ht="16.5" customHeight="1" x14ac:dyDescent="0.3">
      <c r="A83" s="183" t="s">
        <v>205</v>
      </c>
      <c r="B83" s="184" t="s">
        <v>493</v>
      </c>
      <c r="C83" s="941" t="s">
        <v>254</v>
      </c>
      <c r="D83" s="224">
        <v>0.11710000000000001</v>
      </c>
      <c r="E83" s="224">
        <v>0.11119999999999999</v>
      </c>
      <c r="F83" s="224">
        <v>0.1217</v>
      </c>
      <c r="G83" s="224">
        <v>0.1188</v>
      </c>
      <c r="H83" s="224">
        <v>0.11539999999999999</v>
      </c>
      <c r="I83" s="224">
        <v>0.14130000000000001</v>
      </c>
      <c r="J83" s="224">
        <v>0.14990000000000001</v>
      </c>
      <c r="K83" s="224">
        <v>0.1454</v>
      </c>
      <c r="L83" s="224">
        <v>0.158</v>
      </c>
      <c r="M83" s="224">
        <v>0.15340000000000001</v>
      </c>
      <c r="N83" s="225">
        <v>0.17707606256042166</v>
      </c>
      <c r="O83" s="572">
        <v>0.15870237569248546</v>
      </c>
      <c r="P83" s="572">
        <v>0.20499999999999999</v>
      </c>
      <c r="Q83" s="572">
        <v>0.16851109998330829</v>
      </c>
      <c r="R83" s="1075">
        <v>0.17851205662085426</v>
      </c>
      <c r="S83" s="1075">
        <v>0.18337093400057428</v>
      </c>
      <c r="T83" s="1075">
        <v>0.16614915644482639</v>
      </c>
      <c r="U83" s="2047">
        <v>0.13963091598777189</v>
      </c>
      <c r="V83" s="1401">
        <v>0.15810185553241218</v>
      </c>
      <c r="W83" s="2131">
        <v>0.14174791336166007</v>
      </c>
      <c r="X83" s="226"/>
      <c r="Y83" s="227">
        <v>11774</v>
      </c>
      <c r="Z83" s="227">
        <v>11332</v>
      </c>
      <c r="AA83" s="227">
        <v>12457</v>
      </c>
      <c r="AB83" s="227">
        <v>12312</v>
      </c>
      <c r="AC83" s="227">
        <v>12047</v>
      </c>
      <c r="AD83" s="227">
        <v>14559</v>
      </c>
      <c r="AE83" s="227">
        <v>15701</v>
      </c>
      <c r="AF83" s="227">
        <v>15770</v>
      </c>
      <c r="AG83" s="227">
        <v>17273</v>
      </c>
      <c r="AH83" s="227">
        <v>17133</v>
      </c>
      <c r="AI83" s="228">
        <v>20566</v>
      </c>
      <c r="AJ83" s="579">
        <v>18678</v>
      </c>
      <c r="AK83" s="782">
        <v>24402</v>
      </c>
      <c r="AL83" s="786">
        <v>20191</v>
      </c>
      <c r="AM83" s="1080">
        <v>21691</v>
      </c>
      <c r="AN83" s="1080">
        <v>22352</v>
      </c>
      <c r="AO83" s="1080">
        <v>20494</v>
      </c>
      <c r="AP83" s="1080">
        <v>17448</v>
      </c>
      <c r="AQ83" s="1404">
        <v>19887</v>
      </c>
      <c r="AR83" s="2127">
        <v>17781</v>
      </c>
    </row>
    <row r="84" spans="1:44" ht="16.5" customHeight="1" x14ac:dyDescent="0.3">
      <c r="A84" s="183" t="s">
        <v>207</v>
      </c>
      <c r="B84" s="184" t="s">
        <v>364</v>
      </c>
      <c r="C84" s="941" t="s">
        <v>255</v>
      </c>
      <c r="D84" s="224">
        <v>0.16699999999999998</v>
      </c>
      <c r="E84" s="224">
        <v>0.159</v>
      </c>
      <c r="F84" s="224">
        <v>0.17600000000000002</v>
      </c>
      <c r="G84" s="224">
        <v>0.16800000000000001</v>
      </c>
      <c r="H84" s="224">
        <v>0.16500000000000001</v>
      </c>
      <c r="I84" s="224">
        <v>0.193</v>
      </c>
      <c r="J84" s="224">
        <v>0.17399999999999999</v>
      </c>
      <c r="K84" s="224">
        <v>0.184</v>
      </c>
      <c r="L84" s="224">
        <v>0.19399999999999998</v>
      </c>
      <c r="M84" s="224">
        <v>0.191</v>
      </c>
      <c r="N84" s="225">
        <v>0.18100000000000002</v>
      </c>
      <c r="O84" s="572">
        <v>0.23499999999999999</v>
      </c>
      <c r="P84" s="572">
        <v>0.183</v>
      </c>
      <c r="Q84" s="572">
        <v>0.18802044244308638</v>
      </c>
      <c r="R84" s="1075">
        <v>0.17881081081081082</v>
      </c>
      <c r="S84" s="1075">
        <v>0.21238681637088011</v>
      </c>
      <c r="T84" s="1075">
        <v>0.16924496954033597</v>
      </c>
      <c r="U84" s="2047">
        <v>0.2015388063046239</v>
      </c>
      <c r="V84" s="1401">
        <v>0.21469588213071403</v>
      </c>
      <c r="W84" s="2131">
        <v>0.20041817145029461</v>
      </c>
      <c r="X84" s="226"/>
      <c r="Y84" s="227">
        <v>4793</v>
      </c>
      <c r="Z84" s="227">
        <v>4565</v>
      </c>
      <c r="AA84" s="227">
        <v>5059</v>
      </c>
      <c r="AB84" s="227">
        <v>4823</v>
      </c>
      <c r="AC84" s="227">
        <v>4762</v>
      </c>
      <c r="AD84" s="227">
        <v>5492</v>
      </c>
      <c r="AE84" s="227">
        <v>4932</v>
      </c>
      <c r="AF84" s="227">
        <v>5243</v>
      </c>
      <c r="AG84" s="227">
        <v>5516</v>
      </c>
      <c r="AH84" s="227">
        <v>5527</v>
      </c>
      <c r="AI84" s="228">
        <v>5173</v>
      </c>
      <c r="AJ84" s="579">
        <v>6704</v>
      </c>
      <c r="AK84" s="782">
        <v>5145</v>
      </c>
      <c r="AL84" s="786">
        <v>5261</v>
      </c>
      <c r="AM84" s="1080">
        <v>4962</v>
      </c>
      <c r="AN84" s="1080">
        <v>5864</v>
      </c>
      <c r="AO84" s="1080">
        <v>4584</v>
      </c>
      <c r="AP84" s="1080">
        <v>5396</v>
      </c>
      <c r="AQ84" s="1404">
        <v>5683</v>
      </c>
      <c r="AR84" s="2127">
        <v>5272</v>
      </c>
    </row>
    <row r="85" spans="1:44" ht="16.5" customHeight="1" x14ac:dyDescent="0.3">
      <c r="A85" s="183" t="s">
        <v>209</v>
      </c>
      <c r="B85" s="184" t="s">
        <v>365</v>
      </c>
      <c r="C85" s="941" t="s">
        <v>255</v>
      </c>
      <c r="D85" s="224">
        <v>0.14099999999999999</v>
      </c>
      <c r="E85" s="224">
        <v>0.13900000000000001</v>
      </c>
      <c r="F85" s="224">
        <v>0.14599999999999999</v>
      </c>
      <c r="G85" s="224">
        <v>0.153</v>
      </c>
      <c r="H85" s="224">
        <v>0.14899999999999999</v>
      </c>
      <c r="I85" s="224">
        <v>0.17899999999999999</v>
      </c>
      <c r="J85" s="224">
        <v>0.17699999999999999</v>
      </c>
      <c r="K85" s="224">
        <v>0.18100000000000002</v>
      </c>
      <c r="L85" s="224">
        <v>0.17300000000000001</v>
      </c>
      <c r="M85" s="224">
        <v>0.192</v>
      </c>
      <c r="N85" s="225">
        <v>0.189</v>
      </c>
      <c r="O85" s="572">
        <v>0.187</v>
      </c>
      <c r="P85" s="572">
        <v>0.21299999999999999</v>
      </c>
      <c r="Q85" s="572">
        <v>0.18399158895593345</v>
      </c>
      <c r="R85" s="1075">
        <v>0.20782283045910582</v>
      </c>
      <c r="S85" s="1075">
        <v>0.19170644949920435</v>
      </c>
      <c r="T85" s="1075">
        <v>0.19476882179815816</v>
      </c>
      <c r="U85" s="2047">
        <v>0.17551622418879056</v>
      </c>
      <c r="V85" s="1401">
        <v>0.18528004639249987</v>
      </c>
      <c r="W85" s="2131">
        <v>0.14810346491651386</v>
      </c>
      <c r="X85" s="226"/>
      <c r="Y85" s="227">
        <v>3268</v>
      </c>
      <c r="Z85" s="227">
        <v>3183</v>
      </c>
      <c r="AA85" s="227">
        <v>3348</v>
      </c>
      <c r="AB85" s="227">
        <v>3508</v>
      </c>
      <c r="AC85" s="227">
        <v>3402</v>
      </c>
      <c r="AD85" s="227">
        <v>4040</v>
      </c>
      <c r="AE85" s="227">
        <v>4000</v>
      </c>
      <c r="AF85" s="227">
        <v>4033</v>
      </c>
      <c r="AG85" s="227">
        <v>3856</v>
      </c>
      <c r="AH85" s="227">
        <v>4220</v>
      </c>
      <c r="AI85" s="228">
        <v>4248</v>
      </c>
      <c r="AJ85" s="579">
        <v>4193</v>
      </c>
      <c r="AK85" s="782">
        <v>4699</v>
      </c>
      <c r="AL85" s="786">
        <v>4025</v>
      </c>
      <c r="AM85" s="1080">
        <v>4495</v>
      </c>
      <c r="AN85" s="1080">
        <v>4096</v>
      </c>
      <c r="AO85" s="1080">
        <v>4103</v>
      </c>
      <c r="AP85" s="1080">
        <v>3689</v>
      </c>
      <c r="AQ85" s="1404">
        <v>3834</v>
      </c>
      <c r="AR85" s="2127">
        <v>3069</v>
      </c>
    </row>
    <row r="86" spans="1:44" ht="16.5" customHeight="1" x14ac:dyDescent="0.3">
      <c r="A86" s="183" t="s">
        <v>211</v>
      </c>
      <c r="B86" s="184" t="s">
        <v>366</v>
      </c>
      <c r="C86" s="941" t="s">
        <v>254</v>
      </c>
      <c r="D86" s="224">
        <v>0.08</v>
      </c>
      <c r="E86" s="224">
        <v>8.1000000000000003E-2</v>
      </c>
      <c r="F86" s="224">
        <v>8.3000000000000004E-2</v>
      </c>
      <c r="G86" s="224">
        <v>8.900000000000001E-2</v>
      </c>
      <c r="H86" s="224">
        <v>8.5999999999999993E-2</v>
      </c>
      <c r="I86" s="224">
        <v>8.4000000000000005E-2</v>
      </c>
      <c r="J86" s="224">
        <v>8.3000000000000004E-2</v>
      </c>
      <c r="K86" s="224">
        <v>0.09</v>
      </c>
      <c r="L86" s="224">
        <v>9.8000000000000004E-2</v>
      </c>
      <c r="M86" s="224">
        <v>0.10400000000000001</v>
      </c>
      <c r="N86" s="225">
        <v>0.11700000000000001</v>
      </c>
      <c r="O86" s="572">
        <v>0.13400000000000001</v>
      </c>
      <c r="P86" s="572">
        <v>0.114</v>
      </c>
      <c r="Q86" s="572">
        <v>0.11587982832618025</v>
      </c>
      <c r="R86" s="1075">
        <v>0.12025867136978248</v>
      </c>
      <c r="S86" s="1075">
        <v>0.11484935101447917</v>
      </c>
      <c r="T86" s="1075">
        <v>0.10767715612249683</v>
      </c>
      <c r="U86" s="2047">
        <v>9.4728711202659049E-2</v>
      </c>
      <c r="V86" s="1401">
        <v>0.10420883646262302</v>
      </c>
      <c r="W86" s="2131">
        <v>0.10259682996449375</v>
      </c>
      <c r="X86" s="226"/>
      <c r="Y86" s="227">
        <v>2849</v>
      </c>
      <c r="Z86" s="227">
        <v>2927</v>
      </c>
      <c r="AA86" s="227">
        <v>3072</v>
      </c>
      <c r="AB86" s="227">
        <v>3357</v>
      </c>
      <c r="AC86" s="227">
        <v>3349</v>
      </c>
      <c r="AD86" s="227">
        <v>3235</v>
      </c>
      <c r="AE86" s="227">
        <v>3297</v>
      </c>
      <c r="AF86" s="227">
        <v>3602</v>
      </c>
      <c r="AG86" s="227">
        <v>3934</v>
      </c>
      <c r="AH86" s="227">
        <v>4206</v>
      </c>
      <c r="AI86" s="228">
        <v>4862</v>
      </c>
      <c r="AJ86" s="579">
        <v>5620</v>
      </c>
      <c r="AK86" s="782">
        <v>4797</v>
      </c>
      <c r="AL86" s="786">
        <v>4887</v>
      </c>
      <c r="AM86" s="1080">
        <v>5114</v>
      </c>
      <c r="AN86" s="1080">
        <v>4902</v>
      </c>
      <c r="AO86" s="1080">
        <v>4592</v>
      </c>
      <c r="AP86" s="1080">
        <v>4047</v>
      </c>
      <c r="AQ86" s="1404">
        <v>4479</v>
      </c>
      <c r="AR86" s="2127">
        <v>4421</v>
      </c>
    </row>
    <row r="87" spans="1:44" ht="16.5" customHeight="1" x14ac:dyDescent="0.3">
      <c r="A87" s="183" t="s">
        <v>213</v>
      </c>
      <c r="B87" s="184" t="s">
        <v>367</v>
      </c>
      <c r="C87" s="941" t="s">
        <v>255</v>
      </c>
      <c r="D87" s="224">
        <v>0.13100000000000001</v>
      </c>
      <c r="E87" s="224">
        <v>0.13300000000000001</v>
      </c>
      <c r="F87" s="224">
        <v>0.14300000000000002</v>
      </c>
      <c r="G87" s="224">
        <v>0.14800000000000002</v>
      </c>
      <c r="H87" s="224">
        <v>0.14000000000000001</v>
      </c>
      <c r="I87" s="224">
        <v>0.13300000000000001</v>
      </c>
      <c r="J87" s="224">
        <v>0.155</v>
      </c>
      <c r="K87" s="224">
        <v>0.17100000000000001</v>
      </c>
      <c r="L87" s="224">
        <v>0.18100000000000002</v>
      </c>
      <c r="M87" s="224">
        <v>0.17800000000000002</v>
      </c>
      <c r="N87" s="225">
        <v>0.187</v>
      </c>
      <c r="O87" s="572">
        <v>0.19399999999999998</v>
      </c>
      <c r="P87" s="572">
        <v>0.19</v>
      </c>
      <c r="Q87" s="572">
        <v>0.17253418679080593</v>
      </c>
      <c r="R87" s="1075">
        <v>0.19735477178423236</v>
      </c>
      <c r="S87" s="1075">
        <v>0.18109131257750799</v>
      </c>
      <c r="T87" s="1075">
        <v>0.18122645873257121</v>
      </c>
      <c r="U87" s="2047">
        <v>0.17699853196316562</v>
      </c>
      <c r="V87" s="1401">
        <v>0.20355439091580999</v>
      </c>
      <c r="W87" s="2131">
        <v>0.16496002721551284</v>
      </c>
      <c r="X87" s="226"/>
      <c r="Y87" s="227">
        <v>4212</v>
      </c>
      <c r="Z87" s="227">
        <v>4289</v>
      </c>
      <c r="AA87" s="227">
        <v>4596</v>
      </c>
      <c r="AB87" s="227">
        <v>4737</v>
      </c>
      <c r="AC87" s="227">
        <v>4505</v>
      </c>
      <c r="AD87" s="227">
        <v>4166</v>
      </c>
      <c r="AE87" s="227">
        <v>4930</v>
      </c>
      <c r="AF87" s="227">
        <v>5338</v>
      </c>
      <c r="AG87" s="227">
        <v>5626</v>
      </c>
      <c r="AH87" s="227">
        <v>5516</v>
      </c>
      <c r="AI87" s="228">
        <v>5874</v>
      </c>
      <c r="AJ87" s="579">
        <v>6085</v>
      </c>
      <c r="AK87" s="782">
        <v>5898</v>
      </c>
      <c r="AL87" s="786">
        <v>5337</v>
      </c>
      <c r="AM87" s="1080">
        <v>6088</v>
      </c>
      <c r="AN87" s="1080">
        <v>5549</v>
      </c>
      <c r="AO87" s="1080">
        <v>5485</v>
      </c>
      <c r="AP87" s="1080">
        <v>5305</v>
      </c>
      <c r="AQ87" s="1404">
        <v>6059</v>
      </c>
      <c r="AR87" s="2127">
        <v>4849</v>
      </c>
    </row>
    <row r="88" spans="1:44" ht="16.5" customHeight="1" x14ac:dyDescent="0.3">
      <c r="A88" s="183" t="s">
        <v>215</v>
      </c>
      <c r="B88" s="184" t="s">
        <v>368</v>
      </c>
      <c r="C88" s="941" t="s">
        <v>251</v>
      </c>
      <c r="D88" s="224">
        <v>0.14000000000000001</v>
      </c>
      <c r="E88" s="224">
        <v>0.13100000000000001</v>
      </c>
      <c r="F88" s="224">
        <v>0.13800000000000001</v>
      </c>
      <c r="G88" s="224">
        <v>0.14000000000000001</v>
      </c>
      <c r="H88" s="224">
        <v>0.13500000000000001</v>
      </c>
      <c r="I88" s="224">
        <v>0.151</v>
      </c>
      <c r="J88" s="224">
        <v>0.154</v>
      </c>
      <c r="K88" s="224">
        <v>0.15</v>
      </c>
      <c r="L88" s="224">
        <v>0.17499999999999999</v>
      </c>
      <c r="M88" s="224">
        <v>0.159</v>
      </c>
      <c r="N88" s="225">
        <v>0.16400000000000001</v>
      </c>
      <c r="O88" s="572">
        <v>0.16</v>
      </c>
      <c r="P88" s="572">
        <v>0.16700000000000001</v>
      </c>
      <c r="Q88" s="572">
        <v>0.1668684911600872</v>
      </c>
      <c r="R88" s="1075">
        <v>0.15262388895653234</v>
      </c>
      <c r="S88" s="1075">
        <v>0.15154846985523182</v>
      </c>
      <c r="T88" s="1075">
        <v>0.15558681426212465</v>
      </c>
      <c r="U88" s="2047">
        <v>0.14706792990278036</v>
      </c>
      <c r="V88" s="1401">
        <v>0.14702202202202203</v>
      </c>
      <c r="W88" s="2131">
        <v>0.1330421216848674</v>
      </c>
      <c r="X88" s="226"/>
      <c r="Y88" s="227">
        <v>2211</v>
      </c>
      <c r="Z88" s="227">
        <v>2053</v>
      </c>
      <c r="AA88" s="227">
        <v>2186</v>
      </c>
      <c r="AB88" s="227">
        <v>2240</v>
      </c>
      <c r="AC88" s="227">
        <v>2194</v>
      </c>
      <c r="AD88" s="227">
        <v>2433</v>
      </c>
      <c r="AE88" s="227">
        <v>2504</v>
      </c>
      <c r="AF88" s="227">
        <v>2431</v>
      </c>
      <c r="AG88" s="227">
        <v>2843</v>
      </c>
      <c r="AH88" s="227">
        <v>2561</v>
      </c>
      <c r="AI88" s="228">
        <v>2789</v>
      </c>
      <c r="AJ88" s="579">
        <v>2696</v>
      </c>
      <c r="AK88" s="782">
        <v>2799</v>
      </c>
      <c r="AL88" s="786">
        <v>2756</v>
      </c>
      <c r="AM88" s="1080">
        <v>2507</v>
      </c>
      <c r="AN88" s="1080">
        <v>2481</v>
      </c>
      <c r="AO88" s="1080">
        <v>2544</v>
      </c>
      <c r="AP88" s="1080">
        <v>2375</v>
      </c>
      <c r="AQ88" s="1404">
        <v>2350</v>
      </c>
      <c r="AR88" s="2127">
        <v>2132</v>
      </c>
    </row>
    <row r="89" spans="1:44" ht="16.5" customHeight="1" x14ac:dyDescent="0.3">
      <c r="A89" s="183" t="s">
        <v>217</v>
      </c>
      <c r="B89" s="184" t="s">
        <v>369</v>
      </c>
      <c r="C89" s="941" t="s">
        <v>254</v>
      </c>
      <c r="D89" s="224">
        <v>5.2999999999999999E-2</v>
      </c>
      <c r="E89" s="224">
        <v>5.2000000000000005E-2</v>
      </c>
      <c r="F89" s="224">
        <v>5.7000000000000002E-2</v>
      </c>
      <c r="G89" s="224">
        <v>5.9000000000000004E-2</v>
      </c>
      <c r="H89" s="224">
        <v>5.7000000000000002E-2</v>
      </c>
      <c r="I89" s="224">
        <v>5.5E-2</v>
      </c>
      <c r="J89" s="224">
        <v>5.5999999999999994E-2</v>
      </c>
      <c r="K89" s="224">
        <v>0.06</v>
      </c>
      <c r="L89" s="224">
        <v>6.4000000000000001E-2</v>
      </c>
      <c r="M89" s="224">
        <v>7.5999999999999998E-2</v>
      </c>
      <c r="N89" s="225">
        <v>7.9000000000000001E-2</v>
      </c>
      <c r="O89" s="572">
        <v>7.5999999999999998E-2</v>
      </c>
      <c r="P89" s="572">
        <v>8.5000000000000006E-2</v>
      </c>
      <c r="Q89" s="572">
        <v>7.6984528743632735E-2</v>
      </c>
      <c r="R89" s="1075">
        <v>9.1506324082949522E-2</v>
      </c>
      <c r="S89" s="1075">
        <v>7.6504503670085905E-2</v>
      </c>
      <c r="T89" s="1075">
        <v>7.36392987169604E-2</v>
      </c>
      <c r="U89" s="2047">
        <v>6.9322516195435002E-2</v>
      </c>
      <c r="V89" s="1401">
        <v>7.5481465365253464E-2</v>
      </c>
      <c r="W89" s="2131">
        <v>6.5840365032058631E-2</v>
      </c>
      <c r="X89" s="226"/>
      <c r="Y89" s="227">
        <v>5080</v>
      </c>
      <c r="Z89" s="227">
        <v>5342</v>
      </c>
      <c r="AA89" s="227">
        <v>6138</v>
      </c>
      <c r="AB89" s="227">
        <v>6655</v>
      </c>
      <c r="AC89" s="227">
        <v>6611</v>
      </c>
      <c r="AD89" s="227">
        <v>6346</v>
      </c>
      <c r="AE89" s="227">
        <v>6591</v>
      </c>
      <c r="AF89" s="227">
        <v>7118</v>
      </c>
      <c r="AG89" s="227">
        <v>7586</v>
      </c>
      <c r="AH89" s="227">
        <v>9132</v>
      </c>
      <c r="AI89" s="228">
        <v>9645</v>
      </c>
      <c r="AJ89" s="579">
        <v>9356</v>
      </c>
      <c r="AK89" s="782">
        <v>10558</v>
      </c>
      <c r="AL89" s="786">
        <v>9733</v>
      </c>
      <c r="AM89" s="1080">
        <v>11742</v>
      </c>
      <c r="AN89" s="1080">
        <v>9912</v>
      </c>
      <c r="AO89" s="1080">
        <v>9648</v>
      </c>
      <c r="AP89" s="1080">
        <v>9160</v>
      </c>
      <c r="AQ89" s="1404">
        <v>10061</v>
      </c>
      <c r="AR89" s="2127">
        <v>8903</v>
      </c>
    </row>
    <row r="90" spans="1:44" ht="16.5" customHeight="1" x14ac:dyDescent="0.3">
      <c r="A90" s="183" t="s">
        <v>219</v>
      </c>
      <c r="B90" s="184" t="s">
        <v>370</v>
      </c>
      <c r="C90" s="941" t="s">
        <v>254</v>
      </c>
      <c r="D90" s="224">
        <v>4.4000000000000004E-2</v>
      </c>
      <c r="E90" s="224">
        <v>4.2999999999999997E-2</v>
      </c>
      <c r="F90" s="224">
        <v>4.4999999999999998E-2</v>
      </c>
      <c r="G90" s="224">
        <v>0.05</v>
      </c>
      <c r="H90" s="224">
        <v>4.9000000000000002E-2</v>
      </c>
      <c r="I90" s="224">
        <v>4.5999999999999999E-2</v>
      </c>
      <c r="J90" s="224">
        <v>4.4000000000000004E-2</v>
      </c>
      <c r="K90" s="224">
        <v>4.2000000000000003E-2</v>
      </c>
      <c r="L90" s="224">
        <v>4.8000000000000001E-2</v>
      </c>
      <c r="M90" s="224">
        <v>4.7E-2</v>
      </c>
      <c r="N90" s="225">
        <v>5.1999999999999998E-2</v>
      </c>
      <c r="O90" s="572">
        <v>6.3E-2</v>
      </c>
      <c r="P90" s="572">
        <v>5.5E-2</v>
      </c>
      <c r="Q90" s="572">
        <v>6.358634205170724E-2</v>
      </c>
      <c r="R90" s="1075">
        <v>5.8501129266013877E-2</v>
      </c>
      <c r="S90" s="1075">
        <v>5.4025039532285907E-2</v>
      </c>
      <c r="T90" s="1075">
        <v>5.6549315849486886E-2</v>
      </c>
      <c r="U90" s="2047">
        <v>4.5646377055031807E-2</v>
      </c>
      <c r="V90" s="1401">
        <v>5.3536473519225768E-2</v>
      </c>
      <c r="W90" s="2131">
        <v>5.4409472099774217E-2</v>
      </c>
      <c r="X90" s="226"/>
      <c r="Y90" s="227">
        <v>4307</v>
      </c>
      <c r="Z90" s="227">
        <v>4394</v>
      </c>
      <c r="AA90" s="227">
        <v>4901</v>
      </c>
      <c r="AB90" s="227">
        <v>5671</v>
      </c>
      <c r="AC90" s="227">
        <v>5772</v>
      </c>
      <c r="AD90" s="227">
        <v>5366</v>
      </c>
      <c r="AE90" s="227">
        <v>5152</v>
      </c>
      <c r="AF90" s="227">
        <v>4954</v>
      </c>
      <c r="AG90" s="227">
        <v>5713</v>
      </c>
      <c r="AH90" s="227">
        <v>5764</v>
      </c>
      <c r="AI90" s="228">
        <v>6531</v>
      </c>
      <c r="AJ90" s="579">
        <v>8070</v>
      </c>
      <c r="AK90" s="782">
        <v>7231</v>
      </c>
      <c r="AL90" s="786">
        <v>8436</v>
      </c>
      <c r="AM90" s="1080">
        <v>7952</v>
      </c>
      <c r="AN90" s="1080">
        <v>7448</v>
      </c>
      <c r="AO90" s="1080">
        <v>7935</v>
      </c>
      <c r="AP90" s="1080">
        <v>6522</v>
      </c>
      <c r="AQ90" s="1404">
        <v>7822</v>
      </c>
      <c r="AR90" s="2127">
        <v>8097</v>
      </c>
    </row>
    <row r="91" spans="1:44" ht="16.5" customHeight="1" x14ac:dyDescent="0.3">
      <c r="A91" s="183" t="s">
        <v>223</v>
      </c>
      <c r="B91" s="184" t="s">
        <v>371</v>
      </c>
      <c r="C91" s="941" t="s">
        <v>251</v>
      </c>
      <c r="D91" s="224">
        <v>0.11599999999999999</v>
      </c>
      <c r="E91" s="224">
        <v>0.10800000000000001</v>
      </c>
      <c r="F91" s="224">
        <v>0.11199999999999999</v>
      </c>
      <c r="G91" s="224">
        <v>0.109</v>
      </c>
      <c r="H91" s="224">
        <v>0.107</v>
      </c>
      <c r="I91" s="224">
        <v>0.11900000000000001</v>
      </c>
      <c r="J91" s="224">
        <v>0.107</v>
      </c>
      <c r="K91" s="224">
        <v>0.11</v>
      </c>
      <c r="L91" s="224">
        <v>0.11599999999999999</v>
      </c>
      <c r="M91" s="224">
        <v>0.11699999999999999</v>
      </c>
      <c r="N91" s="225">
        <v>0.123</v>
      </c>
      <c r="O91" s="572">
        <v>0.128</v>
      </c>
      <c r="P91" s="572">
        <v>0.129</v>
      </c>
      <c r="Q91" s="572">
        <v>0.13636363636363635</v>
      </c>
      <c r="R91" s="1075">
        <v>0.12947942781300692</v>
      </c>
      <c r="S91" s="1075">
        <v>0.13046723391550977</v>
      </c>
      <c r="T91" s="1075">
        <v>0.13410900183710961</v>
      </c>
      <c r="U91" s="2047">
        <v>0.12754555198285103</v>
      </c>
      <c r="V91" s="1401">
        <v>0.128538283062645</v>
      </c>
      <c r="W91" s="2131">
        <v>0.11870223054125721</v>
      </c>
      <c r="X91" s="226"/>
      <c r="Y91" s="230">
        <v>810</v>
      </c>
      <c r="Z91" s="230">
        <v>755</v>
      </c>
      <c r="AA91" s="230">
        <v>792</v>
      </c>
      <c r="AB91" s="230">
        <v>764</v>
      </c>
      <c r="AC91" s="230">
        <v>753</v>
      </c>
      <c r="AD91" s="230">
        <v>829</v>
      </c>
      <c r="AE91" s="230">
        <v>758</v>
      </c>
      <c r="AF91" s="230">
        <v>775</v>
      </c>
      <c r="AG91" s="227">
        <v>823</v>
      </c>
      <c r="AH91" s="227">
        <v>827</v>
      </c>
      <c r="AI91" s="228">
        <v>871</v>
      </c>
      <c r="AJ91" s="579">
        <v>884</v>
      </c>
      <c r="AK91" s="782">
        <v>881</v>
      </c>
      <c r="AL91" s="786">
        <v>921</v>
      </c>
      <c r="AM91" s="1080">
        <v>878</v>
      </c>
      <c r="AN91" s="1080">
        <v>874</v>
      </c>
      <c r="AO91" s="1080">
        <v>876</v>
      </c>
      <c r="AP91" s="1080">
        <v>833</v>
      </c>
      <c r="AQ91" s="1404">
        <v>831</v>
      </c>
      <c r="AR91" s="2127">
        <v>761</v>
      </c>
    </row>
    <row r="92" spans="1:44" ht="16.5" customHeight="1" x14ac:dyDescent="0.3">
      <c r="A92" s="183" t="s">
        <v>225</v>
      </c>
      <c r="B92" s="184" t="s">
        <v>372</v>
      </c>
      <c r="C92" s="941" t="s">
        <v>251</v>
      </c>
      <c r="D92" s="224">
        <v>0.17199999999999999</v>
      </c>
      <c r="E92" s="224">
        <v>0.16899999999999998</v>
      </c>
      <c r="F92" s="224">
        <v>0.17899999999999999</v>
      </c>
      <c r="G92" s="224">
        <v>0.17199999999999999</v>
      </c>
      <c r="H92" s="224">
        <v>0.17699999999999999</v>
      </c>
      <c r="I92" s="224">
        <v>0.19500000000000001</v>
      </c>
      <c r="J92" s="224">
        <v>0.23499999999999999</v>
      </c>
      <c r="K92" s="224">
        <v>0.20399999999999999</v>
      </c>
      <c r="L92" s="224">
        <v>0.20699999999999999</v>
      </c>
      <c r="M92" s="224">
        <v>0.184</v>
      </c>
      <c r="N92" s="225">
        <v>0.22500000000000001</v>
      </c>
      <c r="O92" s="572">
        <v>0.20699999999999999</v>
      </c>
      <c r="P92" s="572">
        <v>0.23</v>
      </c>
      <c r="Q92" s="572">
        <v>0.2401219113965386</v>
      </c>
      <c r="R92" s="1075">
        <v>0.2390852390852391</v>
      </c>
      <c r="S92" s="1075">
        <v>0.22065934065934065</v>
      </c>
      <c r="T92" s="1075">
        <v>0.23074350685542303</v>
      </c>
      <c r="U92" s="2047">
        <v>0.22415954415954417</v>
      </c>
      <c r="V92" s="1401">
        <v>0.22866381799283983</v>
      </c>
      <c r="W92" s="2131">
        <v>0.2157594125189416</v>
      </c>
      <c r="X92" s="226"/>
      <c r="Y92" s="227">
        <v>1694</v>
      </c>
      <c r="Z92" s="227">
        <v>1651</v>
      </c>
      <c r="AA92" s="227">
        <v>1728</v>
      </c>
      <c r="AB92" s="227">
        <v>1647</v>
      </c>
      <c r="AC92" s="227">
        <v>1678</v>
      </c>
      <c r="AD92" s="227">
        <v>1832</v>
      </c>
      <c r="AE92" s="227">
        <v>2257</v>
      </c>
      <c r="AF92" s="227">
        <v>1947</v>
      </c>
      <c r="AG92" s="227">
        <v>1973</v>
      </c>
      <c r="AH92" s="227">
        <v>1742</v>
      </c>
      <c r="AI92" s="228">
        <v>2132</v>
      </c>
      <c r="AJ92" s="579">
        <v>1966</v>
      </c>
      <c r="AK92" s="782">
        <v>2156</v>
      </c>
      <c r="AL92" s="786">
        <v>2206</v>
      </c>
      <c r="AM92" s="1080">
        <v>2185</v>
      </c>
      <c r="AN92" s="1080">
        <v>2008</v>
      </c>
      <c r="AO92" s="1080">
        <v>2070</v>
      </c>
      <c r="AP92" s="1080">
        <v>1967</v>
      </c>
      <c r="AQ92" s="1404">
        <v>1980</v>
      </c>
      <c r="AR92" s="2127">
        <v>1851</v>
      </c>
    </row>
    <row r="93" spans="1:44" ht="16.5" customHeight="1" x14ac:dyDescent="0.3">
      <c r="A93" s="183" t="s">
        <v>227</v>
      </c>
      <c r="B93" s="184" t="s">
        <v>373</v>
      </c>
      <c r="C93" s="941" t="s">
        <v>255</v>
      </c>
      <c r="D93" s="224">
        <v>0.155</v>
      </c>
      <c r="E93" s="224">
        <v>0.15</v>
      </c>
      <c r="F93" s="224">
        <v>0.16600000000000001</v>
      </c>
      <c r="G93" s="224">
        <v>0.156</v>
      </c>
      <c r="H93" s="224">
        <v>0.157</v>
      </c>
      <c r="I93" s="224">
        <v>0.17300000000000001</v>
      </c>
      <c r="J93" s="224">
        <v>0.16500000000000001</v>
      </c>
      <c r="K93" s="224">
        <v>0.17800000000000002</v>
      </c>
      <c r="L93" s="224">
        <v>0.17600000000000002</v>
      </c>
      <c r="M93" s="224">
        <v>0.159</v>
      </c>
      <c r="N93" s="225">
        <v>0.185</v>
      </c>
      <c r="O93" s="572">
        <v>0.17600000000000002</v>
      </c>
      <c r="P93" s="572">
        <v>0.214</v>
      </c>
      <c r="Q93" s="572">
        <v>0.17508154871649412</v>
      </c>
      <c r="R93" s="1075">
        <v>0.19205663546916246</v>
      </c>
      <c r="S93" s="1075">
        <v>0.17210241931558196</v>
      </c>
      <c r="T93" s="1075">
        <v>0.17969791203909374</v>
      </c>
      <c r="U93" s="2047">
        <v>0.18096609570006569</v>
      </c>
      <c r="V93" s="1401">
        <v>0.18166474875335634</v>
      </c>
      <c r="W93" s="2131">
        <v>0.21672073742211237</v>
      </c>
      <c r="X93" s="226"/>
      <c r="Y93" s="227">
        <v>6733</v>
      </c>
      <c r="Z93" s="227">
        <v>6533</v>
      </c>
      <c r="AA93" s="227">
        <v>7281</v>
      </c>
      <c r="AB93" s="227">
        <v>6895</v>
      </c>
      <c r="AC93" s="227">
        <v>6960</v>
      </c>
      <c r="AD93" s="227">
        <v>7559</v>
      </c>
      <c r="AE93" s="227">
        <v>7195</v>
      </c>
      <c r="AF93" s="227">
        <v>7640</v>
      </c>
      <c r="AG93" s="227">
        <v>7561</v>
      </c>
      <c r="AH93" s="227">
        <v>6852</v>
      </c>
      <c r="AI93" s="228">
        <v>8035</v>
      </c>
      <c r="AJ93" s="579">
        <v>7580</v>
      </c>
      <c r="AK93" s="782">
        <v>9089</v>
      </c>
      <c r="AL93" s="786">
        <v>7407</v>
      </c>
      <c r="AM93" s="1080">
        <v>8003</v>
      </c>
      <c r="AN93" s="1080">
        <v>7071</v>
      </c>
      <c r="AO93" s="1080">
        <v>7281</v>
      </c>
      <c r="AP93" s="1080">
        <v>7163</v>
      </c>
      <c r="AQ93" s="1404">
        <v>7104</v>
      </c>
      <c r="AR93" s="2127">
        <v>8417</v>
      </c>
    </row>
    <row r="94" spans="1:44" ht="16.5" customHeight="1" x14ac:dyDescent="0.3">
      <c r="A94" s="183" t="s">
        <v>231</v>
      </c>
      <c r="B94" s="184" t="s">
        <v>374</v>
      </c>
      <c r="C94" s="941" t="s">
        <v>254</v>
      </c>
      <c r="D94" s="224">
        <v>8.5999999999999993E-2</v>
      </c>
      <c r="E94" s="224">
        <v>8.3000000000000004E-2</v>
      </c>
      <c r="F94" s="224">
        <v>8.6999999999999994E-2</v>
      </c>
      <c r="G94" s="224">
        <v>9.5000000000000001E-2</v>
      </c>
      <c r="H94" s="224">
        <v>8.900000000000001E-2</v>
      </c>
      <c r="I94" s="224">
        <v>9.8000000000000004E-2</v>
      </c>
      <c r="J94" s="224">
        <v>9.6000000000000002E-2</v>
      </c>
      <c r="K94" s="224">
        <v>0.09</v>
      </c>
      <c r="L94" s="224">
        <v>0.10099999999999999</v>
      </c>
      <c r="M94" s="224">
        <v>9.8000000000000004E-2</v>
      </c>
      <c r="N94" s="225">
        <v>0.10300000000000002</v>
      </c>
      <c r="O94" s="572">
        <v>0.10400000000000001</v>
      </c>
      <c r="P94" s="572">
        <v>0.11</v>
      </c>
      <c r="Q94" s="572">
        <v>0.11989748738407884</v>
      </c>
      <c r="R94" s="1075">
        <v>0.11250131150981009</v>
      </c>
      <c r="S94" s="1075">
        <v>0.10846685516808043</v>
      </c>
      <c r="T94" s="1075">
        <v>0.10292342413268252</v>
      </c>
      <c r="U94" s="2047">
        <v>9.2975581908295926E-2</v>
      </c>
      <c r="V94" s="1401">
        <v>0.102633390266908</v>
      </c>
      <c r="W94" s="2131">
        <v>9.6571863890299647E-2</v>
      </c>
      <c r="X94" s="226"/>
      <c r="Y94" s="227">
        <v>2737</v>
      </c>
      <c r="Z94" s="227">
        <v>2697</v>
      </c>
      <c r="AA94" s="227">
        <v>2908</v>
      </c>
      <c r="AB94" s="227">
        <v>3236</v>
      </c>
      <c r="AC94" s="227">
        <v>3114</v>
      </c>
      <c r="AD94" s="227">
        <v>3399</v>
      </c>
      <c r="AE94" s="227">
        <v>3382</v>
      </c>
      <c r="AF94" s="227">
        <v>3180</v>
      </c>
      <c r="AG94" s="227">
        <v>3625</v>
      </c>
      <c r="AH94" s="227">
        <v>3519</v>
      </c>
      <c r="AI94" s="228">
        <v>3812</v>
      </c>
      <c r="AJ94" s="579">
        <v>3858</v>
      </c>
      <c r="AK94" s="782">
        <v>4085</v>
      </c>
      <c r="AL94" s="786">
        <v>4538</v>
      </c>
      <c r="AM94" s="1080">
        <v>4289</v>
      </c>
      <c r="AN94" s="1080">
        <v>4143</v>
      </c>
      <c r="AO94" s="1080">
        <v>3922</v>
      </c>
      <c r="AP94" s="1080">
        <v>3583</v>
      </c>
      <c r="AQ94" s="1404">
        <v>4026</v>
      </c>
      <c r="AR94" s="2127">
        <v>3803</v>
      </c>
    </row>
    <row r="95" spans="1:44" ht="16.5" customHeight="1" x14ac:dyDescent="0.3">
      <c r="A95" s="183" t="s">
        <v>233</v>
      </c>
      <c r="B95" s="184" t="s">
        <v>375</v>
      </c>
      <c r="C95" s="941" t="s">
        <v>255</v>
      </c>
      <c r="D95" s="224">
        <v>0.114</v>
      </c>
      <c r="E95" s="224">
        <v>0.111</v>
      </c>
      <c r="F95" s="224">
        <v>0.12</v>
      </c>
      <c r="G95" s="224">
        <v>0.122</v>
      </c>
      <c r="H95" s="224">
        <v>0.12300000000000001</v>
      </c>
      <c r="I95" s="224">
        <v>0.11</v>
      </c>
      <c r="J95" s="224">
        <v>0.129</v>
      </c>
      <c r="K95" s="224">
        <v>0.14800000000000002</v>
      </c>
      <c r="L95" s="224">
        <v>0.14199999999999999</v>
      </c>
      <c r="M95" s="224">
        <v>0.13900000000000001</v>
      </c>
      <c r="N95" s="225">
        <v>0.14099999999999999</v>
      </c>
      <c r="O95" s="572">
        <v>0.128</v>
      </c>
      <c r="P95" s="572">
        <v>0.13900000000000001</v>
      </c>
      <c r="Q95" s="572">
        <v>0.14870006935462707</v>
      </c>
      <c r="R95" s="1075">
        <v>0.14543608259054497</v>
      </c>
      <c r="S95" s="1075">
        <v>0.16333924595237195</v>
      </c>
      <c r="T95" s="1075">
        <v>0.14676117196679681</v>
      </c>
      <c r="U95" s="2047">
        <v>0.13877442509637114</v>
      </c>
      <c r="V95" s="1401">
        <v>0.15226923295939868</v>
      </c>
      <c r="W95" s="2131">
        <v>0.12294325695832693</v>
      </c>
      <c r="X95" s="226"/>
      <c r="Y95" s="227">
        <v>5761</v>
      </c>
      <c r="Z95" s="227">
        <v>5609</v>
      </c>
      <c r="AA95" s="227">
        <v>6108</v>
      </c>
      <c r="AB95" s="227">
        <v>6265</v>
      </c>
      <c r="AC95" s="227">
        <v>6344</v>
      </c>
      <c r="AD95" s="227">
        <v>5561</v>
      </c>
      <c r="AE95" s="227">
        <v>6576</v>
      </c>
      <c r="AF95" s="227">
        <v>7589</v>
      </c>
      <c r="AG95" s="227">
        <v>7302</v>
      </c>
      <c r="AH95" s="227">
        <v>7165</v>
      </c>
      <c r="AI95" s="228">
        <v>7500</v>
      </c>
      <c r="AJ95" s="579">
        <v>6831</v>
      </c>
      <c r="AK95" s="782">
        <v>7405</v>
      </c>
      <c r="AL95" s="786">
        <v>7933</v>
      </c>
      <c r="AM95" s="1080">
        <v>7734</v>
      </c>
      <c r="AN95" s="1080">
        <v>8656</v>
      </c>
      <c r="AO95" s="1080">
        <v>7744</v>
      </c>
      <c r="AP95" s="1080">
        <v>7308</v>
      </c>
      <c r="AQ95" s="1404">
        <v>8022</v>
      </c>
      <c r="AR95" s="2127">
        <v>6396</v>
      </c>
    </row>
    <row r="96" spans="1:44" ht="16.5" customHeight="1" x14ac:dyDescent="0.3">
      <c r="A96" s="183" t="s">
        <v>235</v>
      </c>
      <c r="B96" s="184" t="s">
        <v>376</v>
      </c>
      <c r="C96" s="941" t="s">
        <v>253</v>
      </c>
      <c r="D96" s="224">
        <v>0.13400000000000001</v>
      </c>
      <c r="E96" s="224">
        <v>0.13</v>
      </c>
      <c r="F96" s="224">
        <v>0.13800000000000001</v>
      </c>
      <c r="G96" s="224">
        <v>0.13800000000000001</v>
      </c>
      <c r="H96" s="224">
        <v>0.13300000000000001</v>
      </c>
      <c r="I96" s="224">
        <v>0.16</v>
      </c>
      <c r="J96" s="224">
        <v>0.14499999999999999</v>
      </c>
      <c r="K96" s="224">
        <v>0.124</v>
      </c>
      <c r="L96" s="224">
        <v>0.14699999999999999</v>
      </c>
      <c r="M96" s="224">
        <v>0.14099999999999999</v>
      </c>
      <c r="N96" s="225">
        <v>0.14699999999999999</v>
      </c>
      <c r="O96" s="572">
        <v>0.17300000000000001</v>
      </c>
      <c r="P96" s="572">
        <v>0.17599999999999999</v>
      </c>
      <c r="Q96" s="572">
        <v>0.15309446254071662</v>
      </c>
      <c r="R96" s="1075">
        <v>0.14984744689424903</v>
      </c>
      <c r="S96" s="1075">
        <v>0.14054115766640027</v>
      </c>
      <c r="T96" s="1075">
        <v>0.14771361529216506</v>
      </c>
      <c r="U96" s="2047">
        <v>0.15518705076687986</v>
      </c>
      <c r="V96" s="1401">
        <v>0.16448408218559493</v>
      </c>
      <c r="W96" s="2131">
        <v>0.15887119307069014</v>
      </c>
      <c r="X96" s="226"/>
      <c r="Y96" s="227">
        <v>2218</v>
      </c>
      <c r="Z96" s="227">
        <v>2171</v>
      </c>
      <c r="AA96" s="227">
        <v>2347</v>
      </c>
      <c r="AB96" s="227">
        <v>2355</v>
      </c>
      <c r="AC96" s="227">
        <v>2293</v>
      </c>
      <c r="AD96" s="227">
        <v>2736</v>
      </c>
      <c r="AE96" s="227">
        <v>2476</v>
      </c>
      <c r="AF96" s="227">
        <v>2118</v>
      </c>
      <c r="AG96" s="227">
        <v>2546</v>
      </c>
      <c r="AH96" s="227">
        <v>2472</v>
      </c>
      <c r="AI96" s="228">
        <v>2555</v>
      </c>
      <c r="AJ96" s="579">
        <v>3020</v>
      </c>
      <c r="AK96" s="782">
        <v>3073</v>
      </c>
      <c r="AL96" s="786">
        <v>2679</v>
      </c>
      <c r="AM96" s="1080">
        <v>2603</v>
      </c>
      <c r="AN96" s="1080">
        <v>2462</v>
      </c>
      <c r="AO96" s="1080">
        <v>2581</v>
      </c>
      <c r="AP96" s="1080">
        <v>2742</v>
      </c>
      <c r="AQ96" s="1404">
        <v>2914</v>
      </c>
      <c r="AR96" s="2127">
        <v>2843</v>
      </c>
    </row>
    <row r="97" spans="1:44" ht="16.5" customHeight="1" x14ac:dyDescent="0.3">
      <c r="A97" s="183" t="s">
        <v>241</v>
      </c>
      <c r="B97" s="184" t="s">
        <v>377</v>
      </c>
      <c r="C97" s="941" t="s">
        <v>255</v>
      </c>
      <c r="D97" s="224">
        <v>0.193</v>
      </c>
      <c r="E97" s="224">
        <v>0.183</v>
      </c>
      <c r="F97" s="224">
        <v>0.20199999999999999</v>
      </c>
      <c r="G97" s="224">
        <v>0.19500000000000001</v>
      </c>
      <c r="H97" s="224">
        <v>0.192</v>
      </c>
      <c r="I97" s="224">
        <v>0.23300000000000001</v>
      </c>
      <c r="J97" s="224">
        <v>0.20100000000000001</v>
      </c>
      <c r="K97" s="224">
        <v>0.21600000000000003</v>
      </c>
      <c r="L97" s="224">
        <v>0.215</v>
      </c>
      <c r="M97" s="224">
        <v>0.193</v>
      </c>
      <c r="N97" s="225">
        <v>0.222</v>
      </c>
      <c r="O97" s="572">
        <v>0.22800000000000001</v>
      </c>
      <c r="P97" s="572">
        <v>0.25600000000000001</v>
      </c>
      <c r="Q97" s="572">
        <v>0.19320836873406966</v>
      </c>
      <c r="R97" s="1075">
        <v>0.21919210973079306</v>
      </c>
      <c r="S97" s="1075">
        <v>0.22680804785209352</v>
      </c>
      <c r="T97" s="1075">
        <v>0.23459643908748176</v>
      </c>
      <c r="U97" s="2047">
        <v>0.23252224186803627</v>
      </c>
      <c r="V97" s="1401">
        <v>0.25368639372673807</v>
      </c>
      <c r="W97" s="2131">
        <v>0.20362174202319996</v>
      </c>
      <c r="X97" s="226"/>
      <c r="Y97" s="227">
        <v>7550</v>
      </c>
      <c r="Z97" s="227">
        <v>7157</v>
      </c>
      <c r="AA97" s="227">
        <v>7942</v>
      </c>
      <c r="AB97" s="227">
        <v>7607</v>
      </c>
      <c r="AC97" s="227">
        <v>7545</v>
      </c>
      <c r="AD97" s="227">
        <v>9005</v>
      </c>
      <c r="AE97" s="227">
        <v>7809</v>
      </c>
      <c r="AF97" s="227">
        <v>8333</v>
      </c>
      <c r="AG97" s="227">
        <v>8287</v>
      </c>
      <c r="AH97" s="227">
        <v>7453</v>
      </c>
      <c r="AI97" s="228">
        <v>8524</v>
      </c>
      <c r="AJ97" s="579">
        <v>8782</v>
      </c>
      <c r="AK97" s="782">
        <v>9750</v>
      </c>
      <c r="AL97" s="786">
        <v>7277</v>
      </c>
      <c r="AM97" s="1080">
        <v>8134</v>
      </c>
      <c r="AN97" s="1080">
        <v>8342</v>
      </c>
      <c r="AO97" s="1080">
        <v>8525</v>
      </c>
      <c r="AP97" s="1080">
        <v>8285</v>
      </c>
      <c r="AQ97" s="1404">
        <v>8929</v>
      </c>
      <c r="AR97" s="2127">
        <v>7039</v>
      </c>
    </row>
    <row r="98" spans="1:44" ht="16.5" customHeight="1" x14ac:dyDescent="0.3">
      <c r="A98" s="183" t="s">
        <v>243</v>
      </c>
      <c r="B98" s="184" t="s">
        <v>378</v>
      </c>
      <c r="C98" s="941" t="s">
        <v>255</v>
      </c>
      <c r="D98" s="224">
        <v>0.11800000000000001</v>
      </c>
      <c r="E98" s="224">
        <v>0.122</v>
      </c>
      <c r="F98" s="224">
        <v>0.13699999999999998</v>
      </c>
      <c r="G98" s="224">
        <v>0.128</v>
      </c>
      <c r="H98" s="224">
        <v>0.11900000000000001</v>
      </c>
      <c r="I98" s="224">
        <v>0.13699999999999998</v>
      </c>
      <c r="J98" s="224">
        <v>0.14599999999999999</v>
      </c>
      <c r="K98" s="224">
        <v>0.122</v>
      </c>
      <c r="L98" s="224">
        <v>0.14000000000000001</v>
      </c>
      <c r="M98" s="224">
        <v>0.14300000000000002</v>
      </c>
      <c r="N98" s="225">
        <v>0.158</v>
      </c>
      <c r="O98" s="572">
        <v>0.14300000000000002</v>
      </c>
      <c r="P98" s="572">
        <v>0.16900000000000001</v>
      </c>
      <c r="Q98" s="572">
        <v>0.15119482129329936</v>
      </c>
      <c r="R98" s="1075">
        <v>0.15584460631286853</v>
      </c>
      <c r="S98" s="1075">
        <v>0.14443827631670253</v>
      </c>
      <c r="T98" s="1075">
        <v>0.14405657748049053</v>
      </c>
      <c r="U98" s="2047">
        <v>0.13848467888624597</v>
      </c>
      <c r="V98" s="1401">
        <v>0.15431382885257425</v>
      </c>
      <c r="W98" s="2131">
        <v>0.12844456973712032</v>
      </c>
      <c r="X98" s="226"/>
      <c r="Y98" s="227">
        <v>3228</v>
      </c>
      <c r="Z98" s="227">
        <v>3351</v>
      </c>
      <c r="AA98" s="227">
        <v>3806</v>
      </c>
      <c r="AB98" s="227">
        <v>3543</v>
      </c>
      <c r="AC98" s="227">
        <v>3366</v>
      </c>
      <c r="AD98" s="227">
        <v>3825</v>
      </c>
      <c r="AE98" s="227">
        <v>4130</v>
      </c>
      <c r="AF98" s="227">
        <v>3421</v>
      </c>
      <c r="AG98" s="227">
        <v>3967</v>
      </c>
      <c r="AH98" s="227">
        <v>4058</v>
      </c>
      <c r="AI98" s="228">
        <v>4578</v>
      </c>
      <c r="AJ98" s="579">
        <v>4148</v>
      </c>
      <c r="AK98" s="782">
        <v>4889</v>
      </c>
      <c r="AL98" s="786">
        <v>4391</v>
      </c>
      <c r="AM98" s="1080">
        <v>4493</v>
      </c>
      <c r="AN98" s="1080">
        <v>4163</v>
      </c>
      <c r="AO98" s="1080">
        <v>4135</v>
      </c>
      <c r="AP98" s="1080">
        <v>3959</v>
      </c>
      <c r="AQ98" s="1404">
        <v>4391</v>
      </c>
      <c r="AR98" s="2127">
        <v>3645</v>
      </c>
    </row>
    <row r="99" spans="1:44" ht="16.5" customHeight="1" x14ac:dyDescent="0.3">
      <c r="A99" s="183" t="s">
        <v>245</v>
      </c>
      <c r="B99" s="184" t="s">
        <v>494</v>
      </c>
      <c r="C99" s="941" t="s">
        <v>251</v>
      </c>
      <c r="D99" s="224">
        <v>4.2800000000000005E-2</v>
      </c>
      <c r="E99" s="224">
        <v>4.2699999999999995E-2</v>
      </c>
      <c r="F99" s="224">
        <v>4.4400000000000002E-2</v>
      </c>
      <c r="G99" s="224">
        <v>4.9699999999999994E-2</v>
      </c>
      <c r="H99" s="224">
        <v>4.7699999999999992E-2</v>
      </c>
      <c r="I99" s="224">
        <v>4.2599999999999999E-2</v>
      </c>
      <c r="J99" s="224">
        <v>4.4000000000000004E-2</v>
      </c>
      <c r="K99" s="224">
        <v>4.2000000000000003E-2</v>
      </c>
      <c r="L99" s="224">
        <v>4.4000000000000004E-2</v>
      </c>
      <c r="M99" s="224">
        <v>4.7300000000000002E-2</v>
      </c>
      <c r="N99" s="225">
        <v>5.3157922199184374E-2</v>
      </c>
      <c r="O99" s="572">
        <v>5.3691962856227987E-2</v>
      </c>
      <c r="P99" s="572">
        <v>6.6000000000000003E-2</v>
      </c>
      <c r="Q99" s="572">
        <v>5.9275493103003736E-2</v>
      </c>
      <c r="R99" s="1075">
        <v>5.5706574251813301E-2</v>
      </c>
      <c r="S99" s="1075">
        <v>5.3377498514482216E-2</v>
      </c>
      <c r="T99" s="1075">
        <v>5.1383449147188884E-2</v>
      </c>
      <c r="U99" s="2047">
        <v>4.9628513929145517E-2</v>
      </c>
      <c r="V99" s="1401">
        <v>5.4376775007888921E-2</v>
      </c>
      <c r="W99" s="2131">
        <v>5.1254390366281988E-2</v>
      </c>
      <c r="X99" s="226"/>
      <c r="Y99" s="227">
        <v>2965</v>
      </c>
      <c r="Z99" s="227">
        <v>3035</v>
      </c>
      <c r="AA99" s="227">
        <v>3230</v>
      </c>
      <c r="AB99" s="227">
        <v>3589</v>
      </c>
      <c r="AC99" s="227">
        <v>3510</v>
      </c>
      <c r="AD99" s="227">
        <v>3102</v>
      </c>
      <c r="AE99" s="227">
        <v>3228</v>
      </c>
      <c r="AF99" s="227">
        <v>3067</v>
      </c>
      <c r="AG99" s="227">
        <v>3172</v>
      </c>
      <c r="AH99" s="227">
        <v>3402</v>
      </c>
      <c r="AI99" s="579">
        <v>4058</v>
      </c>
      <c r="AJ99" s="579">
        <v>4192</v>
      </c>
      <c r="AK99" s="782">
        <v>5134</v>
      </c>
      <c r="AL99" s="786">
        <v>4598</v>
      </c>
      <c r="AM99" s="1080">
        <v>4324</v>
      </c>
      <c r="AN99" s="1080">
        <v>4222</v>
      </c>
      <c r="AO99" s="1080">
        <v>4067</v>
      </c>
      <c r="AP99" s="1080">
        <v>3921</v>
      </c>
      <c r="AQ99" s="1404">
        <v>4308</v>
      </c>
      <c r="AR99" s="2127">
        <v>4086</v>
      </c>
    </row>
    <row r="100" spans="1:44" ht="16.5" customHeight="1" x14ac:dyDescent="0.3">
      <c r="A100" s="183" t="s">
        <v>13</v>
      </c>
      <c r="B100" s="184" t="s">
        <v>14</v>
      </c>
      <c r="C100" s="941" t="s">
        <v>254</v>
      </c>
      <c r="D100" s="224">
        <v>7.4999999999999997E-2</v>
      </c>
      <c r="E100" s="224">
        <v>7.2000000000000008E-2</v>
      </c>
      <c r="F100" s="224">
        <v>7.8E-2</v>
      </c>
      <c r="G100" s="224">
        <v>8.8000000000000009E-2</v>
      </c>
      <c r="H100" s="224">
        <v>8.3000000000000004E-2</v>
      </c>
      <c r="I100" s="224">
        <v>7.6999999999999999E-2</v>
      </c>
      <c r="J100" s="224">
        <v>7.2000000000000008E-2</v>
      </c>
      <c r="K100" s="224">
        <v>8.3000000000000004E-2</v>
      </c>
      <c r="L100" s="224">
        <v>0.08</v>
      </c>
      <c r="M100" s="224">
        <v>9.0999999999999998E-2</v>
      </c>
      <c r="N100" s="225">
        <v>9.3000000000000013E-2</v>
      </c>
      <c r="O100" s="572">
        <v>8.1000000000000003E-2</v>
      </c>
      <c r="P100" s="572">
        <v>8.5999999999999993E-2</v>
      </c>
      <c r="Q100" s="572">
        <v>8.7829889090624724E-2</v>
      </c>
      <c r="R100" s="1075">
        <v>9.5899435332078523E-2</v>
      </c>
      <c r="S100" s="1075">
        <v>9.1208820193601145E-2</v>
      </c>
      <c r="T100" s="1075">
        <v>0.10460302709306785</v>
      </c>
      <c r="U100" s="2047">
        <v>0.10069121655378271</v>
      </c>
      <c r="V100" s="1401">
        <v>0.1014620675741279</v>
      </c>
      <c r="W100" s="2131">
        <v>8.6321204038864549E-2</v>
      </c>
      <c r="X100" s="226"/>
      <c r="Y100" s="227">
        <v>9744</v>
      </c>
      <c r="Z100" s="227">
        <v>9285</v>
      </c>
      <c r="AA100" s="227">
        <v>10067</v>
      </c>
      <c r="AB100" s="227">
        <v>11271</v>
      </c>
      <c r="AC100" s="227">
        <v>11165</v>
      </c>
      <c r="AD100" s="227">
        <v>10320</v>
      </c>
      <c r="AE100" s="227">
        <v>9685</v>
      </c>
      <c r="AF100" s="227">
        <v>11450</v>
      </c>
      <c r="AG100" s="227">
        <v>11398</v>
      </c>
      <c r="AH100" s="227">
        <v>13486</v>
      </c>
      <c r="AI100" s="228">
        <v>12898</v>
      </c>
      <c r="AJ100" s="579">
        <v>11522</v>
      </c>
      <c r="AK100" s="782">
        <v>12412</v>
      </c>
      <c r="AL100" s="786">
        <v>12916</v>
      </c>
      <c r="AM100" s="1080">
        <v>14266</v>
      </c>
      <c r="AN100" s="1080">
        <v>13832</v>
      </c>
      <c r="AO100" s="1080">
        <v>16096</v>
      </c>
      <c r="AP100" s="1080">
        <v>15922</v>
      </c>
      <c r="AQ100" s="1404">
        <v>16093</v>
      </c>
      <c r="AR100" s="2127">
        <v>13593</v>
      </c>
    </row>
    <row r="101" spans="1:44" ht="16.5" customHeight="1" x14ac:dyDescent="0.3">
      <c r="A101" s="183" t="s">
        <v>33</v>
      </c>
      <c r="B101" s="184" t="s">
        <v>34</v>
      </c>
      <c r="C101" s="941" t="s">
        <v>255</v>
      </c>
      <c r="D101" s="224">
        <v>0.154</v>
      </c>
      <c r="E101" s="224">
        <v>0.156</v>
      </c>
      <c r="F101" s="224">
        <v>0.17100000000000001</v>
      </c>
      <c r="G101" s="224">
        <v>0.16399999999999998</v>
      </c>
      <c r="H101" s="224">
        <v>0.16800000000000001</v>
      </c>
      <c r="I101" s="224">
        <v>0.182</v>
      </c>
      <c r="J101" s="224">
        <v>0.214</v>
      </c>
      <c r="K101" s="224">
        <v>0.183</v>
      </c>
      <c r="L101" s="224">
        <v>0.21299999999999999</v>
      </c>
      <c r="M101" s="224">
        <v>0.20199999999999999</v>
      </c>
      <c r="N101" s="225">
        <v>0.21500000000000002</v>
      </c>
      <c r="O101" s="572">
        <v>0.25800000000000001</v>
      </c>
      <c r="P101" s="572">
        <v>0.21099999999999999</v>
      </c>
      <c r="Q101" s="572">
        <v>0.21624151649894688</v>
      </c>
      <c r="R101" s="1075">
        <v>0.21793737838315938</v>
      </c>
      <c r="S101" s="1075">
        <v>0.19269417188793</v>
      </c>
      <c r="T101" s="1075">
        <v>0.23628212791392708</v>
      </c>
      <c r="U101" s="2047">
        <v>0.19348219674109837</v>
      </c>
      <c r="V101" s="1401">
        <v>0.20452867339404382</v>
      </c>
      <c r="W101" s="2131">
        <v>0.21806740485266535</v>
      </c>
      <c r="X101" s="226"/>
      <c r="Y101" s="227">
        <v>2597</v>
      </c>
      <c r="Z101" s="227">
        <v>2577</v>
      </c>
      <c r="AA101" s="227">
        <v>2861</v>
      </c>
      <c r="AB101" s="227">
        <v>2763</v>
      </c>
      <c r="AC101" s="227">
        <v>2805</v>
      </c>
      <c r="AD101" s="227">
        <v>2999</v>
      </c>
      <c r="AE101" s="227">
        <v>3584</v>
      </c>
      <c r="AF101" s="227">
        <v>3098</v>
      </c>
      <c r="AG101" s="227">
        <v>3605</v>
      </c>
      <c r="AH101" s="227">
        <v>3458</v>
      </c>
      <c r="AI101" s="228">
        <v>3744</v>
      </c>
      <c r="AJ101" s="579">
        <v>4466</v>
      </c>
      <c r="AK101" s="782">
        <v>3624</v>
      </c>
      <c r="AL101" s="786">
        <v>3696</v>
      </c>
      <c r="AM101" s="1080">
        <v>3696</v>
      </c>
      <c r="AN101" s="1080">
        <v>3260</v>
      </c>
      <c r="AO101" s="1080">
        <v>3953</v>
      </c>
      <c r="AP101" s="1080">
        <v>3206</v>
      </c>
      <c r="AQ101" s="1404">
        <v>3324</v>
      </c>
      <c r="AR101" s="2127">
        <v>3604</v>
      </c>
    </row>
    <row r="102" spans="1:44" ht="16.5" customHeight="1" x14ac:dyDescent="0.3">
      <c r="A102" s="183" t="s">
        <v>51</v>
      </c>
      <c r="B102" s="184" t="s">
        <v>52</v>
      </c>
      <c r="C102" s="941" t="s">
        <v>252</v>
      </c>
      <c r="D102" s="224">
        <v>0.16800000000000001</v>
      </c>
      <c r="E102" s="224">
        <v>0.14599999999999999</v>
      </c>
      <c r="F102" s="224">
        <v>0.16399999999999998</v>
      </c>
      <c r="G102" s="224">
        <v>0.18</v>
      </c>
      <c r="H102" s="224">
        <v>0.17199999999999999</v>
      </c>
      <c r="I102" s="224">
        <v>0.23699999999999999</v>
      </c>
      <c r="J102" s="224">
        <v>0.24</v>
      </c>
      <c r="K102" s="224">
        <v>0.23600000000000002</v>
      </c>
      <c r="L102" s="224">
        <v>0.218</v>
      </c>
      <c r="M102" s="224">
        <v>0.214</v>
      </c>
      <c r="N102" s="225">
        <v>0.20200000000000001</v>
      </c>
      <c r="O102" s="572">
        <v>0.23</v>
      </c>
      <c r="P102" s="572">
        <v>0.24199999999999999</v>
      </c>
      <c r="Q102" s="572">
        <v>0.22897096751295459</v>
      </c>
      <c r="R102" s="1075">
        <v>0.2591647705072514</v>
      </c>
      <c r="S102" s="1075">
        <v>0.2073885980090335</v>
      </c>
      <c r="T102" s="1075">
        <v>0.22848532202254715</v>
      </c>
      <c r="U102" s="2047">
        <v>0.20323149620016115</v>
      </c>
      <c r="V102" s="1401">
        <v>0.2307190679071385</v>
      </c>
      <c r="W102" s="2131">
        <v>0.22074297233236603</v>
      </c>
      <c r="X102" s="226"/>
      <c r="Y102" s="227">
        <v>6470</v>
      </c>
      <c r="Z102" s="227">
        <v>5556</v>
      </c>
      <c r="AA102" s="227">
        <v>6184</v>
      </c>
      <c r="AB102" s="227">
        <v>6295</v>
      </c>
      <c r="AC102" s="227">
        <v>6720</v>
      </c>
      <c r="AD102" s="227">
        <v>9101</v>
      </c>
      <c r="AE102" s="227">
        <v>9240</v>
      </c>
      <c r="AF102" s="227">
        <v>9299</v>
      </c>
      <c r="AG102" s="227">
        <v>8640</v>
      </c>
      <c r="AH102" s="227">
        <v>8666</v>
      </c>
      <c r="AI102" s="228">
        <v>8387</v>
      </c>
      <c r="AJ102" s="579">
        <v>9508</v>
      </c>
      <c r="AK102" s="782">
        <v>10138</v>
      </c>
      <c r="AL102" s="786">
        <v>9677</v>
      </c>
      <c r="AM102" s="1080">
        <v>11276</v>
      </c>
      <c r="AN102" s="1080">
        <v>9229</v>
      </c>
      <c r="AO102" s="1080">
        <v>10235</v>
      </c>
      <c r="AP102" s="1080">
        <v>9333</v>
      </c>
      <c r="AQ102" s="1404">
        <v>10614</v>
      </c>
      <c r="AR102" s="2127">
        <v>9965</v>
      </c>
    </row>
    <row r="103" spans="1:44" ht="16.5" customHeight="1" x14ac:dyDescent="0.3">
      <c r="A103" s="183" t="s">
        <v>53</v>
      </c>
      <c r="B103" s="184" t="s">
        <v>54</v>
      </c>
      <c r="C103" s="941" t="s">
        <v>251</v>
      </c>
      <c r="D103" s="224">
        <v>7.6999999999999999E-2</v>
      </c>
      <c r="E103" s="224">
        <v>7.5999999999999998E-2</v>
      </c>
      <c r="F103" s="224">
        <v>8.3000000000000004E-2</v>
      </c>
      <c r="G103" s="224">
        <v>9.0999999999999998E-2</v>
      </c>
      <c r="H103" s="224">
        <v>8.6999999999999994E-2</v>
      </c>
      <c r="I103" s="224">
        <v>6.8000000000000005E-2</v>
      </c>
      <c r="J103" s="224">
        <v>6.8000000000000005E-2</v>
      </c>
      <c r="K103" s="224">
        <v>0.08</v>
      </c>
      <c r="L103" s="224">
        <v>7.9000000000000001E-2</v>
      </c>
      <c r="M103" s="224">
        <v>7.2999999999999995E-2</v>
      </c>
      <c r="N103" s="225">
        <v>0.08</v>
      </c>
      <c r="O103" s="572">
        <v>9.3000000000000013E-2</v>
      </c>
      <c r="P103" s="572">
        <v>0.104</v>
      </c>
      <c r="Q103" s="572">
        <v>9.568905157362026E-2</v>
      </c>
      <c r="R103" s="1075">
        <v>9.8083057307003993E-2</v>
      </c>
      <c r="S103" s="1075">
        <v>9.7339874128725287E-2</v>
      </c>
      <c r="T103" s="1075">
        <v>8.6093965143761608E-2</v>
      </c>
      <c r="U103" s="2047">
        <v>9.3067869769494896E-2</v>
      </c>
      <c r="V103" s="1401">
        <v>8.5132247535080932E-2</v>
      </c>
      <c r="W103" s="2131">
        <v>8.2603003593972796E-2</v>
      </c>
      <c r="X103" s="226"/>
      <c r="Y103" s="227">
        <v>15364</v>
      </c>
      <c r="Z103" s="227">
        <v>15393</v>
      </c>
      <c r="AA103" s="227">
        <v>17353</v>
      </c>
      <c r="AB103" s="227">
        <v>19330</v>
      </c>
      <c r="AC103" s="227">
        <v>18815</v>
      </c>
      <c r="AD103" s="227">
        <v>14571</v>
      </c>
      <c r="AE103" s="227">
        <v>14811</v>
      </c>
      <c r="AF103" s="227">
        <v>17246</v>
      </c>
      <c r="AG103" s="227">
        <v>17088</v>
      </c>
      <c r="AH103" s="227">
        <v>15859</v>
      </c>
      <c r="AI103" s="228">
        <v>17468</v>
      </c>
      <c r="AJ103" s="579">
        <v>20551</v>
      </c>
      <c r="AK103" s="782">
        <v>23308</v>
      </c>
      <c r="AL103" s="786">
        <v>21593</v>
      </c>
      <c r="AM103" s="1080">
        <v>22416</v>
      </c>
      <c r="AN103" s="1080">
        <v>22442</v>
      </c>
      <c r="AO103" s="1080">
        <v>20071</v>
      </c>
      <c r="AP103" s="1080">
        <v>21928</v>
      </c>
      <c r="AQ103" s="1404">
        <v>20239</v>
      </c>
      <c r="AR103" s="2127">
        <v>19812</v>
      </c>
    </row>
    <row r="104" spans="1:44" ht="16.5" customHeight="1" x14ac:dyDescent="0.3">
      <c r="A104" s="183" t="s">
        <v>65</v>
      </c>
      <c r="B104" s="184" t="s">
        <v>66</v>
      </c>
      <c r="C104" s="941" t="s">
        <v>252</v>
      </c>
      <c r="D104" s="224">
        <v>0.17100000000000001</v>
      </c>
      <c r="E104" s="224">
        <v>0.17300000000000001</v>
      </c>
      <c r="F104" s="224">
        <v>0.192</v>
      </c>
      <c r="G104" s="224">
        <v>0.19399999999999998</v>
      </c>
      <c r="H104" s="224">
        <v>0.19399999999999998</v>
      </c>
      <c r="I104" s="224">
        <v>0.24299999999999999</v>
      </c>
      <c r="J104" s="224">
        <v>0.223</v>
      </c>
      <c r="K104" s="224">
        <v>0.22800000000000001</v>
      </c>
      <c r="L104" s="224">
        <v>0.20800000000000002</v>
      </c>
      <c r="M104" s="224">
        <v>0.251</v>
      </c>
      <c r="N104" s="225">
        <v>0.26600000000000001</v>
      </c>
      <c r="O104" s="572">
        <v>0.26500000000000001</v>
      </c>
      <c r="P104" s="572">
        <v>0.25900000000000001</v>
      </c>
      <c r="Q104" s="572">
        <v>0.25023586617316207</v>
      </c>
      <c r="R104" s="1075">
        <v>0.2357767382625946</v>
      </c>
      <c r="S104" s="1075">
        <v>0.23496324073617211</v>
      </c>
      <c r="T104" s="1075">
        <v>0.22336624820126036</v>
      </c>
      <c r="U104" s="2047">
        <v>0.2442526560173619</v>
      </c>
      <c r="V104" s="1401">
        <v>0.25571826522528046</v>
      </c>
      <c r="W104" s="2131">
        <v>0.23453420669577874</v>
      </c>
      <c r="X104" s="226"/>
      <c r="Y104" s="227">
        <v>7972</v>
      </c>
      <c r="Z104" s="227">
        <v>7971</v>
      </c>
      <c r="AA104" s="227">
        <v>8821</v>
      </c>
      <c r="AB104" s="227">
        <v>8796</v>
      </c>
      <c r="AC104" s="227">
        <v>8715</v>
      </c>
      <c r="AD104" s="227">
        <v>10779</v>
      </c>
      <c r="AE104" s="227">
        <v>9838</v>
      </c>
      <c r="AF104" s="227">
        <v>9930</v>
      </c>
      <c r="AG104" s="227">
        <v>8991</v>
      </c>
      <c r="AH104" s="227">
        <v>10764</v>
      </c>
      <c r="AI104" s="228">
        <v>11032</v>
      </c>
      <c r="AJ104" s="579">
        <v>10984</v>
      </c>
      <c r="AK104" s="782">
        <v>10719</v>
      </c>
      <c r="AL104" s="786">
        <v>10344</v>
      </c>
      <c r="AM104" s="1080">
        <v>9627</v>
      </c>
      <c r="AN104" s="1080">
        <v>9524</v>
      </c>
      <c r="AO104" s="1080">
        <v>9003</v>
      </c>
      <c r="AP104" s="1080">
        <v>9679</v>
      </c>
      <c r="AQ104" s="1404">
        <v>10006</v>
      </c>
      <c r="AR104" s="2127">
        <v>9023</v>
      </c>
    </row>
    <row r="105" spans="1:44" ht="16.5" customHeight="1" x14ac:dyDescent="0.3">
      <c r="A105" s="183" t="s">
        <v>81</v>
      </c>
      <c r="B105" s="184" t="s">
        <v>82</v>
      </c>
      <c r="C105" s="941" t="s">
        <v>251</v>
      </c>
      <c r="D105" s="224">
        <v>0.17499999999999999</v>
      </c>
      <c r="E105" s="224">
        <v>0.156</v>
      </c>
      <c r="F105" s="224">
        <v>0.17100000000000001</v>
      </c>
      <c r="G105" s="224">
        <v>0.17399999999999999</v>
      </c>
      <c r="H105" s="224">
        <v>0.16600000000000001</v>
      </c>
      <c r="I105" s="224">
        <v>0.20100000000000001</v>
      </c>
      <c r="J105" s="224">
        <v>0.185</v>
      </c>
      <c r="K105" s="224">
        <v>0.184</v>
      </c>
      <c r="L105" s="224">
        <v>0.19399999999999998</v>
      </c>
      <c r="M105" s="224">
        <v>0.17699999999999999</v>
      </c>
      <c r="N105" s="225">
        <v>0.216</v>
      </c>
      <c r="O105" s="572">
        <v>0.218</v>
      </c>
      <c r="P105" s="572">
        <v>0.20799999999999999</v>
      </c>
      <c r="Q105" s="572">
        <v>0.2186030103480715</v>
      </c>
      <c r="R105" s="1075">
        <v>0.22489577129243599</v>
      </c>
      <c r="S105" s="1075">
        <v>0.19408878784252723</v>
      </c>
      <c r="T105" s="1075">
        <v>0.1824969400244798</v>
      </c>
      <c r="U105" s="2047">
        <v>0.20805369127516779</v>
      </c>
      <c r="V105" s="1401">
        <v>0.1832254790001269</v>
      </c>
      <c r="W105" s="2131">
        <v>0.19248946225571592</v>
      </c>
      <c r="X105" s="226"/>
      <c r="Y105" s="227">
        <v>1401</v>
      </c>
      <c r="Z105" s="227">
        <v>1237</v>
      </c>
      <c r="AA105" s="227">
        <v>1374</v>
      </c>
      <c r="AB105" s="227">
        <v>1435</v>
      </c>
      <c r="AC105" s="227">
        <v>1388</v>
      </c>
      <c r="AD105" s="227">
        <v>1668</v>
      </c>
      <c r="AE105" s="227">
        <v>1576</v>
      </c>
      <c r="AF105" s="227">
        <v>1586</v>
      </c>
      <c r="AG105" s="227">
        <v>1663</v>
      </c>
      <c r="AH105" s="227">
        <v>1506</v>
      </c>
      <c r="AI105" s="228">
        <v>1833</v>
      </c>
      <c r="AJ105" s="579">
        <v>1843</v>
      </c>
      <c r="AK105" s="782">
        <v>1750</v>
      </c>
      <c r="AL105" s="786">
        <v>1859</v>
      </c>
      <c r="AM105" s="1080">
        <v>1888</v>
      </c>
      <c r="AN105" s="1080">
        <v>1622</v>
      </c>
      <c r="AO105" s="1080">
        <v>1491</v>
      </c>
      <c r="AP105" s="1080">
        <v>1674</v>
      </c>
      <c r="AQ105" s="1404">
        <v>1444</v>
      </c>
      <c r="AR105" s="2127">
        <v>1507</v>
      </c>
    </row>
    <row r="106" spans="1:44" ht="16.5" customHeight="1" x14ac:dyDescent="0.3">
      <c r="A106" s="183" t="s">
        <v>87</v>
      </c>
      <c r="B106" s="184" t="s">
        <v>88</v>
      </c>
      <c r="C106" s="941" t="s">
        <v>254</v>
      </c>
      <c r="D106" s="224">
        <v>0.128</v>
      </c>
      <c r="E106" s="224">
        <v>0.126</v>
      </c>
      <c r="F106" s="224">
        <v>0.13699999999999998</v>
      </c>
      <c r="G106" s="224">
        <v>0.14199999999999999</v>
      </c>
      <c r="H106" s="224">
        <v>0.14400000000000002</v>
      </c>
      <c r="I106" s="224">
        <v>0.17</v>
      </c>
      <c r="J106" s="224">
        <v>0.14899999999999999</v>
      </c>
      <c r="K106" s="224">
        <v>0.13</v>
      </c>
      <c r="L106" s="224">
        <v>0.154</v>
      </c>
      <c r="M106" s="224">
        <v>0.17300000000000001</v>
      </c>
      <c r="N106" s="225">
        <v>0.19800000000000001</v>
      </c>
      <c r="O106" s="572">
        <v>0.159</v>
      </c>
      <c r="P106" s="572">
        <v>0.157</v>
      </c>
      <c r="Q106" s="572">
        <v>0.17524306378942375</v>
      </c>
      <c r="R106" s="1075">
        <v>0.16764338177840299</v>
      </c>
      <c r="S106" s="1075">
        <v>0.1590642359752758</v>
      </c>
      <c r="T106" s="1075">
        <v>0.14608621226268284</v>
      </c>
      <c r="U106" s="2047">
        <v>0.1409090909090909</v>
      </c>
      <c r="V106" s="1401">
        <v>0.14543600589146116</v>
      </c>
      <c r="W106" s="2131">
        <v>0.16930955993930197</v>
      </c>
      <c r="X106" s="226"/>
      <c r="Y106" s="227">
        <v>2267</v>
      </c>
      <c r="Z106" s="227">
        <v>2247</v>
      </c>
      <c r="AA106" s="227">
        <v>2476</v>
      </c>
      <c r="AB106" s="227">
        <v>2594</v>
      </c>
      <c r="AC106" s="227">
        <v>2630</v>
      </c>
      <c r="AD106" s="227">
        <v>3050</v>
      </c>
      <c r="AE106" s="227">
        <v>2783</v>
      </c>
      <c r="AF106" s="227">
        <v>2585</v>
      </c>
      <c r="AG106" s="227">
        <v>3118</v>
      </c>
      <c r="AH106" s="227">
        <v>3581</v>
      </c>
      <c r="AI106" s="228">
        <v>4338</v>
      </c>
      <c r="AJ106" s="579">
        <v>3681</v>
      </c>
      <c r="AK106" s="782">
        <v>3860</v>
      </c>
      <c r="AL106" s="786">
        <v>4434</v>
      </c>
      <c r="AM106" s="1080">
        <v>4291</v>
      </c>
      <c r="AN106" s="1080">
        <v>4066</v>
      </c>
      <c r="AO106" s="1080">
        <v>3755</v>
      </c>
      <c r="AP106" s="1080">
        <v>3627</v>
      </c>
      <c r="AQ106" s="1404">
        <v>3851</v>
      </c>
      <c r="AR106" s="2127">
        <v>4463</v>
      </c>
    </row>
    <row r="107" spans="1:44" ht="16.5" customHeight="1" x14ac:dyDescent="0.3">
      <c r="A107" s="183" t="s">
        <v>89</v>
      </c>
      <c r="B107" s="184" t="s">
        <v>90</v>
      </c>
      <c r="C107" s="941" t="s">
        <v>255</v>
      </c>
      <c r="D107" s="224">
        <v>0.184</v>
      </c>
      <c r="E107" s="224">
        <v>0.16899999999999998</v>
      </c>
      <c r="F107" s="224">
        <v>0.17699999999999999</v>
      </c>
      <c r="G107" s="224">
        <v>0.18</v>
      </c>
      <c r="H107" s="224">
        <v>0.17</v>
      </c>
      <c r="I107" s="224">
        <v>0.20699999999999999</v>
      </c>
      <c r="J107" s="224">
        <v>0.23</v>
      </c>
      <c r="K107" s="224">
        <v>0.19</v>
      </c>
      <c r="L107" s="224">
        <v>0.20699999999999999</v>
      </c>
      <c r="M107" s="224">
        <v>0.191</v>
      </c>
      <c r="N107" s="225">
        <v>0.223</v>
      </c>
      <c r="O107" s="572">
        <v>0.22899999999999998</v>
      </c>
      <c r="P107" s="572">
        <v>0.22800000000000001</v>
      </c>
      <c r="Q107" s="572">
        <v>0.22763744427934621</v>
      </c>
      <c r="R107" s="1075">
        <v>0.22738787066011026</v>
      </c>
      <c r="S107" s="1075">
        <v>0.24190620272314675</v>
      </c>
      <c r="T107" s="1075">
        <v>0.20513216880507035</v>
      </c>
      <c r="U107" s="2047">
        <v>0.21549407114624505</v>
      </c>
      <c r="V107" s="1401">
        <v>0.21659588369813787</v>
      </c>
      <c r="W107" s="2131">
        <v>0.19049983449189009</v>
      </c>
      <c r="X107" s="226"/>
      <c r="Y107" s="227">
        <v>1202</v>
      </c>
      <c r="Z107" s="227">
        <v>1094</v>
      </c>
      <c r="AA107" s="227">
        <v>1163</v>
      </c>
      <c r="AB107" s="227">
        <v>1180</v>
      </c>
      <c r="AC107" s="227">
        <v>1118</v>
      </c>
      <c r="AD107" s="227">
        <v>1349</v>
      </c>
      <c r="AE107" s="227">
        <v>1504</v>
      </c>
      <c r="AF107" s="227">
        <v>1267</v>
      </c>
      <c r="AG107" s="227">
        <v>1378</v>
      </c>
      <c r="AH107" s="227">
        <v>1286</v>
      </c>
      <c r="AI107" s="228">
        <v>1512</v>
      </c>
      <c r="AJ107" s="579">
        <v>1530</v>
      </c>
      <c r="AK107" s="782">
        <v>1506</v>
      </c>
      <c r="AL107" s="786">
        <v>1532</v>
      </c>
      <c r="AM107" s="1080">
        <v>1526</v>
      </c>
      <c r="AN107" s="1080">
        <v>1599</v>
      </c>
      <c r="AO107" s="1080">
        <v>1327</v>
      </c>
      <c r="AP107" s="1080">
        <v>1363</v>
      </c>
      <c r="AQ107" s="1404">
        <v>1326</v>
      </c>
      <c r="AR107" s="2127">
        <v>1151</v>
      </c>
    </row>
    <row r="108" spans="1:44" ht="16.5" customHeight="1" x14ac:dyDescent="0.3">
      <c r="A108" s="183" t="s">
        <v>105</v>
      </c>
      <c r="B108" s="184" t="s">
        <v>106</v>
      </c>
      <c r="C108" s="941" t="s">
        <v>251</v>
      </c>
      <c r="D108" s="224">
        <v>0.122</v>
      </c>
      <c r="E108" s="224">
        <v>0.121</v>
      </c>
      <c r="F108" s="224">
        <v>0.13</v>
      </c>
      <c r="G108" s="224">
        <v>0.13100000000000001</v>
      </c>
      <c r="H108" s="224">
        <v>0.125</v>
      </c>
      <c r="I108" s="224">
        <v>0.13400000000000001</v>
      </c>
      <c r="J108" s="224">
        <v>0.121</v>
      </c>
      <c r="K108" s="224">
        <v>0.15</v>
      </c>
      <c r="L108" s="224">
        <v>0.14199999999999999</v>
      </c>
      <c r="M108" s="224">
        <v>0.14800000000000002</v>
      </c>
      <c r="N108" s="225">
        <v>0.13099999999999998</v>
      </c>
      <c r="O108" s="572">
        <v>0.153</v>
      </c>
      <c r="P108" s="572">
        <v>0.16500000000000001</v>
      </c>
      <c r="Q108" s="572">
        <v>0.15595928806935214</v>
      </c>
      <c r="R108" s="1075">
        <v>0.15181356519642561</v>
      </c>
      <c r="S108" s="1075">
        <v>0.15230752887256613</v>
      </c>
      <c r="T108" s="1075">
        <v>0.16433467355925713</v>
      </c>
      <c r="U108" s="2047">
        <v>0.15489403084142445</v>
      </c>
      <c r="V108" s="1401">
        <v>0.15432447273374117</v>
      </c>
      <c r="W108" s="2131">
        <v>0.13842898622351268</v>
      </c>
      <c r="X108" s="226"/>
      <c r="Y108" s="227">
        <v>16301</v>
      </c>
      <c r="Z108" s="227">
        <v>16154</v>
      </c>
      <c r="AA108" s="227">
        <v>17671</v>
      </c>
      <c r="AB108" s="227">
        <v>17544</v>
      </c>
      <c r="AC108" s="227">
        <v>16802</v>
      </c>
      <c r="AD108" s="227">
        <v>17885</v>
      </c>
      <c r="AE108" s="227">
        <v>16140</v>
      </c>
      <c r="AF108" s="227">
        <v>20115</v>
      </c>
      <c r="AG108" s="227">
        <v>18827</v>
      </c>
      <c r="AH108" s="227">
        <v>19499</v>
      </c>
      <c r="AI108" s="228">
        <v>17439</v>
      </c>
      <c r="AJ108" s="579">
        <v>20153</v>
      </c>
      <c r="AK108" s="782">
        <v>21855</v>
      </c>
      <c r="AL108" s="786">
        <v>20671</v>
      </c>
      <c r="AM108" s="1080">
        <v>20149</v>
      </c>
      <c r="AN108" s="1080">
        <v>20072</v>
      </c>
      <c r="AO108" s="1080">
        <v>21458</v>
      </c>
      <c r="AP108" s="1080">
        <v>20069</v>
      </c>
      <c r="AQ108" s="1404">
        <v>19954</v>
      </c>
      <c r="AR108" s="2127">
        <v>17926</v>
      </c>
    </row>
    <row r="109" spans="1:44" ht="16.5" customHeight="1" x14ac:dyDescent="0.3">
      <c r="A109" s="183" t="s">
        <v>115</v>
      </c>
      <c r="B109" s="184" t="s">
        <v>116</v>
      </c>
      <c r="C109" s="941" t="s">
        <v>253</v>
      </c>
      <c r="D109" s="224">
        <v>0.14499999999999999</v>
      </c>
      <c r="E109" s="224">
        <v>0.14099999999999999</v>
      </c>
      <c r="F109" s="224">
        <v>0.16</v>
      </c>
      <c r="G109" s="224">
        <v>0.16399999999999998</v>
      </c>
      <c r="H109" s="224">
        <v>0.155</v>
      </c>
      <c r="I109" s="224">
        <v>0.16600000000000001</v>
      </c>
      <c r="J109" s="224">
        <v>0.16600000000000001</v>
      </c>
      <c r="K109" s="224">
        <v>0.15</v>
      </c>
      <c r="L109" s="224">
        <v>0.17899999999999999</v>
      </c>
      <c r="M109" s="224">
        <v>0.19699999999999998</v>
      </c>
      <c r="N109" s="225">
        <v>0.17299999999999999</v>
      </c>
      <c r="O109" s="572">
        <v>0.183</v>
      </c>
      <c r="P109" s="572">
        <v>0.189</v>
      </c>
      <c r="Q109" s="572">
        <v>0.22586412395709177</v>
      </c>
      <c r="R109" s="1075">
        <v>0.19529605564198774</v>
      </c>
      <c r="S109" s="1075">
        <v>0.20570209288600355</v>
      </c>
      <c r="T109" s="1075">
        <v>0.20701064115174819</v>
      </c>
      <c r="U109" s="2047">
        <v>0.19910193084867533</v>
      </c>
      <c r="V109" s="1401">
        <v>0.19702284583558194</v>
      </c>
      <c r="W109" s="2131">
        <v>0.19344794909976987</v>
      </c>
      <c r="X109" s="226"/>
      <c r="Y109" s="227">
        <v>3195</v>
      </c>
      <c r="Z109" s="227">
        <v>3132</v>
      </c>
      <c r="AA109" s="227">
        <v>3571</v>
      </c>
      <c r="AB109" s="227">
        <v>3635</v>
      </c>
      <c r="AC109" s="227">
        <v>3497</v>
      </c>
      <c r="AD109" s="227">
        <v>3715</v>
      </c>
      <c r="AE109" s="227">
        <v>3720</v>
      </c>
      <c r="AF109" s="227">
        <v>3402</v>
      </c>
      <c r="AG109" s="227">
        <v>4079</v>
      </c>
      <c r="AH109" s="227">
        <v>4486</v>
      </c>
      <c r="AI109" s="228">
        <v>3859</v>
      </c>
      <c r="AJ109" s="579">
        <v>4076</v>
      </c>
      <c r="AK109" s="782">
        <v>4153</v>
      </c>
      <c r="AL109" s="786">
        <v>4927</v>
      </c>
      <c r="AM109" s="1080">
        <v>4268</v>
      </c>
      <c r="AN109" s="1080">
        <v>4531</v>
      </c>
      <c r="AO109" s="1080">
        <v>4630</v>
      </c>
      <c r="AP109" s="1080">
        <v>4434</v>
      </c>
      <c r="AQ109" s="1404">
        <v>4381</v>
      </c>
      <c r="AR109" s="2127">
        <v>4287</v>
      </c>
    </row>
    <row r="110" spans="1:44" ht="16.5" customHeight="1" x14ac:dyDescent="0.3">
      <c r="A110" s="183" t="s">
        <v>137</v>
      </c>
      <c r="B110" s="184" t="s">
        <v>138</v>
      </c>
      <c r="C110" s="941" t="s">
        <v>252</v>
      </c>
      <c r="D110" s="224">
        <v>0.15</v>
      </c>
      <c r="E110" s="224">
        <v>0.157</v>
      </c>
      <c r="F110" s="224">
        <v>0.183</v>
      </c>
      <c r="G110" s="224">
        <v>0.17600000000000002</v>
      </c>
      <c r="H110" s="224">
        <v>0.17800000000000002</v>
      </c>
      <c r="I110" s="224">
        <v>0.192</v>
      </c>
      <c r="J110" s="224">
        <v>0.191</v>
      </c>
      <c r="K110" s="224">
        <v>0.19399999999999998</v>
      </c>
      <c r="L110" s="224">
        <v>0.19800000000000001</v>
      </c>
      <c r="M110" s="224">
        <v>0.20699999999999999</v>
      </c>
      <c r="N110" s="225">
        <v>0.22800000000000001</v>
      </c>
      <c r="O110" s="572">
        <v>0.221</v>
      </c>
      <c r="P110" s="572">
        <v>0.23799999999999999</v>
      </c>
      <c r="Q110" s="572">
        <v>0.22646971935007384</v>
      </c>
      <c r="R110" s="1075">
        <v>0.24981818181818183</v>
      </c>
      <c r="S110" s="1075">
        <v>0.23141441650249159</v>
      </c>
      <c r="T110" s="1075">
        <v>0.17788031723143474</v>
      </c>
      <c r="U110" s="2047">
        <v>0.18778510245813732</v>
      </c>
      <c r="V110" s="1401">
        <v>0.20815505010696994</v>
      </c>
      <c r="W110" s="2131">
        <v>0.16812552772305095</v>
      </c>
      <c r="X110" s="226"/>
      <c r="Y110" s="227">
        <v>8790</v>
      </c>
      <c r="Z110" s="227">
        <v>9167</v>
      </c>
      <c r="AA110" s="227">
        <v>10764</v>
      </c>
      <c r="AB110" s="227">
        <v>10265</v>
      </c>
      <c r="AC110" s="227">
        <v>10524</v>
      </c>
      <c r="AD110" s="227">
        <v>11145</v>
      </c>
      <c r="AE110" s="227">
        <v>11322</v>
      </c>
      <c r="AF110" s="227">
        <v>11980</v>
      </c>
      <c r="AG110" s="227">
        <v>12344</v>
      </c>
      <c r="AH110" s="227">
        <v>13122</v>
      </c>
      <c r="AI110" s="228">
        <v>14921</v>
      </c>
      <c r="AJ110" s="579">
        <v>14671</v>
      </c>
      <c r="AK110" s="782">
        <v>15896</v>
      </c>
      <c r="AL110" s="786">
        <v>15332</v>
      </c>
      <c r="AM110" s="1080">
        <v>17175</v>
      </c>
      <c r="AN110" s="1080">
        <v>15975</v>
      </c>
      <c r="AO110" s="1080">
        <v>12336</v>
      </c>
      <c r="AP110" s="1080">
        <v>13132</v>
      </c>
      <c r="AQ110" s="1404">
        <v>14789</v>
      </c>
      <c r="AR110" s="2127">
        <v>11947</v>
      </c>
    </row>
    <row r="111" spans="1:44" ht="16.5" customHeight="1" x14ac:dyDescent="0.3">
      <c r="A111" s="183" t="s">
        <v>141</v>
      </c>
      <c r="B111" s="184" t="s">
        <v>142</v>
      </c>
      <c r="C111" s="941" t="s">
        <v>254</v>
      </c>
      <c r="D111" s="224">
        <v>5.9000000000000004E-2</v>
      </c>
      <c r="E111" s="224">
        <v>5.9000000000000004E-2</v>
      </c>
      <c r="F111" s="224">
        <v>6.4000000000000001E-2</v>
      </c>
      <c r="G111" s="224">
        <v>7.400000000000001E-2</v>
      </c>
      <c r="H111" s="224">
        <v>7.4999999999999997E-2</v>
      </c>
      <c r="I111" s="224">
        <v>6.8000000000000005E-2</v>
      </c>
      <c r="J111" s="224">
        <v>7.400000000000001E-2</v>
      </c>
      <c r="K111" s="224">
        <v>8.900000000000001E-2</v>
      </c>
      <c r="L111" s="224">
        <v>8.6999999999999994E-2</v>
      </c>
      <c r="M111" s="224">
        <v>0.09</v>
      </c>
      <c r="N111" s="225">
        <v>0.11699999999999998</v>
      </c>
      <c r="O111" s="572">
        <v>0.10300000000000001</v>
      </c>
      <c r="P111" s="572">
        <v>0.107</v>
      </c>
      <c r="Q111" s="572">
        <v>0.10119869233563386</v>
      </c>
      <c r="R111" s="1075">
        <v>9.8221764832587419E-2</v>
      </c>
      <c r="S111" s="1075">
        <v>9.5834237885037504E-2</v>
      </c>
      <c r="T111" s="1075">
        <v>9.6702869499720581E-2</v>
      </c>
      <c r="U111" s="2047">
        <v>8.7248810795068438E-2</v>
      </c>
      <c r="V111" s="1401">
        <v>8.3520898376049757E-2</v>
      </c>
      <c r="W111" s="2131">
        <v>7.4378542857843982E-2</v>
      </c>
      <c r="X111" s="226"/>
      <c r="Y111" s="227">
        <v>2076</v>
      </c>
      <c r="Z111" s="227">
        <v>2135</v>
      </c>
      <c r="AA111" s="227">
        <v>2358</v>
      </c>
      <c r="AB111" s="227">
        <v>2747</v>
      </c>
      <c r="AC111" s="227">
        <v>2756</v>
      </c>
      <c r="AD111" s="227">
        <v>2461</v>
      </c>
      <c r="AE111" s="227">
        <v>2642</v>
      </c>
      <c r="AF111" s="227">
        <v>3070</v>
      </c>
      <c r="AG111" s="227">
        <v>2972</v>
      </c>
      <c r="AH111" s="227">
        <v>3234</v>
      </c>
      <c r="AI111" s="228">
        <v>4427</v>
      </c>
      <c r="AJ111" s="579">
        <v>4035</v>
      </c>
      <c r="AK111" s="782">
        <v>4331</v>
      </c>
      <c r="AL111" s="786">
        <v>4179</v>
      </c>
      <c r="AM111" s="1080">
        <v>4104</v>
      </c>
      <c r="AN111" s="1080">
        <v>3973</v>
      </c>
      <c r="AO111" s="1080">
        <v>3980</v>
      </c>
      <c r="AP111" s="1080">
        <v>3595</v>
      </c>
      <c r="AQ111" s="1404">
        <v>3451</v>
      </c>
      <c r="AR111" s="2127">
        <v>3031</v>
      </c>
    </row>
    <row r="112" spans="1:44" ht="16.5" customHeight="1" x14ac:dyDescent="0.3">
      <c r="A112" s="183" t="s">
        <v>143</v>
      </c>
      <c r="B112" s="184" t="s">
        <v>144</v>
      </c>
      <c r="C112" s="941" t="s">
        <v>254</v>
      </c>
      <c r="D112" s="224">
        <v>5.9000000000000004E-2</v>
      </c>
      <c r="E112" s="224">
        <v>5.7000000000000002E-2</v>
      </c>
      <c r="F112" s="224">
        <v>6.0999999999999999E-2</v>
      </c>
      <c r="G112" s="224">
        <v>6.5000000000000002E-2</v>
      </c>
      <c r="H112" s="224">
        <v>0.06</v>
      </c>
      <c r="I112" s="224">
        <v>6.0999999999999999E-2</v>
      </c>
      <c r="J112" s="224">
        <v>6.9000000000000006E-2</v>
      </c>
      <c r="K112" s="224">
        <v>6.2E-2</v>
      </c>
      <c r="L112" s="224">
        <v>6.3E-2</v>
      </c>
      <c r="M112" s="224">
        <v>7.5999999999999998E-2</v>
      </c>
      <c r="N112" s="225">
        <v>8.5999999999999993E-2</v>
      </c>
      <c r="O112" s="572">
        <v>0.08</v>
      </c>
      <c r="P112" s="572">
        <v>8.5999999999999993E-2</v>
      </c>
      <c r="Q112" s="572">
        <v>8.4299065420560745E-2</v>
      </c>
      <c r="R112" s="1075">
        <v>8.9398053109065623E-2</v>
      </c>
      <c r="S112" s="1075">
        <v>7.6539420679071546E-2</v>
      </c>
      <c r="T112" s="1075">
        <v>7.7817814021113846E-2</v>
      </c>
      <c r="U112" s="2047">
        <v>7.0796996124031009E-2</v>
      </c>
      <c r="V112" s="1401">
        <v>6.9832240088233591E-2</v>
      </c>
      <c r="W112" s="2131">
        <v>6.2963601863032598E-2</v>
      </c>
      <c r="X112" s="226"/>
      <c r="Y112" s="230">
        <v>641</v>
      </c>
      <c r="Z112" s="230">
        <v>619</v>
      </c>
      <c r="AA112" s="230">
        <v>671</v>
      </c>
      <c r="AB112" s="230">
        <v>750</v>
      </c>
      <c r="AC112" s="230">
        <v>699</v>
      </c>
      <c r="AD112" s="230">
        <v>705</v>
      </c>
      <c r="AE112" s="230">
        <v>794</v>
      </c>
      <c r="AF112" s="230">
        <v>703</v>
      </c>
      <c r="AG112" s="227">
        <v>713</v>
      </c>
      <c r="AH112" s="227">
        <v>906</v>
      </c>
      <c r="AI112" s="228">
        <v>1238</v>
      </c>
      <c r="AJ112" s="579">
        <v>1214</v>
      </c>
      <c r="AK112" s="782">
        <v>1356</v>
      </c>
      <c r="AL112" s="786">
        <v>1353</v>
      </c>
      <c r="AM112" s="1080">
        <v>1350</v>
      </c>
      <c r="AN112" s="1080">
        <v>1197</v>
      </c>
      <c r="AO112" s="1080">
        <v>1231</v>
      </c>
      <c r="AP112" s="1080">
        <v>1169</v>
      </c>
      <c r="AQ112" s="1404">
        <v>1203</v>
      </c>
      <c r="AR112" s="2127">
        <v>1095</v>
      </c>
    </row>
    <row r="113" spans="1:44" ht="16.5" customHeight="1" x14ac:dyDescent="0.3">
      <c r="A113" s="183" t="s">
        <v>157</v>
      </c>
      <c r="B113" s="184" t="s">
        <v>158</v>
      </c>
      <c r="C113" s="941" t="s">
        <v>251</v>
      </c>
      <c r="D113" s="224">
        <v>0.124</v>
      </c>
      <c r="E113" s="224">
        <v>0.11900000000000001</v>
      </c>
      <c r="F113" s="224">
        <v>0.13100000000000001</v>
      </c>
      <c r="G113" s="224">
        <v>0.14000000000000001</v>
      </c>
      <c r="H113" s="224">
        <v>0.13400000000000001</v>
      </c>
      <c r="I113" s="224">
        <v>0.14199999999999999</v>
      </c>
      <c r="J113" s="224">
        <v>0.126</v>
      </c>
      <c r="K113" s="224">
        <v>0.14699999999999999</v>
      </c>
      <c r="L113" s="224">
        <v>0.13200000000000001</v>
      </c>
      <c r="M113" s="224">
        <v>0.13500000000000001</v>
      </c>
      <c r="N113" s="225">
        <v>0.151</v>
      </c>
      <c r="O113" s="572">
        <v>0.155</v>
      </c>
      <c r="P113" s="572">
        <v>0.16400000000000001</v>
      </c>
      <c r="Q113" s="572">
        <v>0.17539417654505696</v>
      </c>
      <c r="R113" s="1075">
        <v>0.16662655986799133</v>
      </c>
      <c r="S113" s="1075">
        <v>0.16834640865215814</v>
      </c>
      <c r="T113" s="1075">
        <v>0.1466181692214428</v>
      </c>
      <c r="U113" s="2047">
        <v>0.17184953197038141</v>
      </c>
      <c r="V113" s="1401">
        <v>0.15245414417107786</v>
      </c>
      <c r="W113" s="2131">
        <v>0.15059990999888959</v>
      </c>
      <c r="X113" s="226"/>
      <c r="Y113" s="227">
        <v>21921</v>
      </c>
      <c r="Z113" s="227">
        <v>21150</v>
      </c>
      <c r="AA113" s="227">
        <v>23577</v>
      </c>
      <c r="AB113" s="227">
        <v>25148</v>
      </c>
      <c r="AC113" s="227">
        <v>23864</v>
      </c>
      <c r="AD113" s="227">
        <v>24948</v>
      </c>
      <c r="AE113" s="227">
        <v>22043</v>
      </c>
      <c r="AF113" s="227">
        <v>25758</v>
      </c>
      <c r="AG113" s="227">
        <v>22966</v>
      </c>
      <c r="AH113" s="227">
        <v>25430</v>
      </c>
      <c r="AI113" s="228">
        <v>26088</v>
      </c>
      <c r="AJ113" s="579">
        <v>26712</v>
      </c>
      <c r="AK113" s="782">
        <v>28299</v>
      </c>
      <c r="AL113" s="786">
        <v>30480</v>
      </c>
      <c r="AM113" s="1080">
        <v>29082</v>
      </c>
      <c r="AN113" s="1080">
        <v>29248</v>
      </c>
      <c r="AO113" s="1080">
        <v>25395</v>
      </c>
      <c r="AP113" s="1080">
        <v>29521</v>
      </c>
      <c r="AQ113" s="1404">
        <v>26007</v>
      </c>
      <c r="AR113" s="2127">
        <v>25769</v>
      </c>
    </row>
    <row r="114" spans="1:44" ht="16.5" customHeight="1" x14ac:dyDescent="0.3">
      <c r="A114" s="183" t="s">
        <v>159</v>
      </c>
      <c r="B114" s="184" t="s">
        <v>160</v>
      </c>
      <c r="C114" s="941" t="s">
        <v>251</v>
      </c>
      <c r="D114" s="224">
        <v>0.18600000000000003</v>
      </c>
      <c r="E114" s="224">
        <v>0.18600000000000003</v>
      </c>
      <c r="F114" s="224">
        <v>0.20300000000000001</v>
      </c>
      <c r="G114" s="224">
        <v>0.19800000000000001</v>
      </c>
      <c r="H114" s="224">
        <v>0.188</v>
      </c>
      <c r="I114" s="224">
        <v>0.18899999999999997</v>
      </c>
      <c r="J114" s="224">
        <v>0.17499999999999999</v>
      </c>
      <c r="K114" s="224">
        <v>0.17899999999999999</v>
      </c>
      <c r="L114" s="224">
        <v>0.19500000000000001</v>
      </c>
      <c r="M114" s="224">
        <v>0.184</v>
      </c>
      <c r="N114" s="225">
        <v>0.19</v>
      </c>
      <c r="O114" s="572">
        <v>0.20300000000000001</v>
      </c>
      <c r="P114" s="572">
        <v>0.22600000000000001</v>
      </c>
      <c r="Q114" s="572">
        <v>0.23264248217208874</v>
      </c>
      <c r="R114" s="1075">
        <v>0.23356786563084178</v>
      </c>
      <c r="S114" s="1075">
        <v>0.21482194417709335</v>
      </c>
      <c r="T114" s="1075">
        <v>0.21321872141381945</v>
      </c>
      <c r="U114" s="2047">
        <v>0.2094283276450512</v>
      </c>
      <c r="V114" s="1401">
        <v>0.19744052408316393</v>
      </c>
      <c r="W114" s="2131">
        <v>0.18968080412806199</v>
      </c>
      <c r="X114" s="226"/>
      <c r="Y114" s="227">
        <v>39503</v>
      </c>
      <c r="Z114" s="227">
        <v>39711</v>
      </c>
      <c r="AA114" s="227">
        <v>43514</v>
      </c>
      <c r="AB114" s="227">
        <v>41488</v>
      </c>
      <c r="AC114" s="227">
        <v>38960</v>
      </c>
      <c r="AD114" s="227">
        <v>38857</v>
      </c>
      <c r="AE114" s="227">
        <v>35487</v>
      </c>
      <c r="AF114" s="227">
        <v>37343</v>
      </c>
      <c r="AG114" s="227">
        <v>40407</v>
      </c>
      <c r="AH114" s="227">
        <v>37917</v>
      </c>
      <c r="AI114" s="228">
        <v>39903</v>
      </c>
      <c r="AJ114" s="579">
        <v>42703</v>
      </c>
      <c r="AK114" s="782">
        <v>47978</v>
      </c>
      <c r="AL114" s="786">
        <v>49457</v>
      </c>
      <c r="AM114" s="1080">
        <v>49728</v>
      </c>
      <c r="AN114" s="1080">
        <v>45756</v>
      </c>
      <c r="AO114" s="1080">
        <v>45219</v>
      </c>
      <c r="AP114" s="1080">
        <v>44181</v>
      </c>
      <c r="AQ114" s="1404">
        <v>41471</v>
      </c>
      <c r="AR114" s="2127">
        <v>39553</v>
      </c>
    </row>
    <row r="115" spans="1:44" ht="16.5" customHeight="1" x14ac:dyDescent="0.3">
      <c r="A115" s="183" t="s">
        <v>165</v>
      </c>
      <c r="B115" s="184" t="s">
        <v>166</v>
      </c>
      <c r="C115" s="941" t="s">
        <v>255</v>
      </c>
      <c r="D115" s="224">
        <v>0.18600000000000003</v>
      </c>
      <c r="E115" s="224">
        <v>0.17600000000000002</v>
      </c>
      <c r="F115" s="224">
        <v>0.16899999999999998</v>
      </c>
      <c r="G115" s="224">
        <v>0.182</v>
      </c>
      <c r="H115" s="224">
        <v>0.18</v>
      </c>
      <c r="I115" s="224">
        <v>0.221</v>
      </c>
      <c r="J115" s="224">
        <v>0.20300000000000001</v>
      </c>
      <c r="K115" s="224">
        <v>0.20600000000000002</v>
      </c>
      <c r="L115" s="224">
        <v>0.20800000000000002</v>
      </c>
      <c r="M115" s="224">
        <v>0.20899999999999999</v>
      </c>
      <c r="N115" s="225">
        <v>0.19500000000000001</v>
      </c>
      <c r="O115" s="572">
        <v>0.20499999999999999</v>
      </c>
      <c r="P115" s="572">
        <v>0.18099999999999999</v>
      </c>
      <c r="Q115" s="572">
        <v>0.22028325746079919</v>
      </c>
      <c r="R115" s="1075">
        <v>0.21567145376669186</v>
      </c>
      <c r="S115" s="1075">
        <v>0.23729687903017796</v>
      </c>
      <c r="T115" s="1075">
        <v>0.23014203051025775</v>
      </c>
      <c r="U115" s="2047">
        <v>0.22265221878224975</v>
      </c>
      <c r="V115" s="1401">
        <v>0.20757614538008703</v>
      </c>
      <c r="W115" s="2131">
        <v>0.19300485065100842</v>
      </c>
      <c r="X115" s="226"/>
      <c r="Y115" s="230">
        <v>717</v>
      </c>
      <c r="Z115" s="230">
        <v>686</v>
      </c>
      <c r="AA115" s="230">
        <v>659</v>
      </c>
      <c r="AB115" s="230">
        <v>678</v>
      </c>
      <c r="AC115" s="230">
        <v>658</v>
      </c>
      <c r="AD115" s="230">
        <v>801</v>
      </c>
      <c r="AE115" s="230">
        <v>730</v>
      </c>
      <c r="AF115" s="230">
        <v>757</v>
      </c>
      <c r="AG115" s="227">
        <v>759</v>
      </c>
      <c r="AH115" s="227">
        <v>763</v>
      </c>
      <c r="AI115" s="228">
        <v>761</v>
      </c>
      <c r="AJ115" s="579">
        <v>819</v>
      </c>
      <c r="AK115" s="782">
        <v>727</v>
      </c>
      <c r="AL115" s="786">
        <v>871</v>
      </c>
      <c r="AM115" s="1080">
        <v>856</v>
      </c>
      <c r="AN115" s="1080">
        <v>920</v>
      </c>
      <c r="AO115" s="1080">
        <v>875</v>
      </c>
      <c r="AP115" s="1080">
        <v>863</v>
      </c>
      <c r="AQ115" s="1404">
        <v>811</v>
      </c>
      <c r="AR115" s="2127">
        <v>756</v>
      </c>
    </row>
    <row r="116" spans="1:44" ht="16.5" customHeight="1" x14ac:dyDescent="0.3">
      <c r="A116" s="183" t="s">
        <v>175</v>
      </c>
      <c r="B116" s="184" t="s">
        <v>176</v>
      </c>
      <c r="C116" s="941" t="s">
        <v>253</v>
      </c>
      <c r="D116" s="224">
        <v>0.17800000000000002</v>
      </c>
      <c r="E116" s="224">
        <v>0.17100000000000001</v>
      </c>
      <c r="F116" s="224">
        <v>0.185</v>
      </c>
      <c r="G116" s="224">
        <v>0.18600000000000003</v>
      </c>
      <c r="H116" s="224">
        <v>0.183</v>
      </c>
      <c r="I116" s="224">
        <v>0.218</v>
      </c>
      <c r="J116" s="224">
        <v>0.193</v>
      </c>
      <c r="K116" s="224">
        <v>0.191</v>
      </c>
      <c r="L116" s="224">
        <v>0.20100000000000001</v>
      </c>
      <c r="M116" s="224">
        <v>0.222</v>
      </c>
      <c r="N116" s="225">
        <v>0.252</v>
      </c>
      <c r="O116" s="572">
        <v>0.24299999999999999</v>
      </c>
      <c r="P116" s="572">
        <v>0.25800000000000001</v>
      </c>
      <c r="Q116" s="572">
        <v>0.28128436331647239</v>
      </c>
      <c r="R116" s="1075">
        <v>0.25802418976779073</v>
      </c>
      <c r="S116" s="1075">
        <v>0.2838254737769943</v>
      </c>
      <c r="T116" s="1075">
        <v>0.25163576010979544</v>
      </c>
      <c r="U116" s="2047">
        <v>0.21795816382099498</v>
      </c>
      <c r="V116" s="1401">
        <v>0.24149714690995841</v>
      </c>
      <c r="W116" s="2131">
        <v>0.21577289115535778</v>
      </c>
      <c r="X116" s="226"/>
      <c r="Y116" s="227">
        <v>5826</v>
      </c>
      <c r="Z116" s="227">
        <v>5569</v>
      </c>
      <c r="AA116" s="227">
        <v>6046</v>
      </c>
      <c r="AB116" s="227">
        <v>5978</v>
      </c>
      <c r="AC116" s="227">
        <v>5874</v>
      </c>
      <c r="AD116" s="227">
        <v>6854</v>
      </c>
      <c r="AE116" s="227">
        <v>6098</v>
      </c>
      <c r="AF116" s="227">
        <v>6131</v>
      </c>
      <c r="AG116" s="227">
        <v>6478</v>
      </c>
      <c r="AH116" s="227">
        <v>7164</v>
      </c>
      <c r="AI116" s="228">
        <v>8015</v>
      </c>
      <c r="AJ116" s="579">
        <v>7697</v>
      </c>
      <c r="AK116" s="782">
        <v>8084</v>
      </c>
      <c r="AL116" s="786">
        <v>8953</v>
      </c>
      <c r="AM116" s="1080">
        <v>8256</v>
      </c>
      <c r="AN116" s="1080">
        <v>9016</v>
      </c>
      <c r="AO116" s="1080">
        <v>7884</v>
      </c>
      <c r="AP116" s="1080">
        <v>6804</v>
      </c>
      <c r="AQ116" s="1404">
        <v>7491</v>
      </c>
      <c r="AR116" s="2127">
        <v>6643</v>
      </c>
    </row>
    <row r="117" spans="1:44" ht="16.5" customHeight="1" x14ac:dyDescent="0.3">
      <c r="A117" s="183" t="s">
        <v>179</v>
      </c>
      <c r="B117" s="184" t="s">
        <v>180</v>
      </c>
      <c r="C117" s="941" t="s">
        <v>251</v>
      </c>
      <c r="D117" s="224">
        <v>0.157</v>
      </c>
      <c r="E117" s="224">
        <v>0.153</v>
      </c>
      <c r="F117" s="224">
        <v>0.16399999999999998</v>
      </c>
      <c r="G117" s="224">
        <v>0.16600000000000001</v>
      </c>
      <c r="H117" s="224">
        <v>0.159</v>
      </c>
      <c r="I117" s="224">
        <v>0.17199999999999999</v>
      </c>
      <c r="J117" s="224">
        <v>0.14800000000000002</v>
      </c>
      <c r="K117" s="224">
        <v>0.156</v>
      </c>
      <c r="L117" s="224">
        <v>0.17899999999999999</v>
      </c>
      <c r="M117" s="224">
        <v>0.16699999999999998</v>
      </c>
      <c r="N117" s="225">
        <v>0.183</v>
      </c>
      <c r="O117" s="572">
        <v>0.18</v>
      </c>
      <c r="P117" s="572">
        <v>0.19500000000000001</v>
      </c>
      <c r="Q117" s="572">
        <v>0.20878695712919276</v>
      </c>
      <c r="R117" s="1075">
        <v>0.18325633487330253</v>
      </c>
      <c r="S117" s="1075">
        <v>0.18621533967653944</v>
      </c>
      <c r="T117" s="1075">
        <v>0.1824658726273998</v>
      </c>
      <c r="U117" s="2047">
        <v>0.18502332594041232</v>
      </c>
      <c r="V117" s="1401">
        <v>0.19179460263307527</v>
      </c>
      <c r="W117" s="2131">
        <v>0.18493533844483201</v>
      </c>
      <c r="X117" s="226"/>
      <c r="Y117" s="227">
        <v>15026</v>
      </c>
      <c r="Z117" s="227">
        <v>14553</v>
      </c>
      <c r="AA117" s="227">
        <v>15656</v>
      </c>
      <c r="AB117" s="227">
        <v>15789</v>
      </c>
      <c r="AC117" s="227">
        <v>15226</v>
      </c>
      <c r="AD117" s="227">
        <v>16256</v>
      </c>
      <c r="AE117" s="227">
        <v>14186</v>
      </c>
      <c r="AF117" s="227">
        <v>15038</v>
      </c>
      <c r="AG117" s="227">
        <v>16990</v>
      </c>
      <c r="AH117" s="227">
        <v>15687</v>
      </c>
      <c r="AI117" s="228">
        <v>16884</v>
      </c>
      <c r="AJ117" s="579">
        <v>16640</v>
      </c>
      <c r="AK117" s="782">
        <v>18123</v>
      </c>
      <c r="AL117" s="786">
        <v>19427</v>
      </c>
      <c r="AM117" s="1080">
        <v>17017</v>
      </c>
      <c r="AN117" s="1080">
        <v>17340</v>
      </c>
      <c r="AO117" s="1080">
        <v>16775</v>
      </c>
      <c r="AP117" s="1080">
        <v>16935</v>
      </c>
      <c r="AQ117" s="1404">
        <v>17540</v>
      </c>
      <c r="AR117" s="2127">
        <v>16860</v>
      </c>
    </row>
    <row r="118" spans="1:44" ht="16.5" customHeight="1" x14ac:dyDescent="0.3">
      <c r="A118" s="183" t="s">
        <v>191</v>
      </c>
      <c r="B118" s="184" t="s">
        <v>192</v>
      </c>
      <c r="C118" s="941" t="s">
        <v>255</v>
      </c>
      <c r="D118" s="224">
        <v>0.17199999999999999</v>
      </c>
      <c r="E118" s="224">
        <v>0.17300000000000001</v>
      </c>
      <c r="F118" s="224">
        <v>0.19399999999999998</v>
      </c>
      <c r="G118" s="224">
        <v>0.188</v>
      </c>
      <c r="H118" s="224">
        <v>0.191</v>
      </c>
      <c r="I118" s="224">
        <v>0.28199999999999997</v>
      </c>
      <c r="J118" s="224">
        <v>0.24</v>
      </c>
      <c r="K118" s="224">
        <v>0.309</v>
      </c>
      <c r="L118" s="224">
        <v>0.26700000000000002</v>
      </c>
      <c r="M118" s="224">
        <v>0.27699999999999997</v>
      </c>
      <c r="N118" s="225">
        <v>0.25600000000000001</v>
      </c>
      <c r="O118" s="572">
        <v>0.26800000000000002</v>
      </c>
      <c r="P118" s="572">
        <v>0.34200000000000003</v>
      </c>
      <c r="Q118" s="572">
        <v>0.31280630726614106</v>
      </c>
      <c r="R118" s="1075">
        <v>0.32384908272758739</v>
      </c>
      <c r="S118" s="1075">
        <v>0.32802413696323324</v>
      </c>
      <c r="T118" s="1075">
        <v>0.27151540267992819</v>
      </c>
      <c r="U118" s="2047">
        <v>0.28564648450742425</v>
      </c>
      <c r="V118" s="1401">
        <v>0.30353779930051117</v>
      </c>
      <c r="W118" s="2131">
        <v>0.30466847090663057</v>
      </c>
      <c r="X118" s="226"/>
      <c r="Y118" s="227">
        <v>2217</v>
      </c>
      <c r="Z118" s="227">
        <v>2194</v>
      </c>
      <c r="AA118" s="227">
        <v>2408</v>
      </c>
      <c r="AB118" s="227">
        <v>2282</v>
      </c>
      <c r="AC118" s="227">
        <v>2299</v>
      </c>
      <c r="AD118" s="227">
        <v>3357</v>
      </c>
      <c r="AE118" s="227">
        <v>2857</v>
      </c>
      <c r="AF118" s="227">
        <v>4146</v>
      </c>
      <c r="AG118" s="227">
        <v>3573</v>
      </c>
      <c r="AH118" s="227">
        <v>3735</v>
      </c>
      <c r="AI118" s="228">
        <v>3525</v>
      </c>
      <c r="AJ118" s="579">
        <v>3685</v>
      </c>
      <c r="AK118" s="782">
        <v>4643</v>
      </c>
      <c r="AL118" s="786">
        <v>4404</v>
      </c>
      <c r="AM118" s="1080">
        <v>4678</v>
      </c>
      <c r="AN118" s="1080">
        <v>4675</v>
      </c>
      <c r="AO118" s="1080">
        <v>3931</v>
      </c>
      <c r="AP118" s="1080">
        <v>4213</v>
      </c>
      <c r="AQ118" s="1404">
        <v>4513</v>
      </c>
      <c r="AR118" s="2127">
        <v>4503</v>
      </c>
    </row>
    <row r="119" spans="1:44" ht="16.5" customHeight="1" x14ac:dyDescent="0.3">
      <c r="A119" s="183" t="s">
        <v>195</v>
      </c>
      <c r="B119" s="184" t="s">
        <v>196</v>
      </c>
      <c r="C119" s="941" t="s">
        <v>253</v>
      </c>
      <c r="D119" s="224">
        <v>0.18100000000000002</v>
      </c>
      <c r="E119" s="224">
        <v>0.17600000000000002</v>
      </c>
      <c r="F119" s="224">
        <v>0.20100000000000001</v>
      </c>
      <c r="G119" s="224">
        <v>0.20300000000000001</v>
      </c>
      <c r="H119" s="224">
        <v>0.19800000000000001</v>
      </c>
      <c r="I119" s="224">
        <v>0.19899999999999998</v>
      </c>
      <c r="J119" s="224">
        <v>0.20699999999999999</v>
      </c>
      <c r="K119" s="224">
        <v>0.22399999999999998</v>
      </c>
      <c r="L119" s="224">
        <v>0.251</v>
      </c>
      <c r="M119" s="224">
        <v>0.23300000000000001</v>
      </c>
      <c r="N119" s="225">
        <v>0.253</v>
      </c>
      <c r="O119" s="572">
        <v>0.26400000000000001</v>
      </c>
      <c r="P119" s="572">
        <v>0.26200000000000001</v>
      </c>
      <c r="Q119" s="572">
        <v>0.25372750388333187</v>
      </c>
      <c r="R119" s="1075">
        <v>0.25015569351731115</v>
      </c>
      <c r="S119" s="1075">
        <v>0.24435715626669746</v>
      </c>
      <c r="T119" s="1075">
        <v>0.26174381791734408</v>
      </c>
      <c r="U119" s="2047">
        <v>0.23991241934584132</v>
      </c>
      <c r="V119" s="1401">
        <v>0.22295172540804345</v>
      </c>
      <c r="W119" s="2131">
        <v>0.19201323661826342</v>
      </c>
      <c r="X119" s="226"/>
      <c r="Y119" s="227">
        <v>34154</v>
      </c>
      <c r="Z119" s="227">
        <v>32966</v>
      </c>
      <c r="AA119" s="227">
        <v>37577</v>
      </c>
      <c r="AB119" s="227">
        <v>37320</v>
      </c>
      <c r="AC119" s="227">
        <v>36402</v>
      </c>
      <c r="AD119" s="227">
        <v>35775</v>
      </c>
      <c r="AE119" s="227">
        <v>37513</v>
      </c>
      <c r="AF119" s="227">
        <v>42273</v>
      </c>
      <c r="AG119" s="227">
        <v>47850</v>
      </c>
      <c r="AH119" s="227">
        <v>44931</v>
      </c>
      <c r="AI119" s="228">
        <v>48830</v>
      </c>
      <c r="AJ119" s="579">
        <v>51117</v>
      </c>
      <c r="AK119" s="782">
        <v>52017</v>
      </c>
      <c r="AL119" s="786">
        <v>51290</v>
      </c>
      <c r="AM119" s="1080">
        <v>51415</v>
      </c>
      <c r="AN119" s="1080">
        <v>50763</v>
      </c>
      <c r="AO119" s="1080">
        <v>55062</v>
      </c>
      <c r="AP119" s="1080">
        <v>51609</v>
      </c>
      <c r="AQ119" s="1404">
        <v>48424</v>
      </c>
      <c r="AR119" s="2127">
        <v>42010</v>
      </c>
    </row>
    <row r="120" spans="1:44" ht="16.5" customHeight="1" x14ac:dyDescent="0.3">
      <c r="A120" s="183" t="s">
        <v>199</v>
      </c>
      <c r="B120" s="184" t="s">
        <v>200</v>
      </c>
      <c r="C120" s="941" t="s">
        <v>252</v>
      </c>
      <c r="D120" s="224">
        <v>0.15</v>
      </c>
      <c r="E120" s="224">
        <v>0.151</v>
      </c>
      <c r="F120" s="224">
        <v>0.16600000000000001</v>
      </c>
      <c r="G120" s="224">
        <v>0.16899999999999998</v>
      </c>
      <c r="H120" s="224">
        <v>0.16300000000000001</v>
      </c>
      <c r="I120" s="224">
        <v>0.17199999999999999</v>
      </c>
      <c r="J120" s="224">
        <v>0.16699999999999998</v>
      </c>
      <c r="K120" s="224">
        <v>0.16899999999999998</v>
      </c>
      <c r="L120" s="224">
        <v>0.17800000000000002</v>
      </c>
      <c r="M120" s="224">
        <v>0.2</v>
      </c>
      <c r="N120" s="225">
        <v>0.22399999999999998</v>
      </c>
      <c r="O120" s="572">
        <v>0.19500000000000001</v>
      </c>
      <c r="P120" s="572">
        <v>0.20100000000000001</v>
      </c>
      <c r="Q120" s="572">
        <v>0.23344757107170139</v>
      </c>
      <c r="R120" s="1075">
        <v>0.20376710578760718</v>
      </c>
      <c r="S120" s="1075">
        <v>0.21280731032237057</v>
      </c>
      <c r="T120" s="1075">
        <v>0.2233128583964247</v>
      </c>
      <c r="U120" s="2047">
        <v>0.19278727237564</v>
      </c>
      <c r="V120" s="1401">
        <v>0.20156884290205415</v>
      </c>
      <c r="W120" s="2131">
        <v>0.19536033310428993</v>
      </c>
      <c r="X120" s="226"/>
      <c r="Y120" s="227">
        <v>13870</v>
      </c>
      <c r="Z120" s="227">
        <v>13866</v>
      </c>
      <c r="AA120" s="227">
        <v>15210</v>
      </c>
      <c r="AB120" s="227">
        <v>15372</v>
      </c>
      <c r="AC120" s="227">
        <v>14874</v>
      </c>
      <c r="AD120" s="227">
        <v>15465</v>
      </c>
      <c r="AE120" s="227">
        <v>14908</v>
      </c>
      <c r="AF120" s="227">
        <v>15233</v>
      </c>
      <c r="AG120" s="227">
        <v>16170</v>
      </c>
      <c r="AH120" s="227">
        <v>18382</v>
      </c>
      <c r="AI120" s="228">
        <v>21414</v>
      </c>
      <c r="AJ120" s="579">
        <v>18565</v>
      </c>
      <c r="AK120" s="782">
        <v>19291</v>
      </c>
      <c r="AL120" s="786">
        <v>22615</v>
      </c>
      <c r="AM120" s="1080">
        <v>19938</v>
      </c>
      <c r="AN120" s="1080">
        <v>20913</v>
      </c>
      <c r="AO120" s="1080">
        <v>21886</v>
      </c>
      <c r="AP120" s="1080">
        <v>18940</v>
      </c>
      <c r="AQ120" s="1404">
        <v>19812</v>
      </c>
      <c r="AR120" s="2127">
        <v>19049</v>
      </c>
    </row>
    <row r="121" spans="1:44" ht="16.5" customHeight="1" x14ac:dyDescent="0.3">
      <c r="A121" s="183" t="s">
        <v>221</v>
      </c>
      <c r="B121" s="184" t="s">
        <v>222</v>
      </c>
      <c r="C121" s="941" t="s">
        <v>251</v>
      </c>
      <c r="D121" s="224">
        <v>0.11599999999999999</v>
      </c>
      <c r="E121" s="224">
        <v>0.105</v>
      </c>
      <c r="F121" s="224">
        <v>0.109</v>
      </c>
      <c r="G121" s="224">
        <v>0.114</v>
      </c>
      <c r="H121" s="224">
        <v>0.10800000000000001</v>
      </c>
      <c r="I121" s="224">
        <v>0.11900000000000001</v>
      </c>
      <c r="J121" s="224">
        <v>0.107</v>
      </c>
      <c r="K121" s="224">
        <v>0.109</v>
      </c>
      <c r="L121" s="224">
        <v>0.10800000000000001</v>
      </c>
      <c r="M121" s="224">
        <v>0.12300000000000001</v>
      </c>
      <c r="N121" s="225">
        <v>0.11900000000000001</v>
      </c>
      <c r="O121" s="572">
        <v>0.122</v>
      </c>
      <c r="P121" s="572">
        <v>0.11899999999999999</v>
      </c>
      <c r="Q121" s="572">
        <v>0.11481139228509146</v>
      </c>
      <c r="R121" s="1075">
        <v>0.1364391122336818</v>
      </c>
      <c r="S121" s="1075">
        <v>0.13092893909558848</v>
      </c>
      <c r="T121" s="1075">
        <v>0.11716742102031069</v>
      </c>
      <c r="U121" s="2047">
        <v>0.11312761271182631</v>
      </c>
      <c r="V121" s="1401">
        <v>0.10946202848280692</v>
      </c>
      <c r="W121" s="2131">
        <v>9.8039431534219124E-2</v>
      </c>
      <c r="X121" s="226"/>
      <c r="Y121" s="227">
        <v>7629</v>
      </c>
      <c r="Z121" s="227">
        <v>7214</v>
      </c>
      <c r="AA121" s="227">
        <v>7948</v>
      </c>
      <c r="AB121" s="227">
        <v>8623</v>
      </c>
      <c r="AC121" s="227">
        <v>8441</v>
      </c>
      <c r="AD121" s="227">
        <v>9199</v>
      </c>
      <c r="AE121" s="227">
        <v>8556</v>
      </c>
      <c r="AF121" s="227">
        <v>8698</v>
      </c>
      <c r="AG121" s="227">
        <v>8727</v>
      </c>
      <c r="AH121" s="227">
        <v>10091</v>
      </c>
      <c r="AI121" s="579">
        <v>9956</v>
      </c>
      <c r="AJ121" s="579">
        <v>10214</v>
      </c>
      <c r="AK121" s="782">
        <v>9986</v>
      </c>
      <c r="AL121" s="786">
        <v>9691</v>
      </c>
      <c r="AM121" s="1080">
        <v>11668</v>
      </c>
      <c r="AN121" s="1080">
        <v>11370</v>
      </c>
      <c r="AO121" s="1080">
        <v>10303</v>
      </c>
      <c r="AP121" s="1080">
        <v>10067</v>
      </c>
      <c r="AQ121" s="1404">
        <v>9846</v>
      </c>
      <c r="AR121" s="2127">
        <v>8906</v>
      </c>
    </row>
    <row r="122" spans="1:44" ht="16.5" customHeight="1" x14ac:dyDescent="0.3">
      <c r="A122" s="183" t="s">
        <v>229</v>
      </c>
      <c r="B122" s="184" t="s">
        <v>230</v>
      </c>
      <c r="C122" s="941" t="s">
        <v>251</v>
      </c>
      <c r="D122" s="224">
        <v>6.8000000000000005E-2</v>
      </c>
      <c r="E122" s="224">
        <v>6.8000000000000005E-2</v>
      </c>
      <c r="F122" s="224">
        <v>7.400000000000001E-2</v>
      </c>
      <c r="G122" s="224">
        <v>0.08</v>
      </c>
      <c r="H122" s="224">
        <v>7.8E-2</v>
      </c>
      <c r="I122" s="224">
        <v>7.400000000000001E-2</v>
      </c>
      <c r="J122" s="224">
        <v>7.2000000000000008E-2</v>
      </c>
      <c r="K122" s="224">
        <v>6.6000000000000003E-2</v>
      </c>
      <c r="L122" s="224">
        <v>7.0000000000000007E-2</v>
      </c>
      <c r="M122" s="224">
        <v>6.8000000000000005E-2</v>
      </c>
      <c r="N122" s="225">
        <v>0.08</v>
      </c>
      <c r="O122" s="572">
        <v>8.900000000000001E-2</v>
      </c>
      <c r="P122" s="572">
        <v>9.0999999999999998E-2</v>
      </c>
      <c r="Q122" s="572">
        <v>9.0395711980747667E-2</v>
      </c>
      <c r="R122" s="1075">
        <v>8.5917089985486209E-2</v>
      </c>
      <c r="S122" s="1075">
        <v>8.236881233984282E-2</v>
      </c>
      <c r="T122" s="1075">
        <v>8.2537600361868149E-2</v>
      </c>
      <c r="U122" s="2047">
        <v>8.3308342420937848E-2</v>
      </c>
      <c r="V122" s="1401">
        <v>7.5230062919110177E-2</v>
      </c>
      <c r="W122" s="2131">
        <v>7.2618576040286487E-2</v>
      </c>
      <c r="X122" s="226"/>
      <c r="Y122" s="227">
        <v>28643</v>
      </c>
      <c r="Z122" s="227">
        <v>28856</v>
      </c>
      <c r="AA122" s="227">
        <v>32396</v>
      </c>
      <c r="AB122" s="227">
        <v>34892</v>
      </c>
      <c r="AC122" s="227">
        <v>33970</v>
      </c>
      <c r="AD122" s="227">
        <v>31958</v>
      </c>
      <c r="AE122" s="227">
        <v>30762</v>
      </c>
      <c r="AF122" s="227">
        <v>28246</v>
      </c>
      <c r="AG122" s="227">
        <v>29532</v>
      </c>
      <c r="AH122" s="227">
        <v>28889</v>
      </c>
      <c r="AI122" s="228">
        <v>34303</v>
      </c>
      <c r="AJ122" s="579">
        <v>38498</v>
      </c>
      <c r="AK122" s="782">
        <v>39564</v>
      </c>
      <c r="AL122" s="786">
        <v>39666</v>
      </c>
      <c r="AM122" s="1080">
        <v>37886</v>
      </c>
      <c r="AN122" s="1080">
        <v>36451</v>
      </c>
      <c r="AO122" s="1080">
        <v>36494</v>
      </c>
      <c r="AP122" s="1080">
        <v>36669</v>
      </c>
      <c r="AQ122" s="1404">
        <v>33084</v>
      </c>
      <c r="AR122" s="2127">
        <v>31898</v>
      </c>
    </row>
    <row r="123" spans="1:44" ht="16.5" customHeight="1" x14ac:dyDescent="0.3">
      <c r="A123" s="183" t="s">
        <v>237</v>
      </c>
      <c r="B123" s="184" t="s">
        <v>238</v>
      </c>
      <c r="C123" s="941" t="s">
        <v>251</v>
      </c>
      <c r="D123" s="224">
        <v>0.17699999999999999</v>
      </c>
      <c r="E123" s="224">
        <v>0.19500000000000001</v>
      </c>
      <c r="F123" s="224">
        <v>0.21299999999999999</v>
      </c>
      <c r="G123" s="224">
        <v>0.17800000000000002</v>
      </c>
      <c r="H123" s="224">
        <v>0.17300000000000001</v>
      </c>
      <c r="I123" s="224">
        <v>0.22699999999999998</v>
      </c>
      <c r="J123" s="224">
        <v>0.20699999999999999</v>
      </c>
      <c r="K123" s="224">
        <v>0.2</v>
      </c>
      <c r="L123" s="224">
        <v>0.187</v>
      </c>
      <c r="M123" s="224">
        <v>0.20300000000000001</v>
      </c>
      <c r="N123" s="225">
        <v>0.185</v>
      </c>
      <c r="O123" s="572">
        <v>0.191</v>
      </c>
      <c r="P123" s="572">
        <v>0.23</v>
      </c>
      <c r="Q123" s="572">
        <v>0.21086817308571951</v>
      </c>
      <c r="R123" s="1075">
        <v>0.20104844189884477</v>
      </c>
      <c r="S123" s="1075">
        <v>0.22005097706032287</v>
      </c>
      <c r="T123" s="1075">
        <v>0.21103896103896103</v>
      </c>
      <c r="U123" s="2047">
        <v>0.22514564931403871</v>
      </c>
      <c r="V123" s="1401">
        <v>0.229862290133937</v>
      </c>
      <c r="W123" s="2131">
        <v>0.18174141489960594</v>
      </c>
      <c r="X123" s="226"/>
      <c r="Y123" s="227">
        <v>1312</v>
      </c>
      <c r="Z123" s="227">
        <v>1402</v>
      </c>
      <c r="AA123" s="227">
        <v>1518</v>
      </c>
      <c r="AB123" s="227">
        <v>1244</v>
      </c>
      <c r="AC123" s="227">
        <v>1266</v>
      </c>
      <c r="AD123" s="227">
        <v>1643</v>
      </c>
      <c r="AE123" s="227">
        <v>1509</v>
      </c>
      <c r="AF123" s="227">
        <v>1570</v>
      </c>
      <c r="AG123" s="227">
        <v>1474</v>
      </c>
      <c r="AH123" s="227">
        <v>1645</v>
      </c>
      <c r="AI123" s="228">
        <v>1850</v>
      </c>
      <c r="AJ123" s="579">
        <v>1962</v>
      </c>
      <c r="AK123" s="782">
        <v>2500</v>
      </c>
      <c r="AL123" s="786">
        <v>2305</v>
      </c>
      <c r="AM123" s="1080">
        <v>2071</v>
      </c>
      <c r="AN123" s="1080">
        <v>2331</v>
      </c>
      <c r="AO123" s="1080">
        <v>2275</v>
      </c>
      <c r="AP123" s="1080">
        <v>2396</v>
      </c>
      <c r="AQ123" s="1404">
        <v>2437</v>
      </c>
      <c r="AR123" s="2127">
        <v>1937</v>
      </c>
    </row>
    <row r="124" spans="1:44" ht="16.5" customHeight="1" x14ac:dyDescent="0.3">
      <c r="A124" s="238" t="s">
        <v>239</v>
      </c>
      <c r="B124" s="239" t="s">
        <v>240</v>
      </c>
      <c r="C124" s="942" t="s">
        <v>254</v>
      </c>
      <c r="D124" s="231">
        <v>0.11</v>
      </c>
      <c r="E124" s="231">
        <v>0.109</v>
      </c>
      <c r="F124" s="231">
        <v>0.115</v>
      </c>
      <c r="G124" s="231">
        <v>0.121</v>
      </c>
      <c r="H124" s="231">
        <v>0.115</v>
      </c>
      <c r="I124" s="231">
        <v>0.124</v>
      </c>
      <c r="J124" s="231">
        <v>0.13900000000000001</v>
      </c>
      <c r="K124" s="231">
        <v>0.12</v>
      </c>
      <c r="L124" s="231">
        <v>0.128</v>
      </c>
      <c r="M124" s="231">
        <v>0.16300000000000001</v>
      </c>
      <c r="N124" s="225">
        <v>0.193</v>
      </c>
      <c r="O124" s="573">
        <v>0.17800000000000002</v>
      </c>
      <c r="P124" s="573">
        <v>0.16400000000000001</v>
      </c>
      <c r="Q124" s="779">
        <v>0.14078832338743397</v>
      </c>
      <c r="R124" s="1076">
        <v>0.13437100533874727</v>
      </c>
      <c r="S124" s="1076">
        <v>0.17840732161166598</v>
      </c>
      <c r="T124" s="2044">
        <v>0.14967167333383652</v>
      </c>
      <c r="U124" s="2048">
        <v>0.12640554024871548</v>
      </c>
      <c r="V124" s="2041">
        <v>0.15304683440955985</v>
      </c>
      <c r="W124" s="2131">
        <v>0.1333283787298874</v>
      </c>
      <c r="X124" s="240"/>
      <c r="Y124" s="232">
        <v>2584</v>
      </c>
      <c r="Z124" s="232">
        <v>2568</v>
      </c>
      <c r="AA124" s="232">
        <v>2739</v>
      </c>
      <c r="AB124" s="232">
        <v>2912</v>
      </c>
      <c r="AC124" s="232">
        <v>2811</v>
      </c>
      <c r="AD124" s="232">
        <v>3008</v>
      </c>
      <c r="AE124" s="232">
        <v>3394</v>
      </c>
      <c r="AF124" s="232">
        <v>2971</v>
      </c>
      <c r="AG124" s="232">
        <v>3198</v>
      </c>
      <c r="AH124" s="232">
        <v>4126</v>
      </c>
      <c r="AI124" s="580">
        <v>4873</v>
      </c>
      <c r="AJ124" s="580">
        <v>4545</v>
      </c>
      <c r="AK124" s="783">
        <v>4257</v>
      </c>
      <c r="AL124" s="787">
        <v>3704</v>
      </c>
      <c r="AM124" s="1081">
        <v>3574</v>
      </c>
      <c r="AN124" s="1405">
        <v>4698</v>
      </c>
      <c r="AO124" s="1856">
        <v>3966</v>
      </c>
      <c r="AP124" s="2054">
        <v>3395</v>
      </c>
      <c r="AQ124" s="2055">
        <v>4124</v>
      </c>
      <c r="AR124" s="2128">
        <v>3588</v>
      </c>
    </row>
    <row r="125" spans="1:44" ht="16.5" customHeight="1" x14ac:dyDescent="0.3">
      <c r="A125" s="242" t="s">
        <v>472</v>
      </c>
      <c r="B125" s="243"/>
      <c r="C125" s="943"/>
      <c r="D125" s="244"/>
      <c r="E125" s="244"/>
      <c r="F125" s="244"/>
      <c r="G125" s="244"/>
      <c r="H125" s="244"/>
      <c r="I125" s="244"/>
      <c r="J125" s="244"/>
      <c r="K125" s="244"/>
      <c r="L125" s="244"/>
      <c r="M125" s="244"/>
      <c r="N125" s="244"/>
      <c r="O125" s="244"/>
      <c r="P125" s="568"/>
      <c r="Q125" s="568"/>
      <c r="R125" s="938"/>
      <c r="S125" s="568"/>
      <c r="T125" s="1398"/>
      <c r="U125" s="1398"/>
      <c r="V125" s="1398"/>
      <c r="W125" s="2132"/>
      <c r="X125" s="244"/>
      <c r="Y125" s="245"/>
      <c r="Z125" s="245"/>
      <c r="AA125" s="245"/>
      <c r="AB125" s="245"/>
      <c r="AC125" s="245"/>
      <c r="AD125" s="245"/>
      <c r="AE125" s="245"/>
      <c r="AF125" s="245"/>
      <c r="AG125" s="245"/>
      <c r="AH125" s="245"/>
      <c r="AI125" s="246"/>
      <c r="AJ125" s="246"/>
    </row>
    <row r="126" spans="1:44" x14ac:dyDescent="0.3">
      <c r="A126" s="173" t="s">
        <v>253</v>
      </c>
      <c r="D126" s="241">
        <v>9.3237188436489218E-2</v>
      </c>
      <c r="E126" s="236">
        <v>9.1662354335324478E-2</v>
      </c>
      <c r="F126" s="236">
        <v>0.10219205581508556</v>
      </c>
      <c r="G126" s="236">
        <v>0.10581525657938262</v>
      </c>
      <c r="H126" s="236">
        <v>0.10259856552094609</v>
      </c>
      <c r="I126" s="236">
        <v>0.10695106549307283</v>
      </c>
      <c r="J126" s="236">
        <v>0.10257514754789548</v>
      </c>
      <c r="K126" s="236">
        <v>0.10835783455696647</v>
      </c>
      <c r="L126" s="236">
        <v>0.11361696871248311</v>
      </c>
      <c r="M126" s="236">
        <v>0.11740460777833268</v>
      </c>
      <c r="N126" s="237">
        <v>0.1231238887172626</v>
      </c>
      <c r="O126" s="237">
        <v>0.13054553620300066</v>
      </c>
      <c r="P126" s="237">
        <v>0.13100000000000001</v>
      </c>
      <c r="Q126" s="784">
        <v>0.13459992380300864</v>
      </c>
      <c r="R126" s="1077">
        <v>0.13232941112509713</v>
      </c>
      <c r="S126" s="1077">
        <v>0.12321056846076116</v>
      </c>
      <c r="T126" s="1077">
        <v>0.12334055579762625</v>
      </c>
      <c r="U126" s="2051">
        <v>0.11797030617298122</v>
      </c>
      <c r="V126" s="1406">
        <v>0.11663942441003489</v>
      </c>
      <c r="W126" s="2133">
        <v>0.10670800438699819</v>
      </c>
      <c r="Y126" s="233">
        <v>105872</v>
      </c>
      <c r="Z126" s="234">
        <v>105143</v>
      </c>
      <c r="AA126" s="234">
        <v>119540</v>
      </c>
      <c r="AB126" s="234">
        <v>124895</v>
      </c>
      <c r="AC126" s="234">
        <v>123345</v>
      </c>
      <c r="AD126" s="234">
        <v>126877</v>
      </c>
      <c r="AE126" s="234">
        <v>123589</v>
      </c>
      <c r="AF126" s="234">
        <v>132787</v>
      </c>
      <c r="AG126" s="234">
        <v>140727</v>
      </c>
      <c r="AH126" s="234">
        <v>146844</v>
      </c>
      <c r="AI126" s="581">
        <v>157422</v>
      </c>
      <c r="AJ126" s="234">
        <v>167427</v>
      </c>
      <c r="AK126" s="582">
        <v>169230</v>
      </c>
      <c r="AL126" s="368">
        <v>176294</v>
      </c>
      <c r="AM126" s="1082">
        <v>175249</v>
      </c>
      <c r="AN126" s="1082">
        <v>164485</v>
      </c>
      <c r="AO126" s="1082">
        <v>165878</v>
      </c>
      <c r="AP126" s="2058">
        <v>160322</v>
      </c>
      <c r="AQ126" s="2059">
        <v>159845</v>
      </c>
      <c r="AR126" s="636">
        <v>147207</v>
      </c>
    </row>
    <row r="127" spans="1:44" x14ac:dyDescent="0.3">
      <c r="A127" s="173" t="s">
        <v>251</v>
      </c>
      <c r="D127" s="235">
        <v>0.10860533120908807</v>
      </c>
      <c r="E127" s="236">
        <v>0.10641206375217382</v>
      </c>
      <c r="F127" s="236">
        <v>0.11466279980893911</v>
      </c>
      <c r="G127" s="236">
        <v>0.11758377928142934</v>
      </c>
      <c r="H127" s="236">
        <v>0.11259360124640222</v>
      </c>
      <c r="I127" s="236">
        <v>0.11367927485747498</v>
      </c>
      <c r="J127" s="236">
        <v>0.10639459370059251</v>
      </c>
      <c r="K127" s="236">
        <v>0.11202655946373949</v>
      </c>
      <c r="L127" s="236">
        <v>0.11571808952754851</v>
      </c>
      <c r="M127" s="236">
        <v>0.11429957969100746</v>
      </c>
      <c r="N127" s="237">
        <v>0.12023872863352066</v>
      </c>
      <c r="O127" s="237">
        <v>0.12870004950966066</v>
      </c>
      <c r="P127" s="237">
        <v>0.13600000000000001</v>
      </c>
      <c r="Q127" s="784">
        <v>0.13722953804582269</v>
      </c>
      <c r="R127" s="1077">
        <v>0.13349245196423984</v>
      </c>
      <c r="S127" s="1077">
        <v>0.12957719229379919</v>
      </c>
      <c r="T127" s="1077">
        <v>0.12507315600745675</v>
      </c>
      <c r="U127" s="2051">
        <v>0.12629211243904365</v>
      </c>
      <c r="V127" s="1406">
        <v>0.12021782421909961</v>
      </c>
      <c r="W127" s="2133">
        <v>0.11381128609451786</v>
      </c>
      <c r="Y127" s="233">
        <v>182298</v>
      </c>
      <c r="Z127" s="234">
        <v>180189</v>
      </c>
      <c r="AA127" s="234">
        <v>198599</v>
      </c>
      <c r="AB127" s="234">
        <v>203585</v>
      </c>
      <c r="AC127" s="234">
        <v>196053</v>
      </c>
      <c r="AD127" s="234">
        <v>195954</v>
      </c>
      <c r="AE127" s="234">
        <v>183982</v>
      </c>
      <c r="AF127" s="234">
        <v>194397</v>
      </c>
      <c r="AG127" s="234">
        <v>199783</v>
      </c>
      <c r="AH127" s="234">
        <v>199568</v>
      </c>
      <c r="AI127" s="581">
        <v>209955</v>
      </c>
      <c r="AJ127" s="234">
        <v>225896</v>
      </c>
      <c r="AK127" s="582">
        <v>240717</v>
      </c>
      <c r="AL127" s="368">
        <v>243363</v>
      </c>
      <c r="AM127" s="1082">
        <v>237926</v>
      </c>
      <c r="AN127" s="1082">
        <v>231733</v>
      </c>
      <c r="AO127" s="1082">
        <v>223754</v>
      </c>
      <c r="AP127" s="2058">
        <v>225598</v>
      </c>
      <c r="AQ127" s="2059">
        <v>214911</v>
      </c>
      <c r="AR127" s="636">
        <v>203709</v>
      </c>
    </row>
    <row r="128" spans="1:44" x14ac:dyDescent="0.3">
      <c r="A128" s="173" t="s">
        <v>254</v>
      </c>
      <c r="D128" s="235">
        <v>5.3819970982672265E-2</v>
      </c>
      <c r="E128" s="236">
        <v>5.4187387148898883E-2</v>
      </c>
      <c r="F128" s="236">
        <v>5.9488325891117154E-2</v>
      </c>
      <c r="G128" s="236">
        <v>6.5356715447867419E-2</v>
      </c>
      <c r="H128" s="236">
        <v>6.1376226711921139E-2</v>
      </c>
      <c r="I128" s="236">
        <v>6.0904658056330392E-2</v>
      </c>
      <c r="J128" s="236">
        <v>6.0991227226495109E-2</v>
      </c>
      <c r="K128" s="236">
        <v>5.9939990840376267E-2</v>
      </c>
      <c r="L128" s="236">
        <v>6.2179277100436824E-2</v>
      </c>
      <c r="M128" s="236">
        <v>6.816119052357604E-2</v>
      </c>
      <c r="N128" s="237">
        <v>7.2466232957629648E-2</v>
      </c>
      <c r="O128" s="237">
        <v>7.6399225436204074E-2</v>
      </c>
      <c r="P128" s="237">
        <v>7.4999999999999997E-2</v>
      </c>
      <c r="Q128" s="784">
        <v>7.4164709719101329E-2</v>
      </c>
      <c r="R128" s="1077">
        <v>7.802179923184123E-2</v>
      </c>
      <c r="S128" s="1077">
        <v>7.3019746357413137E-2</v>
      </c>
      <c r="T128" s="1077">
        <v>7.2471430241235757E-2</v>
      </c>
      <c r="U128" s="2051">
        <v>6.8339740322260922E-2</v>
      </c>
      <c r="V128" s="1406">
        <v>6.9451511246858666E-2</v>
      </c>
      <c r="W128" s="2133">
        <v>6.6709965526997539E-2</v>
      </c>
      <c r="Y128" s="233">
        <v>138724</v>
      </c>
      <c r="Z128" s="234">
        <v>141301</v>
      </c>
      <c r="AA128" s="234">
        <v>159450</v>
      </c>
      <c r="AB128" s="234">
        <v>179066</v>
      </c>
      <c r="AC128" s="234">
        <v>172575</v>
      </c>
      <c r="AD128" s="234">
        <v>169315</v>
      </c>
      <c r="AE128" s="234">
        <v>173120</v>
      </c>
      <c r="AF128" s="234">
        <v>171582</v>
      </c>
      <c r="AG128" s="234">
        <v>179865</v>
      </c>
      <c r="AH128" s="234">
        <v>202606</v>
      </c>
      <c r="AI128" s="581">
        <v>222814</v>
      </c>
      <c r="AJ128" s="234">
        <v>238776</v>
      </c>
      <c r="AK128" s="582">
        <v>240500</v>
      </c>
      <c r="AL128" s="368">
        <v>240148</v>
      </c>
      <c r="AM128" s="1082">
        <v>256078</v>
      </c>
      <c r="AN128" s="1082">
        <v>242082</v>
      </c>
      <c r="AO128" s="1082">
        <v>241806</v>
      </c>
      <c r="AP128" s="2058">
        <v>231675</v>
      </c>
      <c r="AQ128" s="2059">
        <v>237643</v>
      </c>
      <c r="AR128" s="636">
        <v>228946</v>
      </c>
    </row>
    <row r="129" spans="1:44" x14ac:dyDescent="0.3">
      <c r="A129" s="173" t="s">
        <v>252</v>
      </c>
      <c r="D129" s="235">
        <v>0.1060107079665315</v>
      </c>
      <c r="E129" s="236">
        <v>0.1065999802563027</v>
      </c>
      <c r="F129" s="236">
        <v>0.11841703973751314</v>
      </c>
      <c r="G129" s="236">
        <v>0.12117460527154147</v>
      </c>
      <c r="H129" s="236">
        <v>0.11757933953315472</v>
      </c>
      <c r="I129" s="236">
        <v>0.12749971521740955</v>
      </c>
      <c r="J129" s="236">
        <v>0.12641918305043012</v>
      </c>
      <c r="K129" s="236">
        <v>0.13010546173078325</v>
      </c>
      <c r="L129" s="236">
        <v>0.13219259468761307</v>
      </c>
      <c r="M129" s="236">
        <v>0.142187426757521</v>
      </c>
      <c r="N129" s="237">
        <v>0.15006267141167387</v>
      </c>
      <c r="O129" s="237">
        <v>0.15103930395133242</v>
      </c>
      <c r="P129" s="237">
        <v>0.152</v>
      </c>
      <c r="Q129" s="784">
        <v>0.15284502014599163</v>
      </c>
      <c r="R129" s="1077">
        <v>0.1537987260694452</v>
      </c>
      <c r="S129" s="1077">
        <v>0.148271200765978</v>
      </c>
      <c r="T129" s="1077">
        <v>0.14148643710421094</v>
      </c>
      <c r="U129" s="2051">
        <v>0.13461606445295238</v>
      </c>
      <c r="V129" s="1406">
        <v>0.14379836992631403</v>
      </c>
      <c r="W129" s="2133">
        <v>0.12731622594633141</v>
      </c>
      <c r="Y129" s="233">
        <v>112685</v>
      </c>
      <c r="Z129" s="234">
        <v>113372</v>
      </c>
      <c r="AA129" s="234">
        <v>126853</v>
      </c>
      <c r="AB129" s="234">
        <v>129807</v>
      </c>
      <c r="AC129" s="234">
        <v>127543</v>
      </c>
      <c r="AD129" s="234">
        <v>136375</v>
      </c>
      <c r="AE129" s="234">
        <v>136569</v>
      </c>
      <c r="AF129" s="234">
        <v>140972</v>
      </c>
      <c r="AG129" s="234">
        <v>143958</v>
      </c>
      <c r="AH129" s="234">
        <v>155087</v>
      </c>
      <c r="AI129" s="581">
        <v>167379</v>
      </c>
      <c r="AJ129" s="234">
        <v>168805</v>
      </c>
      <c r="AK129" s="582">
        <v>170512</v>
      </c>
      <c r="AL129" s="368">
        <v>171615</v>
      </c>
      <c r="AM129" s="1082">
        <v>173365</v>
      </c>
      <c r="AN129" s="1082">
        <v>167710</v>
      </c>
      <c r="AO129" s="1082">
        <v>159905</v>
      </c>
      <c r="AP129" s="2058">
        <v>152317</v>
      </c>
      <c r="AQ129" s="2059">
        <v>162970</v>
      </c>
      <c r="AR129" s="636">
        <v>143897</v>
      </c>
    </row>
    <row r="130" spans="1:44" x14ac:dyDescent="0.3">
      <c r="A130" s="173" t="s">
        <v>255</v>
      </c>
      <c r="D130" s="235">
        <v>0.14487555201488991</v>
      </c>
      <c r="E130" s="236">
        <v>0.14306900004758574</v>
      </c>
      <c r="F130" s="236">
        <v>0.15556163257278338</v>
      </c>
      <c r="G130" s="236">
        <v>0.15499536649748308</v>
      </c>
      <c r="H130" s="236">
        <v>0.15195219671506743</v>
      </c>
      <c r="I130" s="236">
        <v>0.18084455028541141</v>
      </c>
      <c r="J130" s="236">
        <v>0.17204522870846353</v>
      </c>
      <c r="K130" s="236">
        <v>0.17744474990181727</v>
      </c>
      <c r="L130" s="236">
        <v>0.18285150683367846</v>
      </c>
      <c r="M130" s="236">
        <v>0.18067404001948281</v>
      </c>
      <c r="N130" s="237">
        <v>0.18929818575976814</v>
      </c>
      <c r="O130" s="237">
        <v>0.19649936328107848</v>
      </c>
      <c r="P130" s="237">
        <v>0.20300000000000001</v>
      </c>
      <c r="Q130" s="784">
        <v>0.19352424524838319</v>
      </c>
      <c r="R130" s="1077">
        <v>0.20012831009928084</v>
      </c>
      <c r="S130" s="1077">
        <v>0.19270500371285146</v>
      </c>
      <c r="T130" s="1077">
        <v>0.1899159603582535</v>
      </c>
      <c r="U130" s="2051">
        <v>0.19224022810120187</v>
      </c>
      <c r="V130" s="1406">
        <v>0.19879011839270513</v>
      </c>
      <c r="W130" s="2133">
        <v>0.18108140182394128</v>
      </c>
      <c r="Y130" s="233">
        <v>81357</v>
      </c>
      <c r="Z130" s="234">
        <v>80233</v>
      </c>
      <c r="AA130" s="234">
        <v>87691</v>
      </c>
      <c r="AB130" s="234">
        <v>86973</v>
      </c>
      <c r="AC130" s="234">
        <v>85522</v>
      </c>
      <c r="AD130" s="234">
        <v>100339</v>
      </c>
      <c r="AE130" s="234">
        <v>95919</v>
      </c>
      <c r="AF130" s="234">
        <v>99401</v>
      </c>
      <c r="AG130" s="234">
        <v>102521</v>
      </c>
      <c r="AH130" s="234">
        <v>101448</v>
      </c>
      <c r="AI130" s="581">
        <v>108176</v>
      </c>
      <c r="AJ130" s="234">
        <v>111872</v>
      </c>
      <c r="AK130" s="582">
        <v>115425</v>
      </c>
      <c r="AL130" s="368">
        <v>109640</v>
      </c>
      <c r="AM130" s="1082">
        <v>112924</v>
      </c>
      <c r="AN130" s="1082">
        <v>108216</v>
      </c>
      <c r="AO130" s="1082">
        <v>105896</v>
      </c>
      <c r="AP130" s="2058">
        <v>106528</v>
      </c>
      <c r="AQ130" s="2059">
        <v>109526</v>
      </c>
      <c r="AR130" s="636">
        <v>99181</v>
      </c>
    </row>
    <row r="132" spans="1:44" x14ac:dyDescent="0.3">
      <c r="A132" s="584" t="s">
        <v>724</v>
      </c>
    </row>
    <row r="134" spans="1:44" s="193" customFormat="1" x14ac:dyDescent="0.3">
      <c r="A134" s="193" t="s">
        <v>247</v>
      </c>
    </row>
    <row r="135" spans="1:44" s="193" customFormat="1" x14ac:dyDescent="0.3">
      <c r="A135" s="194" t="s">
        <v>248</v>
      </c>
      <c r="B135" s="195" t="s">
        <v>249</v>
      </c>
      <c r="C135" s="195"/>
    </row>
  </sheetData>
  <autoFilter ref="A3:C3"/>
  <sortState ref="A5:AL124">
    <sortCondition ref="A5:A124"/>
  </sortState>
  <mergeCells count="2">
    <mergeCell ref="D2:N2"/>
    <mergeCell ref="Y2:AI2"/>
  </mergeCells>
  <hyperlinks>
    <hyperlink ref="B13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76</vt:i4>
      </vt:variant>
    </vt:vector>
  </HeadingPairs>
  <TitlesOfParts>
    <vt:vector size="141" baseType="lpstr">
      <vt:lpstr>Profile</vt:lpstr>
      <vt:lpstr>Spending By Region</vt:lpstr>
      <vt:lpstr>Social Svcs Spending Summary</vt:lpstr>
      <vt:lpstr>Data for Graphs</vt:lpstr>
      <vt:lpstr>Agency Level &amp; HR Policy</vt:lpstr>
      <vt:lpstr>IT Support</vt:lpstr>
      <vt:lpstr>2019 Population</vt:lpstr>
      <vt:lpstr>Poverty Estimates</vt:lpstr>
      <vt:lpstr>Poverty_All ages</vt:lpstr>
      <vt:lpstr>Poverty_Child</vt:lpstr>
      <vt:lpstr>ALICE Households</vt:lpstr>
      <vt:lpstr>Unemployment</vt:lpstr>
      <vt:lpstr>With Health Insurance</vt:lpstr>
      <vt:lpstr>Non-marital births</vt:lpstr>
      <vt:lpstr>Uninsured by Income</vt:lpstr>
      <vt:lpstr>Uninsured by Year</vt:lpstr>
      <vt:lpstr>Non-Marital Births_5YR</vt:lpstr>
      <vt:lpstr>Teen births</vt:lpstr>
      <vt:lpstr>NM Births_Trend</vt:lpstr>
      <vt:lpstr>Teen Births_Trend</vt:lpstr>
      <vt:lpstr>Teen Births_5YR</vt:lpstr>
      <vt:lpstr>Children in Single Parent Homes</vt:lpstr>
      <vt:lpstr>SNAP Applications Received</vt:lpstr>
      <vt:lpstr>SNAP Applications Disposed</vt:lpstr>
      <vt:lpstr>TANF Applications Received</vt:lpstr>
      <vt:lpstr>TANF Applications Disposed</vt:lpstr>
      <vt:lpstr>Medicaid Applications Received</vt:lpstr>
      <vt:lpstr>Medicaid Applications Disposed</vt:lpstr>
      <vt:lpstr>Child Care Application Received</vt:lpstr>
      <vt:lpstr>Child Care Application Disposed</vt:lpstr>
      <vt:lpstr>SNAP Clients_Annual</vt:lpstr>
      <vt:lpstr>TANF Clients_Annual</vt:lpstr>
      <vt:lpstr>Medicaid Clients_Annual</vt:lpstr>
      <vt:lpstr>Child Care_Annual</vt:lpstr>
      <vt:lpstr>Benefit Clients_Annual</vt:lpstr>
      <vt:lpstr>TANF Cases - Annual</vt:lpstr>
      <vt:lpstr>SNAP Cases - Annual</vt:lpstr>
      <vt:lpstr>Medicaid Cases- Annual</vt:lpstr>
      <vt:lpstr>EA Cases - Annual</vt:lpstr>
      <vt:lpstr>Child Care Cases - Annual</vt:lpstr>
      <vt:lpstr>SNAP Client Demographics</vt:lpstr>
      <vt:lpstr>TANF Client Demographics</vt:lpstr>
      <vt:lpstr>MA Client Demographics</vt:lpstr>
      <vt:lpstr>Child Care Client Demographics</vt:lpstr>
      <vt:lpstr>Benefit Client Demographics</vt:lpstr>
      <vt:lpstr>Children in Foster Care</vt:lpstr>
      <vt:lpstr>Adopted Children</vt:lpstr>
      <vt:lpstr>Adoption Subsidies</vt:lpstr>
      <vt:lpstr>APS Reports</vt:lpstr>
      <vt:lpstr>CPS Referrals</vt:lpstr>
      <vt:lpstr>Administration LASER</vt:lpstr>
      <vt:lpstr>Other Oper Exp. LASER</vt:lpstr>
      <vt:lpstr>Client Services LASER</vt:lpstr>
      <vt:lpstr>CSA LASER</vt:lpstr>
      <vt:lpstr>Medicaid &amp; FAMIS - LASER</vt:lpstr>
      <vt:lpstr>SNAP LASER</vt:lpstr>
      <vt:lpstr>Energy Assistance LASER</vt:lpstr>
      <vt:lpstr>TANF LASER</vt:lpstr>
      <vt:lpstr>ChildCare LASER</vt:lpstr>
      <vt:lpstr>FC &amp; Adoptions LASER</vt:lpstr>
      <vt:lpstr>Other Benefits LASER</vt:lpstr>
      <vt:lpstr>Statewide Benefits</vt:lpstr>
      <vt:lpstr>Staffing</vt:lpstr>
      <vt:lpstr>Locality Name</vt:lpstr>
      <vt:lpstr>Region Name</vt:lpstr>
      <vt:lpstr>Admin_Costs_LASER</vt:lpstr>
      <vt:lpstr>Adoption_Child_Demo</vt:lpstr>
      <vt:lpstr>AdoptionServices</vt:lpstr>
      <vt:lpstr>Agency_Level</vt:lpstr>
      <vt:lpstr>AliceHHs</vt:lpstr>
      <vt:lpstr>APS_Reports</vt:lpstr>
      <vt:lpstr>BenefitClient_Demo</vt:lpstr>
      <vt:lpstr>BenefitClnts_Annual</vt:lpstr>
      <vt:lpstr>cc_apps_disp</vt:lpstr>
      <vt:lpstr>cc_apps_recvd</vt:lpstr>
      <vt:lpstr>CCClient_Demo</vt:lpstr>
      <vt:lpstr>Child_SingleParentHH</vt:lpstr>
      <vt:lpstr>ChildCareClients_Annual</vt:lpstr>
      <vt:lpstr>ChildCareFamilies</vt:lpstr>
      <vt:lpstr>ChildCareLASER</vt:lpstr>
      <vt:lpstr>Children_CPS_Referrals</vt:lpstr>
      <vt:lpstr>Client_Svcs_LASER</vt:lpstr>
      <vt:lpstr>CPSReferrals</vt:lpstr>
      <vt:lpstr>CSA_LASER</vt:lpstr>
      <vt:lpstr>EA_LASER</vt:lpstr>
      <vt:lpstr>EACases_Annual</vt:lpstr>
      <vt:lpstr>Employment</vt:lpstr>
      <vt:lpstr>FC_Adop_LASER</vt:lpstr>
      <vt:lpstr>FC_DEMO</vt:lpstr>
      <vt:lpstr>FCMAP</vt:lpstr>
      <vt:lpstr>FIPS</vt:lpstr>
      <vt:lpstr>FIPS_NUM</vt:lpstr>
      <vt:lpstr>FIPSN</vt:lpstr>
      <vt:lpstr>Insurance_5YR</vt:lpstr>
      <vt:lpstr>IT_Support</vt:lpstr>
      <vt:lpstr>Loc_Name</vt:lpstr>
      <vt:lpstr>Locality</vt:lpstr>
      <vt:lpstr>ma_apps_disp</vt:lpstr>
      <vt:lpstr>ma_apps_recvd</vt:lpstr>
      <vt:lpstr>MAClnts_Annual</vt:lpstr>
      <vt:lpstr>Medicaid_FAMIS_LASER</vt:lpstr>
      <vt:lpstr>MedicaidCases_Annual</vt:lpstr>
      <vt:lpstr>MedicaidClient_Demo</vt:lpstr>
      <vt:lpstr>NMBirths_5YR</vt:lpstr>
      <vt:lpstr>NMBirths_Trend</vt:lpstr>
      <vt:lpstr>NonMaritalBirths</vt:lpstr>
      <vt:lpstr>OT_BENE_LASER</vt:lpstr>
      <vt:lpstr>OT_EXP_LASER_2013</vt:lpstr>
      <vt:lpstr>Other_Oper_Exp_LASER</vt:lpstr>
      <vt:lpstr>Pop_Estimates</vt:lpstr>
      <vt:lpstr>Poverty</vt:lpstr>
      <vt:lpstr>Poverty_AllAges</vt:lpstr>
      <vt:lpstr>Poverty_Child</vt:lpstr>
      <vt:lpstr>'Children in Foster Care'!Print_Area</vt:lpstr>
      <vt:lpstr>'Locality Name'!Print_Area</vt:lpstr>
      <vt:lpstr>Profile!Print_Area</vt:lpstr>
      <vt:lpstr>'Spending By Region'!Print_Area</vt:lpstr>
      <vt:lpstr>Unemployment!Print_Area</vt:lpstr>
      <vt:lpstr>'Children in Foster Care'!Print_Titles</vt:lpstr>
      <vt:lpstr>Profile!Print_Titles</vt:lpstr>
      <vt:lpstr>Unemployment!Print_Titles</vt:lpstr>
      <vt:lpstr>Region</vt:lpstr>
      <vt:lpstr>snap_apps_disp</vt:lpstr>
      <vt:lpstr>snap_apps_recvd</vt:lpstr>
      <vt:lpstr>SNAP_LASER</vt:lpstr>
      <vt:lpstr>SNAP_RACE</vt:lpstr>
      <vt:lpstr>SNAPCases_Annual</vt:lpstr>
      <vt:lpstr>SNAPClient_Demo</vt:lpstr>
      <vt:lpstr>SNAPClnts_Annual</vt:lpstr>
      <vt:lpstr>Staffing</vt:lpstr>
      <vt:lpstr>tanf_apps_disp</vt:lpstr>
      <vt:lpstr>tanf_apps_recvd</vt:lpstr>
      <vt:lpstr>TANF_LASER</vt:lpstr>
      <vt:lpstr>TANFCases_Annual</vt:lpstr>
      <vt:lpstr>TANFClient_Demo</vt:lpstr>
      <vt:lpstr>TANFClnts_Annual</vt:lpstr>
      <vt:lpstr>TeenBirth_5YR</vt:lpstr>
      <vt:lpstr>TeenBirths</vt:lpstr>
      <vt:lpstr>TeenBirths_Trend</vt:lpstr>
      <vt:lpstr>uninsured</vt:lpstr>
      <vt:lpstr>uninsured_annual</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VITA Program</cp:lastModifiedBy>
  <cp:lastPrinted>2021-08-03T21:18:09Z</cp:lastPrinted>
  <dcterms:created xsi:type="dcterms:W3CDTF">2011-04-04T18:14:50Z</dcterms:created>
  <dcterms:modified xsi:type="dcterms:W3CDTF">2021-10-07T17:47:35Z</dcterms:modified>
</cp:coreProperties>
</file>